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F5B39EE6-51E3-4166-A5DD-4B2B1730DCC2}" xr6:coauthVersionLast="31" xr6:coauthVersionMax="31" xr10:uidLastSave="{00000000-0000-0000-0000-000000000000}"/>
  <bookViews>
    <workbookView xWindow="0" yWindow="0" windowWidth="22260" windowHeight="12648" firstSheet="3" activeTab="4" xr2:uid="{00000000-000D-0000-FFFF-FFFF00000000}"/>
  </bookViews>
  <sheets>
    <sheet name="PLANTILLA BASE" sheetId="2" state="hidden" r:id="rId1"/>
    <sheet name="TABLAS" sheetId="1" r:id="rId2"/>
    <sheet name="PIER-FORCES" sheetId="17" r:id="rId3"/>
    <sheet name="EJE 15" sheetId="3" r:id="rId4"/>
    <sheet name="Sheet2" sheetId="18" r:id="rId5"/>
    <sheet name="PLANILLAS EJE 15" sheetId="5" r:id="rId6"/>
  </sheets>
  <definedNames>
    <definedName name="_xlnm._FilterDatabase" localSheetId="3" hidden="1">'EJE 15'!$C$3:$Q$51</definedName>
    <definedName name="_xlnm._FilterDatabase" localSheetId="2" hidden="1">'PIER-FORCES'!$A$1:$F$147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8" l="1"/>
  <c r="A24" i="18"/>
  <c r="B23" i="18"/>
  <c r="A23" i="18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" i="18"/>
  <c r="O23" i="3"/>
  <c r="AU6" i="3"/>
  <c r="AU7" i="3"/>
  <c r="O35" i="3"/>
  <c r="O34" i="3"/>
  <c r="O33" i="3"/>
  <c r="O32" i="3"/>
  <c r="O31" i="3"/>
  <c r="O30" i="3"/>
  <c r="C1392" i="5"/>
  <c r="J1385" i="5" s="1"/>
  <c r="C1391" i="5"/>
  <c r="J1389" i="5" s="1"/>
  <c r="C1346" i="5"/>
  <c r="C1345" i="5"/>
  <c r="C1300" i="5"/>
  <c r="C1299" i="5"/>
  <c r="J1297" i="5" s="1"/>
  <c r="C1254" i="5"/>
  <c r="J1247" i="5" s="1"/>
  <c r="C1253" i="5"/>
  <c r="C1208" i="5"/>
  <c r="J1201" i="5" s="1"/>
  <c r="C1207" i="5"/>
  <c r="J1205" i="5" s="1"/>
  <c r="C1162" i="5"/>
  <c r="C1161" i="5"/>
  <c r="J1159" i="5" s="1"/>
  <c r="C1959" i="5"/>
  <c r="C1957" i="5"/>
  <c r="B1948" i="5"/>
  <c r="C1945" i="5"/>
  <c r="C1944" i="5"/>
  <c r="J1942" i="5" s="1"/>
  <c r="B1943" i="5"/>
  <c r="C1914" i="5"/>
  <c r="C1912" i="5"/>
  <c r="C1910" i="5"/>
  <c r="B1901" i="5"/>
  <c r="C1898" i="5"/>
  <c r="J1891" i="5" s="1"/>
  <c r="C1897" i="5"/>
  <c r="B1896" i="5"/>
  <c r="C1868" i="5"/>
  <c r="C1866" i="5"/>
  <c r="C1864" i="5"/>
  <c r="B1855" i="5"/>
  <c r="C1852" i="5"/>
  <c r="J1845" i="5" s="1"/>
  <c r="C1851" i="5"/>
  <c r="J1849" i="5" s="1"/>
  <c r="B1850" i="5"/>
  <c r="C1820" i="5"/>
  <c r="C1818" i="5"/>
  <c r="B1809" i="5"/>
  <c r="C1806" i="5"/>
  <c r="J1799" i="5" s="1"/>
  <c r="C1805" i="5"/>
  <c r="B1804" i="5"/>
  <c r="C1776" i="5"/>
  <c r="C1774" i="5"/>
  <c r="C1772" i="5"/>
  <c r="B1763" i="5"/>
  <c r="C1760" i="5"/>
  <c r="J1753" i="5" s="1"/>
  <c r="C1759" i="5"/>
  <c r="B1758" i="5"/>
  <c r="C1730" i="5"/>
  <c r="C1728" i="5"/>
  <c r="C1726" i="5"/>
  <c r="B1717" i="5"/>
  <c r="C1714" i="5"/>
  <c r="J1707" i="5" s="1"/>
  <c r="C1713" i="5"/>
  <c r="J1727" i="5" s="1"/>
  <c r="J1728" i="5" s="1"/>
  <c r="B1712" i="5"/>
  <c r="C1684" i="5"/>
  <c r="C1682" i="5"/>
  <c r="C1680" i="5"/>
  <c r="B1671" i="5"/>
  <c r="C1668" i="5"/>
  <c r="J1661" i="5" s="1"/>
  <c r="C1667" i="5"/>
  <c r="B1666" i="5"/>
  <c r="C1638" i="5"/>
  <c r="C1636" i="5"/>
  <c r="C1634" i="5"/>
  <c r="B1625" i="5"/>
  <c r="C1622" i="5"/>
  <c r="J1615" i="5" s="1"/>
  <c r="C1621" i="5"/>
  <c r="B1620" i="5"/>
  <c r="C1592" i="5"/>
  <c r="C1590" i="5"/>
  <c r="C1588" i="5"/>
  <c r="B1579" i="5"/>
  <c r="C1576" i="5"/>
  <c r="J1569" i="5" s="1"/>
  <c r="C1575" i="5"/>
  <c r="J1589" i="5" s="1"/>
  <c r="J1590" i="5" s="1"/>
  <c r="B1574" i="5"/>
  <c r="C1546" i="5"/>
  <c r="C1544" i="5"/>
  <c r="C1542" i="5"/>
  <c r="B1533" i="5"/>
  <c r="C1530" i="5"/>
  <c r="J1523" i="5" s="1"/>
  <c r="C1529" i="5"/>
  <c r="J1527" i="5" s="1"/>
  <c r="B1528" i="5"/>
  <c r="C1498" i="5"/>
  <c r="C1496" i="5"/>
  <c r="B1487" i="5"/>
  <c r="C1484" i="5"/>
  <c r="C1483" i="5"/>
  <c r="J1481" i="5" s="1"/>
  <c r="B1482" i="5"/>
  <c r="C1454" i="5"/>
  <c r="C1452" i="5"/>
  <c r="C1450" i="5"/>
  <c r="B1441" i="5"/>
  <c r="C1438" i="5"/>
  <c r="J1431" i="5" s="1"/>
  <c r="C1437" i="5"/>
  <c r="J1435" i="5" s="1"/>
  <c r="B1436" i="5"/>
  <c r="C1408" i="5"/>
  <c r="C1406" i="5"/>
  <c r="C1404" i="5"/>
  <c r="B1395" i="5"/>
  <c r="B1390" i="5"/>
  <c r="C1362" i="5"/>
  <c r="C1360" i="5"/>
  <c r="C1358" i="5"/>
  <c r="B1349" i="5"/>
  <c r="J1339" i="5"/>
  <c r="B1344" i="5"/>
  <c r="C1316" i="5"/>
  <c r="C1314" i="5"/>
  <c r="C1312" i="5"/>
  <c r="B1303" i="5"/>
  <c r="B1298" i="5"/>
  <c r="J1293" i="5"/>
  <c r="C1270" i="5"/>
  <c r="C1268" i="5"/>
  <c r="C1266" i="5"/>
  <c r="B1257" i="5"/>
  <c r="B1252" i="5"/>
  <c r="C1222" i="5"/>
  <c r="C1220" i="5"/>
  <c r="B1211" i="5"/>
  <c r="B1206" i="5"/>
  <c r="C1178" i="5"/>
  <c r="C1176" i="5"/>
  <c r="C1174" i="5"/>
  <c r="B1165" i="5"/>
  <c r="B1160" i="5"/>
  <c r="J1155" i="5"/>
  <c r="O29" i="3"/>
  <c r="O28" i="3"/>
  <c r="O27" i="3"/>
  <c r="S840" i="5"/>
  <c r="Z833" i="5" s="1"/>
  <c r="S839" i="5"/>
  <c r="S856" i="5"/>
  <c r="S854" i="5"/>
  <c r="S852" i="5"/>
  <c r="R843" i="5"/>
  <c r="R838" i="5"/>
  <c r="C840" i="5"/>
  <c r="J833" i="5" s="1"/>
  <c r="C839" i="5"/>
  <c r="O18" i="3"/>
  <c r="O14" i="3"/>
  <c r="C1116" i="5"/>
  <c r="J1109" i="5" s="1"/>
  <c r="C1115" i="5"/>
  <c r="C1070" i="5"/>
  <c r="J1063" i="5" s="1"/>
  <c r="C1069" i="5"/>
  <c r="C1024" i="5"/>
  <c r="J1017" i="5" s="1"/>
  <c r="C1023" i="5"/>
  <c r="J1021" i="5" s="1"/>
  <c r="C978" i="5"/>
  <c r="J971" i="5" s="1"/>
  <c r="C932" i="5"/>
  <c r="J925" i="5" s="1"/>
  <c r="C931" i="5"/>
  <c r="J929" i="5" s="1"/>
  <c r="C886" i="5"/>
  <c r="J879" i="5" s="1"/>
  <c r="C885" i="5"/>
  <c r="C794" i="5"/>
  <c r="J787" i="5" s="1"/>
  <c r="C793" i="5"/>
  <c r="C748" i="5"/>
  <c r="J741" i="5" s="1"/>
  <c r="C747" i="5"/>
  <c r="C702" i="5"/>
  <c r="J695" i="5" s="1"/>
  <c r="C701" i="5"/>
  <c r="C656" i="5"/>
  <c r="J649" i="5" s="1"/>
  <c r="C655" i="5"/>
  <c r="C610" i="5"/>
  <c r="J603" i="5" s="1"/>
  <c r="C609" i="5"/>
  <c r="C564" i="5"/>
  <c r="J557" i="5" s="1"/>
  <c r="C563" i="5"/>
  <c r="C518" i="5"/>
  <c r="J511" i="5" s="1"/>
  <c r="C517" i="5"/>
  <c r="C472" i="5"/>
  <c r="J465" i="5" s="1"/>
  <c r="C471" i="5"/>
  <c r="J469" i="5" s="1"/>
  <c r="C426" i="5"/>
  <c r="J419" i="5" s="1"/>
  <c r="C425" i="5"/>
  <c r="C380" i="5"/>
  <c r="J373" i="5" s="1"/>
  <c r="C379" i="5"/>
  <c r="C334" i="5"/>
  <c r="J327" i="5" s="1"/>
  <c r="C333" i="5"/>
  <c r="C288" i="5"/>
  <c r="J281" i="5" s="1"/>
  <c r="C287" i="5"/>
  <c r="C246" i="5"/>
  <c r="C242" i="5"/>
  <c r="J235" i="5" s="1"/>
  <c r="C241" i="5"/>
  <c r="C196" i="5"/>
  <c r="C195" i="5"/>
  <c r="C150" i="5"/>
  <c r="J143" i="5" s="1"/>
  <c r="C149" i="5"/>
  <c r="C104" i="5"/>
  <c r="J97" i="5" s="1"/>
  <c r="C103" i="5"/>
  <c r="C58" i="5"/>
  <c r="J51" i="5" s="1"/>
  <c r="C57" i="5"/>
  <c r="C1132" i="5"/>
  <c r="C1130" i="5"/>
  <c r="C1128" i="5"/>
  <c r="B1119" i="5"/>
  <c r="B1114" i="5"/>
  <c r="C1086" i="5"/>
  <c r="C1084" i="5"/>
  <c r="C1082" i="5"/>
  <c r="B1073" i="5"/>
  <c r="B1068" i="5"/>
  <c r="C1040" i="5"/>
  <c r="C1038" i="5"/>
  <c r="C1036" i="5"/>
  <c r="B1027" i="5"/>
  <c r="B1022" i="5"/>
  <c r="C992" i="5"/>
  <c r="C994" i="5" s="1"/>
  <c r="C990" i="5"/>
  <c r="O26" i="3" s="1"/>
  <c r="B981" i="5"/>
  <c r="B976" i="5"/>
  <c r="C946" i="5"/>
  <c r="C944" i="5"/>
  <c r="O25" i="3" s="1"/>
  <c r="B935" i="5"/>
  <c r="B930" i="5"/>
  <c r="C902" i="5"/>
  <c r="C900" i="5"/>
  <c r="C898" i="5"/>
  <c r="O24" i="3" s="1"/>
  <c r="B889" i="5"/>
  <c r="B884" i="5"/>
  <c r="C854" i="5"/>
  <c r="C856" i="5" s="1"/>
  <c r="C852" i="5"/>
  <c r="O22" i="3" s="1"/>
  <c r="B843" i="5"/>
  <c r="B838" i="5"/>
  <c r="C808" i="5"/>
  <c r="C810" i="5" s="1"/>
  <c r="C806" i="5"/>
  <c r="O21" i="3" s="1"/>
  <c r="B797" i="5"/>
  <c r="B792" i="5"/>
  <c r="C762" i="5"/>
  <c r="C760" i="5"/>
  <c r="O20" i="3" s="1"/>
  <c r="B751" i="5"/>
  <c r="B746" i="5"/>
  <c r="C716" i="5"/>
  <c r="C714" i="5"/>
  <c r="O19" i="3" s="1"/>
  <c r="B705" i="5"/>
  <c r="J699" i="5"/>
  <c r="B700" i="5"/>
  <c r="C670" i="5"/>
  <c r="C668" i="5"/>
  <c r="B659" i="5"/>
  <c r="B654" i="5"/>
  <c r="C624" i="5"/>
  <c r="C626" i="5" s="1"/>
  <c r="C622" i="5"/>
  <c r="O17" i="3" s="1"/>
  <c r="B613" i="5"/>
  <c r="B608" i="5"/>
  <c r="C578" i="5"/>
  <c r="C580" i="5" s="1"/>
  <c r="C576" i="5"/>
  <c r="O16" i="3" s="1"/>
  <c r="B567" i="5"/>
  <c r="B562" i="5"/>
  <c r="C532" i="5"/>
  <c r="C534" i="5" s="1"/>
  <c r="C530" i="5"/>
  <c r="O15" i="3" s="1"/>
  <c r="B521" i="5"/>
  <c r="B516" i="5"/>
  <c r="C486" i="5"/>
  <c r="C488" i="5" s="1"/>
  <c r="C484" i="5"/>
  <c r="B475" i="5"/>
  <c r="B470" i="5"/>
  <c r="C440" i="5"/>
  <c r="C442" i="5" s="1"/>
  <c r="C438" i="5"/>
  <c r="O13" i="3" s="1"/>
  <c r="B429" i="5"/>
  <c r="B424" i="5"/>
  <c r="C394" i="5"/>
  <c r="C392" i="5"/>
  <c r="O12" i="3" s="1"/>
  <c r="B383" i="5"/>
  <c r="J377" i="5"/>
  <c r="B378" i="5"/>
  <c r="C348" i="5"/>
  <c r="C350" i="5" s="1"/>
  <c r="C346" i="5"/>
  <c r="O11" i="3" s="1"/>
  <c r="B337" i="5"/>
  <c r="B332" i="5"/>
  <c r="C302" i="5"/>
  <c r="C304" i="5" s="1"/>
  <c r="C300" i="5"/>
  <c r="O10" i="3" s="1"/>
  <c r="B291" i="5"/>
  <c r="J301" i="5"/>
  <c r="J302" i="5" s="1"/>
  <c r="B286" i="5"/>
  <c r="C256" i="5"/>
  <c r="C258" i="5" s="1"/>
  <c r="C254" i="5"/>
  <c r="O9" i="3" s="1"/>
  <c r="B245" i="5"/>
  <c r="J239" i="5"/>
  <c r="B240" i="5"/>
  <c r="C212" i="5"/>
  <c r="C210" i="5"/>
  <c r="C208" i="5"/>
  <c r="O8" i="3" s="1"/>
  <c r="B199" i="5"/>
  <c r="J189" i="5"/>
  <c r="B194" i="5"/>
  <c r="C164" i="5"/>
  <c r="C166" i="5" s="1"/>
  <c r="C162" i="5"/>
  <c r="O7" i="3" s="1"/>
  <c r="B153" i="5"/>
  <c r="B148" i="5"/>
  <c r="C118" i="5"/>
  <c r="C116" i="5"/>
  <c r="O6" i="3" s="1"/>
  <c r="B107" i="5"/>
  <c r="J101" i="5"/>
  <c r="B102" i="5"/>
  <c r="C72" i="5"/>
  <c r="C74" i="5" s="1"/>
  <c r="C70" i="5"/>
  <c r="O5" i="3" s="1"/>
  <c r="B61" i="5"/>
  <c r="B56" i="5"/>
  <c r="N9" i="3"/>
  <c r="C248" i="5" s="1"/>
  <c r="M9" i="3"/>
  <c r="C247" i="5" s="1"/>
  <c r="N7" i="3"/>
  <c r="C156" i="5" s="1"/>
  <c r="M7" i="3"/>
  <c r="C155" i="5" s="1"/>
  <c r="L7" i="3"/>
  <c r="C154" i="5" s="1"/>
  <c r="L9" i="3"/>
  <c r="K9" i="3"/>
  <c r="C245" i="5" s="1"/>
  <c r="J1941" i="5" l="1"/>
  <c r="M1941" i="5" s="1"/>
  <c r="J54" i="5"/>
  <c r="M54" i="5" s="1"/>
  <c r="J238" i="5"/>
  <c r="M238" i="5" s="1"/>
  <c r="N1502" i="5"/>
  <c r="J247" i="5"/>
  <c r="J249" i="5" s="1"/>
  <c r="J1938" i="5"/>
  <c r="J246" i="5"/>
  <c r="J248" i="5" s="1"/>
  <c r="J959" i="5"/>
  <c r="J1477" i="5"/>
  <c r="J330" i="5"/>
  <c r="M330" i="5" s="1"/>
  <c r="J928" i="5"/>
  <c r="M928" i="5" s="1"/>
  <c r="N1456" i="5"/>
  <c r="J1465" i="5"/>
  <c r="J1020" i="5"/>
  <c r="M1020" i="5" s="1"/>
  <c r="J1480" i="5"/>
  <c r="M1480" i="5" s="1"/>
  <c r="J1511" i="5"/>
  <c r="N1963" i="5"/>
  <c r="J1972" i="5"/>
  <c r="C1961" i="5"/>
  <c r="J1958" i="5"/>
  <c r="J1959" i="5" s="1"/>
  <c r="J1911" i="5"/>
  <c r="J1912" i="5" s="1"/>
  <c r="J1894" i="5"/>
  <c r="M1894" i="5" s="1"/>
  <c r="J1895" i="5"/>
  <c r="J1925" i="5" s="1"/>
  <c r="J1879" i="5"/>
  <c r="N1870" i="5"/>
  <c r="J1865" i="5"/>
  <c r="J1866" i="5" s="1"/>
  <c r="J1848" i="5"/>
  <c r="M1848" i="5" s="1"/>
  <c r="C1822" i="5"/>
  <c r="J1819" i="5"/>
  <c r="J1820" i="5" s="1"/>
  <c r="J1802" i="5"/>
  <c r="M1802" i="5" s="1"/>
  <c r="J1803" i="5"/>
  <c r="J1833" i="5" s="1"/>
  <c r="J1773" i="5"/>
  <c r="J1774" i="5" s="1"/>
  <c r="J1756" i="5"/>
  <c r="M1756" i="5" s="1"/>
  <c r="J1757" i="5"/>
  <c r="J1787" i="5" s="1"/>
  <c r="J1710" i="5"/>
  <c r="M1710" i="5" s="1"/>
  <c r="J1711" i="5"/>
  <c r="J1741" i="5" s="1"/>
  <c r="J1681" i="5"/>
  <c r="J1682" i="5" s="1"/>
  <c r="J1664" i="5"/>
  <c r="M1664" i="5" s="1"/>
  <c r="J1665" i="5"/>
  <c r="J1695" i="5" s="1"/>
  <c r="J1635" i="5"/>
  <c r="J1636" i="5" s="1"/>
  <c r="J1618" i="5"/>
  <c r="M1618" i="5" s="1"/>
  <c r="J1619" i="5"/>
  <c r="J1649" i="5" s="1"/>
  <c r="J1572" i="5"/>
  <c r="M1572" i="5" s="1"/>
  <c r="J1573" i="5"/>
  <c r="J1603" i="5" s="1"/>
  <c r="J1557" i="5"/>
  <c r="J1543" i="5"/>
  <c r="J1544" i="5" s="1"/>
  <c r="J1526" i="5"/>
  <c r="M1526" i="5" s="1"/>
  <c r="N1548" i="5"/>
  <c r="C1500" i="5"/>
  <c r="J1497" i="5"/>
  <c r="J1498" i="5" s="1"/>
  <c r="J1451" i="5"/>
  <c r="J1452" i="5" s="1"/>
  <c r="J1434" i="5"/>
  <c r="M1434" i="5" s="1"/>
  <c r="N1410" i="5"/>
  <c r="J1419" i="5"/>
  <c r="J1405" i="5"/>
  <c r="J1406" i="5" s="1"/>
  <c r="J1388" i="5"/>
  <c r="M1388" i="5" s="1"/>
  <c r="J1359" i="5"/>
  <c r="J1360" i="5" s="1"/>
  <c r="J1342" i="5"/>
  <c r="M1342" i="5" s="1"/>
  <c r="J1343" i="5"/>
  <c r="J1373" i="5" s="1"/>
  <c r="N1318" i="5"/>
  <c r="J1327" i="5"/>
  <c r="J1313" i="5"/>
  <c r="J1314" i="5" s="1"/>
  <c r="J1296" i="5"/>
  <c r="M1296" i="5" s="1"/>
  <c r="J1267" i="5"/>
  <c r="J1268" i="5" s="1"/>
  <c r="J1250" i="5"/>
  <c r="M1250" i="5" s="1"/>
  <c r="J1251" i="5"/>
  <c r="N1272" i="5" s="1"/>
  <c r="J1235" i="5"/>
  <c r="N1226" i="5"/>
  <c r="C1224" i="5"/>
  <c r="J1221" i="5"/>
  <c r="J1222" i="5" s="1"/>
  <c r="J1204" i="5"/>
  <c r="M1204" i="5" s="1"/>
  <c r="N1180" i="5"/>
  <c r="J1189" i="5"/>
  <c r="J1175" i="5"/>
  <c r="J1176" i="5" s="1"/>
  <c r="J1158" i="5"/>
  <c r="M1158" i="5" s="1"/>
  <c r="C948" i="5"/>
  <c r="Z853" i="5"/>
  <c r="Z854" i="5" s="1"/>
  <c r="Z836" i="5"/>
  <c r="AC836" i="5" s="1"/>
  <c r="Z837" i="5"/>
  <c r="J1051" i="5"/>
  <c r="J729" i="5"/>
  <c r="N490" i="5"/>
  <c r="J499" i="5"/>
  <c r="N398" i="5"/>
  <c r="J155" i="5"/>
  <c r="J157" i="5" s="1"/>
  <c r="J55" i="5"/>
  <c r="J85" i="5" s="1"/>
  <c r="J1129" i="5"/>
  <c r="J1130" i="5" s="1"/>
  <c r="J1112" i="5"/>
  <c r="M1112" i="5" s="1"/>
  <c r="J1113" i="5"/>
  <c r="J1143" i="5" s="1"/>
  <c r="J1083" i="5"/>
  <c r="J1084" i="5" s="1"/>
  <c r="J1066" i="5"/>
  <c r="M1066" i="5" s="1"/>
  <c r="J1067" i="5"/>
  <c r="N1088" i="5" s="1"/>
  <c r="J1037" i="5"/>
  <c r="J1038" i="5" s="1"/>
  <c r="N1042" i="5"/>
  <c r="N996" i="5"/>
  <c r="J991" i="5"/>
  <c r="J992" i="5" s="1"/>
  <c r="J974" i="5"/>
  <c r="M974" i="5" s="1"/>
  <c r="J975" i="5"/>
  <c r="J1005" i="5" s="1"/>
  <c r="J945" i="5"/>
  <c r="J946" i="5" s="1"/>
  <c r="N950" i="5"/>
  <c r="J882" i="5"/>
  <c r="M882" i="5" s="1"/>
  <c r="J899" i="5"/>
  <c r="J900" i="5" s="1"/>
  <c r="J883" i="5"/>
  <c r="J913" i="5" s="1"/>
  <c r="J853" i="5"/>
  <c r="J854" i="5" s="1"/>
  <c r="J836" i="5"/>
  <c r="M836" i="5" s="1"/>
  <c r="J837" i="5"/>
  <c r="J807" i="5"/>
  <c r="J808" i="5" s="1"/>
  <c r="J790" i="5"/>
  <c r="M790" i="5" s="1"/>
  <c r="J791" i="5"/>
  <c r="C764" i="5"/>
  <c r="J761" i="5"/>
  <c r="J762" i="5" s="1"/>
  <c r="J744" i="5"/>
  <c r="M744" i="5" s="1"/>
  <c r="J745" i="5"/>
  <c r="N720" i="5"/>
  <c r="C718" i="5"/>
  <c r="J715" i="5"/>
  <c r="J716" i="5" s="1"/>
  <c r="J698" i="5"/>
  <c r="M698" i="5" s="1"/>
  <c r="C672" i="5"/>
  <c r="J669" i="5"/>
  <c r="J670" i="5" s="1"/>
  <c r="J652" i="5"/>
  <c r="M652" i="5" s="1"/>
  <c r="J653" i="5"/>
  <c r="J623" i="5"/>
  <c r="J624" i="5" s="1"/>
  <c r="J606" i="5"/>
  <c r="M606" i="5" s="1"/>
  <c r="J607" i="5"/>
  <c r="N628" i="5" s="1"/>
  <c r="J560" i="5"/>
  <c r="M560" i="5" s="1"/>
  <c r="J577" i="5"/>
  <c r="J578" i="5" s="1"/>
  <c r="J561" i="5"/>
  <c r="J591" i="5" s="1"/>
  <c r="J514" i="5"/>
  <c r="M514" i="5" s="1"/>
  <c r="J531" i="5"/>
  <c r="J532" i="5" s="1"/>
  <c r="J515" i="5"/>
  <c r="J545" i="5" s="1"/>
  <c r="J485" i="5"/>
  <c r="J486" i="5" s="1"/>
  <c r="J468" i="5"/>
  <c r="M468" i="5" s="1"/>
  <c r="J439" i="5"/>
  <c r="J440" i="5" s="1"/>
  <c r="J422" i="5"/>
  <c r="M422" i="5" s="1"/>
  <c r="J423" i="5"/>
  <c r="J453" i="5" s="1"/>
  <c r="J407" i="5"/>
  <c r="C396" i="5"/>
  <c r="J393" i="5"/>
  <c r="J394" i="5" s="1"/>
  <c r="J376" i="5"/>
  <c r="M376" i="5" s="1"/>
  <c r="J347" i="5"/>
  <c r="J348" i="5" s="1"/>
  <c r="J331" i="5"/>
  <c r="J361" i="5" s="1"/>
  <c r="J284" i="5"/>
  <c r="M284" i="5" s="1"/>
  <c r="J285" i="5"/>
  <c r="N306" i="5" s="1"/>
  <c r="J274" i="5"/>
  <c r="J260" i="5"/>
  <c r="J269" i="5"/>
  <c r="N260" i="5"/>
  <c r="J255" i="5"/>
  <c r="J256" i="5" s="1"/>
  <c r="J192" i="5"/>
  <c r="M192" i="5" s="1"/>
  <c r="J209" i="5"/>
  <c r="J210" i="5" s="1"/>
  <c r="J193" i="5"/>
  <c r="J223" i="5" s="1"/>
  <c r="J154" i="5"/>
  <c r="J156" i="5" s="1"/>
  <c r="J163" i="5"/>
  <c r="J164" i="5" s="1"/>
  <c r="J146" i="5"/>
  <c r="M146" i="5" s="1"/>
  <c r="J147" i="5"/>
  <c r="J177" i="5" s="1"/>
  <c r="J131" i="5"/>
  <c r="N122" i="5"/>
  <c r="C120" i="5"/>
  <c r="J117" i="5"/>
  <c r="J118" i="5" s="1"/>
  <c r="J100" i="5"/>
  <c r="M100" i="5" s="1"/>
  <c r="J71" i="5"/>
  <c r="J72" i="5" s="1"/>
  <c r="N582" i="5" l="1"/>
  <c r="J1097" i="5"/>
  <c r="N214" i="5"/>
  <c r="J315" i="5"/>
  <c r="N1732" i="5"/>
  <c r="N1916" i="5"/>
  <c r="N1824" i="5"/>
  <c r="N1778" i="5"/>
  <c r="N1686" i="5"/>
  <c r="N1640" i="5"/>
  <c r="N1594" i="5"/>
  <c r="N1364" i="5"/>
  <c r="J1281" i="5"/>
  <c r="AD858" i="5"/>
  <c r="Z867" i="5"/>
  <c r="N536" i="5"/>
  <c r="N444" i="5"/>
  <c r="N76" i="5"/>
  <c r="N1134" i="5"/>
  <c r="N904" i="5"/>
  <c r="N858" i="5"/>
  <c r="J867" i="5"/>
  <c r="J821" i="5"/>
  <c r="N812" i="5"/>
  <c r="N766" i="5"/>
  <c r="J775" i="5"/>
  <c r="N674" i="5"/>
  <c r="J683" i="5"/>
  <c r="J637" i="5"/>
  <c r="N352" i="5"/>
  <c r="O256" i="5"/>
  <c r="M256" i="5"/>
  <c r="J275" i="5"/>
  <c r="M164" i="5"/>
  <c r="O164" i="5"/>
  <c r="J182" i="5"/>
  <c r="J168" i="5"/>
  <c r="N168" i="5"/>
  <c r="C261" i="5" l="1"/>
  <c r="N256" i="5"/>
  <c r="J183" i="5"/>
  <c r="N164" i="5"/>
  <c r="C169" i="5"/>
  <c r="N8" i="3" l="1"/>
  <c r="C202" i="5" s="1"/>
  <c r="M8" i="3"/>
  <c r="C201" i="5" s="1"/>
  <c r="L8" i="3"/>
  <c r="C200" i="5" s="1"/>
  <c r="K8" i="3"/>
  <c r="C199" i="5" s="1"/>
  <c r="K7" i="3"/>
  <c r="C153" i="5" s="1"/>
  <c r="N6" i="3"/>
  <c r="C110" i="5" s="1"/>
  <c r="M6" i="3"/>
  <c r="C109" i="5" s="1"/>
  <c r="L6" i="3"/>
  <c r="C108" i="5" s="1"/>
  <c r="K6" i="3"/>
  <c r="C107" i="5" s="1"/>
  <c r="N5" i="3"/>
  <c r="C64" i="5" s="1"/>
  <c r="M5" i="3"/>
  <c r="C63" i="5" s="1"/>
  <c r="L5" i="3"/>
  <c r="C62" i="5" s="1"/>
  <c r="J109" i="5" l="1"/>
  <c r="J111" i="5" s="1"/>
  <c r="M118" i="5" s="1"/>
  <c r="J108" i="5"/>
  <c r="J110" i="5" s="1"/>
  <c r="J62" i="5"/>
  <c r="J64" i="5" s="1"/>
  <c r="J63" i="5"/>
  <c r="J65" i="5" s="1"/>
  <c r="J201" i="5"/>
  <c r="J203" i="5" s="1"/>
  <c r="J200" i="5"/>
  <c r="J202" i="5" s="1"/>
  <c r="N4" i="3"/>
  <c r="M4" i="3"/>
  <c r="L4" i="3"/>
  <c r="K4" i="3"/>
  <c r="A51" i="3"/>
  <c r="A50" i="3"/>
  <c r="K50" i="3" s="1"/>
  <c r="A49" i="3"/>
  <c r="A48" i="3"/>
  <c r="K48" i="3" s="1"/>
  <c r="A47" i="3"/>
  <c r="A46" i="3"/>
  <c r="K46" i="3" s="1"/>
  <c r="A45" i="3"/>
  <c r="A44" i="3"/>
  <c r="K44" i="3" s="1"/>
  <c r="A43" i="3"/>
  <c r="A42" i="3"/>
  <c r="K42" i="3" s="1"/>
  <c r="A41" i="3"/>
  <c r="A40" i="3"/>
  <c r="K40" i="3" s="1"/>
  <c r="A39" i="3"/>
  <c r="A38" i="3"/>
  <c r="K38" i="3" s="1"/>
  <c r="A37" i="3"/>
  <c r="A36" i="3"/>
  <c r="K36" i="3" s="1"/>
  <c r="A35" i="3"/>
  <c r="A34" i="3"/>
  <c r="K34" i="3" s="1"/>
  <c r="C1349" i="5" s="1"/>
  <c r="A33" i="3"/>
  <c r="A32" i="3"/>
  <c r="K32" i="3" s="1"/>
  <c r="C1257" i="5" s="1"/>
  <c r="A31" i="3"/>
  <c r="A30" i="3"/>
  <c r="K30" i="3" s="1"/>
  <c r="C1165" i="5" s="1"/>
  <c r="A29" i="3"/>
  <c r="A28" i="3"/>
  <c r="K28" i="3" s="1"/>
  <c r="C1073" i="5" s="1"/>
  <c r="A27" i="3"/>
  <c r="A26" i="3"/>
  <c r="K26" i="3" s="1"/>
  <c r="C981" i="5" s="1"/>
  <c r="A25" i="3"/>
  <c r="A24" i="3"/>
  <c r="K24" i="3" s="1"/>
  <c r="C889" i="5" s="1"/>
  <c r="A23" i="3"/>
  <c r="A22" i="3"/>
  <c r="K22" i="3" s="1"/>
  <c r="A21" i="3"/>
  <c r="A20" i="3"/>
  <c r="K20" i="3" s="1"/>
  <c r="C751" i="5" s="1"/>
  <c r="A19" i="3"/>
  <c r="A18" i="3"/>
  <c r="K18" i="3" s="1"/>
  <c r="C659" i="5" s="1"/>
  <c r="A17" i="3"/>
  <c r="A16" i="3"/>
  <c r="K16" i="3" s="1"/>
  <c r="C567" i="5" s="1"/>
  <c r="A15" i="3"/>
  <c r="A14" i="3"/>
  <c r="K14" i="3" s="1"/>
  <c r="C475" i="5" s="1"/>
  <c r="A13" i="3"/>
  <c r="A12" i="3"/>
  <c r="K12" i="3" s="1"/>
  <c r="C383" i="5" s="1"/>
  <c r="A11" i="3"/>
  <c r="A10" i="3"/>
  <c r="K10" i="3" s="1"/>
  <c r="C291" i="5" s="1"/>
  <c r="A9" i="3"/>
  <c r="A8" i="3"/>
  <c r="A7" i="3"/>
  <c r="A6" i="3"/>
  <c r="A5" i="3"/>
  <c r="A4" i="3"/>
  <c r="G6" i="17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5" i="17"/>
  <c r="G4" i="17"/>
  <c r="G3" i="17"/>
  <c r="K5" i="3"/>
  <c r="C61" i="5" s="1"/>
  <c r="AU51" i="3"/>
  <c r="Y51" i="3"/>
  <c r="U51" i="3"/>
  <c r="S51" i="3"/>
  <c r="H51" i="3"/>
  <c r="G51" i="3"/>
  <c r="AU50" i="3"/>
  <c r="AV50" i="3" s="1"/>
  <c r="Y50" i="3"/>
  <c r="S50" i="3"/>
  <c r="H50" i="3"/>
  <c r="G50" i="3"/>
  <c r="AU49" i="3"/>
  <c r="AV49" i="3" s="1"/>
  <c r="Y49" i="3"/>
  <c r="S49" i="3"/>
  <c r="H49" i="3"/>
  <c r="V49" i="3" s="1"/>
  <c r="G49" i="3"/>
  <c r="AU48" i="3"/>
  <c r="AV48" i="3" s="1"/>
  <c r="Y48" i="3"/>
  <c r="T48" i="3"/>
  <c r="S48" i="3"/>
  <c r="H48" i="3"/>
  <c r="V48" i="3" s="1"/>
  <c r="G48" i="3"/>
  <c r="AU47" i="3"/>
  <c r="AV47" i="3" s="1"/>
  <c r="Y47" i="3"/>
  <c r="U47" i="3"/>
  <c r="T47" i="3"/>
  <c r="S47" i="3"/>
  <c r="H47" i="3"/>
  <c r="G47" i="3"/>
  <c r="AU46" i="3"/>
  <c r="AV46" i="3" s="1"/>
  <c r="Y46" i="3"/>
  <c r="U46" i="3"/>
  <c r="T46" i="3"/>
  <c r="S46" i="3"/>
  <c r="H46" i="3"/>
  <c r="G46" i="3"/>
  <c r="AU45" i="3"/>
  <c r="Y45" i="3"/>
  <c r="U45" i="3"/>
  <c r="T45" i="3"/>
  <c r="S45" i="3"/>
  <c r="H45" i="3"/>
  <c r="G45" i="3"/>
  <c r="AU44" i="3"/>
  <c r="AV44" i="3" s="1"/>
  <c r="Y44" i="3"/>
  <c r="U44" i="3"/>
  <c r="T44" i="3"/>
  <c r="S44" i="3"/>
  <c r="H44" i="3"/>
  <c r="G44" i="3"/>
  <c r="AU43" i="3"/>
  <c r="AV43" i="3" s="1"/>
  <c r="Y43" i="3"/>
  <c r="U43" i="3"/>
  <c r="T43" i="3"/>
  <c r="S43" i="3"/>
  <c r="H43" i="3"/>
  <c r="G43" i="3"/>
  <c r="AU42" i="3"/>
  <c r="AV42" i="3" s="1"/>
  <c r="Y42" i="3"/>
  <c r="U42" i="3"/>
  <c r="T42" i="3"/>
  <c r="S42" i="3"/>
  <c r="H42" i="3"/>
  <c r="G42" i="3"/>
  <c r="AU41" i="3"/>
  <c r="Y41" i="3"/>
  <c r="U41" i="3"/>
  <c r="T41" i="3"/>
  <c r="S41" i="3"/>
  <c r="H41" i="3"/>
  <c r="G41" i="3"/>
  <c r="AU40" i="3"/>
  <c r="AV40" i="3" s="1"/>
  <c r="Y40" i="3"/>
  <c r="U40" i="3"/>
  <c r="T40" i="3"/>
  <c r="S40" i="3"/>
  <c r="H40" i="3"/>
  <c r="V40" i="3" s="1"/>
  <c r="G40" i="3"/>
  <c r="AU39" i="3"/>
  <c r="AV39" i="3" s="1"/>
  <c r="Y39" i="3"/>
  <c r="U39" i="3"/>
  <c r="T39" i="3"/>
  <c r="S39" i="3"/>
  <c r="H39" i="3"/>
  <c r="G39" i="3"/>
  <c r="AU38" i="3"/>
  <c r="AV38" i="3" s="1"/>
  <c r="Y38" i="3"/>
  <c r="U38" i="3"/>
  <c r="T38" i="3"/>
  <c r="S38" i="3"/>
  <c r="H38" i="3"/>
  <c r="V38" i="3" s="1"/>
  <c r="G38" i="3"/>
  <c r="AU37" i="3"/>
  <c r="Y37" i="3"/>
  <c r="U37" i="3"/>
  <c r="T37" i="3"/>
  <c r="S37" i="3"/>
  <c r="H37" i="3"/>
  <c r="G37" i="3"/>
  <c r="AU36" i="3"/>
  <c r="AV36" i="3" s="1"/>
  <c r="Y36" i="3"/>
  <c r="U36" i="3"/>
  <c r="T36" i="3"/>
  <c r="S36" i="3"/>
  <c r="B1428" i="5" s="1"/>
  <c r="H36" i="3"/>
  <c r="V36" i="3" s="1"/>
  <c r="G36" i="3"/>
  <c r="AU35" i="3"/>
  <c r="AV35" i="3" s="1"/>
  <c r="Y35" i="3"/>
  <c r="U35" i="3"/>
  <c r="T35" i="3"/>
  <c r="S35" i="3"/>
  <c r="B1382" i="5" s="1"/>
  <c r="H35" i="3"/>
  <c r="G35" i="3"/>
  <c r="C1385" i="5" s="1"/>
  <c r="AU34" i="3"/>
  <c r="AV34" i="3" s="1"/>
  <c r="Y34" i="3"/>
  <c r="U34" i="3"/>
  <c r="T34" i="3"/>
  <c r="S34" i="3"/>
  <c r="B1336" i="5" s="1"/>
  <c r="H34" i="3"/>
  <c r="C1344" i="5" s="1"/>
  <c r="G34" i="3"/>
  <c r="C1339" i="5" s="1"/>
  <c r="AU33" i="3"/>
  <c r="AV33" i="3" s="1"/>
  <c r="Y33" i="3"/>
  <c r="U33" i="3"/>
  <c r="T33" i="3"/>
  <c r="S33" i="3"/>
  <c r="B1290" i="5" s="1"/>
  <c r="H33" i="3"/>
  <c r="C1298" i="5" s="1"/>
  <c r="G33" i="3"/>
  <c r="C1293" i="5" s="1"/>
  <c r="AU32" i="3"/>
  <c r="AV32" i="3" s="1"/>
  <c r="Y32" i="3"/>
  <c r="U32" i="3"/>
  <c r="T32" i="3"/>
  <c r="S32" i="3"/>
  <c r="B1244" i="5" s="1"/>
  <c r="H32" i="3"/>
  <c r="C1252" i="5" s="1"/>
  <c r="G32" i="3"/>
  <c r="C1247" i="5" s="1"/>
  <c r="AU31" i="3"/>
  <c r="Y31" i="3"/>
  <c r="U31" i="3"/>
  <c r="T31" i="3"/>
  <c r="S31" i="3"/>
  <c r="B1198" i="5" s="1"/>
  <c r="H31" i="3"/>
  <c r="C1206" i="5" s="1"/>
  <c r="G31" i="3"/>
  <c r="C1201" i="5" s="1"/>
  <c r="AU30" i="3"/>
  <c r="AV30" i="3" s="1"/>
  <c r="Y30" i="3"/>
  <c r="U30" i="3"/>
  <c r="T30" i="3"/>
  <c r="S30" i="3"/>
  <c r="B1152" i="5" s="1"/>
  <c r="H30" i="3"/>
  <c r="G30" i="3"/>
  <c r="C1155" i="5" s="1"/>
  <c r="AU29" i="3"/>
  <c r="AV29" i="3" s="1"/>
  <c r="Y29" i="3"/>
  <c r="U29" i="3"/>
  <c r="T29" i="3"/>
  <c r="S29" i="3"/>
  <c r="H29" i="3"/>
  <c r="G29" i="3"/>
  <c r="AU28" i="3"/>
  <c r="AV28" i="3" s="1"/>
  <c r="Y28" i="3"/>
  <c r="U28" i="3"/>
  <c r="T28" i="3"/>
  <c r="S28" i="3"/>
  <c r="B1060" i="5" s="1"/>
  <c r="H28" i="3"/>
  <c r="C1068" i="5" s="1"/>
  <c r="G28" i="3"/>
  <c r="C1063" i="5" s="1"/>
  <c r="AU27" i="3"/>
  <c r="Y27" i="3"/>
  <c r="U27" i="3"/>
  <c r="T27" i="3"/>
  <c r="S27" i="3"/>
  <c r="B1014" i="5" s="1"/>
  <c r="H27" i="3"/>
  <c r="C1022" i="5" s="1"/>
  <c r="G27" i="3"/>
  <c r="C1017" i="5" s="1"/>
  <c r="AU26" i="3"/>
  <c r="AV26" i="3" s="1"/>
  <c r="Y26" i="3"/>
  <c r="U26" i="3"/>
  <c r="T26" i="3"/>
  <c r="S26" i="3"/>
  <c r="B968" i="5" s="1"/>
  <c r="H26" i="3"/>
  <c r="G26" i="3"/>
  <c r="C971" i="5" s="1"/>
  <c r="AU25" i="3"/>
  <c r="Y25" i="3"/>
  <c r="U25" i="3"/>
  <c r="T25" i="3"/>
  <c r="S25" i="3"/>
  <c r="B922" i="5" s="1"/>
  <c r="H25" i="3"/>
  <c r="C930" i="5" s="1"/>
  <c r="G25" i="3"/>
  <c r="C925" i="5" s="1"/>
  <c r="AU24" i="3"/>
  <c r="AV24" i="3" s="1"/>
  <c r="Y24" i="3"/>
  <c r="U24" i="3"/>
  <c r="T24" i="3"/>
  <c r="S24" i="3"/>
  <c r="B876" i="5" s="1"/>
  <c r="H24" i="3"/>
  <c r="C884" i="5" s="1"/>
  <c r="G24" i="3"/>
  <c r="C879" i="5" s="1"/>
  <c r="AU23" i="3"/>
  <c r="AV23" i="3" s="1"/>
  <c r="Y23" i="3"/>
  <c r="U23" i="3"/>
  <c r="T23" i="3"/>
  <c r="S23" i="3"/>
  <c r="R830" i="5" s="1"/>
  <c r="H23" i="3"/>
  <c r="S838" i="5" s="1"/>
  <c r="G23" i="3"/>
  <c r="S833" i="5" s="1"/>
  <c r="AU22" i="3"/>
  <c r="AV22" i="3" s="1"/>
  <c r="Y22" i="3"/>
  <c r="U22" i="3"/>
  <c r="T22" i="3"/>
  <c r="S22" i="3"/>
  <c r="B830" i="5" s="1"/>
  <c r="H22" i="3"/>
  <c r="C838" i="5" s="1"/>
  <c r="G22" i="3"/>
  <c r="C833" i="5" s="1"/>
  <c r="AU21" i="3"/>
  <c r="AV21" i="3" s="1"/>
  <c r="Y21" i="3"/>
  <c r="U21" i="3"/>
  <c r="T21" i="3"/>
  <c r="S21" i="3"/>
  <c r="B784" i="5" s="1"/>
  <c r="H21" i="3"/>
  <c r="C792" i="5" s="1"/>
  <c r="G21" i="3"/>
  <c r="C787" i="5" s="1"/>
  <c r="AU20" i="3"/>
  <c r="AV20" i="3" s="1"/>
  <c r="Y20" i="3"/>
  <c r="U20" i="3"/>
  <c r="T20" i="3"/>
  <c r="S20" i="3"/>
  <c r="B738" i="5" s="1"/>
  <c r="H20" i="3"/>
  <c r="G20" i="3"/>
  <c r="C741" i="5" s="1"/>
  <c r="AU19" i="3"/>
  <c r="AV19" i="3" s="1"/>
  <c r="Y19" i="3"/>
  <c r="U19" i="3"/>
  <c r="T19" i="3"/>
  <c r="S19" i="3"/>
  <c r="B692" i="5" s="1"/>
  <c r="H19" i="3"/>
  <c r="C700" i="5" s="1"/>
  <c r="G19" i="3"/>
  <c r="C695" i="5" s="1"/>
  <c r="AU18" i="3"/>
  <c r="AV18" i="3" s="1"/>
  <c r="Y18" i="3"/>
  <c r="U18" i="3"/>
  <c r="T18" i="3"/>
  <c r="S18" i="3"/>
  <c r="B646" i="5" s="1"/>
  <c r="H18" i="3"/>
  <c r="C654" i="5" s="1"/>
  <c r="G18" i="3"/>
  <c r="C649" i="5" s="1"/>
  <c r="AU17" i="3"/>
  <c r="AV17" i="3" s="1"/>
  <c r="Y17" i="3"/>
  <c r="U17" i="3"/>
  <c r="T17" i="3"/>
  <c r="S17" i="3"/>
  <c r="B600" i="5" s="1"/>
  <c r="H17" i="3"/>
  <c r="C608" i="5" s="1"/>
  <c r="G17" i="3"/>
  <c r="C603" i="5" s="1"/>
  <c r="AU16" i="3"/>
  <c r="AV16" i="3" s="1"/>
  <c r="Y16" i="3"/>
  <c r="U16" i="3"/>
  <c r="T16" i="3"/>
  <c r="S16" i="3"/>
  <c r="B554" i="5" s="1"/>
  <c r="H16" i="3"/>
  <c r="G16" i="3"/>
  <c r="C557" i="5" s="1"/>
  <c r="AU15" i="3"/>
  <c r="AV15" i="3" s="1"/>
  <c r="Y15" i="3"/>
  <c r="U15" i="3"/>
  <c r="T15" i="3"/>
  <c r="S15" i="3"/>
  <c r="B508" i="5" s="1"/>
  <c r="H15" i="3"/>
  <c r="G15" i="3"/>
  <c r="C511" i="5" s="1"/>
  <c r="AU14" i="3"/>
  <c r="AV14" i="3" s="1"/>
  <c r="Y14" i="3"/>
  <c r="U14" i="3"/>
  <c r="T14" i="3"/>
  <c r="S14" i="3"/>
  <c r="B462" i="5" s="1"/>
  <c r="H14" i="3"/>
  <c r="G14" i="3"/>
  <c r="C465" i="5" s="1"/>
  <c r="AU13" i="3"/>
  <c r="AV13" i="3" s="1"/>
  <c r="Y13" i="3"/>
  <c r="U13" i="3"/>
  <c r="T13" i="3"/>
  <c r="S13" i="3"/>
  <c r="B416" i="5" s="1"/>
  <c r="H13" i="3"/>
  <c r="C424" i="5" s="1"/>
  <c r="G13" i="3"/>
  <c r="C419" i="5" s="1"/>
  <c r="AU12" i="3"/>
  <c r="AV12" i="3" s="1"/>
  <c r="Y12" i="3"/>
  <c r="U12" i="3"/>
  <c r="T12" i="3"/>
  <c r="S12" i="3"/>
  <c r="B370" i="5" s="1"/>
  <c r="H12" i="3"/>
  <c r="G12" i="3"/>
  <c r="C373" i="5" s="1"/>
  <c r="AU11" i="3"/>
  <c r="AV11" i="3" s="1"/>
  <c r="Y11" i="3"/>
  <c r="U11" i="3"/>
  <c r="T11" i="3"/>
  <c r="S11" i="3"/>
  <c r="B324" i="5" s="1"/>
  <c r="H11" i="3"/>
  <c r="C332" i="5" s="1"/>
  <c r="G11" i="3"/>
  <c r="C327" i="5" s="1"/>
  <c r="AU10" i="3"/>
  <c r="AV10" i="3" s="1"/>
  <c r="Y10" i="3"/>
  <c r="U10" i="3"/>
  <c r="T10" i="3"/>
  <c r="S10" i="3"/>
  <c r="B278" i="5" s="1"/>
  <c r="H10" i="3"/>
  <c r="G10" i="3"/>
  <c r="C281" i="5" s="1"/>
  <c r="AU9" i="3"/>
  <c r="AV9" i="3" s="1"/>
  <c r="Y9" i="3"/>
  <c r="U9" i="3"/>
  <c r="T9" i="3"/>
  <c r="S9" i="3"/>
  <c r="B232" i="5" s="1"/>
  <c r="H9" i="3"/>
  <c r="C240" i="5" s="1"/>
  <c r="G9" i="3"/>
  <c r="C235" i="5" s="1"/>
  <c r="AU8" i="3"/>
  <c r="AV8" i="3" s="1"/>
  <c r="Y8" i="3"/>
  <c r="U8" i="3"/>
  <c r="T8" i="3"/>
  <c r="S8" i="3"/>
  <c r="B186" i="5" s="1"/>
  <c r="H8" i="3"/>
  <c r="G8" i="3"/>
  <c r="C189" i="5" s="1"/>
  <c r="Y7" i="3"/>
  <c r="U7" i="3"/>
  <c r="T7" i="3"/>
  <c r="S7" i="3"/>
  <c r="B140" i="5" s="1"/>
  <c r="H7" i="3"/>
  <c r="C148" i="5" s="1"/>
  <c r="G7" i="3"/>
  <c r="C143" i="5" s="1"/>
  <c r="AV6" i="3"/>
  <c r="Y6" i="3"/>
  <c r="U6" i="3"/>
  <c r="T6" i="3"/>
  <c r="S6" i="3"/>
  <c r="B94" i="5" s="1"/>
  <c r="H6" i="3"/>
  <c r="C102" i="5" s="1"/>
  <c r="G6" i="3"/>
  <c r="C97" i="5" s="1"/>
  <c r="AU5" i="3"/>
  <c r="AV5" i="3" s="1"/>
  <c r="Y5" i="3"/>
  <c r="U5" i="3"/>
  <c r="S5" i="3"/>
  <c r="B48" i="5" s="1"/>
  <c r="H5" i="3"/>
  <c r="C56" i="5" s="1"/>
  <c r="G5" i="3"/>
  <c r="C51" i="5" s="1"/>
  <c r="O118" i="5" l="1"/>
  <c r="V34" i="3"/>
  <c r="P34" i="3"/>
  <c r="J1248" i="5"/>
  <c r="C1275" i="5" s="1"/>
  <c r="C1269" i="5"/>
  <c r="J1249" i="5"/>
  <c r="M1249" i="5" s="1"/>
  <c r="M1247" i="5"/>
  <c r="J1273" i="5"/>
  <c r="J1288" i="5" s="1"/>
  <c r="M48" i="3"/>
  <c r="L48" i="3"/>
  <c r="M49" i="3"/>
  <c r="L49" i="3"/>
  <c r="K49" i="3"/>
  <c r="N48" i="3"/>
  <c r="N49" i="3"/>
  <c r="J150" i="5"/>
  <c r="J175" i="5"/>
  <c r="J178" i="5" s="1"/>
  <c r="J472" i="5"/>
  <c r="Z15" i="3"/>
  <c r="C516" i="5"/>
  <c r="J543" i="5" s="1"/>
  <c r="J546" i="5" s="1"/>
  <c r="J840" i="5"/>
  <c r="J865" i="5"/>
  <c r="J868" i="5" s="1"/>
  <c r="S855" i="5"/>
  <c r="Z834" i="5"/>
  <c r="AC833" i="5"/>
  <c r="Z835" i="5"/>
  <c r="AC835" i="5" s="1"/>
  <c r="Z859" i="5"/>
  <c r="Z874" i="5" s="1"/>
  <c r="J1162" i="5"/>
  <c r="C1223" i="5"/>
  <c r="J1202" i="5"/>
  <c r="M1201" i="5"/>
  <c r="J1203" i="5"/>
  <c r="M1203" i="5" s="1"/>
  <c r="J1227" i="5"/>
  <c r="J1242" i="5" s="1"/>
  <c r="M72" i="5"/>
  <c r="O72" i="5"/>
  <c r="Z840" i="5"/>
  <c r="Z865" i="5"/>
  <c r="Z868" i="5" s="1"/>
  <c r="AD859" i="5"/>
  <c r="O210" i="5"/>
  <c r="M210" i="5"/>
  <c r="J104" i="5"/>
  <c r="J129" i="5"/>
  <c r="J132" i="5" s="1"/>
  <c r="C165" i="5"/>
  <c r="M143" i="5"/>
  <c r="J145" i="5"/>
  <c r="M145" i="5" s="1"/>
  <c r="J144" i="5"/>
  <c r="J169" i="5"/>
  <c r="J184" i="5" s="1"/>
  <c r="J451" i="5"/>
  <c r="J454" i="5" s="1"/>
  <c r="J426" i="5"/>
  <c r="Z14" i="3"/>
  <c r="AW14" i="3" s="1"/>
  <c r="Q14" i="3" s="1"/>
  <c r="C470" i="5"/>
  <c r="J819" i="5"/>
  <c r="J822" i="5" s="1"/>
  <c r="J794" i="5"/>
  <c r="C855" i="5"/>
  <c r="M833" i="5"/>
  <c r="J835" i="5"/>
  <c r="M835" i="5" s="1"/>
  <c r="J834" i="5"/>
  <c r="J859" i="5"/>
  <c r="C1477" i="5"/>
  <c r="C1431" i="5"/>
  <c r="C1569" i="5"/>
  <c r="C1615" i="5"/>
  <c r="C1109" i="5"/>
  <c r="C1707" i="5"/>
  <c r="C1661" i="5"/>
  <c r="C1753" i="5"/>
  <c r="C1938" i="5"/>
  <c r="C1891" i="5"/>
  <c r="C1845" i="5"/>
  <c r="C1799" i="5"/>
  <c r="C1523" i="5"/>
  <c r="V30" i="3"/>
  <c r="C1160" i="5"/>
  <c r="K11" i="3"/>
  <c r="C337" i="5" s="1"/>
  <c r="M11" i="3"/>
  <c r="C339" i="5" s="1"/>
  <c r="L11" i="3"/>
  <c r="C338" i="5" s="1"/>
  <c r="N10" i="3"/>
  <c r="C294" i="5" s="1"/>
  <c r="M10" i="3"/>
  <c r="C293" i="5" s="1"/>
  <c r="L10" i="3"/>
  <c r="C292" i="5" s="1"/>
  <c r="N11" i="3"/>
  <c r="C340" i="5" s="1"/>
  <c r="L18" i="3"/>
  <c r="C660" i="5" s="1"/>
  <c r="M19" i="3"/>
  <c r="C707" i="5" s="1"/>
  <c r="L19" i="3"/>
  <c r="C706" i="5" s="1"/>
  <c r="N19" i="3"/>
  <c r="C708" i="5" s="1"/>
  <c r="K19" i="3"/>
  <c r="C705" i="5" s="1"/>
  <c r="N18" i="3"/>
  <c r="C662" i="5" s="1"/>
  <c r="M18" i="3"/>
  <c r="C661" i="5" s="1"/>
  <c r="L26" i="3"/>
  <c r="C982" i="5" s="1"/>
  <c r="M27" i="3"/>
  <c r="C1029" i="5" s="1"/>
  <c r="L27" i="3"/>
  <c r="C1028" i="5" s="1"/>
  <c r="N26" i="3"/>
  <c r="C984" i="5" s="1"/>
  <c r="M26" i="3"/>
  <c r="C983" i="5" s="1"/>
  <c r="N27" i="3"/>
  <c r="C1030" i="5" s="1"/>
  <c r="K27" i="3"/>
  <c r="C1027" i="5" s="1"/>
  <c r="M34" i="3"/>
  <c r="C1351" i="5" s="1"/>
  <c r="L34" i="3"/>
  <c r="C1350" i="5" s="1"/>
  <c r="M35" i="3"/>
  <c r="C1397" i="5" s="1"/>
  <c r="L35" i="3"/>
  <c r="C1396" i="5" s="1"/>
  <c r="N35" i="3"/>
  <c r="C1398" i="5" s="1"/>
  <c r="K35" i="3"/>
  <c r="C1395" i="5" s="1"/>
  <c r="N34" i="3"/>
  <c r="C1352" i="5" s="1"/>
  <c r="M42" i="3"/>
  <c r="L42" i="3"/>
  <c r="M43" i="3"/>
  <c r="L43" i="3"/>
  <c r="N43" i="3"/>
  <c r="K43" i="3"/>
  <c r="N42" i="3"/>
  <c r="M50" i="3"/>
  <c r="L50" i="3"/>
  <c r="M51" i="3"/>
  <c r="L51" i="3"/>
  <c r="N51" i="3"/>
  <c r="K51" i="3"/>
  <c r="N50" i="3"/>
  <c r="J90" i="5"/>
  <c r="J76" i="5"/>
  <c r="V8" i="3"/>
  <c r="C194" i="5"/>
  <c r="J221" i="5" s="1"/>
  <c r="J224" i="5" s="1"/>
  <c r="V16" i="3"/>
  <c r="C562" i="5"/>
  <c r="J589" i="5" s="1"/>
  <c r="J592" i="5" s="1"/>
  <c r="L16" i="3"/>
  <c r="C568" i="5" s="1"/>
  <c r="M17" i="3"/>
  <c r="C615" i="5" s="1"/>
  <c r="L17" i="3"/>
  <c r="C614" i="5" s="1"/>
  <c r="K17" i="3"/>
  <c r="C613" i="5" s="1"/>
  <c r="N16" i="3"/>
  <c r="C570" i="5" s="1"/>
  <c r="M16" i="3"/>
  <c r="C569" i="5" s="1"/>
  <c r="N17" i="3"/>
  <c r="C616" i="5" s="1"/>
  <c r="J98" i="5"/>
  <c r="M97" i="5"/>
  <c r="J99" i="5"/>
  <c r="M99" i="5" s="1"/>
  <c r="C119" i="5"/>
  <c r="J123" i="5"/>
  <c r="N123" i="5" s="1"/>
  <c r="J380" i="5"/>
  <c r="J420" i="5"/>
  <c r="C447" i="5" s="1"/>
  <c r="W13" i="3" s="1"/>
  <c r="C441" i="5"/>
  <c r="M419" i="5"/>
  <c r="J421" i="5"/>
  <c r="M421" i="5" s="1"/>
  <c r="J445" i="5"/>
  <c r="J460" i="5" s="1"/>
  <c r="J748" i="5"/>
  <c r="J788" i="5"/>
  <c r="C815" i="5" s="1"/>
  <c r="W21" i="3" s="1"/>
  <c r="C809" i="5"/>
  <c r="M787" i="5"/>
  <c r="J789" i="5"/>
  <c r="M789" i="5" s="1"/>
  <c r="J813" i="5"/>
  <c r="J828" i="5" s="1"/>
  <c r="J1070" i="5"/>
  <c r="J1095" i="5"/>
  <c r="J1098" i="5" s="1"/>
  <c r="C1666" i="5"/>
  <c r="C1943" i="5"/>
  <c r="C1850" i="5"/>
  <c r="C1804" i="5"/>
  <c r="C1712" i="5"/>
  <c r="C1114" i="5"/>
  <c r="C1896" i="5"/>
  <c r="C1758" i="5"/>
  <c r="C1482" i="5"/>
  <c r="C1528" i="5"/>
  <c r="C1436" i="5"/>
  <c r="C1574" i="5"/>
  <c r="C1620" i="5"/>
  <c r="C123" i="5"/>
  <c r="N118" i="5"/>
  <c r="J880" i="5"/>
  <c r="C907" i="5" s="1"/>
  <c r="W24" i="3" s="1"/>
  <c r="C901" i="5"/>
  <c r="M879" i="5"/>
  <c r="J881" i="5"/>
  <c r="M881" i="5" s="1"/>
  <c r="J905" i="5"/>
  <c r="J920" i="5" s="1"/>
  <c r="J1233" i="5"/>
  <c r="J1236" i="5" s="1"/>
  <c r="J1208" i="5"/>
  <c r="L32" i="3"/>
  <c r="C1258" i="5" s="1"/>
  <c r="M33" i="3"/>
  <c r="C1305" i="5" s="1"/>
  <c r="L33" i="3"/>
  <c r="C1304" i="5" s="1"/>
  <c r="N33" i="3"/>
  <c r="C1306" i="5" s="1"/>
  <c r="K33" i="3"/>
  <c r="C1303" i="5" s="1"/>
  <c r="N32" i="3"/>
  <c r="C1260" i="5" s="1"/>
  <c r="M32" i="3"/>
  <c r="C1259" i="5" s="1"/>
  <c r="J334" i="5"/>
  <c r="J359" i="5"/>
  <c r="J362" i="5" s="1"/>
  <c r="V12" i="3"/>
  <c r="C378" i="5"/>
  <c r="J405" i="5" s="1"/>
  <c r="J408" i="5" s="1"/>
  <c r="J702" i="5"/>
  <c r="J727" i="5"/>
  <c r="J730" i="5" s="1"/>
  <c r="Z20" i="3"/>
  <c r="AW20" i="3" s="1"/>
  <c r="Q20" i="3" s="1"/>
  <c r="C746" i="5"/>
  <c r="J773" i="5" s="1"/>
  <c r="J776" i="5" s="1"/>
  <c r="J1024" i="5"/>
  <c r="J1049" i="5"/>
  <c r="J1052" i="5" s="1"/>
  <c r="C1085" i="5"/>
  <c r="J1065" i="5"/>
  <c r="M1065" i="5" s="1"/>
  <c r="M1063" i="5"/>
  <c r="J1064" i="5"/>
  <c r="J1089" i="5"/>
  <c r="J1104" i="5" s="1"/>
  <c r="B1520" i="5"/>
  <c r="B1474" i="5"/>
  <c r="B1566" i="5"/>
  <c r="B1612" i="5"/>
  <c r="B1106" i="5"/>
  <c r="B1704" i="5"/>
  <c r="B1658" i="5"/>
  <c r="B1750" i="5"/>
  <c r="B1935" i="5"/>
  <c r="B1888" i="5"/>
  <c r="B1842" i="5"/>
  <c r="B1796" i="5"/>
  <c r="Z34" i="3"/>
  <c r="AW34" i="3" s="1"/>
  <c r="Q34" i="3" s="1"/>
  <c r="L12" i="3"/>
  <c r="C384" i="5" s="1"/>
  <c r="M13" i="3"/>
  <c r="C431" i="5" s="1"/>
  <c r="L13" i="3"/>
  <c r="C430" i="5" s="1"/>
  <c r="N13" i="3"/>
  <c r="C432" i="5" s="1"/>
  <c r="K13" i="3"/>
  <c r="C429" i="5" s="1"/>
  <c r="N12" i="3"/>
  <c r="C386" i="5" s="1"/>
  <c r="M12" i="3"/>
  <c r="C385" i="5" s="1"/>
  <c r="L20" i="3"/>
  <c r="C752" i="5" s="1"/>
  <c r="M21" i="3"/>
  <c r="L21" i="3"/>
  <c r="M20" i="3"/>
  <c r="C753" i="5" s="1"/>
  <c r="N21" i="3"/>
  <c r="N20" i="3"/>
  <c r="C754" i="5" s="1"/>
  <c r="K21" i="3"/>
  <c r="L28" i="3"/>
  <c r="C1074" i="5" s="1"/>
  <c r="M29" i="3"/>
  <c r="L29" i="3"/>
  <c r="N29" i="3"/>
  <c r="K29" i="3"/>
  <c r="N28" i="3"/>
  <c r="C1076" i="5" s="1"/>
  <c r="M28" i="3"/>
  <c r="C1075" i="5" s="1"/>
  <c r="M36" i="3"/>
  <c r="L36" i="3"/>
  <c r="M37" i="3"/>
  <c r="L37" i="3"/>
  <c r="K37" i="3"/>
  <c r="N36" i="3"/>
  <c r="N37" i="3"/>
  <c r="M44" i="3"/>
  <c r="L44" i="3"/>
  <c r="M45" i="3"/>
  <c r="L45" i="3"/>
  <c r="K45" i="3"/>
  <c r="N44" i="3"/>
  <c r="N45" i="3"/>
  <c r="J518" i="5"/>
  <c r="M40" i="3"/>
  <c r="L40" i="3"/>
  <c r="M41" i="3"/>
  <c r="L41" i="3"/>
  <c r="N41" i="3"/>
  <c r="K41" i="3"/>
  <c r="N40" i="3"/>
  <c r="C73" i="5"/>
  <c r="J52" i="5"/>
  <c r="J59" i="5" s="1"/>
  <c r="M51" i="5"/>
  <c r="J53" i="5"/>
  <c r="M53" i="5" s="1"/>
  <c r="J77" i="5"/>
  <c r="J92" i="5" s="1"/>
  <c r="J288" i="5"/>
  <c r="C349" i="5"/>
  <c r="J328" i="5"/>
  <c r="C355" i="5" s="1"/>
  <c r="W11" i="3" s="1"/>
  <c r="J329" i="5"/>
  <c r="M329" i="5" s="1"/>
  <c r="M327" i="5"/>
  <c r="J353" i="5"/>
  <c r="J368" i="5" s="1"/>
  <c r="J656" i="5"/>
  <c r="J681" i="5"/>
  <c r="J684" i="5" s="1"/>
  <c r="C717" i="5"/>
  <c r="M695" i="5"/>
  <c r="J696" i="5"/>
  <c r="J697" i="5"/>
  <c r="M697" i="5" s="1"/>
  <c r="J721" i="5"/>
  <c r="J736" i="5" s="1"/>
  <c r="J978" i="5"/>
  <c r="C1039" i="5"/>
  <c r="J1019" i="5"/>
  <c r="M1019" i="5" s="1"/>
  <c r="M1017" i="5"/>
  <c r="J1018" i="5"/>
  <c r="J1043" i="5"/>
  <c r="J1058" i="5" s="1"/>
  <c r="J1346" i="5"/>
  <c r="J1371" i="5"/>
  <c r="J1374" i="5" s="1"/>
  <c r="C843" i="5"/>
  <c r="C797" i="5"/>
  <c r="J795" i="5" s="1"/>
  <c r="L24" i="3"/>
  <c r="C890" i="5" s="1"/>
  <c r="M25" i="3"/>
  <c r="C937" i="5" s="1"/>
  <c r="L25" i="3"/>
  <c r="C936" i="5" s="1"/>
  <c r="N25" i="3"/>
  <c r="C938" i="5" s="1"/>
  <c r="K25" i="3"/>
  <c r="C935" i="5" s="1"/>
  <c r="M24" i="3"/>
  <c r="C891" i="5" s="1"/>
  <c r="N24" i="3"/>
  <c r="C892" i="5" s="1"/>
  <c r="J242" i="5"/>
  <c r="J267" i="5"/>
  <c r="J270" i="5" s="1"/>
  <c r="Z10" i="3"/>
  <c r="AW10" i="3" s="1"/>
  <c r="Q10" i="3" s="1"/>
  <c r="C286" i="5"/>
  <c r="J313" i="5" s="1"/>
  <c r="J316" i="5" s="1"/>
  <c r="AW15" i="3"/>
  <c r="Q15" i="3" s="1"/>
  <c r="J635" i="5"/>
  <c r="J638" i="5" s="1"/>
  <c r="J610" i="5"/>
  <c r="C671" i="5"/>
  <c r="J650" i="5"/>
  <c r="C677" i="5" s="1"/>
  <c r="W18" i="3" s="1"/>
  <c r="J651" i="5"/>
  <c r="M651" i="5" s="1"/>
  <c r="M649" i="5"/>
  <c r="J675" i="5"/>
  <c r="J690" i="5" s="1"/>
  <c r="J932" i="5"/>
  <c r="J957" i="5"/>
  <c r="J960" i="5" s="1"/>
  <c r="V26" i="3"/>
  <c r="C976" i="5"/>
  <c r="J1325" i="5"/>
  <c r="J1328" i="5" s="1"/>
  <c r="J1300" i="5"/>
  <c r="C1361" i="5"/>
  <c r="J1341" i="5"/>
  <c r="M1341" i="5" s="1"/>
  <c r="M1339" i="5"/>
  <c r="J1340" i="5"/>
  <c r="J1347" i="5" s="1"/>
  <c r="J1365" i="5"/>
  <c r="J1380" i="5" s="1"/>
  <c r="J1392" i="5"/>
  <c r="L14" i="3"/>
  <c r="C476" i="5" s="1"/>
  <c r="M15" i="3"/>
  <c r="C523" i="5" s="1"/>
  <c r="L15" i="3"/>
  <c r="C522" i="5" s="1"/>
  <c r="N15" i="3"/>
  <c r="C524" i="5" s="1"/>
  <c r="M14" i="3"/>
  <c r="C477" i="5" s="1"/>
  <c r="J477" i="5" s="1"/>
  <c r="J479" i="5" s="1"/>
  <c r="K15" i="3"/>
  <c r="C521" i="5" s="1"/>
  <c r="N14" i="3"/>
  <c r="C478" i="5" s="1"/>
  <c r="L22" i="3"/>
  <c r="M23" i="3"/>
  <c r="S845" i="5" s="1"/>
  <c r="L23" i="3"/>
  <c r="S844" i="5" s="1"/>
  <c r="N23" i="3"/>
  <c r="S846" i="5" s="1"/>
  <c r="K23" i="3"/>
  <c r="S843" i="5" s="1"/>
  <c r="N22" i="3"/>
  <c r="M22" i="3"/>
  <c r="L30" i="3"/>
  <c r="C1166" i="5" s="1"/>
  <c r="M31" i="3"/>
  <c r="C1213" i="5" s="1"/>
  <c r="L31" i="3"/>
  <c r="C1212" i="5" s="1"/>
  <c r="N31" i="3"/>
  <c r="C1214" i="5" s="1"/>
  <c r="M30" i="3"/>
  <c r="C1167" i="5" s="1"/>
  <c r="K31" i="3"/>
  <c r="C1211" i="5" s="1"/>
  <c r="N30" i="3"/>
  <c r="C1168" i="5" s="1"/>
  <c r="M38" i="3"/>
  <c r="L38" i="3"/>
  <c r="M39" i="3"/>
  <c r="L39" i="3"/>
  <c r="N39" i="3"/>
  <c r="K39" i="3"/>
  <c r="N38" i="3"/>
  <c r="M46" i="3"/>
  <c r="L46" i="3"/>
  <c r="M47" i="3"/>
  <c r="L47" i="3"/>
  <c r="N47" i="3"/>
  <c r="K47" i="3"/>
  <c r="N46" i="3"/>
  <c r="J136" i="5"/>
  <c r="J122" i="5"/>
  <c r="J83" i="5"/>
  <c r="J86" i="5" s="1"/>
  <c r="J58" i="5"/>
  <c r="J196" i="5"/>
  <c r="J236" i="5"/>
  <c r="M235" i="5"/>
  <c r="C257" i="5"/>
  <c r="J237" i="5"/>
  <c r="M237" i="5" s="1"/>
  <c r="J261" i="5"/>
  <c r="J276" i="5" s="1"/>
  <c r="J564" i="5"/>
  <c r="C625" i="5"/>
  <c r="J605" i="5"/>
  <c r="M605" i="5" s="1"/>
  <c r="M603" i="5"/>
  <c r="J604" i="5"/>
  <c r="J629" i="5"/>
  <c r="J644" i="5" s="1"/>
  <c r="J886" i="5"/>
  <c r="J911" i="5"/>
  <c r="J914" i="5" s="1"/>
  <c r="C947" i="5"/>
  <c r="J951" i="5"/>
  <c r="J966" i="5" s="1"/>
  <c r="J927" i="5"/>
  <c r="M927" i="5" s="1"/>
  <c r="J926" i="5"/>
  <c r="C953" i="5" s="1"/>
  <c r="W25" i="3" s="1"/>
  <c r="M925" i="5"/>
  <c r="J1279" i="5"/>
  <c r="J1282" i="5" s="1"/>
  <c r="J1254" i="5"/>
  <c r="N1273" i="5"/>
  <c r="C1315" i="5"/>
  <c r="J1295" i="5"/>
  <c r="M1295" i="5" s="1"/>
  <c r="M1293" i="5"/>
  <c r="J1294" i="5"/>
  <c r="J1319" i="5"/>
  <c r="J1334" i="5" s="1"/>
  <c r="Z35" i="3"/>
  <c r="AW35" i="3" s="1"/>
  <c r="Q35" i="3" s="1"/>
  <c r="C1390" i="5"/>
  <c r="J1417" i="5" s="1"/>
  <c r="J1420" i="5" s="1"/>
  <c r="J1255" i="5"/>
  <c r="J228" i="5"/>
  <c r="J214" i="5"/>
  <c r="AV51" i="3"/>
  <c r="AV37" i="3"/>
  <c r="AV45" i="3"/>
  <c r="AV31" i="3"/>
  <c r="Z11" i="3"/>
  <c r="AC11" i="3" s="1"/>
  <c r="AD11" i="3" s="1"/>
  <c r="AE11" i="3" s="1"/>
  <c r="V14" i="3"/>
  <c r="Z17" i="3"/>
  <c r="AC17" i="3" s="1"/>
  <c r="AD17" i="3" s="1"/>
  <c r="Z27" i="3"/>
  <c r="AC27" i="3" s="1"/>
  <c r="AD27" i="3" s="1"/>
  <c r="AE27" i="3" s="1"/>
  <c r="AV27" i="3"/>
  <c r="Z39" i="3"/>
  <c r="AC39" i="3" s="1"/>
  <c r="AD39" i="3" s="1"/>
  <c r="AE39" i="3" s="1"/>
  <c r="Z7" i="3"/>
  <c r="AC7" i="3" s="1"/>
  <c r="AD7" i="3" s="1"/>
  <c r="AE7" i="3" s="1"/>
  <c r="AV7" i="3"/>
  <c r="Z45" i="3"/>
  <c r="AC45" i="3" s="1"/>
  <c r="AD45" i="3" s="1"/>
  <c r="AE45" i="3" s="1"/>
  <c r="P48" i="3"/>
  <c r="Z13" i="3"/>
  <c r="AW13" i="3" s="1"/>
  <c r="Q13" i="3" s="1"/>
  <c r="Z19" i="3"/>
  <c r="AC19" i="3" s="1"/>
  <c r="AD19" i="3" s="1"/>
  <c r="Z24" i="3"/>
  <c r="AW24" i="3" s="1"/>
  <c r="Q24" i="3" s="1"/>
  <c r="AV41" i="3"/>
  <c r="V35" i="3"/>
  <c r="Z50" i="3"/>
  <c r="AC50" i="3" s="1"/>
  <c r="AD50" i="3" s="1"/>
  <c r="AE50" i="3" s="1"/>
  <c r="Z51" i="3"/>
  <c r="AC51" i="3" s="1"/>
  <c r="AD51" i="3" s="1"/>
  <c r="Z46" i="3"/>
  <c r="AC46" i="3" s="1"/>
  <c r="AD46" i="3" s="1"/>
  <c r="Z47" i="3"/>
  <c r="AC47" i="3" s="1"/>
  <c r="AD47" i="3" s="1"/>
  <c r="AE47" i="3" s="1"/>
  <c r="Z42" i="3"/>
  <c r="AC42" i="3" s="1"/>
  <c r="AD42" i="3" s="1"/>
  <c r="Z43" i="3"/>
  <c r="AC43" i="3" s="1"/>
  <c r="AD43" i="3" s="1"/>
  <c r="Z31" i="3"/>
  <c r="AC31" i="3" s="1"/>
  <c r="AD31" i="3" s="1"/>
  <c r="Z22" i="3"/>
  <c r="AC22" i="3" s="1"/>
  <c r="AD22" i="3" s="1"/>
  <c r="Z23" i="3"/>
  <c r="AC23" i="3" s="1"/>
  <c r="AD23" i="3" s="1"/>
  <c r="Z18" i="3"/>
  <c r="AC18" i="3" s="1"/>
  <c r="AD18" i="3" s="1"/>
  <c r="AE18" i="3" s="1"/>
  <c r="Z49" i="3"/>
  <c r="AC49" i="3" s="1"/>
  <c r="AD49" i="3" s="1"/>
  <c r="AE49" i="3" s="1"/>
  <c r="Z44" i="3"/>
  <c r="AC44" i="3" s="1"/>
  <c r="AD44" i="3" s="1"/>
  <c r="Z41" i="3"/>
  <c r="AC41" i="3" s="1"/>
  <c r="AD41" i="3" s="1"/>
  <c r="Z37" i="3"/>
  <c r="AC37" i="3" s="1"/>
  <c r="AD37" i="3" s="1"/>
  <c r="AE37" i="3" s="1"/>
  <c r="Z33" i="3"/>
  <c r="AC33" i="3" s="1"/>
  <c r="AD33" i="3" s="1"/>
  <c r="AE33" i="3" s="1"/>
  <c r="Z32" i="3"/>
  <c r="AC32" i="3" s="1"/>
  <c r="AD32" i="3" s="1"/>
  <c r="Z28" i="3"/>
  <c r="AC28" i="3" s="1"/>
  <c r="AD28" i="3" s="1"/>
  <c r="AE28" i="3" s="1"/>
  <c r="Z29" i="3"/>
  <c r="AC29" i="3" s="1"/>
  <c r="AD29" i="3" s="1"/>
  <c r="AE29" i="3" s="1"/>
  <c r="Z25" i="3"/>
  <c r="AC25" i="3" s="1"/>
  <c r="AD25" i="3" s="1"/>
  <c r="Z21" i="3"/>
  <c r="AC21" i="3" s="1"/>
  <c r="AD21" i="3" s="1"/>
  <c r="AE21" i="3" s="1"/>
  <c r="Z9" i="3"/>
  <c r="AC9" i="3" s="1"/>
  <c r="AD9" i="3" s="1"/>
  <c r="AE9" i="3" s="1"/>
  <c r="Z8" i="3"/>
  <c r="AC8" i="3" s="1"/>
  <c r="AD8" i="3" s="1"/>
  <c r="Z6" i="3"/>
  <c r="AC6" i="3" s="1"/>
  <c r="AD6" i="3" s="1"/>
  <c r="V50" i="3"/>
  <c r="Z48" i="3"/>
  <c r="AW48" i="3" s="1"/>
  <c r="Q48" i="3" s="1"/>
  <c r="V46" i="3"/>
  <c r="V44" i="3"/>
  <c r="V42" i="3"/>
  <c r="P50" i="3"/>
  <c r="V51" i="3"/>
  <c r="P51" i="3"/>
  <c r="P49" i="3"/>
  <c r="P46" i="3"/>
  <c r="V47" i="3"/>
  <c r="P47" i="3"/>
  <c r="P44" i="3"/>
  <c r="V45" i="3"/>
  <c r="P45" i="3"/>
  <c r="P42" i="3"/>
  <c r="V43" i="3"/>
  <c r="P43" i="3"/>
  <c r="P40" i="3"/>
  <c r="Z40" i="3"/>
  <c r="AW40" i="3" s="1"/>
  <c r="Q40" i="3" s="1"/>
  <c r="V41" i="3"/>
  <c r="P41" i="3"/>
  <c r="P38" i="3"/>
  <c r="Z38" i="3"/>
  <c r="AW38" i="3" s="1"/>
  <c r="Q38" i="3" s="1"/>
  <c r="V39" i="3"/>
  <c r="P39" i="3"/>
  <c r="P36" i="3"/>
  <c r="Z36" i="3"/>
  <c r="AW36" i="3" s="1"/>
  <c r="Q36" i="3" s="1"/>
  <c r="V37" i="3"/>
  <c r="P37" i="3"/>
  <c r="AC34" i="3"/>
  <c r="AD34" i="3" s="1"/>
  <c r="P35" i="3"/>
  <c r="V28" i="3"/>
  <c r="V24" i="3"/>
  <c r="V22" i="3"/>
  <c r="V18" i="3"/>
  <c r="V32" i="3"/>
  <c r="P32" i="3"/>
  <c r="V33" i="3"/>
  <c r="P33" i="3"/>
  <c r="P30" i="3"/>
  <c r="Z30" i="3"/>
  <c r="AW30" i="3" s="1"/>
  <c r="Q30" i="3" s="1"/>
  <c r="V31" i="3"/>
  <c r="P31" i="3"/>
  <c r="P28" i="3"/>
  <c r="V29" i="3"/>
  <c r="P29" i="3"/>
  <c r="P26" i="3"/>
  <c r="Z26" i="3"/>
  <c r="AW26" i="3" s="1"/>
  <c r="Q26" i="3" s="1"/>
  <c r="V27" i="3"/>
  <c r="P27" i="3"/>
  <c r="AV25" i="3"/>
  <c r="P24" i="3"/>
  <c r="V25" i="3"/>
  <c r="P25" i="3"/>
  <c r="P22" i="3"/>
  <c r="V23" i="3"/>
  <c r="P23" i="3"/>
  <c r="V20" i="3"/>
  <c r="P20" i="3"/>
  <c r="V21" i="3"/>
  <c r="P21" i="3"/>
  <c r="P18" i="3"/>
  <c r="V19" i="3"/>
  <c r="P19" i="3"/>
  <c r="P16" i="3"/>
  <c r="Z16" i="3"/>
  <c r="AW16" i="3" s="1"/>
  <c r="Q16" i="3" s="1"/>
  <c r="V17" i="3"/>
  <c r="P17" i="3"/>
  <c r="AC14" i="3"/>
  <c r="AD14" i="3" s="1"/>
  <c r="AC15" i="3"/>
  <c r="AD15" i="3" s="1"/>
  <c r="AE15" i="3" s="1"/>
  <c r="P14" i="3"/>
  <c r="V15" i="3"/>
  <c r="P15" i="3"/>
  <c r="AC13" i="3"/>
  <c r="AD13" i="3" s="1"/>
  <c r="P12" i="3"/>
  <c r="Z12" i="3"/>
  <c r="AW12" i="3" s="1"/>
  <c r="Q12" i="3" s="1"/>
  <c r="V13" i="3"/>
  <c r="P13" i="3"/>
  <c r="V10" i="3"/>
  <c r="P10" i="3"/>
  <c r="V11" i="3"/>
  <c r="P11" i="3"/>
  <c r="P8" i="3"/>
  <c r="V9" i="3"/>
  <c r="P9" i="3"/>
  <c r="V6" i="3"/>
  <c r="P6" i="3"/>
  <c r="V7" i="3"/>
  <c r="P7" i="3"/>
  <c r="Z5" i="3"/>
  <c r="AC5" i="3" s="1"/>
  <c r="AD5" i="3" s="1"/>
  <c r="AE5" i="3" s="1"/>
  <c r="V5" i="3"/>
  <c r="P5" i="3"/>
  <c r="AU4" i="3"/>
  <c r="AP3" i="3"/>
  <c r="AM3" i="3"/>
  <c r="AJ3" i="3"/>
  <c r="AF3" i="3"/>
  <c r="AH3" i="3" s="1"/>
  <c r="AQ3" i="3"/>
  <c r="AN3" i="3"/>
  <c r="AK3" i="3"/>
  <c r="AE3" i="3"/>
  <c r="AD3" i="3"/>
  <c r="Y4" i="3"/>
  <c r="N1271" i="5" l="1"/>
  <c r="J1274" i="5" s="1"/>
  <c r="J427" i="5"/>
  <c r="O427" i="5" s="1"/>
  <c r="N905" i="5"/>
  <c r="N903" i="5"/>
  <c r="AC35" i="3"/>
  <c r="AD35" i="3" s="1"/>
  <c r="N1225" i="5"/>
  <c r="N1227" i="5"/>
  <c r="O1255" i="5"/>
  <c r="J887" i="5"/>
  <c r="O887" i="5" s="1"/>
  <c r="N351" i="5"/>
  <c r="J1258" i="5"/>
  <c r="J1260" i="5" s="1"/>
  <c r="O795" i="5"/>
  <c r="AW37" i="3"/>
  <c r="Q37" i="3" s="1"/>
  <c r="J1228" i="5"/>
  <c r="AW25" i="3"/>
  <c r="Q25" i="3" s="1"/>
  <c r="AC24" i="3"/>
  <c r="AD24" i="3" s="1"/>
  <c r="AE24" i="3" s="1"/>
  <c r="AF24" i="3" s="1"/>
  <c r="AG24" i="3" s="1"/>
  <c r="AW51" i="3"/>
  <c r="Q51" i="3" s="1"/>
  <c r="N675" i="5"/>
  <c r="J982" i="5"/>
  <c r="J984" i="5" s="1"/>
  <c r="AW29" i="3"/>
  <c r="Q29" i="3" s="1"/>
  <c r="J707" i="5"/>
  <c r="J709" i="5" s="1"/>
  <c r="O716" i="5" s="1"/>
  <c r="N1365" i="5"/>
  <c r="AW46" i="3"/>
  <c r="Q46" i="3" s="1"/>
  <c r="O1347" i="5"/>
  <c r="M1347" i="5"/>
  <c r="J229" i="5"/>
  <c r="M427" i="5"/>
  <c r="M716" i="5"/>
  <c r="AW41" i="3"/>
  <c r="Q41" i="3" s="1"/>
  <c r="AW45" i="3"/>
  <c r="Q45" i="3" s="1"/>
  <c r="J611" i="5"/>
  <c r="C631" i="5"/>
  <c r="W17" i="3" s="1"/>
  <c r="N1319" i="5"/>
  <c r="N259" i="5"/>
  <c r="J937" i="5"/>
  <c r="J939" i="5" s="1"/>
  <c r="J936" i="5"/>
  <c r="J938" i="5" s="1"/>
  <c r="AW42" i="3"/>
  <c r="Q42" i="3" s="1"/>
  <c r="J1025" i="5"/>
  <c r="C1045" i="5"/>
  <c r="W27" i="3" s="1"/>
  <c r="AW6" i="3"/>
  <c r="Q6" i="3" s="1"/>
  <c r="N721" i="5"/>
  <c r="N353" i="5"/>
  <c r="J354" i="5" s="1"/>
  <c r="J363" i="5" s="1"/>
  <c r="J1305" i="5"/>
  <c r="J1307" i="5" s="1"/>
  <c r="J1310" i="5" s="1"/>
  <c r="J1311" i="5" s="1"/>
  <c r="J1304" i="5"/>
  <c r="J1306" i="5" s="1"/>
  <c r="C1775" i="5"/>
  <c r="M1753" i="5"/>
  <c r="J1754" i="5"/>
  <c r="J1755" i="5"/>
  <c r="M1755" i="5" s="1"/>
  <c r="J1779" i="5"/>
  <c r="J1794" i="5" s="1"/>
  <c r="N1089" i="5"/>
  <c r="J558" i="5"/>
  <c r="M557" i="5"/>
  <c r="C579" i="5"/>
  <c r="J559" i="5"/>
  <c r="M559" i="5" s="1"/>
  <c r="J583" i="5"/>
  <c r="J661" i="5"/>
  <c r="J663" i="5" s="1"/>
  <c r="J660" i="5"/>
  <c r="J662" i="5" s="1"/>
  <c r="C1177" i="5"/>
  <c r="J1156" i="5"/>
  <c r="M1155" i="5"/>
  <c r="J1157" i="5"/>
  <c r="M1157" i="5" s="1"/>
  <c r="J1181" i="5"/>
  <c r="J1668" i="5"/>
  <c r="J1693" i="5"/>
  <c r="J1696" i="5" s="1"/>
  <c r="N857" i="5"/>
  <c r="J874" i="5"/>
  <c r="AW11" i="3"/>
  <c r="Q11" i="3" s="1"/>
  <c r="AW5" i="3"/>
  <c r="Q5" i="3" s="1"/>
  <c r="AW47" i="3"/>
  <c r="Q47" i="3" s="1"/>
  <c r="M486" i="5"/>
  <c r="O486" i="5"/>
  <c r="N951" i="5"/>
  <c r="AW33" i="3"/>
  <c r="Q33" i="3" s="1"/>
  <c r="C1499" i="5"/>
  <c r="J1478" i="5"/>
  <c r="J1479" i="5"/>
  <c r="M1479" i="5" s="1"/>
  <c r="J1503" i="5"/>
  <c r="J1518" i="5" s="1"/>
  <c r="M1477" i="5"/>
  <c r="J1396" i="5"/>
  <c r="J1398" i="5" s="1"/>
  <c r="J1397" i="5"/>
  <c r="J1399" i="5" s="1"/>
  <c r="AC10" i="3"/>
  <c r="AD10" i="3" s="1"/>
  <c r="AE10" i="3" s="1"/>
  <c r="AW7" i="3"/>
  <c r="Q7" i="3" s="1"/>
  <c r="M1255" i="5"/>
  <c r="O276" i="5"/>
  <c r="N276" i="5" s="1"/>
  <c r="M276" i="5"/>
  <c r="J522" i="5"/>
  <c r="J524" i="5" s="1"/>
  <c r="J523" i="5"/>
  <c r="J525" i="5" s="1"/>
  <c r="N1317" i="5"/>
  <c r="N627" i="5"/>
  <c r="N261" i="5"/>
  <c r="C1441" i="5"/>
  <c r="C1533" i="5"/>
  <c r="C1579" i="5"/>
  <c r="C1671" i="5"/>
  <c r="C1625" i="5"/>
  <c r="C1948" i="5"/>
  <c r="C1809" i="5"/>
  <c r="C1717" i="5"/>
  <c r="C1901" i="5"/>
  <c r="C1855" i="5"/>
  <c r="C1763" i="5"/>
  <c r="C1487" i="5"/>
  <c r="C1119" i="5"/>
  <c r="J431" i="5"/>
  <c r="J433" i="5" s="1"/>
  <c r="J430" i="5"/>
  <c r="J432" i="5" s="1"/>
  <c r="N719" i="5"/>
  <c r="AW44" i="3"/>
  <c r="Q44" i="3" s="1"/>
  <c r="C1913" i="5"/>
  <c r="J1892" i="5"/>
  <c r="C1919" i="5" s="1"/>
  <c r="J1893" i="5"/>
  <c r="M1893" i="5" s="1"/>
  <c r="M1891" i="5"/>
  <c r="J1917" i="5"/>
  <c r="J1932" i="5" s="1"/>
  <c r="N1087" i="5"/>
  <c r="J1351" i="5"/>
  <c r="J1353" i="5" s="1"/>
  <c r="J1350" i="5"/>
  <c r="J1352" i="5" s="1"/>
  <c r="J983" i="5"/>
  <c r="J985" i="5" s="1"/>
  <c r="J1739" i="5"/>
  <c r="J1742" i="5" s="1"/>
  <c r="J1714" i="5"/>
  <c r="J841" i="5"/>
  <c r="C861" i="5"/>
  <c r="W22" i="3" s="1"/>
  <c r="AW19" i="3"/>
  <c r="Q19" i="3" s="1"/>
  <c r="C77" i="5"/>
  <c r="N72" i="5"/>
  <c r="N859" i="5"/>
  <c r="J860" i="5" s="1"/>
  <c r="J869" i="5" s="1"/>
  <c r="J1386" i="5"/>
  <c r="C1413" i="5" s="1"/>
  <c r="C1407" i="5"/>
  <c r="M1385" i="5"/>
  <c r="J1387" i="5"/>
  <c r="M1387" i="5" s="1"/>
  <c r="J1411" i="5"/>
  <c r="J137" i="5"/>
  <c r="N77" i="5"/>
  <c r="Z845" i="5"/>
  <c r="Z847" i="5" s="1"/>
  <c r="Z844" i="5"/>
  <c r="Z846" i="5" s="1"/>
  <c r="AW23" i="3"/>
  <c r="Q23" i="3" s="1"/>
  <c r="N629" i="5"/>
  <c r="J890" i="5"/>
  <c r="J892" i="5" s="1"/>
  <c r="J891" i="5"/>
  <c r="J893" i="5" s="1"/>
  <c r="J68" i="5"/>
  <c r="J69" i="5" s="1"/>
  <c r="C79" i="5"/>
  <c r="W5" i="3" s="1"/>
  <c r="C1674" i="5"/>
  <c r="C1628" i="5"/>
  <c r="C1951" i="5"/>
  <c r="C1812" i="5"/>
  <c r="C1720" i="5"/>
  <c r="C1904" i="5"/>
  <c r="C1858" i="5"/>
  <c r="C1766" i="5"/>
  <c r="C1490" i="5"/>
  <c r="C1122" i="5"/>
  <c r="C1444" i="5"/>
  <c r="C1536" i="5"/>
  <c r="C1582" i="5"/>
  <c r="N1041" i="5"/>
  <c r="J1272" i="5"/>
  <c r="J1287" i="5" s="1"/>
  <c r="O1288" i="5" s="1"/>
  <c r="N1288" i="5" s="1"/>
  <c r="J1286" i="5"/>
  <c r="J1110" i="5"/>
  <c r="C1137" i="5" s="1"/>
  <c r="W29" i="3" s="1"/>
  <c r="C1131" i="5"/>
  <c r="M1109" i="5"/>
  <c r="J1111" i="5"/>
  <c r="M1111" i="5" s="1"/>
  <c r="J1135" i="5"/>
  <c r="J1150" i="5" s="1"/>
  <c r="C211" i="5"/>
  <c r="J190" i="5"/>
  <c r="M189" i="5"/>
  <c r="J191" i="5"/>
  <c r="M191" i="5" s="1"/>
  <c r="J215" i="5"/>
  <c r="J292" i="5"/>
  <c r="J294" i="5" s="1"/>
  <c r="J293" i="5"/>
  <c r="J295" i="5" s="1"/>
  <c r="J1555" i="5"/>
  <c r="J1558" i="5" s="1"/>
  <c r="J1530" i="5"/>
  <c r="J1116" i="5"/>
  <c r="J1141" i="5"/>
  <c r="J1144" i="5" s="1"/>
  <c r="J466" i="5"/>
  <c r="J482" i="5" s="1"/>
  <c r="C487" i="5"/>
  <c r="M465" i="5"/>
  <c r="J467" i="5"/>
  <c r="M467" i="5" s="1"/>
  <c r="J491" i="5"/>
  <c r="M184" i="5"/>
  <c r="O184" i="5"/>
  <c r="N184" i="5" s="1"/>
  <c r="J1187" i="5"/>
  <c r="J1190" i="5" s="1"/>
  <c r="J497" i="5"/>
  <c r="J500" i="5" s="1"/>
  <c r="M1288" i="5"/>
  <c r="Z841" i="5"/>
  <c r="S861" i="5"/>
  <c r="W23" i="3" s="1"/>
  <c r="AC20" i="3"/>
  <c r="AD20" i="3" s="1"/>
  <c r="C1321" i="5"/>
  <c r="N75" i="5"/>
  <c r="J1213" i="5"/>
  <c r="J1215" i="5" s="1"/>
  <c r="J1212" i="5"/>
  <c r="J1214" i="5" s="1"/>
  <c r="J476" i="5"/>
  <c r="J478" i="5" s="1"/>
  <c r="N1363" i="5"/>
  <c r="J1366" i="5" s="1"/>
  <c r="J1375" i="5" s="1"/>
  <c r="J712" i="5"/>
  <c r="J713" i="5" s="1"/>
  <c r="C723" i="5"/>
  <c r="W19" i="3" s="1"/>
  <c r="AW21" i="3"/>
  <c r="Q21" i="3" s="1"/>
  <c r="C1534" i="5"/>
  <c r="C1580" i="5"/>
  <c r="C1672" i="5"/>
  <c r="C1626" i="5"/>
  <c r="C1949" i="5"/>
  <c r="C1810" i="5"/>
  <c r="C1718" i="5"/>
  <c r="C1902" i="5"/>
  <c r="C1856" i="5"/>
  <c r="C1764" i="5"/>
  <c r="C1488" i="5"/>
  <c r="C1120" i="5"/>
  <c r="C1442" i="5"/>
  <c r="J385" i="5"/>
  <c r="J387" i="5" s="1"/>
  <c r="J384" i="5"/>
  <c r="J386" i="5" s="1"/>
  <c r="N1043" i="5"/>
  <c r="J1044" i="5" s="1"/>
  <c r="J1053" i="5" s="1"/>
  <c r="AW9" i="3"/>
  <c r="Q9" i="3" s="1"/>
  <c r="C1637" i="5"/>
  <c r="J1616" i="5"/>
  <c r="C1643" i="5" s="1"/>
  <c r="M1615" i="5"/>
  <c r="J1617" i="5"/>
  <c r="M1617" i="5" s="1"/>
  <c r="J1641" i="5"/>
  <c r="J1656" i="5" s="1"/>
  <c r="C1729" i="5"/>
  <c r="M1707" i="5"/>
  <c r="J1709" i="5"/>
  <c r="M1709" i="5" s="1"/>
  <c r="J1708" i="5"/>
  <c r="C1735" i="5" s="1"/>
  <c r="J1733" i="5"/>
  <c r="J1748" i="5" s="1"/>
  <c r="N121" i="5"/>
  <c r="J124" i="5" s="1"/>
  <c r="J138" i="5"/>
  <c r="J1806" i="5"/>
  <c r="J1831" i="5"/>
  <c r="J1834" i="5" s="1"/>
  <c r="J1622" i="5"/>
  <c r="J1647" i="5"/>
  <c r="J1650" i="5" s="1"/>
  <c r="J151" i="5"/>
  <c r="C171" i="5"/>
  <c r="W7" i="3" s="1"/>
  <c r="J160" i="5"/>
  <c r="J161" i="5" s="1"/>
  <c r="N210" i="5"/>
  <c r="C215" i="5"/>
  <c r="AW28" i="3"/>
  <c r="Q28" i="3" s="1"/>
  <c r="J335" i="5"/>
  <c r="J1785" i="5"/>
  <c r="J1788" i="5" s="1"/>
  <c r="J1760" i="5"/>
  <c r="N1777" i="5"/>
  <c r="N1779" i="5"/>
  <c r="AW49" i="3"/>
  <c r="Q49" i="3" s="1"/>
  <c r="C844" i="5"/>
  <c r="C798" i="5"/>
  <c r="M59" i="5"/>
  <c r="O59" i="5"/>
  <c r="C1367" i="5"/>
  <c r="C993" i="5"/>
  <c r="J972" i="5"/>
  <c r="M971" i="5"/>
  <c r="J973" i="5"/>
  <c r="M973" i="5" s="1"/>
  <c r="J997" i="5"/>
  <c r="C1581" i="5"/>
  <c r="C1673" i="5"/>
  <c r="C1627" i="5"/>
  <c r="C1950" i="5"/>
  <c r="C1811" i="5"/>
  <c r="C1719" i="5"/>
  <c r="C1903" i="5"/>
  <c r="C1857" i="5"/>
  <c r="C1765" i="5"/>
  <c r="C1489" i="5"/>
  <c r="C1121" i="5"/>
  <c r="C1443" i="5"/>
  <c r="C1535" i="5"/>
  <c r="J752" i="5"/>
  <c r="J754" i="5" s="1"/>
  <c r="J753" i="5"/>
  <c r="J755" i="5" s="1"/>
  <c r="AW43" i="3"/>
  <c r="Q43" i="3" s="1"/>
  <c r="AW17" i="3"/>
  <c r="Q17" i="3" s="1"/>
  <c r="J1259" i="5"/>
  <c r="J1261" i="5" s="1"/>
  <c r="J1237" i="5"/>
  <c r="C1591" i="5"/>
  <c r="J1570" i="5"/>
  <c r="C1597" i="5" s="1"/>
  <c r="M1569" i="5"/>
  <c r="J1571" i="5"/>
  <c r="M1571" i="5" s="1"/>
  <c r="J1595" i="5"/>
  <c r="J1610" i="5" s="1"/>
  <c r="C1821" i="5"/>
  <c r="J1800" i="5"/>
  <c r="C1827" i="5" s="1"/>
  <c r="M1799" i="5"/>
  <c r="J1801" i="5"/>
  <c r="M1801" i="5" s="1"/>
  <c r="J1825" i="5"/>
  <c r="J1840" i="5" s="1"/>
  <c r="J614" i="5"/>
  <c r="J616" i="5" s="1"/>
  <c r="J615" i="5"/>
  <c r="J617" i="5" s="1"/>
  <c r="J91" i="5"/>
  <c r="M92" i="5" s="1"/>
  <c r="J703" i="5"/>
  <c r="J1877" i="5"/>
  <c r="J1880" i="5" s="1"/>
  <c r="J1852" i="5"/>
  <c r="J1601" i="5"/>
  <c r="J1604" i="5" s="1"/>
  <c r="J1576" i="5"/>
  <c r="N445" i="5"/>
  <c r="N167" i="5"/>
  <c r="C800" i="5"/>
  <c r="C846" i="5"/>
  <c r="C1683" i="5"/>
  <c r="J1662" i="5"/>
  <c r="M1661" i="5"/>
  <c r="J1663" i="5"/>
  <c r="M1663" i="5" s="1"/>
  <c r="J1687" i="5"/>
  <c r="J1702" i="5" s="1"/>
  <c r="AW22" i="3"/>
  <c r="Q22" i="3" s="1"/>
  <c r="J252" i="5"/>
  <c r="J253" i="5" s="1"/>
  <c r="C263" i="5"/>
  <c r="W9" i="3" s="1"/>
  <c r="J243" i="5"/>
  <c r="J1167" i="5"/>
  <c r="J1169" i="5" s="1"/>
  <c r="J1166" i="5"/>
  <c r="J1168" i="5" s="1"/>
  <c r="AW50" i="3"/>
  <c r="Q50" i="3" s="1"/>
  <c r="M795" i="5"/>
  <c r="AW8" i="3"/>
  <c r="Q8" i="3" s="1"/>
  <c r="J1074" i="5"/>
  <c r="J1076" i="5" s="1"/>
  <c r="J1075" i="5"/>
  <c r="J1077" i="5" s="1"/>
  <c r="C395" i="5"/>
  <c r="J374" i="5"/>
  <c r="M373" i="5"/>
  <c r="J375" i="5"/>
  <c r="M375" i="5" s="1"/>
  <c r="J399" i="5"/>
  <c r="C1453" i="5"/>
  <c r="M1431" i="5"/>
  <c r="J1432" i="5"/>
  <c r="J1457" i="5"/>
  <c r="J1472" i="5" s="1"/>
  <c r="J1433" i="5"/>
  <c r="M1433" i="5" s="1"/>
  <c r="C1867" i="5"/>
  <c r="J1846" i="5"/>
  <c r="C1873" i="5" s="1"/>
  <c r="J1847" i="5"/>
  <c r="M1847" i="5" s="1"/>
  <c r="M1845" i="5"/>
  <c r="J1871" i="5"/>
  <c r="J1886" i="5" s="1"/>
  <c r="J1393" i="5"/>
  <c r="J338" i="5"/>
  <c r="J340" i="5" s="1"/>
  <c r="J339" i="5"/>
  <c r="J341" i="5" s="1"/>
  <c r="J1923" i="5"/>
  <c r="J1926" i="5" s="1"/>
  <c r="J1898" i="5"/>
  <c r="J1463" i="5"/>
  <c r="J1466" i="5" s="1"/>
  <c r="J1438" i="5"/>
  <c r="N811" i="5"/>
  <c r="N443" i="5"/>
  <c r="AD857" i="5"/>
  <c r="Z860" i="5" s="1"/>
  <c r="Z869" i="5" s="1"/>
  <c r="J657" i="5"/>
  <c r="J1209" i="5"/>
  <c r="C1229" i="5"/>
  <c r="C533" i="5"/>
  <c r="J512" i="5"/>
  <c r="J513" i="5"/>
  <c r="M513" i="5" s="1"/>
  <c r="M511" i="5"/>
  <c r="J537" i="5"/>
  <c r="N169" i="5"/>
  <c r="C125" i="5"/>
  <c r="W6" i="3" s="1"/>
  <c r="J105" i="5"/>
  <c r="J114" i="5"/>
  <c r="J115" i="5" s="1"/>
  <c r="J1029" i="5"/>
  <c r="J1031" i="5" s="1"/>
  <c r="J1028" i="5"/>
  <c r="J1030" i="5" s="1"/>
  <c r="AW27" i="3"/>
  <c r="Q27" i="3" s="1"/>
  <c r="AW31" i="3"/>
  <c r="Q31" i="3" s="1"/>
  <c r="AW39" i="3"/>
  <c r="Q39" i="3" s="1"/>
  <c r="C845" i="5"/>
  <c r="C799" i="5"/>
  <c r="N949" i="5"/>
  <c r="C303" i="5"/>
  <c r="J282" i="5"/>
  <c r="M281" i="5"/>
  <c r="J283" i="5"/>
  <c r="M283" i="5" s="1"/>
  <c r="J307" i="5"/>
  <c r="J933" i="5"/>
  <c r="AW32" i="3"/>
  <c r="Q32" i="3" s="1"/>
  <c r="J1003" i="5"/>
  <c r="J1006" i="5" s="1"/>
  <c r="N673" i="5"/>
  <c r="J676" i="5" s="1"/>
  <c r="J685" i="5" s="1"/>
  <c r="J1071" i="5"/>
  <c r="C1091" i="5"/>
  <c r="W28" i="3" s="1"/>
  <c r="C763" i="5"/>
  <c r="J742" i="5"/>
  <c r="J743" i="5"/>
  <c r="M743" i="5" s="1"/>
  <c r="M741" i="5"/>
  <c r="J767" i="5"/>
  <c r="J1301" i="5"/>
  <c r="C1545" i="5"/>
  <c r="J1525" i="5"/>
  <c r="M1525" i="5" s="1"/>
  <c r="M1523" i="5"/>
  <c r="J1524" i="5"/>
  <c r="J1549" i="5"/>
  <c r="J1564" i="5" s="1"/>
  <c r="J1970" i="5"/>
  <c r="J1973" i="5" s="1"/>
  <c r="C1960" i="5"/>
  <c r="M1938" i="5"/>
  <c r="J1939" i="5"/>
  <c r="J1964" i="5"/>
  <c r="J1979" i="5" s="1"/>
  <c r="J1940" i="5"/>
  <c r="M1940" i="5" s="1"/>
  <c r="AW18" i="3"/>
  <c r="Q18" i="3" s="1"/>
  <c r="J568" i="5"/>
  <c r="J570" i="5" s="1"/>
  <c r="J569" i="5"/>
  <c r="J571" i="5" s="1"/>
  <c r="J1010" i="5"/>
  <c r="J996" i="5"/>
  <c r="J706" i="5"/>
  <c r="J708" i="5" s="1"/>
  <c r="J1945" i="5"/>
  <c r="J1509" i="5"/>
  <c r="J1512" i="5" s="1"/>
  <c r="J1484" i="5"/>
  <c r="N1501" i="5"/>
  <c r="N1503" i="5"/>
  <c r="N813" i="5"/>
  <c r="AC48" i="3"/>
  <c r="AD48" i="3" s="1"/>
  <c r="AE48" i="3" s="1"/>
  <c r="AE43" i="3"/>
  <c r="AF43" i="3" s="1"/>
  <c r="AG43" i="3" s="1"/>
  <c r="AF50" i="3"/>
  <c r="AG50" i="3" s="1"/>
  <c r="AE51" i="3"/>
  <c r="AF51" i="3" s="1"/>
  <c r="AG51" i="3" s="1"/>
  <c r="AF49" i="3"/>
  <c r="AG49" i="3" s="1"/>
  <c r="AE46" i="3"/>
  <c r="AF46" i="3" s="1"/>
  <c r="AG46" i="3" s="1"/>
  <c r="AF47" i="3"/>
  <c r="AG47" i="3" s="1"/>
  <c r="AE44" i="3"/>
  <c r="AF44" i="3" s="1"/>
  <c r="AG44" i="3" s="1"/>
  <c r="AF45" i="3"/>
  <c r="AG45" i="3" s="1"/>
  <c r="AE42" i="3"/>
  <c r="AF42" i="3" s="1"/>
  <c r="AG42" i="3" s="1"/>
  <c r="AC40" i="3"/>
  <c r="AD40" i="3" s="1"/>
  <c r="AE41" i="3"/>
  <c r="AF41" i="3" s="1"/>
  <c r="AG41" i="3" s="1"/>
  <c r="AC38" i="3"/>
  <c r="AD38" i="3" s="1"/>
  <c r="AF39" i="3"/>
  <c r="AG39" i="3" s="1"/>
  <c r="AF37" i="3"/>
  <c r="AG37" i="3" s="1"/>
  <c r="AC36" i="3"/>
  <c r="AD36" i="3" s="1"/>
  <c r="AE36" i="3" s="1"/>
  <c r="AE35" i="3"/>
  <c r="AF35" i="3" s="1"/>
  <c r="AG35" i="3" s="1"/>
  <c r="AE34" i="3"/>
  <c r="AF34" i="3" s="1"/>
  <c r="AG34" i="3" s="1"/>
  <c r="AF33" i="3"/>
  <c r="AG33" i="3" s="1"/>
  <c r="AE32" i="3"/>
  <c r="AF32" i="3" s="1"/>
  <c r="AG32" i="3" s="1"/>
  <c r="AC30" i="3"/>
  <c r="AD30" i="3" s="1"/>
  <c r="AE31" i="3"/>
  <c r="AF31" i="3" s="1"/>
  <c r="AG31" i="3" s="1"/>
  <c r="AF28" i="3"/>
  <c r="AG28" i="3" s="1"/>
  <c r="AF29" i="3"/>
  <c r="AG29" i="3" s="1"/>
  <c r="AF27" i="3"/>
  <c r="AG27" i="3" s="1"/>
  <c r="AC26" i="3"/>
  <c r="AD26" i="3" s="1"/>
  <c r="AE26" i="3" s="1"/>
  <c r="AE25" i="3"/>
  <c r="AF25" i="3" s="1"/>
  <c r="AG25" i="3" s="1"/>
  <c r="AE22" i="3"/>
  <c r="AF22" i="3" s="1"/>
  <c r="AG22" i="3" s="1"/>
  <c r="AE23" i="3"/>
  <c r="AF23" i="3" s="1"/>
  <c r="AG23" i="3" s="1"/>
  <c r="AE20" i="3"/>
  <c r="AF20" i="3" s="1"/>
  <c r="AG20" i="3" s="1"/>
  <c r="AF21" i="3"/>
  <c r="AG21" i="3" s="1"/>
  <c r="AF18" i="3"/>
  <c r="AG18" i="3" s="1"/>
  <c r="AE19" i="3"/>
  <c r="AF19" i="3" s="1"/>
  <c r="AG19" i="3" s="1"/>
  <c r="AC16" i="3"/>
  <c r="AD16" i="3" s="1"/>
  <c r="AE17" i="3"/>
  <c r="AF17" i="3" s="1"/>
  <c r="AG17" i="3" s="1"/>
  <c r="AF15" i="3"/>
  <c r="AG15" i="3" s="1"/>
  <c r="AE14" i="3"/>
  <c r="AF14" i="3" s="1"/>
  <c r="AG14" i="3" s="1"/>
  <c r="AC12" i="3"/>
  <c r="AD12" i="3" s="1"/>
  <c r="AE13" i="3"/>
  <c r="AF13" i="3" s="1"/>
  <c r="AG13" i="3" s="1"/>
  <c r="AF10" i="3"/>
  <c r="AG10" i="3" s="1"/>
  <c r="AF11" i="3"/>
  <c r="AG11" i="3" s="1"/>
  <c r="AE8" i="3"/>
  <c r="AF8" i="3" s="1"/>
  <c r="AG8" i="3" s="1"/>
  <c r="AF9" i="3"/>
  <c r="AG9" i="3" s="1"/>
  <c r="AE6" i="3"/>
  <c r="AF6" i="3" s="1"/>
  <c r="AG6" i="3" s="1"/>
  <c r="AF7" i="3"/>
  <c r="AG7" i="3" s="1"/>
  <c r="AF5" i="3"/>
  <c r="AG5" i="3" s="1"/>
  <c r="AV4" i="3"/>
  <c r="Q4" i="3"/>
  <c r="AG3" i="3"/>
  <c r="J1283" i="5" l="1"/>
  <c r="J1275" i="5"/>
  <c r="J1276" i="5" s="1"/>
  <c r="N1457" i="5"/>
  <c r="J906" i="5"/>
  <c r="J915" i="5" s="1"/>
  <c r="N1135" i="5"/>
  <c r="M887" i="5"/>
  <c r="J630" i="5"/>
  <c r="J639" i="5" s="1"/>
  <c r="J262" i="5"/>
  <c r="J263" i="5" s="1"/>
  <c r="J264" i="5" s="1"/>
  <c r="F254" i="5" s="1"/>
  <c r="N1641" i="5"/>
  <c r="J1950" i="5"/>
  <c r="J1952" i="5" s="1"/>
  <c r="J1955" i="5" s="1"/>
  <c r="J1956" i="5" s="1"/>
  <c r="N1915" i="5"/>
  <c r="N1825" i="5"/>
  <c r="J1807" i="5"/>
  <c r="O1807" i="5" s="1"/>
  <c r="J1623" i="5"/>
  <c r="O1623" i="5" s="1"/>
  <c r="J814" i="5"/>
  <c r="J823" i="5" s="1"/>
  <c r="J1577" i="5"/>
  <c r="M1577" i="5" s="1"/>
  <c r="N1917" i="5"/>
  <c r="J125" i="5"/>
  <c r="J126" i="5" s="1"/>
  <c r="J133" i="5"/>
  <c r="C769" i="5"/>
  <c r="W20" i="3" s="1"/>
  <c r="J749" i="5"/>
  <c r="O657" i="5"/>
  <c r="M657" i="5"/>
  <c r="J798" i="5"/>
  <c r="J800" i="5" s="1"/>
  <c r="J799" i="5"/>
  <c r="J801" i="5" s="1"/>
  <c r="O714" i="5"/>
  <c r="J714" i="5"/>
  <c r="J298" i="5"/>
  <c r="J299" i="5" s="1"/>
  <c r="O302" i="5"/>
  <c r="M302" i="5"/>
  <c r="J896" i="5"/>
  <c r="J897" i="5" s="1"/>
  <c r="O900" i="5"/>
  <c r="M900" i="5"/>
  <c r="F1267" i="5"/>
  <c r="O1283" i="5"/>
  <c r="M1283" i="5"/>
  <c r="J536" i="5"/>
  <c r="J550" i="5"/>
  <c r="J1402" i="5"/>
  <c r="J1403" i="5" s="1"/>
  <c r="O1406" i="5"/>
  <c r="M1406" i="5"/>
  <c r="J666" i="5"/>
  <c r="J667" i="5" s="1"/>
  <c r="O670" i="5"/>
  <c r="M670" i="5"/>
  <c r="O611" i="5"/>
  <c r="M611" i="5"/>
  <c r="J574" i="5"/>
  <c r="J575" i="5" s="1"/>
  <c r="O578" i="5"/>
  <c r="M578" i="5"/>
  <c r="C1966" i="5"/>
  <c r="J845" i="5"/>
  <c r="J847" i="5" s="1"/>
  <c r="M105" i="5"/>
  <c r="O105" i="5"/>
  <c r="J552" i="5"/>
  <c r="N537" i="5"/>
  <c r="N535" i="5"/>
  <c r="J1180" i="5"/>
  <c r="J1194" i="5"/>
  <c r="N1871" i="5"/>
  <c r="O762" i="5"/>
  <c r="M762" i="5"/>
  <c r="J758" i="5"/>
  <c r="J759" i="5" s="1"/>
  <c r="J844" i="5"/>
  <c r="J846" i="5" s="1"/>
  <c r="J1443" i="5"/>
  <c r="J1445" i="5" s="1"/>
  <c r="J1442" i="5"/>
  <c r="J1444" i="5" s="1"/>
  <c r="J1949" i="5"/>
  <c r="J1951" i="5" s="1"/>
  <c r="N1133" i="5"/>
  <c r="J1136" i="5" s="1"/>
  <c r="J1145" i="5" s="1"/>
  <c r="J320" i="5"/>
  <c r="J306" i="5"/>
  <c r="J321" i="5" s="1"/>
  <c r="J918" i="5"/>
  <c r="J904" i="5"/>
  <c r="J919" i="5" s="1"/>
  <c r="J1426" i="5"/>
  <c r="N1409" i="5"/>
  <c r="N1411" i="5"/>
  <c r="J1364" i="5"/>
  <c r="M1375" i="5" s="1"/>
  <c r="J1378" i="5"/>
  <c r="J1853" i="5"/>
  <c r="J1531" i="5"/>
  <c r="J1410" i="5"/>
  <c r="J1424" i="5"/>
  <c r="O92" i="5"/>
  <c r="N92" i="5" s="1"/>
  <c r="J1090" i="5"/>
  <c r="J1099" i="5" s="1"/>
  <c r="M1025" i="5"/>
  <c r="O1025" i="5"/>
  <c r="J642" i="5"/>
  <c r="J628" i="5"/>
  <c r="O639" i="5" s="1"/>
  <c r="J582" i="5"/>
  <c r="J596" i="5"/>
  <c r="J1172" i="5"/>
  <c r="J1173" i="5" s="1"/>
  <c r="O1176" i="5"/>
  <c r="M1176" i="5"/>
  <c r="O1853" i="5"/>
  <c r="J780" i="5"/>
  <c r="J766" i="5"/>
  <c r="C999" i="5"/>
  <c r="W26" i="3" s="1"/>
  <c r="J979" i="5"/>
  <c r="J1121" i="5"/>
  <c r="J1123" i="5" s="1"/>
  <c r="J1120" i="5"/>
  <c r="J1122" i="5" s="1"/>
  <c r="J1626" i="5"/>
  <c r="J1628" i="5" s="1"/>
  <c r="J1627" i="5"/>
  <c r="J1629" i="5" s="1"/>
  <c r="O1360" i="5"/>
  <c r="M1360" i="5"/>
  <c r="J1899" i="5"/>
  <c r="J1196" i="5"/>
  <c r="N1181" i="5"/>
  <c r="N1179" i="5"/>
  <c r="J598" i="5"/>
  <c r="N581" i="5"/>
  <c r="N583" i="5"/>
  <c r="J1332" i="5"/>
  <c r="J1318" i="5"/>
  <c r="J1811" i="5"/>
  <c r="J1813" i="5" s="1"/>
  <c r="J1810" i="5"/>
  <c r="J1812" i="5" s="1"/>
  <c r="J988" i="5"/>
  <c r="J989" i="5" s="1"/>
  <c r="O992" i="5"/>
  <c r="M992" i="5"/>
  <c r="J322" i="5"/>
  <c r="N305" i="5"/>
  <c r="N307" i="5"/>
  <c r="N1964" i="5"/>
  <c r="M1301" i="5"/>
  <c r="O1301" i="5"/>
  <c r="M1071" i="5"/>
  <c r="O1071" i="5"/>
  <c r="J1080" i="5"/>
  <c r="J1081" i="5" s="1"/>
  <c r="O1084" i="5"/>
  <c r="M1084" i="5"/>
  <c r="O243" i="5"/>
  <c r="M243" i="5"/>
  <c r="C1689" i="5"/>
  <c r="J446" i="5"/>
  <c r="J455" i="5" s="1"/>
  <c r="J1780" i="5"/>
  <c r="J1789" i="5" s="1"/>
  <c r="N1823" i="5"/>
  <c r="J1489" i="5"/>
  <c r="J1491" i="5" s="1"/>
  <c r="J1488" i="5"/>
  <c r="J1490" i="5" s="1"/>
  <c r="J1673" i="5"/>
  <c r="J1675" i="5" s="1"/>
  <c r="J1678" i="5" s="1"/>
  <c r="J1679" i="5" s="1"/>
  <c r="J1672" i="5"/>
  <c r="J1674" i="5" s="1"/>
  <c r="O1312" i="5"/>
  <c r="J1312" i="5"/>
  <c r="J506" i="5"/>
  <c r="N489" i="5"/>
  <c r="N491" i="5"/>
  <c r="J492" i="5" s="1"/>
  <c r="J501" i="5" s="1"/>
  <c r="J230" i="5"/>
  <c r="N213" i="5"/>
  <c r="N215" i="5"/>
  <c r="M841" i="5"/>
  <c r="O841" i="5"/>
  <c r="J1715" i="5"/>
  <c r="J952" i="5"/>
  <c r="J961" i="5" s="1"/>
  <c r="O1314" i="5"/>
  <c r="M1314" i="5"/>
  <c r="J950" i="5"/>
  <c r="J964" i="5"/>
  <c r="O933" i="5"/>
  <c r="M933" i="5"/>
  <c r="J1439" i="5"/>
  <c r="C1459" i="5"/>
  <c r="N1869" i="5"/>
  <c r="O1280" i="5"/>
  <c r="J1280" i="5"/>
  <c r="J1277" i="5"/>
  <c r="J1278" i="5" s="1"/>
  <c r="M1278" i="5" s="1"/>
  <c r="J390" i="5"/>
  <c r="J391" i="5" s="1"/>
  <c r="O394" i="5"/>
  <c r="M394" i="5"/>
  <c r="J519" i="5"/>
  <c r="C539" i="5"/>
  <c r="W15" i="3" s="1"/>
  <c r="J344" i="5"/>
  <c r="J345" i="5" s="1"/>
  <c r="M348" i="5"/>
  <c r="O348" i="5"/>
  <c r="J1088" i="5"/>
  <c r="J1102" i="5"/>
  <c r="N1593" i="5"/>
  <c r="M1959" i="5"/>
  <c r="J162" i="5"/>
  <c r="O162" i="5"/>
  <c r="J1765" i="5"/>
  <c r="J1767" i="5" s="1"/>
  <c r="J1764" i="5"/>
  <c r="J1766" i="5" s="1"/>
  <c r="J1580" i="5"/>
  <c r="J1582" i="5" s="1"/>
  <c r="J1581" i="5"/>
  <c r="J1583" i="5" s="1"/>
  <c r="N1547" i="5"/>
  <c r="N1733" i="5"/>
  <c r="J458" i="5"/>
  <c r="J444" i="5"/>
  <c r="M1807" i="5"/>
  <c r="N486" i="5"/>
  <c r="C491" i="5"/>
  <c r="J942" i="5"/>
  <c r="J943" i="5" s="1"/>
  <c r="O946" i="5"/>
  <c r="M946" i="5"/>
  <c r="N716" i="5"/>
  <c r="C721" i="5"/>
  <c r="J116" i="5"/>
  <c r="O116" i="5"/>
  <c r="F116" i="5"/>
  <c r="N1962" i="5"/>
  <c r="J414" i="5"/>
  <c r="N397" i="5"/>
  <c r="N399" i="5"/>
  <c r="M703" i="5"/>
  <c r="O703" i="5"/>
  <c r="N767" i="5"/>
  <c r="J782" i="5"/>
  <c r="N765" i="5"/>
  <c r="C309" i="5"/>
  <c r="W10" i="3" s="1"/>
  <c r="J289" i="5"/>
  <c r="N1455" i="5"/>
  <c r="J1458" i="5" s="1"/>
  <c r="J1467" i="5" s="1"/>
  <c r="J366" i="5"/>
  <c r="J352" i="5"/>
  <c r="M363" i="5" s="1"/>
  <c r="O254" i="5"/>
  <c r="J254" i="5"/>
  <c r="N1595" i="5"/>
  <c r="J1356" i="5"/>
  <c r="J1357" i="5" s="1"/>
  <c r="J1857" i="5"/>
  <c r="J1859" i="5" s="1"/>
  <c r="J1856" i="5"/>
  <c r="J1858" i="5" s="1"/>
  <c r="J1535" i="5"/>
  <c r="J1537" i="5" s="1"/>
  <c r="J1540" i="5" s="1"/>
  <c r="J1541" i="5" s="1"/>
  <c r="J1534" i="5"/>
  <c r="J1536" i="5" s="1"/>
  <c r="J504" i="5"/>
  <c r="J490" i="5"/>
  <c r="N1549" i="5"/>
  <c r="Z858" i="5"/>
  <c r="AC869" i="5" s="1"/>
  <c r="Z872" i="5"/>
  <c r="N1731" i="5"/>
  <c r="J436" i="5"/>
  <c r="J437" i="5" s="1"/>
  <c r="M440" i="5"/>
  <c r="O440" i="5"/>
  <c r="J1946" i="5"/>
  <c r="C1183" i="5"/>
  <c r="J1163" i="5"/>
  <c r="J1761" i="5"/>
  <c r="C1781" i="5"/>
  <c r="J722" i="5"/>
  <c r="J731" i="5" s="1"/>
  <c r="F1359" i="5"/>
  <c r="J734" i="5"/>
  <c r="J720" i="5"/>
  <c r="J1056" i="5"/>
  <c r="J1042" i="5"/>
  <c r="O1053" i="5" s="1"/>
  <c r="M1393" i="5"/>
  <c r="O1393" i="5"/>
  <c r="J1264" i="5"/>
  <c r="J1265" i="5" s="1"/>
  <c r="O1268" i="5"/>
  <c r="M1268" i="5"/>
  <c r="M151" i="5"/>
  <c r="O151" i="5"/>
  <c r="J1903" i="5"/>
  <c r="J1905" i="5" s="1"/>
  <c r="J1902" i="5"/>
  <c r="J1904" i="5" s="1"/>
  <c r="J1240" i="5"/>
  <c r="J1226" i="5"/>
  <c r="M1237" i="5" s="1"/>
  <c r="AE841" i="5"/>
  <c r="AC841" i="5"/>
  <c r="J483" i="5"/>
  <c r="J197" i="5"/>
  <c r="C217" i="5"/>
  <c r="W8" i="3" s="1"/>
  <c r="J206" i="5"/>
  <c r="J207" i="5" s="1"/>
  <c r="J70" i="5"/>
  <c r="O70" i="5"/>
  <c r="Z850" i="5"/>
  <c r="Z851" i="5" s="1"/>
  <c r="AE854" i="5"/>
  <c r="AC854" i="5"/>
  <c r="J1117" i="5"/>
  <c r="M1623" i="5"/>
  <c r="J1485" i="5"/>
  <c r="C1505" i="5"/>
  <c r="N1687" i="5"/>
  <c r="C585" i="5"/>
  <c r="W16" i="3" s="1"/>
  <c r="J565" i="5"/>
  <c r="J1320" i="5"/>
  <c r="J1329" i="5" s="1"/>
  <c r="J1504" i="5"/>
  <c r="J1513" i="5" s="1"/>
  <c r="J1011" i="5"/>
  <c r="C1551" i="5"/>
  <c r="J1034" i="5"/>
  <c r="J1035" i="5" s="1"/>
  <c r="M1038" i="5"/>
  <c r="O1038" i="5"/>
  <c r="J170" i="5"/>
  <c r="O1209" i="5"/>
  <c r="M1209" i="5"/>
  <c r="C401" i="5"/>
  <c r="W12" i="3" s="1"/>
  <c r="J381" i="5"/>
  <c r="M624" i="5"/>
  <c r="O624" i="5"/>
  <c r="J620" i="5"/>
  <c r="J621" i="5" s="1"/>
  <c r="J1012" i="5"/>
  <c r="N995" i="5"/>
  <c r="N997" i="5"/>
  <c r="O335" i="5"/>
  <c r="M335" i="5"/>
  <c r="N1639" i="5"/>
  <c r="J1642" i="5" s="1"/>
  <c r="J1651" i="5" s="1"/>
  <c r="M138" i="5"/>
  <c r="O138" i="5"/>
  <c r="N138" i="5" s="1"/>
  <c r="J412" i="5"/>
  <c r="J398" i="5"/>
  <c r="J1719" i="5"/>
  <c r="J1721" i="5" s="1"/>
  <c r="J1718" i="5"/>
  <c r="J1720" i="5" s="1"/>
  <c r="J1218" i="5"/>
  <c r="J1219" i="5" s="1"/>
  <c r="O1222" i="5"/>
  <c r="M1222" i="5"/>
  <c r="C493" i="5"/>
  <c r="W14" i="3" s="1"/>
  <c r="J473" i="5"/>
  <c r="J78" i="5"/>
  <c r="J1669" i="5"/>
  <c r="O532" i="5"/>
  <c r="M532" i="5"/>
  <c r="J528" i="5"/>
  <c r="J529" i="5" s="1"/>
  <c r="N1685" i="5"/>
  <c r="J688" i="5"/>
  <c r="J674" i="5"/>
  <c r="O685" i="5" s="1"/>
  <c r="AF48" i="3"/>
  <c r="AG48" i="3" s="1"/>
  <c r="AH48" i="3" s="1"/>
  <c r="AH43" i="3"/>
  <c r="AH51" i="3"/>
  <c r="AI51" i="3" s="1"/>
  <c r="AJ51" i="3" s="1"/>
  <c r="AH50" i="3"/>
  <c r="AI50" i="3" s="1"/>
  <c r="AJ50" i="3" s="1"/>
  <c r="AH49" i="3"/>
  <c r="AI49" i="3" s="1"/>
  <c r="AJ49" i="3" s="1"/>
  <c r="AH47" i="3"/>
  <c r="AI47" i="3" s="1"/>
  <c r="AJ47" i="3" s="1"/>
  <c r="AH46" i="3"/>
  <c r="AI46" i="3" s="1"/>
  <c r="AJ46" i="3" s="1"/>
  <c r="AH44" i="3"/>
  <c r="AI44" i="3" s="1"/>
  <c r="AJ44" i="3" s="1"/>
  <c r="AH45" i="3"/>
  <c r="AI45" i="3" s="1"/>
  <c r="AJ45" i="3" s="1"/>
  <c r="AH42" i="3"/>
  <c r="AI42" i="3" s="1"/>
  <c r="AJ42" i="3" s="1"/>
  <c r="AE40" i="3"/>
  <c r="AF40" i="3" s="1"/>
  <c r="AG40" i="3" s="1"/>
  <c r="AH41" i="3"/>
  <c r="AI41" i="3" s="1"/>
  <c r="AJ41" i="3" s="1"/>
  <c r="AH39" i="3"/>
  <c r="AI39" i="3" s="1"/>
  <c r="AJ39" i="3" s="1"/>
  <c r="AE38" i="3"/>
  <c r="AF38" i="3" s="1"/>
  <c r="AG38" i="3" s="1"/>
  <c r="AH37" i="3"/>
  <c r="AI37" i="3" s="1"/>
  <c r="AJ37" i="3" s="1"/>
  <c r="AF36" i="3"/>
  <c r="AG36" i="3" s="1"/>
  <c r="AH34" i="3"/>
  <c r="AI34" i="3" s="1"/>
  <c r="AJ34" i="3" s="1"/>
  <c r="AH35" i="3"/>
  <c r="AI35" i="3" s="1"/>
  <c r="AJ35" i="3" s="1"/>
  <c r="AH33" i="3"/>
  <c r="AI33" i="3" s="1"/>
  <c r="AJ33" i="3" s="1"/>
  <c r="AL33" i="3" s="1"/>
  <c r="AM33" i="3" s="1"/>
  <c r="AH32" i="3"/>
  <c r="AI32" i="3" s="1"/>
  <c r="AJ32" i="3" s="1"/>
  <c r="AH31" i="3"/>
  <c r="AI31" i="3" s="1"/>
  <c r="AJ31" i="3" s="1"/>
  <c r="AE30" i="3"/>
  <c r="AF30" i="3" s="1"/>
  <c r="AG30" i="3" s="1"/>
  <c r="AH29" i="3"/>
  <c r="AI29" i="3" s="1"/>
  <c r="AJ29" i="3" s="1"/>
  <c r="AI28" i="3"/>
  <c r="AJ28" i="3" s="1"/>
  <c r="AH28" i="3"/>
  <c r="AF26" i="3"/>
  <c r="AG26" i="3" s="1"/>
  <c r="AH27" i="3"/>
  <c r="AI27" i="3" s="1"/>
  <c r="AJ27" i="3" s="1"/>
  <c r="AH25" i="3"/>
  <c r="AI25" i="3" s="1"/>
  <c r="AJ25" i="3" s="1"/>
  <c r="AI24" i="3"/>
  <c r="AJ24" i="3" s="1"/>
  <c r="AH24" i="3"/>
  <c r="AH23" i="3"/>
  <c r="AI23" i="3" s="1"/>
  <c r="AJ23" i="3" s="1"/>
  <c r="AI22" i="3"/>
  <c r="AJ22" i="3" s="1"/>
  <c r="AH22" i="3"/>
  <c r="AI20" i="3"/>
  <c r="AJ20" i="3" s="1"/>
  <c r="AH20" i="3"/>
  <c r="AH21" i="3"/>
  <c r="AI21" i="3" s="1"/>
  <c r="AJ21" i="3" s="1"/>
  <c r="AI18" i="3"/>
  <c r="AJ18" i="3" s="1"/>
  <c r="AH18" i="3"/>
  <c r="AH19" i="3"/>
  <c r="AI19" i="3" s="1"/>
  <c r="AJ19" i="3" s="1"/>
  <c r="AH17" i="3"/>
  <c r="AI17" i="3" s="1"/>
  <c r="AJ17" i="3" s="1"/>
  <c r="AE16" i="3"/>
  <c r="AF16" i="3" s="1"/>
  <c r="AG16" i="3" s="1"/>
  <c r="AI14" i="3"/>
  <c r="AJ14" i="3" s="1"/>
  <c r="AH14" i="3"/>
  <c r="AH15" i="3"/>
  <c r="AI15" i="3" s="1"/>
  <c r="AJ15" i="3" s="1"/>
  <c r="AH13" i="3"/>
  <c r="AI13" i="3" s="1"/>
  <c r="AJ13" i="3" s="1"/>
  <c r="AE12" i="3"/>
  <c r="AF12" i="3" s="1"/>
  <c r="AG12" i="3" s="1"/>
  <c r="AH11" i="3"/>
  <c r="AI11" i="3" s="1"/>
  <c r="AJ11" i="3" s="1"/>
  <c r="AI10" i="3"/>
  <c r="AJ10" i="3" s="1"/>
  <c r="AH10" i="3"/>
  <c r="AI8" i="3"/>
  <c r="AJ8" i="3" s="1"/>
  <c r="AH8" i="3"/>
  <c r="AH9" i="3"/>
  <c r="AI9" i="3" s="1"/>
  <c r="AJ9" i="3" s="1"/>
  <c r="AI6" i="3"/>
  <c r="AJ6" i="3" s="1"/>
  <c r="AH6" i="3"/>
  <c r="AH7" i="3"/>
  <c r="AI7" i="3" s="1"/>
  <c r="AJ7" i="3" s="1"/>
  <c r="AH5" i="3"/>
  <c r="AI5" i="3" s="1"/>
  <c r="AJ5" i="3" s="1"/>
  <c r="J268" i="5" l="1"/>
  <c r="F1221" i="5"/>
  <c r="J265" i="5"/>
  <c r="J266" i="5" s="1"/>
  <c r="M266" i="5" s="1"/>
  <c r="O268" i="5"/>
  <c r="J216" i="5"/>
  <c r="J1826" i="5"/>
  <c r="J1835" i="5" s="1"/>
  <c r="V853" i="5"/>
  <c r="J1596" i="5"/>
  <c r="J1605" i="5" s="1"/>
  <c r="J271" i="5"/>
  <c r="O1959" i="5"/>
  <c r="F1037" i="5"/>
  <c r="J400" i="5"/>
  <c r="J409" i="5" s="1"/>
  <c r="O1375" i="5"/>
  <c r="F347" i="5"/>
  <c r="J1550" i="5"/>
  <c r="J1559" i="5" s="1"/>
  <c r="J1182" i="5"/>
  <c r="J1191" i="5" s="1"/>
  <c r="F1175" i="5" s="1"/>
  <c r="J907" i="5"/>
  <c r="J908" i="5" s="1"/>
  <c r="O912" i="5" s="1"/>
  <c r="J308" i="5"/>
  <c r="J317" i="5" s="1"/>
  <c r="O363" i="5"/>
  <c r="J1412" i="5"/>
  <c r="J1421" i="5" s="1"/>
  <c r="O1577" i="5"/>
  <c r="F945" i="5"/>
  <c r="F899" i="5"/>
  <c r="J538" i="5"/>
  <c r="J547" i="5" s="1"/>
  <c r="O547" i="5" s="1"/>
  <c r="J1918" i="5"/>
  <c r="J1927" i="5" s="1"/>
  <c r="J1965" i="5"/>
  <c r="J1974" i="5" s="1"/>
  <c r="F1083" i="5"/>
  <c r="O1237" i="5"/>
  <c r="N1053" i="5"/>
  <c r="C1044" i="5"/>
  <c r="C676" i="5"/>
  <c r="N685" i="5"/>
  <c r="O1036" i="5"/>
  <c r="J1036" i="5"/>
  <c r="O1439" i="5"/>
  <c r="M1439" i="5"/>
  <c r="O990" i="5"/>
  <c r="J990" i="5"/>
  <c r="O898" i="5"/>
  <c r="J898" i="5"/>
  <c r="M1853" i="5"/>
  <c r="AE869" i="5"/>
  <c r="J826" i="5"/>
  <c r="J812" i="5"/>
  <c r="O1117" i="5"/>
  <c r="M1117" i="5"/>
  <c r="C630" i="5"/>
  <c r="N639" i="5"/>
  <c r="M979" i="5"/>
  <c r="O979" i="5"/>
  <c r="F991" i="5"/>
  <c r="J643" i="5"/>
  <c r="J631" i="5"/>
  <c r="J632" i="5" s="1"/>
  <c r="F622" i="5" s="1"/>
  <c r="M1531" i="5"/>
  <c r="O1531" i="5"/>
  <c r="J1195" i="5"/>
  <c r="J804" i="5"/>
  <c r="J805" i="5" s="1"/>
  <c r="O808" i="5"/>
  <c r="M808" i="5"/>
  <c r="O1012" i="5"/>
  <c r="N1012" i="5" s="1"/>
  <c r="M1012" i="5"/>
  <c r="O197" i="5"/>
  <c r="M197" i="5"/>
  <c r="O731" i="5"/>
  <c r="M731" i="5"/>
  <c r="O409" i="5"/>
  <c r="M409" i="5"/>
  <c r="J1770" i="5"/>
  <c r="J1771" i="5" s="1"/>
  <c r="O1774" i="5"/>
  <c r="M1774" i="5"/>
  <c r="J1103" i="5"/>
  <c r="J1091" i="5"/>
  <c r="J1092" i="5" s="1"/>
  <c r="F1082" i="5" s="1"/>
  <c r="C399" i="5"/>
  <c r="N394" i="5"/>
  <c r="O530" i="5"/>
  <c r="J530" i="5"/>
  <c r="O622" i="5"/>
  <c r="J622" i="5"/>
  <c r="O1542" i="5"/>
  <c r="J1542" i="5"/>
  <c r="AD854" i="5"/>
  <c r="S859" i="5"/>
  <c r="O484" i="5"/>
  <c r="J484" i="5"/>
  <c r="M1053" i="5"/>
  <c r="N1268" i="5"/>
  <c r="C1273" i="5"/>
  <c r="J1562" i="5"/>
  <c r="J1548" i="5"/>
  <c r="C951" i="5"/>
  <c r="N946" i="5"/>
  <c r="J459" i="5"/>
  <c r="J447" i="5"/>
  <c r="J448" i="5" s="1"/>
  <c r="F438" i="5" s="1"/>
  <c r="C353" i="5"/>
  <c r="N348" i="5"/>
  <c r="J392" i="5"/>
  <c r="O392" i="5"/>
  <c r="O961" i="5"/>
  <c r="M961" i="5"/>
  <c r="J1700" i="5"/>
  <c r="J1686" i="5"/>
  <c r="O455" i="5"/>
  <c r="M455" i="5"/>
  <c r="F439" i="5"/>
  <c r="O1082" i="5"/>
  <c r="J1082" i="5"/>
  <c r="J309" i="5"/>
  <c r="J310" i="5" s="1"/>
  <c r="J1816" i="5"/>
  <c r="J1817" i="5" s="1"/>
  <c r="O1820" i="5"/>
  <c r="M1820" i="5"/>
  <c r="J1632" i="5"/>
  <c r="J1633" i="5" s="1"/>
  <c r="O1636" i="5"/>
  <c r="M1636" i="5"/>
  <c r="N1176" i="5"/>
  <c r="C1181" i="5"/>
  <c r="J872" i="5"/>
  <c r="J858" i="5"/>
  <c r="O1957" i="5"/>
  <c r="J1957" i="5"/>
  <c r="N670" i="5"/>
  <c r="C675" i="5"/>
  <c r="F669" i="5"/>
  <c r="M685" i="5"/>
  <c r="O1329" i="5"/>
  <c r="M1329" i="5"/>
  <c r="C1228" i="5"/>
  <c r="N1237" i="5"/>
  <c r="P1312" i="5"/>
  <c r="M1312" i="5"/>
  <c r="J1448" i="5"/>
  <c r="J1449" i="5" s="1"/>
  <c r="O1452" i="5"/>
  <c r="M1452" i="5"/>
  <c r="O854" i="5"/>
  <c r="M854" i="5"/>
  <c r="J850" i="5"/>
  <c r="J851" i="5" s="1"/>
  <c r="J551" i="5"/>
  <c r="O565" i="5"/>
  <c r="M565" i="5"/>
  <c r="J1908" i="5"/>
  <c r="J1909" i="5" s="1"/>
  <c r="M1912" i="5"/>
  <c r="O1912" i="5"/>
  <c r="O438" i="5"/>
  <c r="J438" i="5"/>
  <c r="O289" i="5"/>
  <c r="M289" i="5"/>
  <c r="J225" i="5"/>
  <c r="F209" i="5" s="1"/>
  <c r="J217" i="5"/>
  <c r="J218" i="5" s="1"/>
  <c r="F208" i="5" s="1"/>
  <c r="M639" i="5"/>
  <c r="N1084" i="5"/>
  <c r="C1089" i="5"/>
  <c r="J1824" i="5"/>
  <c r="J1838" i="5"/>
  <c r="N1222" i="5"/>
  <c r="C1227" i="5"/>
  <c r="N624" i="5"/>
  <c r="C629" i="5"/>
  <c r="J1688" i="5"/>
  <c r="J1697" i="5" s="1"/>
  <c r="AE852" i="5"/>
  <c r="Z852" i="5"/>
  <c r="J1266" i="5"/>
  <c r="O1266" i="5"/>
  <c r="F1266" i="5"/>
  <c r="O1761" i="5"/>
  <c r="M1761" i="5"/>
  <c r="M1544" i="5"/>
  <c r="O1544" i="5"/>
  <c r="J768" i="5"/>
  <c r="J777" i="5" s="1"/>
  <c r="F761" i="5" s="1"/>
  <c r="O944" i="5"/>
  <c r="J944" i="5"/>
  <c r="O230" i="5"/>
  <c r="N230" i="5" s="1"/>
  <c r="M230" i="5"/>
  <c r="M1682" i="5"/>
  <c r="O1682" i="5"/>
  <c r="J1654" i="5"/>
  <c r="J1640" i="5"/>
  <c r="N1375" i="5"/>
  <c r="C1366" i="5"/>
  <c r="O1174" i="5"/>
  <c r="J1174" i="5"/>
  <c r="J1379" i="5"/>
  <c r="J1367" i="5"/>
  <c r="J1368" i="5" s="1"/>
  <c r="F1358" i="5" s="1"/>
  <c r="J760" i="5"/>
  <c r="O760" i="5"/>
  <c r="O668" i="5"/>
  <c r="J668" i="5"/>
  <c r="O1196" i="5"/>
  <c r="N1196" i="5" s="1"/>
  <c r="M1196" i="5"/>
  <c r="J1134" i="5"/>
  <c r="J1148" i="5"/>
  <c r="J781" i="5"/>
  <c r="M782" i="5" s="1"/>
  <c r="M1099" i="5"/>
  <c r="O1099" i="5"/>
  <c r="F1405" i="5"/>
  <c r="M1421" i="5"/>
  <c r="O1421" i="5"/>
  <c r="O915" i="5"/>
  <c r="N578" i="5"/>
  <c r="C583" i="5"/>
  <c r="C1274" i="5"/>
  <c r="N1283" i="5"/>
  <c r="N302" i="5"/>
  <c r="C307" i="5"/>
  <c r="M473" i="5"/>
  <c r="O473" i="5"/>
  <c r="F485" i="5"/>
  <c r="J1930" i="5"/>
  <c r="J1916" i="5"/>
  <c r="J505" i="5"/>
  <c r="O506" i="5" s="1"/>
  <c r="N506" i="5" s="1"/>
  <c r="J493" i="5"/>
  <c r="J494" i="5" s="1"/>
  <c r="J1778" i="5"/>
  <c r="J1792" i="5"/>
  <c r="N532" i="5"/>
  <c r="C537" i="5"/>
  <c r="J735" i="5"/>
  <c r="J723" i="5"/>
  <c r="J724" i="5" s="1"/>
  <c r="J1870" i="5"/>
  <c r="J1884" i="5"/>
  <c r="N363" i="5"/>
  <c r="C354" i="5"/>
  <c r="J346" i="5"/>
  <c r="O346" i="5"/>
  <c r="O501" i="5"/>
  <c r="M501" i="5"/>
  <c r="J1516" i="5"/>
  <c r="J1502" i="5"/>
  <c r="F1497" i="5" s="1"/>
  <c r="O322" i="5"/>
  <c r="N322" i="5" s="1"/>
  <c r="M322" i="5"/>
  <c r="O1669" i="5"/>
  <c r="M1669" i="5"/>
  <c r="J1746" i="5"/>
  <c r="J1732" i="5"/>
  <c r="J179" i="5"/>
  <c r="J171" i="5"/>
  <c r="J172" i="5" s="1"/>
  <c r="O1485" i="5"/>
  <c r="M1485" i="5"/>
  <c r="J1862" i="5"/>
  <c r="J1863" i="5" s="1"/>
  <c r="O1866" i="5"/>
  <c r="M1866" i="5"/>
  <c r="J965" i="5"/>
  <c r="J953" i="5"/>
  <c r="J954" i="5" s="1"/>
  <c r="J1494" i="5"/>
  <c r="J1495" i="5" s="1"/>
  <c r="O1498" i="5"/>
  <c r="M1498" i="5"/>
  <c r="J1333" i="5"/>
  <c r="J1321" i="5"/>
  <c r="J1322" i="5" s="1"/>
  <c r="O1899" i="5"/>
  <c r="M1899" i="5"/>
  <c r="J1126" i="5"/>
  <c r="J1127" i="5" s="1"/>
  <c r="O1130" i="5"/>
  <c r="M1130" i="5"/>
  <c r="J597" i="5"/>
  <c r="M598" i="5" s="1"/>
  <c r="M915" i="5"/>
  <c r="N762" i="5"/>
  <c r="C767" i="5"/>
  <c r="O552" i="5"/>
  <c r="N552" i="5" s="1"/>
  <c r="M552" i="5"/>
  <c r="O576" i="5"/>
  <c r="J576" i="5"/>
  <c r="N1406" i="5"/>
  <c r="C1411" i="5"/>
  <c r="J300" i="5"/>
  <c r="O300" i="5"/>
  <c r="F300" i="5"/>
  <c r="M749" i="5"/>
  <c r="O749" i="5"/>
  <c r="O1220" i="5"/>
  <c r="J1220" i="5"/>
  <c r="M1163" i="5"/>
  <c r="O1163" i="5"/>
  <c r="P254" i="5"/>
  <c r="M254" i="5"/>
  <c r="F253" i="5"/>
  <c r="M268" i="5"/>
  <c r="P268" i="5"/>
  <c r="J1734" i="5"/>
  <c r="J1743" i="5" s="1"/>
  <c r="P162" i="5"/>
  <c r="M162" i="5"/>
  <c r="P1280" i="5"/>
  <c r="M1280" i="5"/>
  <c r="M1715" i="5"/>
  <c r="O1715" i="5"/>
  <c r="O1680" i="5"/>
  <c r="J1680" i="5"/>
  <c r="J87" i="5"/>
  <c r="J79" i="5"/>
  <c r="J80" i="5" s="1"/>
  <c r="J1724" i="5"/>
  <c r="J1725" i="5" s="1"/>
  <c r="O1728" i="5"/>
  <c r="M1728" i="5"/>
  <c r="O381" i="5"/>
  <c r="M381" i="5"/>
  <c r="F393" i="5"/>
  <c r="N1038" i="5"/>
  <c r="C1043" i="5"/>
  <c r="M70" i="5"/>
  <c r="P70" i="5"/>
  <c r="J1241" i="5"/>
  <c r="J1229" i="5"/>
  <c r="J1230" i="5" s="1"/>
  <c r="O1946" i="5"/>
  <c r="M1946" i="5"/>
  <c r="Z873" i="5"/>
  <c r="Z861" i="5"/>
  <c r="Z862" i="5" s="1"/>
  <c r="M1835" i="5"/>
  <c r="O1835" i="5"/>
  <c r="J367" i="5"/>
  <c r="J355" i="5"/>
  <c r="J356" i="5" s="1"/>
  <c r="F715" i="5"/>
  <c r="M116" i="5"/>
  <c r="P116" i="5"/>
  <c r="J1586" i="5"/>
  <c r="J1587" i="5" s="1"/>
  <c r="O1590" i="5"/>
  <c r="M1590" i="5"/>
  <c r="N1959" i="5"/>
  <c r="C1964" i="5"/>
  <c r="O519" i="5"/>
  <c r="M519" i="5"/>
  <c r="F1313" i="5"/>
  <c r="M1145" i="5"/>
  <c r="O1145" i="5"/>
  <c r="J1963" i="5"/>
  <c r="M1974" i="5" s="1"/>
  <c r="J1977" i="5"/>
  <c r="J1872" i="5"/>
  <c r="J1881" i="5" s="1"/>
  <c r="F623" i="5"/>
  <c r="O1404" i="5"/>
  <c r="J1404" i="5"/>
  <c r="P714" i="5"/>
  <c r="M714" i="5"/>
  <c r="F117" i="5"/>
  <c r="O133" i="5"/>
  <c r="M133" i="5"/>
  <c r="J689" i="5"/>
  <c r="J677" i="5"/>
  <c r="J678" i="5" s="1"/>
  <c r="F668" i="5" s="1"/>
  <c r="J413" i="5"/>
  <c r="O414" i="5" s="1"/>
  <c r="N414" i="5" s="1"/>
  <c r="J401" i="5"/>
  <c r="J402" i="5" s="1"/>
  <c r="J998" i="5"/>
  <c r="O208" i="5"/>
  <c r="J208" i="5"/>
  <c r="J1057" i="5"/>
  <c r="J1045" i="5"/>
  <c r="J1046" i="5" s="1"/>
  <c r="N440" i="5"/>
  <c r="C445" i="5"/>
  <c r="O1358" i="5"/>
  <c r="J1358" i="5"/>
  <c r="J1594" i="5"/>
  <c r="J1608" i="5"/>
  <c r="N1314" i="5"/>
  <c r="C1319" i="5"/>
  <c r="N992" i="5"/>
  <c r="C997" i="5"/>
  <c r="J584" i="5"/>
  <c r="J593" i="5" s="1"/>
  <c r="F577" i="5" s="1"/>
  <c r="N1360" i="5"/>
  <c r="C1365" i="5"/>
  <c r="J1425" i="5"/>
  <c r="O1426" i="5" s="1"/>
  <c r="N1426" i="5" s="1"/>
  <c r="J1413" i="5"/>
  <c r="J1414" i="5" s="1"/>
  <c r="O920" i="5"/>
  <c r="N920" i="5" s="1"/>
  <c r="M920" i="5"/>
  <c r="J1456" i="5"/>
  <c r="J1470" i="5"/>
  <c r="N900" i="5"/>
  <c r="C905" i="5"/>
  <c r="J127" i="5"/>
  <c r="J128" i="5" s="1"/>
  <c r="M128" i="5" s="1"/>
  <c r="O130" i="5"/>
  <c r="J130" i="5"/>
  <c r="AI43" i="3"/>
  <c r="AJ43" i="3" s="1"/>
  <c r="AL43" i="3" s="1"/>
  <c r="AM43" i="3" s="1"/>
  <c r="AO43" i="3" s="1"/>
  <c r="AK33" i="3"/>
  <c r="AN33" i="3" s="1"/>
  <c r="AI48" i="3"/>
  <c r="AJ48" i="3" s="1"/>
  <c r="AK50" i="3"/>
  <c r="AL50" i="3" s="1"/>
  <c r="AM50" i="3" s="1"/>
  <c r="AL51" i="3"/>
  <c r="AM51" i="3" s="1"/>
  <c r="AK51" i="3"/>
  <c r="AL49" i="3"/>
  <c r="AM49" i="3" s="1"/>
  <c r="AK49" i="3"/>
  <c r="AK46" i="3"/>
  <c r="AL46" i="3" s="1"/>
  <c r="AM46" i="3" s="1"/>
  <c r="AL47" i="3"/>
  <c r="AM47" i="3" s="1"/>
  <c r="AK47" i="3"/>
  <c r="AK44" i="3"/>
  <c r="AL44" i="3" s="1"/>
  <c r="AM44" i="3" s="1"/>
  <c r="AK45" i="3"/>
  <c r="AL45" i="3"/>
  <c r="AM45" i="3" s="1"/>
  <c r="AK42" i="3"/>
  <c r="AL42" i="3" s="1"/>
  <c r="AM42" i="3" s="1"/>
  <c r="AH40" i="3"/>
  <c r="AI40" i="3" s="1"/>
  <c r="AJ40" i="3" s="1"/>
  <c r="AL41" i="3"/>
  <c r="AM41" i="3" s="1"/>
  <c r="AK41" i="3"/>
  <c r="AH38" i="3"/>
  <c r="AI38" i="3" s="1"/>
  <c r="AJ38" i="3" s="1"/>
  <c r="AL39" i="3"/>
  <c r="AM39" i="3" s="1"/>
  <c r="AK39" i="3"/>
  <c r="AH36" i="3"/>
  <c r="AI36" i="3" s="1"/>
  <c r="AJ36" i="3" s="1"/>
  <c r="AL37" i="3"/>
  <c r="AM37" i="3" s="1"/>
  <c r="AK37" i="3"/>
  <c r="AL35" i="3"/>
  <c r="AM35" i="3" s="1"/>
  <c r="AK35" i="3"/>
  <c r="AK34" i="3"/>
  <c r="AL34" i="3" s="1"/>
  <c r="AM34" i="3" s="1"/>
  <c r="AO33" i="3"/>
  <c r="AK32" i="3"/>
  <c r="AL32" i="3" s="1"/>
  <c r="AM32" i="3" s="1"/>
  <c r="AH30" i="3"/>
  <c r="AI30" i="3"/>
  <c r="AJ30" i="3" s="1"/>
  <c r="AK31" i="3"/>
  <c r="AL31" i="3" s="1"/>
  <c r="AM31" i="3" s="1"/>
  <c r="AK29" i="3"/>
  <c r="AL29" i="3" s="1"/>
  <c r="AM29" i="3" s="1"/>
  <c r="AL28" i="3"/>
  <c r="AM28" i="3" s="1"/>
  <c r="AK28" i="3"/>
  <c r="AH26" i="3"/>
  <c r="AI26" i="3"/>
  <c r="AJ26" i="3" s="1"/>
  <c r="AK27" i="3"/>
  <c r="AL27" i="3" s="1"/>
  <c r="AM27" i="3" s="1"/>
  <c r="AK25" i="3"/>
  <c r="AL25" i="3" s="1"/>
  <c r="AM25" i="3" s="1"/>
  <c r="AL24" i="3"/>
  <c r="AM24" i="3" s="1"/>
  <c r="AK24" i="3"/>
  <c r="AL22" i="3"/>
  <c r="AM22" i="3" s="1"/>
  <c r="AK22" i="3"/>
  <c r="AK23" i="3"/>
  <c r="AL23" i="3" s="1"/>
  <c r="AM23" i="3" s="1"/>
  <c r="AL20" i="3"/>
  <c r="AM20" i="3" s="1"/>
  <c r="AK20" i="3"/>
  <c r="AK21" i="3"/>
  <c r="AL21" i="3" s="1"/>
  <c r="AM21" i="3" s="1"/>
  <c r="AL18" i="3"/>
  <c r="AM18" i="3" s="1"/>
  <c r="AK18" i="3"/>
  <c r="AK19" i="3"/>
  <c r="AL19" i="3" s="1"/>
  <c r="AM19" i="3" s="1"/>
  <c r="AI16" i="3"/>
  <c r="AJ16" i="3" s="1"/>
  <c r="AH16" i="3"/>
  <c r="AK17" i="3"/>
  <c r="AL17" i="3" s="1"/>
  <c r="AM17" i="3" s="1"/>
  <c r="AL14" i="3"/>
  <c r="AM14" i="3" s="1"/>
  <c r="AK14" i="3"/>
  <c r="AK15" i="3"/>
  <c r="AL15" i="3" s="1"/>
  <c r="AM15" i="3" s="1"/>
  <c r="AI12" i="3"/>
  <c r="AJ12" i="3" s="1"/>
  <c r="AH12" i="3"/>
  <c r="AK13" i="3"/>
  <c r="AL13" i="3" s="1"/>
  <c r="AM13" i="3" s="1"/>
  <c r="AK11" i="3"/>
  <c r="AL11" i="3" s="1"/>
  <c r="AM11" i="3" s="1"/>
  <c r="AL10" i="3"/>
  <c r="AM10" i="3" s="1"/>
  <c r="AK10" i="3"/>
  <c r="AL8" i="3"/>
  <c r="AM8" i="3" s="1"/>
  <c r="AK8" i="3"/>
  <c r="AK9" i="3"/>
  <c r="AL9" i="3" s="1"/>
  <c r="AM9" i="3" s="1"/>
  <c r="AL6" i="3"/>
  <c r="AM6" i="3" s="1"/>
  <c r="AK6" i="3"/>
  <c r="AK7" i="3"/>
  <c r="AL7" i="3" s="1"/>
  <c r="AM7" i="3" s="1"/>
  <c r="AK5" i="3"/>
  <c r="AL5" i="3" s="1"/>
  <c r="AM5" i="3" s="1"/>
  <c r="F531" i="5" l="1"/>
  <c r="M547" i="5"/>
  <c r="O1191" i="5"/>
  <c r="J539" i="5"/>
  <c r="J540" i="5" s="1"/>
  <c r="F530" i="5" s="1"/>
  <c r="M1191" i="5"/>
  <c r="J1183" i="5"/>
  <c r="J1184" i="5" s="1"/>
  <c r="J1185" i="5" s="1"/>
  <c r="J1186" i="5" s="1"/>
  <c r="M1186" i="5" s="1"/>
  <c r="F1589" i="5"/>
  <c r="F255" i="5"/>
  <c r="O271" i="5"/>
  <c r="M271" i="5"/>
  <c r="F898" i="5"/>
  <c r="J909" i="5"/>
  <c r="J910" i="5" s="1"/>
  <c r="M910" i="5" s="1"/>
  <c r="J912" i="5"/>
  <c r="F1681" i="5"/>
  <c r="F1727" i="5"/>
  <c r="M1426" i="5"/>
  <c r="M506" i="5"/>
  <c r="M1605" i="5"/>
  <c r="M414" i="5"/>
  <c r="J585" i="5"/>
  <c r="J586" i="5" s="1"/>
  <c r="F576" i="5" s="1"/>
  <c r="O782" i="5"/>
  <c r="N782" i="5" s="1"/>
  <c r="J1563" i="5"/>
  <c r="J1551" i="5"/>
  <c r="J1552" i="5" s="1"/>
  <c r="O1188" i="5"/>
  <c r="J1188" i="5"/>
  <c r="M1036" i="5"/>
  <c r="P1036" i="5"/>
  <c r="O593" i="5"/>
  <c r="M593" i="5"/>
  <c r="P1358" i="5"/>
  <c r="M1358" i="5"/>
  <c r="M368" i="5"/>
  <c r="O368" i="5"/>
  <c r="N368" i="5" s="1"/>
  <c r="O1234" i="5"/>
  <c r="J1234" i="5"/>
  <c r="F1219" i="5" s="1"/>
  <c r="J1231" i="5"/>
  <c r="J1232" i="5" s="1"/>
  <c r="M1232" i="5" s="1"/>
  <c r="P1680" i="5"/>
  <c r="M1680" i="5"/>
  <c r="M576" i="5"/>
  <c r="P576" i="5"/>
  <c r="O1334" i="5"/>
  <c r="N1334" i="5" s="1"/>
  <c r="M1334" i="5"/>
  <c r="O1864" i="5"/>
  <c r="J1864" i="5"/>
  <c r="J1747" i="5"/>
  <c r="J1735" i="5"/>
  <c r="J1736" i="5" s="1"/>
  <c r="O498" i="5"/>
  <c r="J495" i="5"/>
  <c r="J496" i="5" s="1"/>
  <c r="M496" i="5" s="1"/>
  <c r="J498" i="5"/>
  <c r="N1421" i="5"/>
  <c r="C1412" i="5"/>
  <c r="J1149" i="5"/>
  <c r="J1137" i="5"/>
  <c r="J1138" i="5" s="1"/>
  <c r="P760" i="5"/>
  <c r="M760" i="5"/>
  <c r="J1655" i="5"/>
  <c r="J1643" i="5"/>
  <c r="J1644" i="5" s="1"/>
  <c r="M777" i="5"/>
  <c r="O777" i="5"/>
  <c r="P1266" i="5"/>
  <c r="M1266" i="5"/>
  <c r="F1265" i="5"/>
  <c r="C1457" i="5"/>
  <c r="N1452" i="5"/>
  <c r="C1320" i="5"/>
  <c r="N1329" i="5"/>
  <c r="J873" i="5"/>
  <c r="J861" i="5"/>
  <c r="J862" i="5" s="1"/>
  <c r="O869" i="5"/>
  <c r="F853" i="5"/>
  <c r="M869" i="5"/>
  <c r="N1820" i="5"/>
  <c r="C1825" i="5"/>
  <c r="P392" i="5"/>
  <c r="M392" i="5"/>
  <c r="M530" i="5"/>
  <c r="P530" i="5"/>
  <c r="S860" i="5"/>
  <c r="AD869" i="5"/>
  <c r="O1974" i="5"/>
  <c r="O690" i="5"/>
  <c r="N690" i="5" s="1"/>
  <c r="M690" i="5"/>
  <c r="J1793" i="5"/>
  <c r="J1781" i="5"/>
  <c r="J1782" i="5" s="1"/>
  <c r="F1451" i="5"/>
  <c r="J1471" i="5"/>
  <c r="J1459" i="5"/>
  <c r="J1460" i="5" s="1"/>
  <c r="J999" i="5"/>
  <c r="J1000" i="5" s="1"/>
  <c r="J1007" i="5"/>
  <c r="N133" i="5"/>
  <c r="C124" i="5"/>
  <c r="M1881" i="5"/>
  <c r="O1881" i="5"/>
  <c r="N1590" i="5"/>
  <c r="C1595" i="5"/>
  <c r="N1835" i="5"/>
  <c r="C1826" i="5"/>
  <c r="M1242" i="5"/>
  <c r="O1242" i="5"/>
  <c r="N1242" i="5" s="1"/>
  <c r="J1885" i="5"/>
  <c r="J1873" i="5"/>
  <c r="J1874" i="5" s="1"/>
  <c r="F1864" i="5" s="1"/>
  <c r="J1369" i="5"/>
  <c r="J1370" i="5" s="1"/>
  <c r="M1370" i="5" s="1"/>
  <c r="O1372" i="5"/>
  <c r="J1372" i="5"/>
  <c r="F1357" i="5" s="1"/>
  <c r="N1544" i="5"/>
  <c r="C1549" i="5"/>
  <c r="AF852" i="5"/>
  <c r="AC852" i="5"/>
  <c r="J1839" i="5"/>
  <c r="J1827" i="5"/>
  <c r="J1828" i="5" s="1"/>
  <c r="F1818" i="5" s="1"/>
  <c r="F1819" i="5"/>
  <c r="O1450" i="5"/>
  <c r="J1450" i="5"/>
  <c r="O1818" i="5"/>
  <c r="J1818" i="5"/>
  <c r="N455" i="5"/>
  <c r="C446" i="5"/>
  <c r="C1779" i="5"/>
  <c r="N1774" i="5"/>
  <c r="F1543" i="5"/>
  <c r="F1865" i="5"/>
  <c r="P990" i="5"/>
  <c r="M990" i="5"/>
  <c r="M1467" i="5"/>
  <c r="J1505" i="5"/>
  <c r="J1506" i="5" s="1"/>
  <c r="F1496" i="5" s="1"/>
  <c r="J1517" i="5"/>
  <c r="J403" i="5"/>
  <c r="J404" i="5" s="1"/>
  <c r="M404" i="5" s="1"/>
  <c r="O406" i="5"/>
  <c r="J406" i="5"/>
  <c r="F391" i="5" s="1"/>
  <c r="O1588" i="5"/>
  <c r="J1588" i="5"/>
  <c r="O1743" i="5"/>
  <c r="M1743" i="5"/>
  <c r="N1130" i="5"/>
  <c r="C1135" i="5"/>
  <c r="N1498" i="5"/>
  <c r="C1503" i="5"/>
  <c r="C492" i="5"/>
  <c r="N501" i="5"/>
  <c r="F714" i="5"/>
  <c r="J725" i="5"/>
  <c r="J726" i="5" s="1"/>
  <c r="M726" i="5" s="1"/>
  <c r="J728" i="5"/>
  <c r="O728" i="5"/>
  <c r="J1931" i="5"/>
  <c r="J1919" i="5"/>
  <c r="J1920" i="5" s="1"/>
  <c r="M1927" i="5"/>
  <c r="O1927" i="5"/>
  <c r="O1380" i="5"/>
  <c r="N1380" i="5" s="1"/>
  <c r="M1380" i="5"/>
  <c r="C1182" i="5"/>
  <c r="N1191" i="5"/>
  <c r="P438" i="5"/>
  <c r="M438" i="5"/>
  <c r="J541" i="5"/>
  <c r="J542" i="5" s="1"/>
  <c r="M542" i="5" s="1"/>
  <c r="J544" i="5"/>
  <c r="O544" i="5"/>
  <c r="F301" i="5"/>
  <c r="M317" i="5"/>
  <c r="O317" i="5"/>
  <c r="J1701" i="5"/>
  <c r="J1689" i="5"/>
  <c r="J1690" i="5" s="1"/>
  <c r="P1542" i="5"/>
  <c r="M1542" i="5"/>
  <c r="O598" i="5"/>
  <c r="N598" i="5" s="1"/>
  <c r="O1772" i="5"/>
  <c r="J1772" i="5"/>
  <c r="O1467" i="5"/>
  <c r="F1635" i="5"/>
  <c r="J357" i="5"/>
  <c r="J358" i="5" s="1"/>
  <c r="M358" i="5" s="1"/>
  <c r="J360" i="5"/>
  <c r="O360" i="5"/>
  <c r="P130" i="5"/>
  <c r="M130" i="5"/>
  <c r="J1978" i="5"/>
  <c r="J1966" i="5"/>
  <c r="J1967" i="5" s="1"/>
  <c r="F115" i="5"/>
  <c r="V852" i="5"/>
  <c r="Z863" i="5"/>
  <c r="Z864" i="5" s="1"/>
  <c r="AC864" i="5" s="1"/>
  <c r="Z866" i="5"/>
  <c r="AE866" i="5"/>
  <c r="N1728" i="5"/>
  <c r="C1733" i="5"/>
  <c r="O1128" i="5"/>
  <c r="J1128" i="5"/>
  <c r="J1496" i="5"/>
  <c r="O1496" i="5"/>
  <c r="F346" i="5"/>
  <c r="M736" i="5"/>
  <c r="O736" i="5"/>
  <c r="N736" i="5" s="1"/>
  <c r="C1090" i="5"/>
  <c r="N1099" i="5"/>
  <c r="F1174" i="5"/>
  <c r="M912" i="5"/>
  <c r="P912" i="5"/>
  <c r="F1773" i="5"/>
  <c r="O1697" i="5"/>
  <c r="M1697" i="5"/>
  <c r="J311" i="5"/>
  <c r="J312" i="5" s="1"/>
  <c r="M312" i="5" s="1"/>
  <c r="O314" i="5"/>
  <c r="J314" i="5"/>
  <c r="F299" i="5" s="1"/>
  <c r="O452" i="5"/>
  <c r="J449" i="5"/>
  <c r="J450" i="5" s="1"/>
  <c r="M450" i="5" s="1"/>
  <c r="J452" i="5"/>
  <c r="F1129" i="5"/>
  <c r="O1651" i="5"/>
  <c r="J1323" i="5"/>
  <c r="J1324" i="5" s="1"/>
  <c r="M1324" i="5" s="1"/>
  <c r="O1326" i="5"/>
  <c r="J1326" i="5"/>
  <c r="F1312" i="5"/>
  <c r="C906" i="5"/>
  <c r="N915" i="5"/>
  <c r="O1104" i="5"/>
  <c r="N1104" i="5" s="1"/>
  <c r="M1104" i="5"/>
  <c r="J1415" i="5"/>
  <c r="J1416" i="5" s="1"/>
  <c r="M1416" i="5" s="1"/>
  <c r="J1418" i="5"/>
  <c r="F1403" i="5" s="1"/>
  <c r="O1418" i="5"/>
  <c r="F1036" i="5"/>
  <c r="J1050" i="5"/>
  <c r="F1035" i="5" s="1"/>
  <c r="O1050" i="5"/>
  <c r="J1047" i="5"/>
  <c r="J1048" i="5" s="1"/>
  <c r="M1048" i="5" s="1"/>
  <c r="O1559" i="5"/>
  <c r="AC874" i="5"/>
  <c r="AE874" i="5"/>
  <c r="AD874" i="5" s="1"/>
  <c r="O1726" i="5"/>
  <c r="J1726" i="5"/>
  <c r="F1726" i="5"/>
  <c r="F1220" i="5"/>
  <c r="M300" i="5"/>
  <c r="P300" i="5"/>
  <c r="F1911" i="5"/>
  <c r="F944" i="5"/>
  <c r="O958" i="5"/>
  <c r="J958" i="5"/>
  <c r="J955" i="5"/>
  <c r="J956" i="5" s="1"/>
  <c r="M956" i="5" s="1"/>
  <c r="F162" i="5"/>
  <c r="O176" i="5"/>
  <c r="J176" i="5"/>
  <c r="J173" i="5"/>
  <c r="J174" i="5" s="1"/>
  <c r="M174" i="5" s="1"/>
  <c r="P668" i="5"/>
  <c r="M668" i="5"/>
  <c r="P1174" i="5"/>
  <c r="M1174" i="5"/>
  <c r="F1173" i="5"/>
  <c r="P944" i="5"/>
  <c r="M944" i="5"/>
  <c r="N1912" i="5"/>
  <c r="C1917" i="5"/>
  <c r="O852" i="5"/>
  <c r="J852" i="5"/>
  <c r="F852" i="5"/>
  <c r="O460" i="5"/>
  <c r="N460" i="5" s="1"/>
  <c r="M460" i="5"/>
  <c r="F484" i="5"/>
  <c r="C400" i="5"/>
  <c r="N409" i="5"/>
  <c r="J633" i="5"/>
  <c r="J634" i="5" s="1"/>
  <c r="M634" i="5" s="1"/>
  <c r="J636" i="5"/>
  <c r="O636" i="5"/>
  <c r="M1651" i="5"/>
  <c r="M208" i="5"/>
  <c r="P208" i="5"/>
  <c r="M1058" i="5"/>
  <c r="O1058" i="5"/>
  <c r="N1058" i="5" s="1"/>
  <c r="M1559" i="5"/>
  <c r="F1404" i="5"/>
  <c r="F1958" i="5"/>
  <c r="J84" i="5"/>
  <c r="O84" i="5"/>
  <c r="J81" i="5"/>
  <c r="J82" i="5" s="1"/>
  <c r="M82" i="5" s="1"/>
  <c r="F70" i="5"/>
  <c r="P1220" i="5"/>
  <c r="M1220" i="5"/>
  <c r="O966" i="5"/>
  <c r="N966" i="5" s="1"/>
  <c r="M966" i="5"/>
  <c r="M179" i="5"/>
  <c r="O179" i="5"/>
  <c r="F163" i="5"/>
  <c r="M346" i="5"/>
  <c r="P346" i="5"/>
  <c r="F345" i="5"/>
  <c r="J769" i="5"/>
  <c r="J770" i="5" s="1"/>
  <c r="N1682" i="5"/>
  <c r="C1687" i="5"/>
  <c r="J219" i="5"/>
  <c r="J220" i="5" s="1"/>
  <c r="M220" i="5" s="1"/>
  <c r="O222" i="5"/>
  <c r="J222" i="5"/>
  <c r="F207" i="5" s="1"/>
  <c r="N1636" i="5"/>
  <c r="C1641" i="5"/>
  <c r="P1082" i="5"/>
  <c r="M1082" i="5"/>
  <c r="C952" i="5"/>
  <c r="N961" i="5"/>
  <c r="M484" i="5"/>
  <c r="P484" i="5"/>
  <c r="F483" i="5"/>
  <c r="P622" i="5"/>
  <c r="M622" i="5"/>
  <c r="F621" i="5"/>
  <c r="C813" i="5"/>
  <c r="N808" i="5"/>
  <c r="O644" i="5"/>
  <c r="N644" i="5" s="1"/>
  <c r="M644" i="5"/>
  <c r="O1789" i="5"/>
  <c r="M1513" i="5"/>
  <c r="N1866" i="5"/>
  <c r="C1871" i="5"/>
  <c r="J1609" i="5"/>
  <c r="J1597" i="5"/>
  <c r="J1598" i="5" s="1"/>
  <c r="J679" i="5"/>
  <c r="J680" i="5" s="1"/>
  <c r="M680" i="5" s="1"/>
  <c r="O682" i="5"/>
  <c r="J682" i="5"/>
  <c r="P1404" i="5"/>
  <c r="M1404" i="5"/>
  <c r="C1136" i="5"/>
  <c r="N1145" i="5"/>
  <c r="F71" i="5"/>
  <c r="O87" i="5"/>
  <c r="M87" i="5"/>
  <c r="O1605" i="5"/>
  <c r="C538" i="5"/>
  <c r="N547" i="5"/>
  <c r="O225" i="5"/>
  <c r="M225" i="5"/>
  <c r="O1910" i="5"/>
  <c r="J1910" i="5"/>
  <c r="F1910" i="5"/>
  <c r="N854" i="5"/>
  <c r="C859" i="5"/>
  <c r="P1957" i="5"/>
  <c r="M1957" i="5"/>
  <c r="O1634" i="5"/>
  <c r="J1634" i="5"/>
  <c r="F1634" i="5"/>
  <c r="F392" i="5"/>
  <c r="J1093" i="5"/>
  <c r="J1094" i="5" s="1"/>
  <c r="M1094" i="5" s="1"/>
  <c r="O1096" i="5"/>
  <c r="J1096" i="5"/>
  <c r="F1081" i="5" s="1"/>
  <c r="C722" i="5"/>
  <c r="N731" i="5"/>
  <c r="O806" i="5"/>
  <c r="J806" i="5"/>
  <c r="J827" i="5"/>
  <c r="F807" i="5"/>
  <c r="J815" i="5"/>
  <c r="J816" i="5" s="1"/>
  <c r="F806" i="5" s="1"/>
  <c r="M823" i="5"/>
  <c r="O823" i="5"/>
  <c r="M898" i="5"/>
  <c r="P898" i="5"/>
  <c r="F897" i="5"/>
  <c r="M1789" i="5"/>
  <c r="O1513" i="5"/>
  <c r="AK43" i="3"/>
  <c r="AN43" i="3" s="1"/>
  <c r="AK48" i="3"/>
  <c r="AL48" i="3" s="1"/>
  <c r="AM48" i="3" s="1"/>
  <c r="AO51" i="3"/>
  <c r="AN51" i="3"/>
  <c r="AN50" i="3"/>
  <c r="AO50" i="3" s="1"/>
  <c r="AO49" i="3"/>
  <c r="AN49" i="3"/>
  <c r="AO47" i="3"/>
  <c r="AN47" i="3"/>
  <c r="AN46" i="3"/>
  <c r="AO46" i="3" s="1"/>
  <c r="AO45" i="3"/>
  <c r="AN45" i="3"/>
  <c r="AN44" i="3"/>
  <c r="AO44" i="3" s="1"/>
  <c r="AA43" i="3"/>
  <c r="AP43" i="3"/>
  <c r="AN42" i="3"/>
  <c r="AO42" i="3" s="1"/>
  <c r="AO41" i="3"/>
  <c r="AN41" i="3"/>
  <c r="AK40" i="3"/>
  <c r="AL40" i="3" s="1"/>
  <c r="AM40" i="3" s="1"/>
  <c r="AO39" i="3"/>
  <c r="AN39" i="3"/>
  <c r="AK38" i="3"/>
  <c r="AL38" i="3" s="1"/>
  <c r="AM38" i="3" s="1"/>
  <c r="AO37" i="3"/>
  <c r="AN37" i="3"/>
  <c r="AK36" i="3"/>
  <c r="AL36" i="3" s="1"/>
  <c r="AM36" i="3" s="1"/>
  <c r="AN34" i="3"/>
  <c r="AO34" i="3" s="1"/>
  <c r="AN35" i="3"/>
  <c r="AO35" i="3"/>
  <c r="AN32" i="3"/>
  <c r="AO32" i="3" s="1"/>
  <c r="AA33" i="3"/>
  <c r="AP33" i="3"/>
  <c r="AO31" i="3"/>
  <c r="AN31" i="3"/>
  <c r="AL30" i="3"/>
  <c r="AM30" i="3" s="1"/>
  <c r="AK30" i="3"/>
  <c r="AO28" i="3"/>
  <c r="AN28" i="3"/>
  <c r="AO29" i="3"/>
  <c r="AN29" i="3"/>
  <c r="AO27" i="3"/>
  <c r="AN27" i="3"/>
  <c r="AL26" i="3"/>
  <c r="AM26" i="3" s="1"/>
  <c r="AK26" i="3"/>
  <c r="AO24" i="3"/>
  <c r="AN24" i="3"/>
  <c r="AO25" i="3"/>
  <c r="AN25" i="3"/>
  <c r="AO23" i="3"/>
  <c r="AN23" i="3"/>
  <c r="AO22" i="3"/>
  <c r="AN22" i="3"/>
  <c r="AO21" i="3"/>
  <c r="AN21" i="3"/>
  <c r="AO20" i="3"/>
  <c r="AN20" i="3"/>
  <c r="AO19" i="3"/>
  <c r="AN19" i="3"/>
  <c r="AO18" i="3"/>
  <c r="AN18" i="3"/>
  <c r="AO17" i="3"/>
  <c r="AN17" i="3"/>
  <c r="AL16" i="3"/>
  <c r="AM16" i="3" s="1"/>
  <c r="AK16" i="3"/>
  <c r="AO15" i="3"/>
  <c r="AN15" i="3"/>
  <c r="AO14" i="3"/>
  <c r="AN14" i="3"/>
  <c r="AO13" i="3"/>
  <c r="AN13" i="3"/>
  <c r="AL12" i="3"/>
  <c r="AM12" i="3" s="1"/>
  <c r="AK12" i="3"/>
  <c r="AN10" i="3"/>
  <c r="AO10" i="3"/>
  <c r="AO11" i="3"/>
  <c r="AN11" i="3"/>
  <c r="AO9" i="3"/>
  <c r="AN9" i="3"/>
  <c r="AO8" i="3"/>
  <c r="AN8" i="3"/>
  <c r="AO7" i="3"/>
  <c r="AN7" i="3"/>
  <c r="AO6" i="3"/>
  <c r="AN6" i="3"/>
  <c r="AN5" i="3"/>
  <c r="AO5" i="3" s="1"/>
  <c r="N13" i="2"/>
  <c r="S4" i="3"/>
  <c r="G4" i="3"/>
  <c r="C5" i="5" s="1"/>
  <c r="J12" i="5" s="1"/>
  <c r="H4" i="3"/>
  <c r="C12" i="5"/>
  <c r="C11" i="5"/>
  <c r="F24" i="2"/>
  <c r="C24" i="2"/>
  <c r="F27" i="2"/>
  <c r="C24" i="5"/>
  <c r="O4" i="3" s="1"/>
  <c r="C26" i="5"/>
  <c r="C28" i="5" s="1"/>
  <c r="B15" i="5"/>
  <c r="B10" i="5"/>
  <c r="N271" i="5" l="1"/>
  <c r="C262" i="5"/>
  <c r="J590" i="5"/>
  <c r="F575" i="5" s="1"/>
  <c r="O590" i="5"/>
  <c r="J587" i="5"/>
  <c r="J588" i="5" s="1"/>
  <c r="M588" i="5" s="1"/>
  <c r="U49" i="3"/>
  <c r="T50" i="3"/>
  <c r="C308" i="5"/>
  <c r="N317" i="5"/>
  <c r="O1886" i="5"/>
  <c r="N1886" i="5" s="1"/>
  <c r="M1886" i="5"/>
  <c r="J817" i="5"/>
  <c r="J818" i="5" s="1"/>
  <c r="M818" i="5" s="1"/>
  <c r="O820" i="5"/>
  <c r="J820" i="5"/>
  <c r="M1096" i="5"/>
  <c r="P1096" i="5"/>
  <c r="C216" i="5"/>
  <c r="N225" i="5"/>
  <c r="O1610" i="5"/>
  <c r="N1610" i="5" s="1"/>
  <c r="M1610" i="5"/>
  <c r="C170" i="5"/>
  <c r="N179" i="5"/>
  <c r="P1326" i="5"/>
  <c r="M1326" i="5"/>
  <c r="F1311" i="5"/>
  <c r="M314" i="5"/>
  <c r="P314" i="5"/>
  <c r="P1496" i="5"/>
  <c r="M1496" i="5"/>
  <c r="O1794" i="5"/>
  <c r="N1794" i="5" s="1"/>
  <c r="M1794" i="5"/>
  <c r="C860" i="5"/>
  <c r="N869" i="5"/>
  <c r="J1740" i="5"/>
  <c r="J1737" i="5"/>
  <c r="O1740" i="5"/>
  <c r="O1932" i="5"/>
  <c r="N1932" i="5" s="1"/>
  <c r="M1932" i="5"/>
  <c r="N1513" i="5"/>
  <c r="C1504" i="5"/>
  <c r="M1418" i="5"/>
  <c r="P1418" i="5"/>
  <c r="P1128" i="5"/>
  <c r="M1128" i="5"/>
  <c r="F713" i="5"/>
  <c r="M728" i="5"/>
  <c r="P728" i="5"/>
  <c r="M1450" i="5"/>
  <c r="P1450" i="5"/>
  <c r="J863" i="5"/>
  <c r="J864" i="5" s="1"/>
  <c r="M864" i="5" s="1"/>
  <c r="O866" i="5"/>
  <c r="J866" i="5"/>
  <c r="F851" i="5" s="1"/>
  <c r="F1128" i="5"/>
  <c r="O1142" i="5"/>
  <c r="J1139" i="5"/>
  <c r="J1140" i="5" s="1"/>
  <c r="M1140" i="5" s="1"/>
  <c r="J1142" i="5"/>
  <c r="O1748" i="5"/>
  <c r="N1748" i="5" s="1"/>
  <c r="M1748" i="5"/>
  <c r="M828" i="5"/>
  <c r="O828" i="5"/>
  <c r="N828" i="5" s="1"/>
  <c r="P84" i="5"/>
  <c r="M84" i="5"/>
  <c r="F69" i="5"/>
  <c r="M176" i="5"/>
  <c r="P176" i="5"/>
  <c r="F161" i="5"/>
  <c r="J1971" i="5"/>
  <c r="J1968" i="5"/>
  <c r="J1969" i="5" s="1"/>
  <c r="M1969" i="5" s="1"/>
  <c r="O1971" i="5"/>
  <c r="F1957" i="5"/>
  <c r="M360" i="5"/>
  <c r="P360" i="5"/>
  <c r="O1518" i="5"/>
  <c r="N1518" i="5" s="1"/>
  <c r="M1518" i="5"/>
  <c r="O1007" i="5"/>
  <c r="M1007" i="5"/>
  <c r="M874" i="5"/>
  <c r="O874" i="5"/>
  <c r="N874" i="5" s="1"/>
  <c r="C768" i="5"/>
  <c r="N777" i="5"/>
  <c r="O1150" i="5"/>
  <c r="N1150" i="5" s="1"/>
  <c r="M1150" i="5"/>
  <c r="C1596" i="5"/>
  <c r="N1605" i="5"/>
  <c r="O774" i="5"/>
  <c r="J771" i="5"/>
  <c r="J772" i="5" s="1"/>
  <c r="M772" i="5" s="1"/>
  <c r="J774" i="5"/>
  <c r="F760" i="5"/>
  <c r="N1559" i="5"/>
  <c r="C1550" i="5"/>
  <c r="N1651" i="5"/>
  <c r="C1642" i="5"/>
  <c r="O1979" i="5"/>
  <c r="N1979" i="5" s="1"/>
  <c r="M1979" i="5"/>
  <c r="P544" i="5"/>
  <c r="M544" i="5"/>
  <c r="C1734" i="5"/>
  <c r="N1743" i="5"/>
  <c r="J1507" i="5"/>
  <c r="J1508" i="5" s="1"/>
  <c r="M1508" i="5" s="1"/>
  <c r="O1510" i="5"/>
  <c r="J1510" i="5"/>
  <c r="P1372" i="5"/>
  <c r="M1372" i="5"/>
  <c r="O1004" i="5"/>
  <c r="J1004" i="5"/>
  <c r="J1001" i="5"/>
  <c r="J1002" i="5" s="1"/>
  <c r="M1002" i="5" s="1"/>
  <c r="F990" i="5"/>
  <c r="C1965" i="5"/>
  <c r="N1974" i="5"/>
  <c r="M1864" i="5"/>
  <c r="P1864" i="5"/>
  <c r="P1188" i="5"/>
  <c r="M1188" i="5"/>
  <c r="O1602" i="5"/>
  <c r="J1602" i="5"/>
  <c r="F1587" i="5" s="1"/>
  <c r="J1599" i="5"/>
  <c r="J1600" i="5" s="1"/>
  <c r="M1600" i="5" s="1"/>
  <c r="P1726" i="5"/>
  <c r="M1726" i="5"/>
  <c r="F1725" i="5"/>
  <c r="P1772" i="5"/>
  <c r="M1772" i="5"/>
  <c r="M1818" i="5"/>
  <c r="P1818" i="5"/>
  <c r="M806" i="5"/>
  <c r="P806" i="5"/>
  <c r="F805" i="5"/>
  <c r="P682" i="5"/>
  <c r="M682" i="5"/>
  <c r="C1780" i="5"/>
  <c r="N1789" i="5"/>
  <c r="N1697" i="5"/>
  <c r="C1688" i="5"/>
  <c r="C1918" i="5"/>
  <c r="N1927" i="5"/>
  <c r="F1588" i="5"/>
  <c r="O1832" i="5"/>
  <c r="J1829" i="5"/>
  <c r="J1830" i="5" s="1"/>
  <c r="M1830" i="5" s="1"/>
  <c r="J1832" i="5"/>
  <c r="F1817" i="5" s="1"/>
  <c r="F1450" i="5"/>
  <c r="J1464" i="5"/>
  <c r="J1461" i="5"/>
  <c r="J1462" i="5" s="1"/>
  <c r="M1462" i="5" s="1"/>
  <c r="O1464" i="5"/>
  <c r="J1648" i="5"/>
  <c r="J1645" i="5"/>
  <c r="J1646" i="5" s="1"/>
  <c r="M1646" i="5" s="1"/>
  <c r="O1648" i="5"/>
  <c r="M406" i="5"/>
  <c r="P406" i="5"/>
  <c r="J1783" i="5"/>
  <c r="J1784" i="5" s="1"/>
  <c r="M1784" i="5" s="1"/>
  <c r="O1786" i="5"/>
  <c r="J1786" i="5"/>
  <c r="F1771" i="5" s="1"/>
  <c r="P1634" i="5"/>
  <c r="M1634" i="5"/>
  <c r="P1910" i="5"/>
  <c r="M1910" i="5"/>
  <c r="C78" i="5"/>
  <c r="N87" i="5"/>
  <c r="P636" i="5"/>
  <c r="M636" i="5"/>
  <c r="P852" i="5"/>
  <c r="M852" i="5"/>
  <c r="P452" i="5"/>
  <c r="M452" i="5"/>
  <c r="N1467" i="5"/>
  <c r="C1458" i="5"/>
  <c r="J1691" i="5"/>
  <c r="O1694" i="5"/>
  <c r="J1694" i="5"/>
  <c r="F1680" i="5"/>
  <c r="F437" i="5"/>
  <c r="M1588" i="5"/>
  <c r="P1588" i="5"/>
  <c r="O1840" i="5"/>
  <c r="N1840" i="5" s="1"/>
  <c r="M1840" i="5"/>
  <c r="M1472" i="5"/>
  <c r="O1472" i="5"/>
  <c r="N1472" i="5" s="1"/>
  <c r="O1656" i="5"/>
  <c r="N1656" i="5" s="1"/>
  <c r="M1656" i="5"/>
  <c r="P498" i="5"/>
  <c r="M498" i="5"/>
  <c r="J1553" i="5"/>
  <c r="J1554" i="5" s="1"/>
  <c r="M1554" i="5" s="1"/>
  <c r="O1556" i="5"/>
  <c r="J1556" i="5"/>
  <c r="F1542" i="5"/>
  <c r="C814" i="5"/>
  <c r="N823" i="5"/>
  <c r="U50" i="3"/>
  <c r="T51" i="3"/>
  <c r="M222" i="5"/>
  <c r="P222" i="5"/>
  <c r="F667" i="5"/>
  <c r="F943" i="5"/>
  <c r="M958" i="5"/>
  <c r="P958" i="5"/>
  <c r="P1050" i="5"/>
  <c r="M1050" i="5"/>
  <c r="AC866" i="5"/>
  <c r="AF866" i="5"/>
  <c r="M590" i="5"/>
  <c r="F1772" i="5"/>
  <c r="M1702" i="5"/>
  <c r="O1702" i="5"/>
  <c r="N1702" i="5" s="1"/>
  <c r="J1921" i="5"/>
  <c r="J1922" i="5" s="1"/>
  <c r="M1922" i="5" s="1"/>
  <c r="J1924" i="5"/>
  <c r="O1924" i="5"/>
  <c r="V851" i="5"/>
  <c r="J1875" i="5"/>
  <c r="J1876" i="5" s="1"/>
  <c r="M1876" i="5" s="1"/>
  <c r="O1878" i="5"/>
  <c r="J1878" i="5"/>
  <c r="N1881" i="5"/>
  <c r="C1872" i="5"/>
  <c r="F529" i="5"/>
  <c r="P1234" i="5"/>
  <c r="M1234" i="5"/>
  <c r="C584" i="5"/>
  <c r="N593" i="5"/>
  <c r="O1564" i="5"/>
  <c r="N1564" i="5" s="1"/>
  <c r="M1564" i="5"/>
  <c r="AN48" i="3"/>
  <c r="AO48" i="3" s="1"/>
  <c r="AA50" i="3"/>
  <c r="AP50" i="3"/>
  <c r="AA51" i="3"/>
  <c r="AP51" i="3"/>
  <c r="AA49" i="3"/>
  <c r="AP49" i="3"/>
  <c r="AP46" i="3"/>
  <c r="AA46" i="3"/>
  <c r="AA47" i="3"/>
  <c r="AP47" i="3"/>
  <c r="AA44" i="3"/>
  <c r="AP44" i="3"/>
  <c r="AA45" i="3"/>
  <c r="AP45" i="3"/>
  <c r="AA42" i="3"/>
  <c r="AP42" i="3"/>
  <c r="AR43" i="3"/>
  <c r="AQ43" i="3"/>
  <c r="AN40" i="3"/>
  <c r="AO40" i="3" s="1"/>
  <c r="AA41" i="3"/>
  <c r="AP41" i="3"/>
  <c r="AN38" i="3"/>
  <c r="AO38" i="3" s="1"/>
  <c r="AA39" i="3"/>
  <c r="AP39" i="3"/>
  <c r="AN36" i="3"/>
  <c r="AO36" i="3" s="1"/>
  <c r="AA37" i="3"/>
  <c r="AP37" i="3"/>
  <c r="AA35" i="3"/>
  <c r="AP35" i="3"/>
  <c r="AA34" i="3"/>
  <c r="AP34" i="3"/>
  <c r="AR33" i="3"/>
  <c r="AQ33" i="3"/>
  <c r="AA32" i="3"/>
  <c r="AP32" i="3"/>
  <c r="AN30" i="3"/>
  <c r="AO30" i="3"/>
  <c r="AA31" i="3"/>
  <c r="AP31" i="3"/>
  <c r="AA29" i="3"/>
  <c r="AP29" i="3"/>
  <c r="AA28" i="3"/>
  <c r="AP28" i="3"/>
  <c r="AO26" i="3"/>
  <c r="AN26" i="3"/>
  <c r="AA27" i="3"/>
  <c r="AP27" i="3"/>
  <c r="AA25" i="3"/>
  <c r="AP25" i="3"/>
  <c r="AA24" i="3"/>
  <c r="AP24" i="3"/>
  <c r="AA22" i="3"/>
  <c r="AP22" i="3"/>
  <c r="AA23" i="3"/>
  <c r="AP23" i="3"/>
  <c r="AA20" i="3"/>
  <c r="AP20" i="3"/>
  <c r="AA21" i="3"/>
  <c r="AP21" i="3"/>
  <c r="AA18" i="3"/>
  <c r="AP18" i="3"/>
  <c r="AA19" i="3"/>
  <c r="AP19" i="3"/>
  <c r="AO16" i="3"/>
  <c r="AN16" i="3"/>
  <c r="AA17" i="3"/>
  <c r="AP17" i="3"/>
  <c r="AA14" i="3"/>
  <c r="AP14" i="3"/>
  <c r="AA15" i="3"/>
  <c r="AP15" i="3"/>
  <c r="AO12" i="3"/>
  <c r="AN12" i="3"/>
  <c r="AA13" i="3"/>
  <c r="AP13" i="3"/>
  <c r="AP11" i="3"/>
  <c r="AA11" i="3"/>
  <c r="AA10" i="3"/>
  <c r="AP10" i="3"/>
  <c r="AA8" i="3"/>
  <c r="AP8" i="3"/>
  <c r="AA9" i="3"/>
  <c r="AP9" i="3"/>
  <c r="AA6" i="3"/>
  <c r="AP6" i="3"/>
  <c r="AA7" i="3"/>
  <c r="AP7" i="3"/>
  <c r="AA5" i="3"/>
  <c r="AP5" i="3"/>
  <c r="Z4" i="3"/>
  <c r="P4" i="3"/>
  <c r="B2" i="5"/>
  <c r="C10" i="5"/>
  <c r="J6" i="5" s="1"/>
  <c r="C33" i="5" s="1"/>
  <c r="V4" i="3"/>
  <c r="J9" i="5"/>
  <c r="N30" i="5" s="1"/>
  <c r="J8" i="5"/>
  <c r="M8" i="5" s="1"/>
  <c r="C18" i="5"/>
  <c r="C17" i="5"/>
  <c r="C16" i="5"/>
  <c r="J25" i="5"/>
  <c r="J26" i="5" s="1"/>
  <c r="J5" i="5"/>
  <c r="I16" i="2"/>
  <c r="I17" i="2"/>
  <c r="C26" i="2"/>
  <c r="I25" i="2" s="1"/>
  <c r="I26" i="2" s="1"/>
  <c r="C27" i="2"/>
  <c r="I19" i="2"/>
  <c r="I9" i="2"/>
  <c r="B10" i="2"/>
  <c r="I8" i="2"/>
  <c r="L8" i="2" s="1"/>
  <c r="I7" i="2"/>
  <c r="L7" i="2" s="1"/>
  <c r="I37" i="2"/>
  <c r="I18" i="2"/>
  <c r="I12" i="2"/>
  <c r="H6" i="1"/>
  <c r="H5" i="1"/>
  <c r="H4" i="1"/>
  <c r="G13" i="1"/>
  <c r="I6" i="2"/>
  <c r="I13" i="2" s="1"/>
  <c r="I5" i="2"/>
  <c r="L5" i="2" s="1"/>
  <c r="B15" i="2"/>
  <c r="G12" i="1"/>
  <c r="P590" i="5" l="1"/>
  <c r="P1971" i="5"/>
  <c r="M1971" i="5"/>
  <c r="F1956" i="5"/>
  <c r="M1648" i="5"/>
  <c r="P1648" i="5"/>
  <c r="J1738" i="5"/>
  <c r="M1738" i="5" s="1"/>
  <c r="P1786" i="5"/>
  <c r="M1786" i="5"/>
  <c r="P1004" i="5"/>
  <c r="M1004" i="5"/>
  <c r="F989" i="5"/>
  <c r="M1740" i="5"/>
  <c r="P1740" i="5"/>
  <c r="M1924" i="5"/>
  <c r="P1924" i="5"/>
  <c r="J1692" i="5"/>
  <c r="M1692" i="5" s="1"/>
  <c r="M1878" i="5"/>
  <c r="P1878" i="5"/>
  <c r="F1863" i="5"/>
  <c r="M1142" i="5"/>
  <c r="P1142" i="5"/>
  <c r="F1909" i="5"/>
  <c r="F1449" i="5"/>
  <c r="P1464" i="5"/>
  <c r="M1464" i="5"/>
  <c r="P774" i="5"/>
  <c r="M774" i="5"/>
  <c r="F759" i="5"/>
  <c r="U48" i="3"/>
  <c r="T49" i="3"/>
  <c r="P1556" i="5"/>
  <c r="M1556" i="5"/>
  <c r="F1541" i="5"/>
  <c r="P1694" i="5"/>
  <c r="M1694" i="5"/>
  <c r="F1679" i="5"/>
  <c r="P1832" i="5"/>
  <c r="M1832" i="5"/>
  <c r="P1510" i="5"/>
  <c r="M1510" i="5"/>
  <c r="N1007" i="5"/>
  <c r="C998" i="5"/>
  <c r="F1633" i="5"/>
  <c r="P1602" i="5"/>
  <c r="M1602" i="5"/>
  <c r="M866" i="5"/>
  <c r="P866" i="5"/>
  <c r="F1127" i="5"/>
  <c r="F1495" i="5"/>
  <c r="P820" i="5"/>
  <c r="M820" i="5"/>
  <c r="AP48" i="3"/>
  <c r="AQ48" i="3" s="1"/>
  <c r="AA48" i="3"/>
  <c r="J39" i="5"/>
  <c r="J31" i="5" s="1"/>
  <c r="AQ50" i="3"/>
  <c r="AR50" i="3" s="1"/>
  <c r="AR51" i="3"/>
  <c r="AQ51" i="3"/>
  <c r="AR49" i="3"/>
  <c r="AQ49" i="3"/>
  <c r="AR47" i="3"/>
  <c r="AQ47" i="3"/>
  <c r="AQ46" i="3"/>
  <c r="AR46" i="3" s="1"/>
  <c r="AQ44" i="3"/>
  <c r="AR44" i="3" s="1"/>
  <c r="AR45" i="3"/>
  <c r="AQ45" i="3"/>
  <c r="AQ42" i="3"/>
  <c r="AR42" i="3" s="1"/>
  <c r="AR41" i="3"/>
  <c r="AQ41" i="3"/>
  <c r="AP40" i="3"/>
  <c r="AA40" i="3"/>
  <c r="AR39" i="3"/>
  <c r="AQ39" i="3"/>
  <c r="AA38" i="3"/>
  <c r="AP38" i="3"/>
  <c r="AR37" i="3"/>
  <c r="AQ37" i="3"/>
  <c r="AA36" i="3"/>
  <c r="AP36" i="3"/>
  <c r="AQ34" i="3"/>
  <c r="AR34" i="3" s="1"/>
  <c r="AR35" i="3"/>
  <c r="AQ35" i="3"/>
  <c r="AQ32" i="3"/>
  <c r="AR32" i="3" s="1"/>
  <c r="AR31" i="3"/>
  <c r="AQ31" i="3"/>
  <c r="AA30" i="3"/>
  <c r="AP30" i="3"/>
  <c r="AR28" i="3"/>
  <c r="AQ28" i="3"/>
  <c r="AR29" i="3"/>
  <c r="AQ29" i="3"/>
  <c r="AR27" i="3"/>
  <c r="AQ27" i="3"/>
  <c r="AP26" i="3"/>
  <c r="AA26" i="3"/>
  <c r="AR24" i="3"/>
  <c r="AQ24" i="3"/>
  <c r="AR25" i="3"/>
  <c r="AQ25" i="3"/>
  <c r="AR22" i="3"/>
  <c r="AQ22" i="3"/>
  <c r="AR23" i="3"/>
  <c r="AQ23" i="3"/>
  <c r="AQ21" i="3"/>
  <c r="AR21" i="3"/>
  <c r="AR20" i="3"/>
  <c r="AQ20" i="3"/>
  <c r="AR19" i="3"/>
  <c r="AQ19" i="3"/>
  <c r="AR18" i="3"/>
  <c r="AQ18" i="3"/>
  <c r="AR17" i="3"/>
  <c r="AQ17" i="3"/>
  <c r="AA16" i="3"/>
  <c r="AP16" i="3"/>
  <c r="AR14" i="3"/>
  <c r="AQ14" i="3"/>
  <c r="AR15" i="3"/>
  <c r="AQ15" i="3"/>
  <c r="AA12" i="3"/>
  <c r="AP12" i="3"/>
  <c r="AR13" i="3"/>
  <c r="AQ13" i="3"/>
  <c r="AR10" i="3"/>
  <c r="AQ10" i="3"/>
  <c r="AQ11" i="3"/>
  <c r="AR11" i="3"/>
  <c r="AR9" i="3"/>
  <c r="AQ9" i="3"/>
  <c r="AR8" i="3"/>
  <c r="AQ8" i="3"/>
  <c r="AR7" i="3"/>
  <c r="AQ7" i="3"/>
  <c r="AQ6" i="3"/>
  <c r="AR6" i="3"/>
  <c r="AQ5" i="3"/>
  <c r="AR5" i="3" s="1"/>
  <c r="M5" i="5"/>
  <c r="W4" i="3"/>
  <c r="J37" i="5"/>
  <c r="C27" i="5"/>
  <c r="J7" i="5"/>
  <c r="M7" i="5" s="1"/>
  <c r="AC4" i="3"/>
  <c r="AD4" i="3" s="1"/>
  <c r="AE4" i="3" s="1"/>
  <c r="J17" i="5"/>
  <c r="J19" i="5" s="1"/>
  <c r="O26" i="5" s="1"/>
  <c r="J16" i="5"/>
  <c r="J18" i="5" s="1"/>
  <c r="J30" i="5" s="1"/>
  <c r="J45" i="5" s="1"/>
  <c r="C15" i="5"/>
  <c r="J13" i="5" s="1"/>
  <c r="M30" i="2"/>
  <c r="N26" i="2"/>
  <c r="M26" i="2" s="1"/>
  <c r="I39" i="2"/>
  <c r="I31" i="2" s="1"/>
  <c r="I30" i="2"/>
  <c r="I45" i="2" s="1"/>
  <c r="I44" i="2"/>
  <c r="L26" i="2"/>
  <c r="I22" i="2"/>
  <c r="I23" i="2" s="1"/>
  <c r="L13" i="2"/>
  <c r="AR48" i="3" l="1"/>
  <c r="J40" i="5"/>
  <c r="AQ40" i="3"/>
  <c r="AR40" i="3" s="1"/>
  <c r="AQ38" i="3"/>
  <c r="AR38" i="3" s="1"/>
  <c r="AQ36" i="3"/>
  <c r="AR36" i="3" s="1"/>
  <c r="AR30" i="3"/>
  <c r="AQ30" i="3"/>
  <c r="AR26" i="3"/>
  <c r="AQ26" i="3"/>
  <c r="AR16" i="3"/>
  <c r="AQ16" i="3"/>
  <c r="AR12" i="3"/>
  <c r="AQ12" i="3"/>
  <c r="AF4" i="3"/>
  <c r="AG4" i="3" s="1"/>
  <c r="N26" i="5"/>
  <c r="C31" i="5"/>
  <c r="M13" i="5"/>
  <c r="O13" i="5"/>
  <c r="M26" i="5"/>
  <c r="J22" i="5"/>
  <c r="J23" i="5" s="1"/>
  <c r="J44" i="5"/>
  <c r="J46" i="5"/>
  <c r="N29" i="5"/>
  <c r="N31" i="5"/>
  <c r="I46" i="2"/>
  <c r="I40" i="2"/>
  <c r="M29" i="2"/>
  <c r="M31" i="2"/>
  <c r="I24" i="2"/>
  <c r="L24" i="2" s="1"/>
  <c r="AH4" i="3" l="1"/>
  <c r="AI4" i="3" s="1"/>
  <c r="AJ4" i="3" s="1"/>
  <c r="O24" i="5"/>
  <c r="J32" i="5"/>
  <c r="J33" i="5" s="1"/>
  <c r="J34" i="5" s="1"/>
  <c r="F24" i="5" s="1"/>
  <c r="T4" i="3" s="1"/>
  <c r="J24" i="5"/>
  <c r="M24" i="5" s="1"/>
  <c r="O46" i="5"/>
  <c r="N46" i="5" s="1"/>
  <c r="M46" i="5"/>
  <c r="L46" i="2"/>
  <c r="N46" i="2"/>
  <c r="M46" i="2" s="1"/>
  <c r="O24" i="2"/>
  <c r="N24" i="2"/>
  <c r="I32" i="2"/>
  <c r="I33" i="2" s="1"/>
  <c r="AK4" i="3" l="1"/>
  <c r="AL4" i="3"/>
  <c r="AM4" i="3" s="1"/>
  <c r="J41" i="5"/>
  <c r="P24" i="5"/>
  <c r="J35" i="5"/>
  <c r="J36" i="5" s="1"/>
  <c r="M36" i="5" s="1"/>
  <c r="O38" i="5"/>
  <c r="J38" i="5"/>
  <c r="M38" i="5" s="1"/>
  <c r="I34" i="2"/>
  <c r="I38" i="2" s="1"/>
  <c r="F23" i="2" s="1"/>
  <c r="I41" i="2"/>
  <c r="AN4" i="3" l="1"/>
  <c r="AO4" i="3"/>
  <c r="O41" i="5"/>
  <c r="F25" i="5"/>
  <c r="T5" i="3" s="1"/>
  <c r="M41" i="5"/>
  <c r="F23" i="5"/>
  <c r="P38" i="5"/>
  <c r="L41" i="2"/>
  <c r="N41" i="2"/>
  <c r="M41" i="2" s="1"/>
  <c r="L38" i="2"/>
  <c r="O38" i="2"/>
  <c r="I35" i="2"/>
  <c r="I36" i="2" s="1"/>
  <c r="L36" i="2" s="1"/>
  <c r="N38" i="2"/>
  <c r="U4" i="3" l="1"/>
  <c r="AP4" i="3"/>
  <c r="AA4" i="3"/>
  <c r="N41" i="5"/>
  <c r="C32" i="5"/>
  <c r="AQ4" i="3" l="1"/>
  <c r="AR4" i="3"/>
</calcChain>
</file>

<file path=xl/sharedStrings.xml><?xml version="1.0" encoding="utf-8"?>
<sst xmlns="http://schemas.openxmlformats.org/spreadsheetml/2006/main" count="6269" uniqueCount="151">
  <si>
    <t>As [cm2/m]</t>
  </si>
  <si>
    <t>φ [mm]</t>
  </si>
  <si>
    <t>s [cm]</t>
  </si>
  <si>
    <t>Datos del muro</t>
  </si>
  <si>
    <t>MURO</t>
  </si>
  <si>
    <t>cm</t>
  </si>
  <si>
    <t>Propiedades de los materiales</t>
  </si>
  <si>
    <t>Hormigón f'c (H30)</t>
  </si>
  <si>
    <t>kgf/cm2</t>
  </si>
  <si>
    <t>MURO PISO 1 EJE 2-16</t>
  </si>
  <si>
    <t>Altura libre</t>
  </si>
  <si>
    <t>Cargas sobre el muro</t>
  </si>
  <si>
    <t>T</t>
  </si>
  <si>
    <t>$Q_{SC}$</t>
  </si>
  <si>
    <t>$Q_{PP}$</t>
  </si>
  <si>
    <t>$Q_{SISMICO}$</t>
  </si>
  <si>
    <t>Área</t>
  </si>
  <si>
    <t>cm2</t>
  </si>
  <si>
    <t>Área barras</t>
  </si>
  <si>
    <t>Fierro máximo</t>
  </si>
  <si>
    <t>e [cm]</t>
  </si>
  <si>
    <t>Área a buscar</t>
  </si>
  <si>
    <t>Fierro encontrado</t>
  </si>
  <si>
    <t>Fierro es</t>
  </si>
  <si>
    <t>Espesor</t>
  </si>
  <si>
    <t>Cálculo parámetros</t>
  </si>
  <si>
    <t>Resistencia axial</t>
  </si>
  <si>
    <t>$\sigma_u$</t>
  </si>
  <si>
    <t>$\sigma_{adm}$</t>
  </si>
  <si>
    <t>$\tau$</t>
  </si>
  <si>
    <t>Tensión fluencia acero (A63-42H)</t>
  </si>
  <si>
    <t>Tensión corte acero (A63-42H)</t>
  </si>
  <si>
    <t>cm2/m</t>
  </si>
  <si>
    <t>$\phi$</t>
  </si>
  <si>
    <t>Separación obtenida</t>
  </si>
  <si>
    <t>mm</t>
  </si>
  <si>
    <t>Acv</t>
  </si>
  <si>
    <t>Otros</t>
  </si>
  <si>
    <t>Vn</t>
  </si>
  <si>
    <t>Vs REQ</t>
  </si>
  <si>
    <t>Vu</t>
  </si>
  <si>
    <t>Armadura de corte ($\phi$)</t>
  </si>
  <si>
    <t>Diseño del muro</t>
  </si>
  <si>
    <t>Separación (s)</t>
  </si>
  <si>
    <t>Resistencia total sin reducir</t>
  </si>
  <si>
    <t>Resistencia máxima admisible</t>
  </si>
  <si>
    <t>Vu/$\phi$</t>
  </si>
  <si>
    <t>Vs max</t>
  </si>
  <si>
    <t>Área total</t>
  </si>
  <si>
    <t>Corte resistente total</t>
  </si>
  <si>
    <t>[-]</t>
  </si>
  <si>
    <t>Separación s horizontal max</t>
  </si>
  <si>
    <t>Cálculo acero</t>
  </si>
  <si>
    <t>Cuantía mínima</t>
  </si>
  <si>
    <t>Cálculo corte análisis</t>
  </si>
  <si>
    <t>$V_{U}$</t>
  </si>
  <si>
    <t>Separación s vertical max</t>
  </si>
  <si>
    <t>$\alpha_c$</t>
  </si>
  <si>
    <t>Esbeltez (&lt;h)</t>
  </si>
  <si>
    <t>${Vc}_{max}$</t>
  </si>
  <si>
    <t>$Vc$</t>
  </si>
  <si>
    <t>Ac REQ</t>
  </si>
  <si>
    <t>d</t>
  </si>
  <si>
    <t>Largo del muro ($l_w$)</t>
  </si>
  <si>
    <t>${Vc}_1$</t>
  </si>
  <si>
    <t>Cuantía requerida</t>
  </si>
  <si>
    <t>Área de una barra</t>
  </si>
  <si>
    <t>Cálculo resistencia del hormigón</t>
  </si>
  <si>
    <t>Diseño corte con ACI.318-05</t>
  </si>
  <si>
    <t>$Q_{DISEÑO}$ CS</t>
  </si>
  <si>
    <t>Diseño corte simple, suma de valores absolutos</t>
  </si>
  <si>
    <t>$V_{U}$ CS</t>
  </si>
  <si>
    <t>$Q_{DISEÑO}$ LRFD</t>
  </si>
  <si>
    <t>$V_{U}$ LRFD</t>
  </si>
  <si>
    <t>Si se define corte último se usa este, LRFD</t>
  </si>
  <si>
    <t>Si se define corte último se usa este, CS</t>
  </si>
  <si>
    <t>Diseño armadura corte (MÉTODO SIMPLIFICADO, CS)</t>
  </si>
  <si>
    <t>Resistencia corte último según ACI.318-05, LRFD</t>
  </si>
  <si>
    <t>Área mínima</t>
  </si>
  <si>
    <t>Vn FINAL</t>
  </si>
  <si>
    <t>Sin redondear</t>
  </si>
  <si>
    <t>Vs FINAL</t>
  </si>
  <si>
    <t>Resistencia acero con el acero definido, limitada por Vs max</t>
  </si>
  <si>
    <t>PISO</t>
  </si>
  <si>
    <t>NPIER</t>
  </si>
  <si>
    <t>PP</t>
  </si>
  <si>
    <t>SC</t>
  </si>
  <si>
    <t>X</t>
  </si>
  <si>
    <t>EJE SISMO</t>
  </si>
  <si>
    <t>e (cm)</t>
  </si>
  <si>
    <t>DIR X</t>
  </si>
  <si>
    <t>Story</t>
  </si>
  <si>
    <t>Pier</t>
  </si>
  <si>
    <t>Load Case/Combo</t>
  </si>
  <si>
    <t>P</t>
  </si>
  <si>
    <t>V2</t>
  </si>
  <si>
    <t>V3</t>
  </si>
  <si>
    <t>SX Max</t>
  </si>
  <si>
    <t>ID</t>
  </si>
  <si>
    <t>Hormigón f'c (G)</t>
  </si>
  <si>
    <t>L (cm)</t>
  </si>
  <si>
    <t>H (cm)</t>
  </si>
  <si>
    <t>N (tonf)</t>
  </si>
  <si>
    <t>PP (tonf)</t>
  </si>
  <si>
    <t>SC (tonf)</t>
  </si>
  <si>
    <t>QS (tonf)</t>
  </si>
  <si>
    <t>CORTE</t>
  </si>
  <si>
    <t>ÁREA</t>
  </si>
  <si>
    <t>HORMIGON (MPa)</t>
  </si>
  <si>
    <t>FC [Mpa]</t>
  </si>
  <si>
    <t>ex [cm]</t>
  </si>
  <si>
    <t>ey [cm]</t>
  </si>
  <si>
    <t>Porcentaje uso</t>
  </si>
  <si>
    <t>STATUS</t>
  </si>
  <si>
    <t>Área REQ OBTENIDA</t>
  </si>
  <si>
    <t>Res CS</t>
  </si>
  <si>
    <t>RES ACI</t>
  </si>
  <si>
    <t>Cuantía</t>
  </si>
  <si>
    <t>rho</t>
  </si>
  <si>
    <t>Ag</t>
  </si>
  <si>
    <t>rho punta</t>
  </si>
  <si>
    <t>Lb (cm)</t>
  </si>
  <si>
    <t>As (cm2)</t>
  </si>
  <si>
    <t>Áreas barras</t>
  </si>
  <si>
    <t>Área [cm2]</t>
  </si>
  <si>
    <t>Barras punta</t>
  </si>
  <si>
    <t>INC</t>
  </si>
  <si>
    <t>FI</t>
  </si>
  <si>
    <t>FI REAL</t>
  </si>
  <si>
    <t>AREA</t>
  </si>
  <si>
    <t>NUM</t>
  </si>
  <si>
    <t>M.H</t>
  </si>
  <si>
    <t>Arm minima</t>
  </si>
  <si>
    <t>$\phi$8@20</t>
  </si>
  <si>
    <t>$\phi$8@16</t>
  </si>
  <si>
    <t>$\phi$10@20</t>
  </si>
  <si>
    <t>M.V</t>
  </si>
  <si>
    <t>PUNTA</t>
  </si>
  <si>
    <t>Armadura</t>
  </si>
  <si>
    <t>tonf</t>
  </si>
  <si>
    <t>F31X</t>
  </si>
  <si>
    <t>F33X</t>
  </si>
  <si>
    <t>F32X</t>
  </si>
  <si>
    <t>F28X</t>
  </si>
  <si>
    <t>F22X</t>
  </si>
  <si>
    <t>EJE 15</t>
  </si>
  <si>
    <t>EJE 15.C-C1</t>
  </si>
  <si>
    <t>EJE 15.G-L</t>
  </si>
  <si>
    <t>SINDEX</t>
  </si>
  <si>
    <t>POS</t>
  </si>
  <si>
    <t>$\phi$10@14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</si>
</sst>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33C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2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2" xfId="0" applyBorder="1" applyAlignment="1">
      <alignment horizontal="right"/>
    </xf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ill="1" applyBorder="1"/>
    <xf numFmtId="0" fontId="0" fillId="0" borderId="12" xfId="0" applyFill="1" applyBorder="1"/>
    <xf numFmtId="2" fontId="0" fillId="0" borderId="12" xfId="0" applyNumberFormat="1" applyBorder="1"/>
    <xf numFmtId="0" fontId="0" fillId="0" borderId="12" xfId="0" applyFill="1" applyBorder="1" applyAlignment="1">
      <alignment horizontal="right"/>
    </xf>
    <xf numFmtId="165" fontId="0" fillId="0" borderId="0" xfId="0" applyNumberFormat="1"/>
    <xf numFmtId="0" fontId="2" fillId="0" borderId="0" xfId="0" applyFont="1" applyFill="1" applyBorder="1" applyAlignment="1">
      <alignment horizontal="left"/>
    </xf>
    <xf numFmtId="166" fontId="0" fillId="0" borderId="12" xfId="0" applyNumberFormat="1" applyBorder="1"/>
    <xf numFmtId="1" fontId="0" fillId="0" borderId="12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4" fillId="0" borderId="12" xfId="0" applyFont="1" applyBorder="1" applyAlignment="1">
      <alignment horizontal="left"/>
    </xf>
    <xf numFmtId="0" fontId="2" fillId="2" borderId="0" xfId="0" applyFont="1" applyFill="1"/>
    <xf numFmtId="0" fontId="5" fillId="0" borderId="0" xfId="0" applyFont="1"/>
    <xf numFmtId="0" fontId="0" fillId="5" borderId="0" xfId="0" applyFill="1" applyAlignment="1">
      <alignment horizontal="right"/>
    </xf>
    <xf numFmtId="2" fontId="0" fillId="5" borderId="0" xfId="0" applyNumberFormat="1" applyFill="1" applyAlignment="1">
      <alignment horizontal="right"/>
    </xf>
    <xf numFmtId="166" fontId="0" fillId="5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6" borderId="0" xfId="0" applyFill="1" applyBorder="1"/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0" fillId="5" borderId="0" xfId="1" applyFont="1" applyFill="1" applyAlignment="1">
      <alignment horizontal="right"/>
    </xf>
    <xf numFmtId="2" fontId="0" fillId="3" borderId="12" xfId="0" applyNumberFormat="1" applyFill="1" applyBorder="1"/>
    <xf numFmtId="2" fontId="0" fillId="4" borderId="12" xfId="0" applyNumberFormat="1" applyFill="1" applyBorder="1"/>
    <xf numFmtId="0" fontId="2" fillId="8" borderId="0" xfId="0" applyFont="1" applyFill="1"/>
    <xf numFmtId="0" fontId="0" fillId="7" borderId="12" xfId="0" applyFill="1" applyBorder="1" applyAlignment="1">
      <alignment horizontal="right"/>
    </xf>
    <xf numFmtId="0" fontId="0" fillId="7" borderId="12" xfId="0" applyFill="1" applyBorder="1"/>
    <xf numFmtId="0" fontId="0" fillId="0" borderId="0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7" borderId="0" xfId="0" applyFill="1"/>
    <xf numFmtId="0" fontId="0" fillId="0" borderId="0" xfId="0"/>
    <xf numFmtId="0" fontId="2" fillId="10" borderId="13" xfId="0" applyFont="1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165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12" xfId="0" applyFill="1" applyBorder="1" applyAlignment="1">
      <alignment horizontal="right"/>
    </xf>
    <xf numFmtId="0" fontId="0" fillId="11" borderId="12" xfId="0" applyFill="1" applyBorder="1"/>
    <xf numFmtId="0" fontId="0" fillId="11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2" fillId="0" borderId="1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D7F1-EE11-4176-B28A-840FC552FF55}">
  <dimension ref="B2:Q57"/>
  <sheetViews>
    <sheetView showGridLines="0" workbookViewId="0">
      <selection activeCell="C5" sqref="C5"/>
    </sheetView>
  </sheetViews>
  <sheetFormatPr defaultColWidth="11.5546875" defaultRowHeight="14.4" x14ac:dyDescent="0.3"/>
  <cols>
    <col min="1" max="1" width="3.33203125" customWidth="1"/>
    <col min="2" max="2" width="29.21875" bestFit="1" customWidth="1"/>
    <col min="3" max="3" width="6" bestFit="1" customWidth="1"/>
    <col min="4" max="4" width="7.6640625" bestFit="1" customWidth="1"/>
    <col min="5" max="5" width="2" customWidth="1"/>
    <col min="6" max="6" width="11.6640625" bestFit="1" customWidth="1"/>
    <col min="7" max="7" width="3.6640625" customWidth="1"/>
    <col min="8" max="8" width="24.21875" style="15" customWidth="1"/>
    <col min="9" max="9" width="11.109375" customWidth="1"/>
    <col min="10" max="10" width="7.6640625" bestFit="1" customWidth="1"/>
    <col min="11" max="11" width="1.88671875" customWidth="1"/>
    <col min="12" max="12" width="14.5546875" bestFit="1" customWidth="1"/>
    <col min="13" max="13" width="12.21875" bestFit="1" customWidth="1"/>
    <col min="14" max="14" width="12" bestFit="1" customWidth="1"/>
  </cols>
  <sheetData>
    <row r="2" spans="2:14" ht="18" x14ac:dyDescent="0.35">
      <c r="B2" s="38" t="s">
        <v>9</v>
      </c>
    </row>
    <row r="4" spans="2:14" x14ac:dyDescent="0.3">
      <c r="B4" s="17" t="s">
        <v>6</v>
      </c>
      <c r="H4" s="18" t="s">
        <v>25</v>
      </c>
    </row>
    <row r="5" spans="2:14" x14ac:dyDescent="0.3">
      <c r="B5" s="19" t="s">
        <v>7</v>
      </c>
      <c r="C5" s="16">
        <v>300</v>
      </c>
      <c r="D5" s="16" t="s">
        <v>8</v>
      </c>
      <c r="H5" s="19" t="s">
        <v>58</v>
      </c>
      <c r="I5" s="16">
        <f>C12/16</f>
        <v>15.625</v>
      </c>
      <c r="J5" s="16" t="s">
        <v>5</v>
      </c>
      <c r="K5" s="21"/>
      <c r="L5" s="39" t="str">
        <f>IF(I5&lt;C10,"[OK]","[REDISEÑAR]")</f>
        <v>[OK]</v>
      </c>
    </row>
    <row r="6" spans="2:14" x14ac:dyDescent="0.3">
      <c r="B6" s="19" t="s">
        <v>30</v>
      </c>
      <c r="C6" s="16">
        <v>4200</v>
      </c>
      <c r="D6" s="16" t="s">
        <v>8</v>
      </c>
      <c r="H6" s="19" t="s">
        <v>16</v>
      </c>
      <c r="I6" s="16">
        <f>C10*C11</f>
        <v>12500</v>
      </c>
      <c r="J6" s="16" t="s">
        <v>17</v>
      </c>
      <c r="K6" s="21"/>
    </row>
    <row r="7" spans="2:14" x14ac:dyDescent="0.3">
      <c r="B7" s="19" t="s">
        <v>31</v>
      </c>
      <c r="C7" s="16">
        <v>2800</v>
      </c>
      <c r="D7" s="16" t="s">
        <v>8</v>
      </c>
      <c r="H7" s="19" t="s">
        <v>51</v>
      </c>
      <c r="I7" s="16">
        <f>MIN(0.8*C11/5,3*C10,45)</f>
        <v>45</v>
      </c>
      <c r="J7" s="16" t="s">
        <v>5</v>
      </c>
      <c r="K7" s="21"/>
      <c r="L7" s="39" t="str">
        <f>IF(I7&gt;C23,"[OK]","[REDISEÑAR]")</f>
        <v>[OK]</v>
      </c>
    </row>
    <row r="8" spans="2:14" x14ac:dyDescent="0.3">
      <c r="H8" s="19" t="s">
        <v>56</v>
      </c>
      <c r="I8" s="16">
        <f>MIN(0.8*C12/3,3*C11,45)</f>
        <v>45</v>
      </c>
      <c r="J8" s="16" t="s">
        <v>5</v>
      </c>
      <c r="K8" s="21"/>
      <c r="L8" s="39" t="str">
        <f>IF(I8&gt;C23,"[OK]","[REDISEÑAR]")</f>
        <v>[OK]</v>
      </c>
    </row>
    <row r="9" spans="2:14" x14ac:dyDescent="0.3">
      <c r="B9" s="17" t="s">
        <v>3</v>
      </c>
      <c r="H9" s="19" t="s">
        <v>62</v>
      </c>
      <c r="I9" s="16">
        <f>0.8*C11</f>
        <v>400</v>
      </c>
      <c r="J9" s="29" t="s">
        <v>5</v>
      </c>
    </row>
    <row r="10" spans="2:14" x14ac:dyDescent="0.3">
      <c r="B10" s="19" t="str">
        <f>"Espesor del muro (h)"</f>
        <v>Espesor del muro (h)</v>
      </c>
      <c r="C10" s="16">
        <v>25</v>
      </c>
      <c r="D10" s="16" t="s">
        <v>5</v>
      </c>
    </row>
    <row r="11" spans="2:14" x14ac:dyDescent="0.3">
      <c r="B11" s="19" t="s">
        <v>63</v>
      </c>
      <c r="C11" s="16">
        <v>500</v>
      </c>
      <c r="D11" s="16" t="s">
        <v>5</v>
      </c>
      <c r="H11" s="18" t="s">
        <v>26</v>
      </c>
    </row>
    <row r="12" spans="2:14" x14ac:dyDescent="0.3">
      <c r="B12" s="19" t="s">
        <v>10</v>
      </c>
      <c r="C12" s="16">
        <v>250</v>
      </c>
      <c r="D12" s="16" t="s">
        <v>5</v>
      </c>
      <c r="H12" s="19" t="s">
        <v>28</v>
      </c>
      <c r="I12" s="16">
        <f>0.35*C5</f>
        <v>105</v>
      </c>
      <c r="J12" s="16" t="s">
        <v>8</v>
      </c>
      <c r="K12" s="21"/>
    </row>
    <row r="13" spans="2:14" x14ac:dyDescent="0.3">
      <c r="H13" s="19" t="s">
        <v>27</v>
      </c>
      <c r="I13" s="30">
        <f>C15*1000/I6</f>
        <v>63.84</v>
      </c>
      <c r="J13" s="16" t="s">
        <v>8</v>
      </c>
      <c r="K13" s="21"/>
      <c r="L13" s="39" t="str">
        <f>IF(I13&lt;I12,"[OK]","[REDISEÑAR]")</f>
        <v>[OK]</v>
      </c>
      <c r="M13" s="41" t="s">
        <v>112</v>
      </c>
      <c r="N13" s="59">
        <f>I13/I12</f>
        <v>0.60799999999999998</v>
      </c>
    </row>
    <row r="14" spans="2:14" x14ac:dyDescent="0.3">
      <c r="B14" s="17" t="s">
        <v>11</v>
      </c>
    </row>
    <row r="15" spans="2:14" x14ac:dyDescent="0.3">
      <c r="B15" s="19" t="str">
        <f>"$N_U$"</f>
        <v>$N_U$</v>
      </c>
      <c r="C15" s="16">
        <v>798</v>
      </c>
      <c r="D15" s="16" t="s">
        <v>12</v>
      </c>
      <c r="H15" s="18" t="s">
        <v>54</v>
      </c>
    </row>
    <row r="16" spans="2:14" x14ac:dyDescent="0.3">
      <c r="B16" s="19" t="s">
        <v>14</v>
      </c>
      <c r="C16" s="16">
        <v>40</v>
      </c>
      <c r="D16" s="16" t="s">
        <v>12</v>
      </c>
      <c r="H16" s="19" t="s">
        <v>72</v>
      </c>
      <c r="I16" s="16">
        <f>1.2*C16+C17+1.4*C18</f>
        <v>206</v>
      </c>
      <c r="J16" s="16" t="s">
        <v>12</v>
      </c>
      <c r="L16" t="s">
        <v>68</v>
      </c>
    </row>
    <row r="17" spans="2:15" x14ac:dyDescent="0.3">
      <c r="B17" s="19" t="s">
        <v>13</v>
      </c>
      <c r="C17" s="16">
        <v>25</v>
      </c>
      <c r="D17" s="16" t="s">
        <v>12</v>
      </c>
      <c r="H17" s="19" t="s">
        <v>69</v>
      </c>
      <c r="I17" s="16">
        <f>SUM(C16:C18)</f>
        <v>160</v>
      </c>
      <c r="J17" s="16" t="s">
        <v>12</v>
      </c>
      <c r="L17" t="s">
        <v>70</v>
      </c>
    </row>
    <row r="18" spans="2:15" x14ac:dyDescent="0.3">
      <c r="B18" s="19" t="s">
        <v>15</v>
      </c>
      <c r="C18" s="16">
        <v>95</v>
      </c>
      <c r="D18" s="16" t="s">
        <v>12</v>
      </c>
      <c r="H18" s="19" t="s">
        <v>73</v>
      </c>
      <c r="I18" s="16">
        <f>IF(C19=0,I16,C19)</f>
        <v>206</v>
      </c>
      <c r="J18" s="16" t="s">
        <v>12</v>
      </c>
      <c r="L18" s="40" t="s">
        <v>74</v>
      </c>
    </row>
    <row r="19" spans="2:15" x14ac:dyDescent="0.3">
      <c r="B19" s="19" t="s">
        <v>55</v>
      </c>
      <c r="C19" s="16">
        <v>0</v>
      </c>
      <c r="D19" s="16" t="s">
        <v>12</v>
      </c>
      <c r="H19" s="19" t="s">
        <v>71</v>
      </c>
      <c r="I19" s="16">
        <f>IF(C19=0,I17,C19)</f>
        <v>160</v>
      </c>
      <c r="J19" s="16" t="s">
        <v>12</v>
      </c>
      <c r="L19" s="40" t="s">
        <v>75</v>
      </c>
    </row>
    <row r="21" spans="2:15" x14ac:dyDescent="0.3">
      <c r="B21" s="33" t="s">
        <v>42</v>
      </c>
      <c r="H21" s="27" t="s">
        <v>76</v>
      </c>
    </row>
    <row r="22" spans="2:15" x14ac:dyDescent="0.3">
      <c r="B22" s="31" t="s">
        <v>41</v>
      </c>
      <c r="C22" s="16">
        <v>10</v>
      </c>
      <c r="D22" s="29" t="s">
        <v>35</v>
      </c>
      <c r="H22" s="19" t="s">
        <v>29</v>
      </c>
      <c r="I22" s="30">
        <f>I19*1000/I6</f>
        <v>12.8</v>
      </c>
      <c r="J22" s="29" t="s">
        <v>8</v>
      </c>
    </row>
    <row r="23" spans="2:15" x14ac:dyDescent="0.3">
      <c r="B23" s="31" t="s">
        <v>43</v>
      </c>
      <c r="C23" s="16">
        <v>14</v>
      </c>
      <c r="D23" s="29" t="s">
        <v>5</v>
      </c>
      <c r="F23" s="39" t="str">
        <f>IF(OR(C23&gt;25,C23&lt;10),"[REDISEÑAR]",IF(AND(C23&lt;=I24,C23&lt;=I38),"[OK]","[REDISEÑAR]"))</f>
        <v>[REDISEÑAR]</v>
      </c>
      <c r="H23" s="19" t="s">
        <v>61</v>
      </c>
      <c r="I23" s="37">
        <f>MAX(I22*100*C10/(2*C7),C27)</f>
        <v>5.7142857142857144</v>
      </c>
      <c r="J23" s="29" t="s">
        <v>32</v>
      </c>
      <c r="L23" s="15"/>
      <c r="M23" s="15"/>
      <c r="N23" s="15"/>
    </row>
    <row r="24" spans="2:15" x14ac:dyDescent="0.3">
      <c r="C24" s="28" t="str">
        <f>"$\phi$"&amp;C22&amp;"@"&amp;C23</f>
        <v>$\phi$10@14</v>
      </c>
      <c r="D24" s="46"/>
      <c r="E24" s="46"/>
      <c r="F24" s="39" t="str">
        <f>IF(OR(I23=C27,I34=C27),"[ÁREA MINIMA]","[]")</f>
        <v>[]</v>
      </c>
      <c r="H24" s="19" t="s">
        <v>34</v>
      </c>
      <c r="I24" s="19">
        <f>ROUNDDOWN((1/I23)*C26*100,0)</f>
        <v>13</v>
      </c>
      <c r="J24" s="16" t="s">
        <v>5</v>
      </c>
      <c r="L24" s="39" t="str">
        <f>IF(OR(I24&lt;10,I24&gt;25),"[REDISEÑAR]","[OK")</f>
        <v>[OK</v>
      </c>
      <c r="M24" s="41" t="s">
        <v>80</v>
      </c>
      <c r="N24" s="42">
        <f>1/I23*(C22/2)^2*PI()</f>
        <v>13.744467859455344</v>
      </c>
      <c r="O24" t="str">
        <f>"$\phi$"&amp;C22&amp;"@"&amp;I24</f>
        <v>$\phi$10@13</v>
      </c>
    </row>
    <row r="25" spans="2:15" x14ac:dyDescent="0.3">
      <c r="B25" s="18" t="s">
        <v>52</v>
      </c>
      <c r="H25" s="31" t="s">
        <v>48</v>
      </c>
      <c r="I25" s="30">
        <f>C26*2*IF(C11/C23&gt;=1,C11/C23,0)</f>
        <v>56.099868814103452</v>
      </c>
      <c r="J25" s="29" t="s">
        <v>17</v>
      </c>
      <c r="M25" s="15"/>
      <c r="N25" s="44"/>
    </row>
    <row r="26" spans="2:15" x14ac:dyDescent="0.3">
      <c r="B26" s="31" t="s">
        <v>66</v>
      </c>
      <c r="C26" s="30">
        <f>(C22/(2*10))^2*PI()</f>
        <v>0.78539816339744828</v>
      </c>
      <c r="D26" s="29" t="s">
        <v>17</v>
      </c>
      <c r="H26" s="19" t="s">
        <v>49</v>
      </c>
      <c r="I26" s="34">
        <f>C7*I25/1000</f>
        <v>157.07963267948966</v>
      </c>
      <c r="J26" s="16" t="s">
        <v>12</v>
      </c>
      <c r="L26" s="39" t="str">
        <f>IF(I26&gt;I19,"[OK]","[REDISEÑAR]")</f>
        <v>[REDISEÑAR]</v>
      </c>
      <c r="M26" s="41" t="str">
        <f>IF(N26&gt;0,"Sobrado","Faltan")</f>
        <v>Faltan</v>
      </c>
      <c r="N26" s="43">
        <f>I26-I19</f>
        <v>-2.9203673205103371</v>
      </c>
    </row>
    <row r="27" spans="2:15" x14ac:dyDescent="0.3">
      <c r="B27" s="31" t="s">
        <v>78</v>
      </c>
      <c r="C27" s="37">
        <f>2.5/1000*100*C10/2</f>
        <v>3.125</v>
      </c>
      <c r="D27" s="16" t="s">
        <v>17</v>
      </c>
      <c r="F27" t="str">
        <f>IF(OR(I23=C27,I34=C27),"[USA NINIMO]","")</f>
        <v/>
      </c>
      <c r="N27" s="15"/>
    </row>
    <row r="28" spans="2:15" x14ac:dyDescent="0.3">
      <c r="H28" s="18" t="s">
        <v>77</v>
      </c>
      <c r="L28" s="17" t="s">
        <v>67</v>
      </c>
    </row>
    <row r="29" spans="2:15" x14ac:dyDescent="0.3">
      <c r="H29" s="19" t="s">
        <v>33</v>
      </c>
      <c r="I29" s="16">
        <v>0.6</v>
      </c>
      <c r="J29" s="16" t="s">
        <v>50</v>
      </c>
      <c r="L29" s="19" t="s">
        <v>64</v>
      </c>
      <c r="M29" s="30">
        <f>SQRT(C5*0.0980665)*(1/0.0980665)/1000*I31*0.17</f>
        <v>74.799027579460727</v>
      </c>
      <c r="N29" s="16" t="s">
        <v>12</v>
      </c>
    </row>
    <row r="30" spans="2:15" x14ac:dyDescent="0.3">
      <c r="H30" s="19" t="s">
        <v>46</v>
      </c>
      <c r="I30" s="34">
        <f>I18/I29</f>
        <v>343.33333333333337</v>
      </c>
      <c r="J30" s="16" t="s">
        <v>12</v>
      </c>
      <c r="L30" s="19" t="s">
        <v>57</v>
      </c>
      <c r="M30" s="16">
        <f>IF(C12/I9&lt;=1.5,0.25,IF(C12/I9&gt;=2,0.17,0.17+(0.25-0.17)/(C12/I9-1.5)*C12/I9))</f>
        <v>0.25</v>
      </c>
      <c r="N30" s="29" t="s">
        <v>50</v>
      </c>
    </row>
    <row r="31" spans="2:15" x14ac:dyDescent="0.3">
      <c r="H31" s="19" t="s">
        <v>36</v>
      </c>
      <c r="I31" s="35">
        <f>I9*C10*0.8-I39</f>
        <v>7955.1201049487172</v>
      </c>
      <c r="J31" s="16" t="s">
        <v>17</v>
      </c>
      <c r="L31" s="19" t="s">
        <v>59</v>
      </c>
      <c r="M31" s="30">
        <f>SQRT(C5*0.0980665)*(1/0.0980665)/1000*I31*M30</f>
        <v>109.99856996979518</v>
      </c>
      <c r="N31" s="29" t="s">
        <v>12</v>
      </c>
    </row>
    <row r="32" spans="2:15" x14ac:dyDescent="0.3">
      <c r="H32" s="19" t="s">
        <v>60</v>
      </c>
      <c r="I32" s="34">
        <f>MIN(M31,M29)</f>
        <v>74.799027579460727</v>
      </c>
      <c r="J32" s="29" t="s">
        <v>12</v>
      </c>
    </row>
    <row r="33" spans="8:17" x14ac:dyDescent="0.3">
      <c r="H33" s="19" t="s">
        <v>39</v>
      </c>
      <c r="I33" s="34">
        <f>I30-I32</f>
        <v>268.53430575387267</v>
      </c>
      <c r="J33" s="16" t="s">
        <v>12</v>
      </c>
    </row>
    <row r="34" spans="8:17" x14ac:dyDescent="0.3">
      <c r="H34" s="19" t="s">
        <v>61</v>
      </c>
      <c r="I34" s="37">
        <f>MAX(I33/(C6*I9/1000/100)/2,C27)</f>
        <v>7.9920924331509724</v>
      </c>
      <c r="J34" s="29" t="s">
        <v>32</v>
      </c>
    </row>
    <row r="35" spans="8:17" x14ac:dyDescent="0.3">
      <c r="H35" s="19" t="s">
        <v>65</v>
      </c>
      <c r="I35" s="36">
        <f>I34/C10/100*2</f>
        <v>6.3936739465207783E-3</v>
      </c>
      <c r="J35" s="16" t="s">
        <v>50</v>
      </c>
    </row>
    <row r="36" spans="8:17" x14ac:dyDescent="0.3">
      <c r="H36" s="19" t="s">
        <v>53</v>
      </c>
      <c r="I36" s="16">
        <f>MAX(0.0025,0.0025*0.5*(2.5-C10/(C11*0.8))*(I35-0.0025))</f>
        <v>2.5000000000000001E-3</v>
      </c>
      <c r="J36" s="29" t="s">
        <v>50</v>
      </c>
      <c r="L36" s="39" t="str">
        <f>IF(OR(I35&gt;I36,ABS(I35-I36)&lt;0.0001),"[OK]","[REDISEÑAR]")</f>
        <v>[OK]</v>
      </c>
      <c r="P36" s="32"/>
    </row>
    <row r="37" spans="8:17" x14ac:dyDescent="0.3">
      <c r="H37" s="19" t="s">
        <v>47</v>
      </c>
      <c r="I37" s="34">
        <f>SQRT(C5*0.0980665)*(1/0.0980665)/1000*0.66*0.8*C11*C10</f>
        <v>365.04316828555454</v>
      </c>
      <c r="J37" s="16" t="s">
        <v>12</v>
      </c>
      <c r="L37" s="40" t="s">
        <v>44</v>
      </c>
      <c r="N37" s="15"/>
    </row>
    <row r="38" spans="8:17" x14ac:dyDescent="0.3">
      <c r="H38" s="19" t="s">
        <v>34</v>
      </c>
      <c r="I38" s="19">
        <f>ROUNDDOWN(1/I34*C26*100,0)</f>
        <v>9</v>
      </c>
      <c r="J38" s="16" t="s">
        <v>5</v>
      </c>
      <c r="L38" s="39" t="str">
        <f>IF(OR(I38&lt;10,I38&gt;25),"[REDISEÑAR]","[OK")</f>
        <v>[REDISEÑAR]</v>
      </c>
      <c r="M38" s="41" t="s">
        <v>80</v>
      </c>
      <c r="N38" s="42">
        <f>1/I34*(C22/2)^2*PI()</f>
        <v>9.8271906883814193</v>
      </c>
      <c r="O38" t="str">
        <f>"$\phi$"&amp;C22&amp;"@"&amp;I38</f>
        <v>$\phi$10@9</v>
      </c>
      <c r="Q38" s="40"/>
    </row>
    <row r="39" spans="8:17" x14ac:dyDescent="0.3">
      <c r="H39" s="31" t="s">
        <v>48</v>
      </c>
      <c r="I39" s="30">
        <f>C26*2*IF(I9/C23&gt;=1,I9/C23,0)</f>
        <v>44.879895051282759</v>
      </c>
      <c r="J39" s="29" t="s">
        <v>17</v>
      </c>
      <c r="M39" s="15"/>
      <c r="N39" s="15"/>
    </row>
    <row r="40" spans="8:17" x14ac:dyDescent="0.3">
      <c r="H40" s="19" t="s">
        <v>81</v>
      </c>
      <c r="I40" s="34">
        <f>MIN(I39*C6/1000,I37)</f>
        <v>188.4955592153876</v>
      </c>
      <c r="J40" s="16" t="s">
        <v>12</v>
      </c>
      <c r="L40" s="40" t="s">
        <v>82</v>
      </c>
      <c r="M40" s="15"/>
      <c r="N40" s="15"/>
    </row>
    <row r="41" spans="8:17" x14ac:dyDescent="0.3">
      <c r="H41" s="19" t="s">
        <v>79</v>
      </c>
      <c r="I41" s="34">
        <f>I40+I32</f>
        <v>263.29458679484833</v>
      </c>
      <c r="J41" s="16" t="s">
        <v>12</v>
      </c>
      <c r="L41" s="39" t="str">
        <f>IF(I41&gt;I30,"[OK]","[REDISEÑAR]")</f>
        <v>[REDISEÑAR]</v>
      </c>
      <c r="M41" s="41" t="str">
        <f>IF(N41&gt;0,"Sobrado","Faltan")</f>
        <v>Faltan</v>
      </c>
      <c r="N41" s="43">
        <f>I41-I30</f>
        <v>-80.038746538485043</v>
      </c>
    </row>
    <row r="43" spans="8:17" x14ac:dyDescent="0.3">
      <c r="H43" s="18" t="s">
        <v>45</v>
      </c>
      <c r="N43" s="15"/>
    </row>
    <row r="44" spans="8:17" x14ac:dyDescent="0.3">
      <c r="H44" s="19" t="s">
        <v>40</v>
      </c>
      <c r="I44" s="16">
        <f>I18</f>
        <v>206</v>
      </c>
      <c r="J44" s="16" t="s">
        <v>12</v>
      </c>
      <c r="N44" s="26"/>
    </row>
    <row r="45" spans="8:17" x14ac:dyDescent="0.3">
      <c r="H45" s="19" t="s">
        <v>46</v>
      </c>
      <c r="I45" s="34">
        <f>I30</f>
        <v>343.33333333333337</v>
      </c>
      <c r="J45" s="16" t="s">
        <v>12</v>
      </c>
    </row>
    <row r="46" spans="8:17" x14ac:dyDescent="0.3">
      <c r="H46" s="19" t="s">
        <v>38</v>
      </c>
      <c r="I46" s="34">
        <f>2/3*I31*SQRT(C5*0.0980665)*(1/0.0980665)/1000</f>
        <v>293.32951991945379</v>
      </c>
      <c r="J46" s="16" t="s">
        <v>12</v>
      </c>
      <c r="L46" s="39" t="str">
        <f>IF(I46&gt;I45,"[OK]","[REDISEÑAR]")</f>
        <v>[REDISEÑAR]</v>
      </c>
      <c r="M46" s="41" t="str">
        <f>IF(N46&gt;0,"Sobrado","Faltan")</f>
        <v>Faltan</v>
      </c>
      <c r="N46" s="43">
        <f>I46-I45</f>
        <v>-50.003813413879584</v>
      </c>
    </row>
    <row r="54" spans="8:8" x14ac:dyDescent="0.3">
      <c r="H54"/>
    </row>
    <row r="55" spans="8:8" x14ac:dyDescent="0.3">
      <c r="H55"/>
    </row>
    <row r="56" spans="8:8" x14ac:dyDescent="0.3">
      <c r="H56"/>
    </row>
    <row r="57" spans="8:8" x14ac:dyDescent="0.3">
      <c r="H5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2:S67"/>
  <sheetViews>
    <sheetView showGridLines="0" topLeftCell="I7" workbookViewId="0">
      <selection activeCell="M6" sqref="M6:M17"/>
    </sheetView>
  </sheetViews>
  <sheetFormatPr defaultColWidth="8.88671875" defaultRowHeight="14.4" x14ac:dyDescent="0.3"/>
  <cols>
    <col min="1" max="1" width="4.33203125" customWidth="1"/>
    <col min="2" max="2" width="10.88671875" bestFit="1" customWidth="1"/>
    <col min="3" max="3" width="7.5546875" bestFit="1" customWidth="1"/>
    <col min="4" max="4" width="6.109375" bestFit="1" customWidth="1"/>
    <col min="5" max="5" width="4.44140625" customWidth="1"/>
    <col min="6" max="6" width="15.6640625" bestFit="1" customWidth="1"/>
    <col min="14" max="14" width="3.33203125" customWidth="1"/>
    <col min="15" max="15" width="11.109375" bestFit="1" customWidth="1"/>
    <col min="16" max="16" width="7.5546875" bestFit="1" customWidth="1"/>
    <col min="18" max="18" width="10.77734375" bestFit="1" customWidth="1"/>
    <col min="19" max="19" width="12" bestFit="1" customWidth="1"/>
  </cols>
  <sheetData>
    <row r="2" spans="2:19" ht="15" thickBot="1" x14ac:dyDescent="0.35">
      <c r="B2" s="17" t="s">
        <v>18</v>
      </c>
      <c r="F2" t="s">
        <v>19</v>
      </c>
      <c r="O2" t="s">
        <v>123</v>
      </c>
    </row>
    <row r="3" spans="2:19" ht="15" thickBot="1" x14ac:dyDescent="0.35">
      <c r="B3" s="1" t="s">
        <v>0</v>
      </c>
      <c r="C3" s="2" t="s">
        <v>1</v>
      </c>
      <c r="D3" s="3" t="s">
        <v>2</v>
      </c>
      <c r="F3" s="2" t="s">
        <v>20</v>
      </c>
      <c r="G3" s="2" t="s">
        <v>1</v>
      </c>
      <c r="J3" s="57" t="s">
        <v>83</v>
      </c>
      <c r="K3" s="51" t="s">
        <v>109</v>
      </c>
      <c r="L3" s="51" t="s">
        <v>110</v>
      </c>
      <c r="M3" s="58" t="s">
        <v>111</v>
      </c>
      <c r="O3" s="2" t="s">
        <v>124</v>
      </c>
      <c r="P3" s="2" t="s">
        <v>1</v>
      </c>
      <c r="R3" s="2" t="s">
        <v>1</v>
      </c>
      <c r="S3" s="2" t="s">
        <v>124</v>
      </c>
    </row>
    <row r="4" spans="2:19" x14ac:dyDescent="0.3">
      <c r="B4" s="4">
        <v>2.0099999999999998</v>
      </c>
      <c r="C4" s="5">
        <v>8</v>
      </c>
      <c r="D4" s="6">
        <v>25</v>
      </c>
      <c r="F4" s="20">
        <v>15</v>
      </c>
      <c r="G4" s="23">
        <v>16</v>
      </c>
      <c r="H4">
        <f>G4/F4</f>
        <v>1.0666666666666667</v>
      </c>
      <c r="J4" s="53">
        <v>-1</v>
      </c>
      <c r="K4" s="24">
        <v>35</v>
      </c>
      <c r="L4" s="24">
        <v>25</v>
      </c>
      <c r="M4" s="54">
        <v>30</v>
      </c>
      <c r="O4" s="67">
        <v>0.5</v>
      </c>
      <c r="P4" s="67">
        <v>8</v>
      </c>
      <c r="R4" s="67">
        <v>8</v>
      </c>
      <c r="S4" s="67">
        <v>0.5</v>
      </c>
    </row>
    <row r="5" spans="2:19" x14ac:dyDescent="0.3">
      <c r="B5" s="7">
        <v>2.09</v>
      </c>
      <c r="C5" s="8">
        <v>8</v>
      </c>
      <c r="D5" s="9">
        <v>24</v>
      </c>
      <c r="F5" s="14">
        <v>20</v>
      </c>
      <c r="G5" s="14">
        <v>22</v>
      </c>
      <c r="H5">
        <f>G5/F5</f>
        <v>1.1000000000000001</v>
      </c>
      <c r="J5" s="53">
        <v>1</v>
      </c>
      <c r="K5" s="24">
        <v>35</v>
      </c>
      <c r="L5" s="24">
        <v>25</v>
      </c>
      <c r="M5" s="54">
        <v>30</v>
      </c>
      <c r="O5" s="67">
        <v>0.79</v>
      </c>
      <c r="P5" s="67">
        <v>10</v>
      </c>
      <c r="R5" s="67">
        <v>10</v>
      </c>
      <c r="S5" s="67">
        <v>0.79</v>
      </c>
    </row>
    <row r="6" spans="2:19" ht="15" thickBot="1" x14ac:dyDescent="0.35">
      <c r="B6" s="7">
        <v>2.19</v>
      </c>
      <c r="C6" s="8">
        <v>8</v>
      </c>
      <c r="D6" s="9">
        <v>23</v>
      </c>
      <c r="F6" s="22">
        <v>25</v>
      </c>
      <c r="G6" s="25">
        <v>28</v>
      </c>
      <c r="H6">
        <f>G6/F6</f>
        <v>1.1200000000000001</v>
      </c>
      <c r="J6" s="53">
        <v>2</v>
      </c>
      <c r="K6" s="24">
        <v>35</v>
      </c>
      <c r="L6" s="24">
        <v>25</v>
      </c>
      <c r="M6" s="54">
        <v>25</v>
      </c>
      <c r="O6" s="67">
        <v>1.1299999999999999</v>
      </c>
      <c r="P6" s="67">
        <v>12</v>
      </c>
      <c r="R6" s="67">
        <v>12</v>
      </c>
      <c r="S6" s="67">
        <v>1.1299999999999999</v>
      </c>
    </row>
    <row r="7" spans="2:19" x14ac:dyDescent="0.3">
      <c r="B7" s="7">
        <v>2.2799999999999998</v>
      </c>
      <c r="C7" s="8">
        <v>8</v>
      </c>
      <c r="D7" s="9">
        <v>22</v>
      </c>
      <c r="J7" s="53">
        <v>3</v>
      </c>
      <c r="K7" s="24">
        <v>35</v>
      </c>
      <c r="L7" s="24">
        <v>25</v>
      </c>
      <c r="M7" s="54">
        <v>25</v>
      </c>
      <c r="O7" s="67">
        <v>2.0099999999999998</v>
      </c>
      <c r="P7" s="67">
        <v>16</v>
      </c>
      <c r="R7" s="67">
        <v>16</v>
      </c>
      <c r="S7" s="67">
        <v>2.0099999999999998</v>
      </c>
    </row>
    <row r="8" spans="2:19" x14ac:dyDescent="0.3">
      <c r="B8" s="7">
        <v>2.39</v>
      </c>
      <c r="C8" s="8">
        <v>8</v>
      </c>
      <c r="D8" s="9">
        <v>21</v>
      </c>
      <c r="F8" t="s">
        <v>24</v>
      </c>
      <c r="G8" s="14">
        <v>16</v>
      </c>
      <c r="J8" s="53">
        <v>4</v>
      </c>
      <c r="K8" s="24">
        <v>35</v>
      </c>
      <c r="L8" s="24">
        <v>25</v>
      </c>
      <c r="M8" s="54">
        <v>25</v>
      </c>
      <c r="O8" s="67">
        <v>2.54</v>
      </c>
      <c r="P8" s="67">
        <v>18</v>
      </c>
      <c r="R8" s="67">
        <v>18</v>
      </c>
      <c r="S8" s="67">
        <v>2.54</v>
      </c>
    </row>
    <row r="9" spans="2:19" x14ac:dyDescent="0.3">
      <c r="B9" s="10">
        <v>2.5099999999999998</v>
      </c>
      <c r="C9" s="8">
        <v>8</v>
      </c>
      <c r="D9" s="9">
        <v>20</v>
      </c>
      <c r="J9" s="53">
        <v>5</v>
      </c>
      <c r="K9" s="24">
        <v>35</v>
      </c>
      <c r="L9" s="24">
        <v>25</v>
      </c>
      <c r="M9" s="54">
        <v>25</v>
      </c>
      <c r="O9" s="67">
        <v>3.8</v>
      </c>
      <c r="P9" s="67">
        <v>22</v>
      </c>
      <c r="R9" s="67">
        <v>22</v>
      </c>
      <c r="S9" s="67">
        <v>3.8</v>
      </c>
    </row>
    <row r="10" spans="2:19" x14ac:dyDescent="0.3">
      <c r="B10" s="7">
        <v>2.65</v>
      </c>
      <c r="C10" s="8">
        <v>8</v>
      </c>
      <c r="D10" s="9">
        <v>19</v>
      </c>
      <c r="J10" s="53">
        <v>6</v>
      </c>
      <c r="K10" s="24">
        <v>35</v>
      </c>
      <c r="L10" s="24">
        <v>25</v>
      </c>
      <c r="M10" s="54">
        <v>25</v>
      </c>
      <c r="O10" s="67">
        <v>4.91</v>
      </c>
      <c r="P10" s="67">
        <v>25</v>
      </c>
      <c r="R10" s="67">
        <v>25</v>
      </c>
      <c r="S10" s="67">
        <v>4.91</v>
      </c>
    </row>
    <row r="11" spans="2:19" x14ac:dyDescent="0.3">
      <c r="B11" s="7">
        <v>2.79</v>
      </c>
      <c r="C11" s="8">
        <v>8</v>
      </c>
      <c r="D11" s="9">
        <v>18</v>
      </c>
      <c r="F11" t="s">
        <v>21</v>
      </c>
      <c r="G11" s="14">
        <v>2.78</v>
      </c>
      <c r="H11" s="26"/>
      <c r="J11" s="53">
        <v>7</v>
      </c>
      <c r="K11" s="24">
        <v>35</v>
      </c>
      <c r="L11" s="24">
        <v>25</v>
      </c>
      <c r="M11" s="54">
        <v>25</v>
      </c>
      <c r="O11" s="67">
        <v>6.16</v>
      </c>
      <c r="P11" s="67">
        <v>28</v>
      </c>
      <c r="R11" s="67">
        <v>28</v>
      </c>
      <c r="S11" s="67">
        <v>6.16</v>
      </c>
    </row>
    <row r="12" spans="2:19" x14ac:dyDescent="0.3">
      <c r="B12" s="7">
        <v>2.96</v>
      </c>
      <c r="C12" s="8">
        <v>8</v>
      </c>
      <c r="D12" s="9">
        <v>17</v>
      </c>
      <c r="F12" t="s">
        <v>22</v>
      </c>
      <c r="G12" s="26">
        <f>IF(VLOOKUP(G11,$B$4:$D$67,1,TRUE)&lt;G11,VLOOKUP(2*G11-VLOOKUP(G11,$B$4:$D$67,1,TRUE),$B$4:$D$67,1,TRUE),VLOOKUP(G11,$B$4:$D$67,1,TRUE))</f>
        <v>2.79</v>
      </c>
      <c r="H12" s="26"/>
      <c r="J12" s="53">
        <v>8</v>
      </c>
      <c r="K12" s="24">
        <v>30</v>
      </c>
      <c r="L12" s="24">
        <v>25</v>
      </c>
      <c r="M12" s="54">
        <v>25</v>
      </c>
      <c r="O12" s="67">
        <v>8.0399999999999991</v>
      </c>
      <c r="P12" s="67">
        <v>32</v>
      </c>
      <c r="R12" s="67">
        <v>32</v>
      </c>
      <c r="S12" s="67">
        <v>8.0399999999999991</v>
      </c>
    </row>
    <row r="13" spans="2:19" ht="15" thickBot="1" x14ac:dyDescent="0.35">
      <c r="B13" s="7">
        <v>3.14</v>
      </c>
      <c r="C13" s="8">
        <v>8</v>
      </c>
      <c r="D13" s="9">
        <v>16</v>
      </c>
      <c r="F13" t="s">
        <v>23</v>
      </c>
      <c r="G13" s="26" t="str">
        <f>VLOOKUP(G12,B4:D67,2)&amp;"@"&amp;VLOOKUP(G12,B4:D67,3)</f>
        <v>8@18</v>
      </c>
      <c r="H13" s="26"/>
      <c r="J13" s="53">
        <v>9</v>
      </c>
      <c r="K13" s="24">
        <v>30</v>
      </c>
      <c r="L13" s="24">
        <v>25</v>
      </c>
      <c r="M13" s="54">
        <v>25</v>
      </c>
      <c r="O13" s="68">
        <v>10.18</v>
      </c>
      <c r="P13" s="68">
        <v>36</v>
      </c>
      <c r="R13" s="68">
        <v>36</v>
      </c>
      <c r="S13" s="68">
        <v>10.18</v>
      </c>
    </row>
    <row r="14" spans="2:19" x14ac:dyDescent="0.3">
      <c r="B14" s="10">
        <v>3.1355555554999999</v>
      </c>
      <c r="C14" s="8">
        <v>10</v>
      </c>
      <c r="D14" s="9">
        <v>25</v>
      </c>
      <c r="G14" s="26"/>
      <c r="H14" s="26"/>
      <c r="J14" s="53">
        <v>10</v>
      </c>
      <c r="K14" s="24">
        <v>30</v>
      </c>
      <c r="L14" s="24">
        <v>25</v>
      </c>
      <c r="M14" s="54">
        <v>25</v>
      </c>
    </row>
    <row r="15" spans="2:19" x14ac:dyDescent="0.3">
      <c r="B15" s="7">
        <v>3.27</v>
      </c>
      <c r="C15" s="8">
        <v>10</v>
      </c>
      <c r="D15" s="9">
        <v>24</v>
      </c>
      <c r="G15" s="26"/>
      <c r="H15" s="26"/>
      <c r="J15" s="53">
        <v>11</v>
      </c>
      <c r="K15" s="24">
        <v>30</v>
      </c>
      <c r="L15" s="24">
        <v>25</v>
      </c>
      <c r="M15" s="54">
        <v>25</v>
      </c>
      <c r="R15" s="26" t="s">
        <v>132</v>
      </c>
      <c r="S15" s="26"/>
    </row>
    <row r="16" spans="2:19" x14ac:dyDescent="0.3">
      <c r="B16" s="10">
        <v>3.35</v>
      </c>
      <c r="C16" s="8">
        <v>8</v>
      </c>
      <c r="D16" s="9">
        <v>15</v>
      </c>
      <c r="J16" s="53">
        <v>12</v>
      </c>
      <c r="K16" s="24">
        <v>30</v>
      </c>
      <c r="L16" s="24">
        <v>25</v>
      </c>
      <c r="M16" s="54">
        <v>25</v>
      </c>
      <c r="R16" s="51" t="s">
        <v>20</v>
      </c>
      <c r="S16" s="51" t="s">
        <v>138</v>
      </c>
    </row>
    <row r="17" spans="2:19" x14ac:dyDescent="0.3">
      <c r="B17" s="7">
        <v>3.41</v>
      </c>
      <c r="C17" s="8">
        <v>10</v>
      </c>
      <c r="D17" s="9">
        <v>23</v>
      </c>
      <c r="J17" s="53">
        <v>13</v>
      </c>
      <c r="K17" s="24">
        <v>30</v>
      </c>
      <c r="L17" s="24">
        <v>25</v>
      </c>
      <c r="M17" s="54">
        <v>25</v>
      </c>
      <c r="R17" s="26">
        <v>20</v>
      </c>
      <c r="S17" s="26" t="s">
        <v>133</v>
      </c>
    </row>
    <row r="18" spans="2:19" x14ac:dyDescent="0.3">
      <c r="B18" s="7">
        <v>3.57</v>
      </c>
      <c r="C18" s="8">
        <v>10</v>
      </c>
      <c r="D18" s="9">
        <v>22</v>
      </c>
      <c r="J18" s="53">
        <v>14</v>
      </c>
      <c r="K18" s="24">
        <v>20</v>
      </c>
      <c r="L18" s="24">
        <v>20</v>
      </c>
      <c r="M18" s="54">
        <v>20</v>
      </c>
      <c r="R18" s="26">
        <v>25</v>
      </c>
      <c r="S18" s="26" t="s">
        <v>134</v>
      </c>
    </row>
    <row r="19" spans="2:19" x14ac:dyDescent="0.3">
      <c r="B19" s="10">
        <v>3.59</v>
      </c>
      <c r="C19" s="8">
        <v>8</v>
      </c>
      <c r="D19" s="9">
        <v>14</v>
      </c>
      <c r="J19" s="53">
        <v>15</v>
      </c>
      <c r="K19" s="24">
        <v>20</v>
      </c>
      <c r="L19" s="24">
        <v>20</v>
      </c>
      <c r="M19" s="54">
        <v>20</v>
      </c>
      <c r="R19" s="52">
        <v>30</v>
      </c>
      <c r="S19" s="52" t="s">
        <v>135</v>
      </c>
    </row>
    <row r="20" spans="2:19" x14ac:dyDescent="0.3">
      <c r="B20" s="7">
        <v>3.74</v>
      </c>
      <c r="C20" s="8">
        <v>10</v>
      </c>
      <c r="D20" s="9">
        <v>21</v>
      </c>
      <c r="J20" s="53">
        <v>16</v>
      </c>
      <c r="K20" s="24">
        <v>20</v>
      </c>
      <c r="L20" s="24">
        <v>20</v>
      </c>
      <c r="M20" s="54">
        <v>20</v>
      </c>
    </row>
    <row r="21" spans="2:19" x14ac:dyDescent="0.3">
      <c r="B21" s="10">
        <v>3.87</v>
      </c>
      <c r="C21" s="8">
        <v>8</v>
      </c>
      <c r="D21" s="9">
        <v>13</v>
      </c>
      <c r="J21" s="53">
        <v>17</v>
      </c>
      <c r="K21" s="24">
        <v>20</v>
      </c>
      <c r="L21" s="24">
        <v>20</v>
      </c>
      <c r="M21" s="54">
        <v>20</v>
      </c>
    </row>
    <row r="22" spans="2:19" x14ac:dyDescent="0.3">
      <c r="B22" s="10">
        <v>3.93</v>
      </c>
      <c r="C22" s="8">
        <v>10</v>
      </c>
      <c r="D22" s="9">
        <v>20</v>
      </c>
      <c r="J22" s="53">
        <v>18</v>
      </c>
      <c r="K22" s="24">
        <v>20</v>
      </c>
      <c r="L22" s="24">
        <v>20</v>
      </c>
      <c r="M22" s="54">
        <v>20</v>
      </c>
    </row>
    <row r="23" spans="2:19" x14ac:dyDescent="0.3">
      <c r="B23" s="7">
        <v>4.13</v>
      </c>
      <c r="C23" s="8">
        <v>10</v>
      </c>
      <c r="D23" s="9">
        <v>19</v>
      </c>
      <c r="J23" s="53">
        <v>19</v>
      </c>
      <c r="K23" s="24">
        <v>20</v>
      </c>
      <c r="L23" s="24">
        <v>20</v>
      </c>
      <c r="M23" s="54">
        <v>20</v>
      </c>
    </row>
    <row r="24" spans="2:19" x14ac:dyDescent="0.3">
      <c r="B24" s="10">
        <v>4.1900000000000004</v>
      </c>
      <c r="C24" s="8">
        <v>8</v>
      </c>
      <c r="D24" s="9">
        <v>12</v>
      </c>
      <c r="J24" s="53">
        <v>20</v>
      </c>
      <c r="K24" s="24">
        <v>20</v>
      </c>
      <c r="L24" s="24">
        <v>20</v>
      </c>
      <c r="M24" s="54">
        <v>20</v>
      </c>
    </row>
    <row r="25" spans="2:19" x14ac:dyDescent="0.3">
      <c r="B25" s="7">
        <v>4.3600000000000003</v>
      </c>
      <c r="C25" s="8">
        <v>10</v>
      </c>
      <c r="D25" s="9">
        <v>18</v>
      </c>
      <c r="J25" s="53">
        <v>21</v>
      </c>
      <c r="K25" s="24">
        <v>20</v>
      </c>
      <c r="L25" s="24">
        <v>20</v>
      </c>
      <c r="M25" s="54">
        <v>20</v>
      </c>
    </row>
    <row r="26" spans="2:19" x14ac:dyDescent="0.3">
      <c r="B26" s="7">
        <v>4.5199999999999996</v>
      </c>
      <c r="C26" s="8">
        <v>12</v>
      </c>
      <c r="D26" s="9">
        <v>25</v>
      </c>
      <c r="J26" s="53">
        <v>23</v>
      </c>
      <c r="K26" s="24">
        <v>20</v>
      </c>
      <c r="L26" s="24">
        <v>20</v>
      </c>
      <c r="M26" s="54">
        <v>20</v>
      </c>
    </row>
    <row r="27" spans="2:19" ht="15" thickBot="1" x14ac:dyDescent="0.35">
      <c r="B27" s="10">
        <v>4.57</v>
      </c>
      <c r="C27" s="8">
        <v>8</v>
      </c>
      <c r="D27" s="9">
        <v>11</v>
      </c>
      <c r="J27" s="55">
        <v>24</v>
      </c>
      <c r="K27" s="25">
        <v>20</v>
      </c>
      <c r="L27" s="25">
        <v>20</v>
      </c>
      <c r="M27" s="56">
        <v>20</v>
      </c>
    </row>
    <row r="28" spans="2:19" x14ac:dyDescent="0.3">
      <c r="B28" s="7">
        <v>4.62</v>
      </c>
      <c r="C28" s="8">
        <v>10</v>
      </c>
      <c r="D28" s="9">
        <v>17</v>
      </c>
    </row>
    <row r="29" spans="2:19" x14ac:dyDescent="0.3">
      <c r="B29" s="7">
        <v>4.71</v>
      </c>
      <c r="C29" s="8">
        <v>12</v>
      </c>
      <c r="D29" s="9">
        <v>24</v>
      </c>
    </row>
    <row r="30" spans="2:19" x14ac:dyDescent="0.3">
      <c r="B30" s="7">
        <v>4.91</v>
      </c>
      <c r="C30" s="8">
        <v>10</v>
      </c>
      <c r="D30" s="9">
        <v>16</v>
      </c>
    </row>
    <row r="31" spans="2:19" x14ac:dyDescent="0.3">
      <c r="B31" s="7">
        <v>4.92</v>
      </c>
      <c r="C31" s="8">
        <v>12</v>
      </c>
      <c r="D31" s="9">
        <v>23</v>
      </c>
    </row>
    <row r="32" spans="2:19" x14ac:dyDescent="0.3">
      <c r="B32" s="10">
        <v>5.03</v>
      </c>
      <c r="C32" s="8">
        <v>8</v>
      </c>
      <c r="D32" s="9">
        <v>10</v>
      </c>
    </row>
    <row r="33" spans="2:4" x14ac:dyDescent="0.3">
      <c r="B33" s="7">
        <v>5.14</v>
      </c>
      <c r="C33" s="8">
        <v>12</v>
      </c>
      <c r="D33" s="9">
        <v>22</v>
      </c>
    </row>
    <row r="34" spans="2:4" x14ac:dyDescent="0.3">
      <c r="B34" s="10">
        <v>5.24</v>
      </c>
      <c r="C34" s="8">
        <v>10</v>
      </c>
      <c r="D34" s="9">
        <v>15</v>
      </c>
    </row>
    <row r="35" spans="2:4" x14ac:dyDescent="0.3">
      <c r="B35" s="7">
        <v>5.39</v>
      </c>
      <c r="C35" s="8">
        <v>12</v>
      </c>
      <c r="D35" s="9">
        <v>21</v>
      </c>
    </row>
    <row r="36" spans="2:4" x14ac:dyDescent="0.3">
      <c r="B36" s="10">
        <v>5.61</v>
      </c>
      <c r="C36" s="8">
        <v>10</v>
      </c>
      <c r="D36" s="9">
        <v>14</v>
      </c>
    </row>
    <row r="37" spans="2:4" x14ac:dyDescent="0.3">
      <c r="B37" s="10">
        <v>5.65</v>
      </c>
      <c r="C37" s="8">
        <v>12</v>
      </c>
      <c r="D37" s="9">
        <v>20</v>
      </c>
    </row>
    <row r="38" spans="2:4" x14ac:dyDescent="0.3">
      <c r="B38" s="7">
        <v>5.95</v>
      </c>
      <c r="C38" s="8">
        <v>12</v>
      </c>
      <c r="D38" s="9">
        <v>19</v>
      </c>
    </row>
    <row r="39" spans="2:4" x14ac:dyDescent="0.3">
      <c r="B39" s="10">
        <v>6.04</v>
      </c>
      <c r="C39" s="8">
        <v>10</v>
      </c>
      <c r="D39" s="9">
        <v>13</v>
      </c>
    </row>
    <row r="40" spans="2:4" x14ac:dyDescent="0.3">
      <c r="B40" s="7">
        <v>6.28</v>
      </c>
      <c r="C40" s="8">
        <v>12</v>
      </c>
      <c r="D40" s="9">
        <v>18</v>
      </c>
    </row>
    <row r="41" spans="2:4" x14ac:dyDescent="0.3">
      <c r="B41" s="10">
        <v>6.54</v>
      </c>
      <c r="C41" s="8">
        <v>10</v>
      </c>
      <c r="D41" s="9">
        <v>12</v>
      </c>
    </row>
    <row r="42" spans="2:4" x14ac:dyDescent="0.3">
      <c r="B42" s="7">
        <v>6.65</v>
      </c>
      <c r="C42" s="8">
        <v>12</v>
      </c>
      <c r="D42" s="9">
        <v>17</v>
      </c>
    </row>
    <row r="43" spans="2:4" x14ac:dyDescent="0.3">
      <c r="B43" s="7">
        <v>7.07</v>
      </c>
      <c r="C43" s="8">
        <v>12</v>
      </c>
      <c r="D43" s="9">
        <v>16</v>
      </c>
    </row>
    <row r="44" spans="2:4" x14ac:dyDescent="0.3">
      <c r="B44" s="10">
        <v>7.14</v>
      </c>
      <c r="C44" s="8">
        <v>10</v>
      </c>
      <c r="D44" s="9">
        <v>11</v>
      </c>
    </row>
    <row r="45" spans="2:4" x14ac:dyDescent="0.3">
      <c r="B45" s="10">
        <v>7.54</v>
      </c>
      <c r="C45" s="8">
        <v>12</v>
      </c>
      <c r="D45" s="9">
        <v>15</v>
      </c>
    </row>
    <row r="46" spans="2:4" x14ac:dyDescent="0.3">
      <c r="B46" s="10">
        <v>7.85</v>
      </c>
      <c r="C46" s="8">
        <v>10</v>
      </c>
      <c r="D46" s="9">
        <v>10</v>
      </c>
    </row>
    <row r="47" spans="2:4" x14ac:dyDescent="0.3">
      <c r="B47" s="7">
        <v>8.0399999999999991</v>
      </c>
      <c r="C47" s="8">
        <v>16</v>
      </c>
      <c r="D47" s="9">
        <v>25</v>
      </c>
    </row>
    <row r="48" spans="2:4" x14ac:dyDescent="0.3">
      <c r="B48" s="10">
        <v>8.08</v>
      </c>
      <c r="C48" s="8">
        <v>12</v>
      </c>
      <c r="D48" s="9">
        <v>14</v>
      </c>
    </row>
    <row r="49" spans="2:4" x14ac:dyDescent="0.3">
      <c r="B49" s="7">
        <v>8.3800000000000008</v>
      </c>
      <c r="C49" s="8">
        <v>16</v>
      </c>
      <c r="D49" s="9">
        <v>24</v>
      </c>
    </row>
    <row r="50" spans="2:4" x14ac:dyDescent="0.3">
      <c r="B50" s="10">
        <v>8.6999999999999993</v>
      </c>
      <c r="C50" s="8">
        <v>12</v>
      </c>
      <c r="D50" s="9">
        <v>13</v>
      </c>
    </row>
    <row r="51" spans="2:4" x14ac:dyDescent="0.3">
      <c r="B51" s="7">
        <v>8.74</v>
      </c>
      <c r="C51" s="8">
        <v>16</v>
      </c>
      <c r="D51" s="9">
        <v>23</v>
      </c>
    </row>
    <row r="52" spans="2:4" x14ac:dyDescent="0.3">
      <c r="B52" s="7">
        <v>9.14</v>
      </c>
      <c r="C52" s="8">
        <v>16</v>
      </c>
      <c r="D52" s="9">
        <v>22</v>
      </c>
    </row>
    <row r="53" spans="2:4" x14ac:dyDescent="0.3">
      <c r="B53" s="10">
        <v>9.42</v>
      </c>
      <c r="C53" s="8">
        <v>12</v>
      </c>
      <c r="D53" s="9">
        <v>12</v>
      </c>
    </row>
    <row r="54" spans="2:4" x14ac:dyDescent="0.3">
      <c r="B54" s="7">
        <v>9.57</v>
      </c>
      <c r="C54" s="8">
        <v>16</v>
      </c>
      <c r="D54" s="9">
        <v>21</v>
      </c>
    </row>
    <row r="55" spans="2:4" x14ac:dyDescent="0.3">
      <c r="B55" s="10">
        <v>10.050000000000001</v>
      </c>
      <c r="C55" s="8">
        <v>16</v>
      </c>
      <c r="D55" s="9">
        <v>20</v>
      </c>
    </row>
    <row r="56" spans="2:4" x14ac:dyDescent="0.3">
      <c r="B56" s="10">
        <v>10.28</v>
      </c>
      <c r="C56" s="8">
        <v>12</v>
      </c>
      <c r="D56" s="9">
        <v>11</v>
      </c>
    </row>
    <row r="57" spans="2:4" x14ac:dyDescent="0.3">
      <c r="B57" s="7">
        <v>10.58</v>
      </c>
      <c r="C57" s="8">
        <v>16</v>
      </c>
      <c r="D57" s="9">
        <v>19</v>
      </c>
    </row>
    <row r="58" spans="2:4" x14ac:dyDescent="0.3">
      <c r="B58" s="7">
        <v>11.17</v>
      </c>
      <c r="C58" s="8">
        <v>16</v>
      </c>
      <c r="D58" s="9">
        <v>18</v>
      </c>
    </row>
    <row r="59" spans="2:4" x14ac:dyDescent="0.3">
      <c r="B59" s="10">
        <v>11.31</v>
      </c>
      <c r="C59" s="8">
        <v>12</v>
      </c>
      <c r="D59" s="9">
        <v>10</v>
      </c>
    </row>
    <row r="60" spans="2:4" x14ac:dyDescent="0.3">
      <c r="B60" s="7">
        <v>11.83</v>
      </c>
      <c r="C60" s="8">
        <v>16</v>
      </c>
      <c r="D60" s="9">
        <v>17</v>
      </c>
    </row>
    <row r="61" spans="2:4" x14ac:dyDescent="0.3">
      <c r="B61" s="7">
        <v>12.57</v>
      </c>
      <c r="C61" s="8">
        <v>16</v>
      </c>
      <c r="D61" s="9">
        <v>16</v>
      </c>
    </row>
    <row r="62" spans="2:4" x14ac:dyDescent="0.3">
      <c r="B62" s="10">
        <v>13.4</v>
      </c>
      <c r="C62" s="8">
        <v>16</v>
      </c>
      <c r="D62" s="9">
        <v>15</v>
      </c>
    </row>
    <row r="63" spans="2:4" x14ac:dyDescent="0.3">
      <c r="B63" s="10">
        <v>14.36</v>
      </c>
      <c r="C63" s="8">
        <v>16</v>
      </c>
      <c r="D63" s="9">
        <v>14</v>
      </c>
    </row>
    <row r="64" spans="2:4" x14ac:dyDescent="0.3">
      <c r="B64" s="10">
        <v>15.47</v>
      </c>
      <c r="C64" s="8">
        <v>16</v>
      </c>
      <c r="D64" s="9">
        <v>13</v>
      </c>
    </row>
    <row r="65" spans="2:4" x14ac:dyDescent="0.3">
      <c r="B65" s="10">
        <v>16.760000000000002</v>
      </c>
      <c r="C65" s="8">
        <v>16</v>
      </c>
      <c r="D65" s="9">
        <v>12</v>
      </c>
    </row>
    <row r="66" spans="2:4" x14ac:dyDescent="0.3">
      <c r="B66" s="10">
        <v>18.28</v>
      </c>
      <c r="C66" s="8">
        <v>16</v>
      </c>
      <c r="D66" s="9">
        <v>11</v>
      </c>
    </row>
    <row r="67" spans="2:4" ht="15" thickBot="1" x14ac:dyDescent="0.35">
      <c r="B67" s="11">
        <v>20.11</v>
      </c>
      <c r="C67" s="12">
        <v>16</v>
      </c>
      <c r="D67" s="13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8BE4-3C39-4548-BA21-128149A8F227}">
  <sheetPr>
    <tabColor rgb="FFFF33CC"/>
  </sheetPr>
  <dimension ref="A1:G146"/>
  <sheetViews>
    <sheetView workbookViewId="0">
      <selection activeCell="H121" sqref="H121"/>
    </sheetView>
  </sheetViews>
  <sheetFormatPr defaultRowHeight="14.4" x14ac:dyDescent="0.3"/>
  <cols>
    <col min="3" max="3" width="16.5546875" bestFit="1" customWidth="1"/>
    <col min="6" max="6" width="0" hidden="1" customWidth="1"/>
  </cols>
  <sheetData>
    <row r="1" spans="1:7" x14ac:dyDescent="0.3">
      <c r="A1" s="76" t="s">
        <v>91</v>
      </c>
      <c r="B1" s="76" t="s">
        <v>92</v>
      </c>
      <c r="C1" s="76" t="s">
        <v>93</v>
      </c>
      <c r="D1" s="76" t="s">
        <v>94</v>
      </c>
      <c r="E1" s="76" t="s">
        <v>95</v>
      </c>
      <c r="F1" s="76" t="s">
        <v>96</v>
      </c>
    </row>
    <row r="2" spans="1:7" x14ac:dyDescent="0.3">
      <c r="A2" s="77"/>
      <c r="B2" s="77"/>
      <c r="C2" s="77"/>
      <c r="D2" s="77" t="s">
        <v>139</v>
      </c>
      <c r="E2" s="77" t="s">
        <v>139</v>
      </c>
      <c r="F2" s="77" t="s">
        <v>139</v>
      </c>
      <c r="G2" s="83" t="s">
        <v>149</v>
      </c>
    </row>
    <row r="3" spans="1:7" x14ac:dyDescent="0.3">
      <c r="A3" s="75">
        <v>23</v>
      </c>
      <c r="B3" s="75" t="s">
        <v>140</v>
      </c>
      <c r="C3" s="75" t="s">
        <v>85</v>
      </c>
      <c r="D3" s="75">
        <v>5.7553999999999998</v>
      </c>
      <c r="E3" s="75">
        <v>1.3968</v>
      </c>
      <c r="F3" s="75">
        <v>0.3145</v>
      </c>
      <c r="G3">
        <f>1</f>
        <v>1</v>
      </c>
    </row>
    <row r="4" spans="1:7" x14ac:dyDescent="0.3">
      <c r="A4" s="75">
        <v>23</v>
      </c>
      <c r="B4" s="75" t="s">
        <v>140</v>
      </c>
      <c r="C4" s="75" t="s">
        <v>86</v>
      </c>
      <c r="D4" s="75">
        <v>0.66979999999999995</v>
      </c>
      <c r="E4" s="75">
        <v>1.8100000000000002E-2</v>
      </c>
      <c r="F4" s="75">
        <v>0.104</v>
      </c>
      <c r="G4">
        <f>G3+1</f>
        <v>2</v>
      </c>
    </row>
    <row r="5" spans="1:7" x14ac:dyDescent="0.3">
      <c r="A5" s="75">
        <v>23</v>
      </c>
      <c r="B5" s="75" t="s">
        <v>140</v>
      </c>
      <c r="C5" s="75" t="s">
        <v>97</v>
      </c>
      <c r="D5" s="75">
        <v>4.5648</v>
      </c>
      <c r="E5" s="75">
        <v>4.6001000000000003</v>
      </c>
      <c r="F5" s="75">
        <v>0.31740000000000002</v>
      </c>
      <c r="G5" s="75">
        <f t="shared" ref="G5:G68" si="0">G4+1</f>
        <v>3</v>
      </c>
    </row>
    <row r="6" spans="1:7" x14ac:dyDescent="0.3">
      <c r="A6" s="75">
        <v>23</v>
      </c>
      <c r="B6" s="75" t="s">
        <v>141</v>
      </c>
      <c r="C6" s="75" t="s">
        <v>85</v>
      </c>
      <c r="D6" s="75">
        <v>10.1228</v>
      </c>
      <c r="E6" s="75">
        <v>3.4916999999999998</v>
      </c>
      <c r="F6" s="75">
        <v>0.23039999999999999</v>
      </c>
      <c r="G6" s="75">
        <f t="shared" si="0"/>
        <v>4</v>
      </c>
    </row>
    <row r="7" spans="1:7" x14ac:dyDescent="0.3">
      <c r="A7" s="75">
        <v>23</v>
      </c>
      <c r="B7" s="75" t="s">
        <v>141</v>
      </c>
      <c r="C7" s="75" t="s">
        <v>86</v>
      </c>
      <c r="D7" s="75">
        <v>1.3668</v>
      </c>
      <c r="E7" s="75">
        <v>0.21529999999999999</v>
      </c>
      <c r="F7" s="75">
        <v>8.2000000000000003E-2</v>
      </c>
      <c r="G7" s="75">
        <f t="shared" si="0"/>
        <v>5</v>
      </c>
    </row>
    <row r="8" spans="1:7" x14ac:dyDescent="0.3">
      <c r="A8" s="75">
        <v>23</v>
      </c>
      <c r="B8" s="75" t="s">
        <v>141</v>
      </c>
      <c r="C8" s="75" t="s">
        <v>97</v>
      </c>
      <c r="D8" s="75">
        <v>7.2922000000000002</v>
      </c>
      <c r="E8" s="75">
        <v>4.2042999999999999</v>
      </c>
      <c r="F8" s="75">
        <v>0.38</v>
      </c>
      <c r="G8" s="75">
        <f t="shared" si="0"/>
        <v>6</v>
      </c>
    </row>
    <row r="9" spans="1:7" x14ac:dyDescent="0.3">
      <c r="A9" s="75">
        <v>22</v>
      </c>
      <c r="B9" s="75" t="s">
        <v>140</v>
      </c>
      <c r="C9" s="75" t="s">
        <v>85</v>
      </c>
      <c r="D9" s="75">
        <v>14.606999999999999</v>
      </c>
      <c r="E9" s="75">
        <v>0.50309999999999999</v>
      </c>
      <c r="F9" s="75">
        <v>0.31780000000000003</v>
      </c>
      <c r="G9" s="75">
        <f t="shared" si="0"/>
        <v>7</v>
      </c>
    </row>
    <row r="10" spans="1:7" x14ac:dyDescent="0.3">
      <c r="A10" s="75">
        <v>22</v>
      </c>
      <c r="B10" s="75" t="s">
        <v>140</v>
      </c>
      <c r="C10" s="75" t="s">
        <v>86</v>
      </c>
      <c r="D10" s="75">
        <v>2.6105</v>
      </c>
      <c r="E10" s="75">
        <v>0.1699</v>
      </c>
      <c r="F10" s="75">
        <v>0.1353</v>
      </c>
      <c r="G10" s="75">
        <f t="shared" si="0"/>
        <v>8</v>
      </c>
    </row>
    <row r="11" spans="1:7" x14ac:dyDescent="0.3">
      <c r="A11" s="75">
        <v>22</v>
      </c>
      <c r="B11" s="75" t="s">
        <v>140</v>
      </c>
      <c r="C11" s="75" t="s">
        <v>97</v>
      </c>
      <c r="D11" s="75">
        <v>6.0679999999999996</v>
      </c>
      <c r="E11" s="75">
        <v>4.4038000000000004</v>
      </c>
      <c r="F11" s="75">
        <v>0.27789999999999998</v>
      </c>
      <c r="G11" s="75">
        <f t="shared" si="0"/>
        <v>9</v>
      </c>
    </row>
    <row r="12" spans="1:7" x14ac:dyDescent="0.3">
      <c r="A12" s="75">
        <v>22</v>
      </c>
      <c r="B12" s="75" t="s">
        <v>141</v>
      </c>
      <c r="C12" s="75" t="s">
        <v>85</v>
      </c>
      <c r="D12" s="75">
        <v>22.536100000000001</v>
      </c>
      <c r="E12" s="75">
        <v>2.2667999999999999</v>
      </c>
      <c r="F12" s="75">
        <v>0.1384</v>
      </c>
      <c r="G12" s="75">
        <f t="shared" si="0"/>
        <v>10</v>
      </c>
    </row>
    <row r="13" spans="1:7" x14ac:dyDescent="0.3">
      <c r="A13" s="75">
        <v>22</v>
      </c>
      <c r="B13" s="75" t="s">
        <v>141</v>
      </c>
      <c r="C13" s="75" t="s">
        <v>86</v>
      </c>
      <c r="D13" s="75">
        <v>4.0292000000000003</v>
      </c>
      <c r="E13" s="75">
        <v>0.16439999999999999</v>
      </c>
      <c r="F13" s="75">
        <v>5.91E-2</v>
      </c>
      <c r="G13" s="75">
        <f t="shared" si="0"/>
        <v>11</v>
      </c>
    </row>
    <row r="14" spans="1:7" x14ac:dyDescent="0.3">
      <c r="A14" s="75">
        <v>22</v>
      </c>
      <c r="B14" s="75" t="s">
        <v>141</v>
      </c>
      <c r="C14" s="75" t="s">
        <v>97</v>
      </c>
      <c r="D14" s="75">
        <v>14.787800000000001</v>
      </c>
      <c r="E14" s="75">
        <v>7.4040999999999997</v>
      </c>
      <c r="F14" s="75">
        <v>0.24249999999999999</v>
      </c>
      <c r="G14" s="75">
        <f t="shared" si="0"/>
        <v>12</v>
      </c>
    </row>
    <row r="15" spans="1:7" x14ac:dyDescent="0.3">
      <c r="A15" s="75">
        <v>21</v>
      </c>
      <c r="B15" s="75" t="s">
        <v>140</v>
      </c>
      <c r="C15" s="75" t="s">
        <v>85</v>
      </c>
      <c r="D15" s="75">
        <v>21.971299999999999</v>
      </c>
      <c r="E15" s="75">
        <v>0.2177</v>
      </c>
      <c r="F15" s="75">
        <v>0.3216</v>
      </c>
      <c r="G15" s="75">
        <f t="shared" si="0"/>
        <v>13</v>
      </c>
    </row>
    <row r="16" spans="1:7" x14ac:dyDescent="0.3">
      <c r="A16" s="75">
        <v>21</v>
      </c>
      <c r="B16" s="75" t="s">
        <v>140</v>
      </c>
      <c r="C16" s="75" t="s">
        <v>86</v>
      </c>
      <c r="D16" s="75">
        <v>4.3049999999999997</v>
      </c>
      <c r="E16" s="75">
        <v>0.2238</v>
      </c>
      <c r="F16" s="75">
        <v>0.1336</v>
      </c>
      <c r="G16" s="75">
        <f t="shared" si="0"/>
        <v>14</v>
      </c>
    </row>
    <row r="17" spans="1:7" x14ac:dyDescent="0.3">
      <c r="A17" s="75">
        <v>21</v>
      </c>
      <c r="B17" s="75" t="s">
        <v>140</v>
      </c>
      <c r="C17" s="75" t="s">
        <v>97</v>
      </c>
      <c r="D17" s="75">
        <v>7.8372999999999999</v>
      </c>
      <c r="E17" s="75">
        <v>5.0326000000000004</v>
      </c>
      <c r="F17" s="75">
        <v>0.31340000000000001</v>
      </c>
      <c r="G17" s="75">
        <f t="shared" si="0"/>
        <v>15</v>
      </c>
    </row>
    <row r="18" spans="1:7" x14ac:dyDescent="0.3">
      <c r="A18" s="75">
        <v>21</v>
      </c>
      <c r="B18" s="75" t="s">
        <v>141</v>
      </c>
      <c r="C18" s="75" t="s">
        <v>85</v>
      </c>
      <c r="D18" s="75">
        <v>34.034700000000001</v>
      </c>
      <c r="E18" s="75">
        <v>2.3083999999999998</v>
      </c>
      <c r="F18" s="75">
        <v>0.15659999999999999</v>
      </c>
      <c r="G18" s="75">
        <f t="shared" si="0"/>
        <v>16</v>
      </c>
    </row>
    <row r="19" spans="1:7" x14ac:dyDescent="0.3">
      <c r="A19" s="75">
        <v>21</v>
      </c>
      <c r="B19" s="75" t="s">
        <v>141</v>
      </c>
      <c r="C19" s="75" t="s">
        <v>86</v>
      </c>
      <c r="D19" s="75">
        <v>6.5247999999999999</v>
      </c>
      <c r="E19" s="75">
        <v>0.14069999999999999</v>
      </c>
      <c r="F19" s="75">
        <v>6.1899999999999997E-2</v>
      </c>
      <c r="G19" s="75">
        <f t="shared" si="0"/>
        <v>17</v>
      </c>
    </row>
    <row r="20" spans="1:7" x14ac:dyDescent="0.3">
      <c r="A20" s="75">
        <v>21</v>
      </c>
      <c r="B20" s="75" t="s">
        <v>141</v>
      </c>
      <c r="C20" s="75" t="s">
        <v>97</v>
      </c>
      <c r="D20" s="75">
        <v>19.872699999999998</v>
      </c>
      <c r="E20" s="75">
        <v>10.7913</v>
      </c>
      <c r="F20" s="75">
        <v>0.24479999999999999</v>
      </c>
      <c r="G20" s="75">
        <f t="shared" si="0"/>
        <v>18</v>
      </c>
    </row>
    <row r="21" spans="1:7" x14ac:dyDescent="0.3">
      <c r="A21" s="75">
        <v>20</v>
      </c>
      <c r="B21" s="75" t="s">
        <v>140</v>
      </c>
      <c r="C21" s="75" t="s">
        <v>85</v>
      </c>
      <c r="D21" s="75">
        <v>29.069400000000002</v>
      </c>
      <c r="E21" s="75">
        <v>0.1641</v>
      </c>
      <c r="F21" s="75">
        <v>0.32040000000000002</v>
      </c>
      <c r="G21" s="75">
        <f t="shared" si="0"/>
        <v>19</v>
      </c>
    </row>
    <row r="22" spans="1:7" x14ac:dyDescent="0.3">
      <c r="A22" s="75">
        <v>20</v>
      </c>
      <c r="B22" s="75" t="s">
        <v>140</v>
      </c>
      <c r="C22" s="75" t="s">
        <v>86</v>
      </c>
      <c r="D22" s="75">
        <v>5.9568000000000003</v>
      </c>
      <c r="E22" s="75">
        <v>0.2361</v>
      </c>
      <c r="F22" s="75">
        <v>0.13350000000000001</v>
      </c>
      <c r="G22" s="75">
        <f t="shared" si="0"/>
        <v>20</v>
      </c>
    </row>
    <row r="23" spans="1:7" x14ac:dyDescent="0.3">
      <c r="A23" s="75">
        <v>20</v>
      </c>
      <c r="B23" s="75" t="s">
        <v>140</v>
      </c>
      <c r="C23" s="75" t="s">
        <v>97</v>
      </c>
      <c r="D23" s="75">
        <v>9.4979999999999993</v>
      </c>
      <c r="E23" s="75">
        <v>5.4522000000000004</v>
      </c>
      <c r="F23" s="75">
        <v>0.34039999999999998</v>
      </c>
      <c r="G23" s="75">
        <f t="shared" si="0"/>
        <v>21</v>
      </c>
    </row>
    <row r="24" spans="1:7" x14ac:dyDescent="0.3">
      <c r="A24" s="75">
        <v>20</v>
      </c>
      <c r="B24" s="75" t="s">
        <v>141</v>
      </c>
      <c r="C24" s="75" t="s">
        <v>85</v>
      </c>
      <c r="D24" s="75">
        <v>45.105499999999999</v>
      </c>
      <c r="E24" s="75">
        <v>2.1467000000000001</v>
      </c>
      <c r="F24" s="75">
        <v>0.15920000000000001</v>
      </c>
      <c r="G24" s="75">
        <f t="shared" si="0"/>
        <v>22</v>
      </c>
    </row>
    <row r="25" spans="1:7" x14ac:dyDescent="0.3">
      <c r="A25" s="75">
        <v>20</v>
      </c>
      <c r="B25" s="75" t="s">
        <v>141</v>
      </c>
      <c r="C25" s="75" t="s">
        <v>86</v>
      </c>
      <c r="D25" s="75">
        <v>8.9981000000000009</v>
      </c>
      <c r="E25" s="75">
        <v>0.12609999999999999</v>
      </c>
      <c r="F25" s="75">
        <v>6.2199999999999998E-2</v>
      </c>
      <c r="G25" s="75">
        <f t="shared" si="0"/>
        <v>23</v>
      </c>
    </row>
    <row r="26" spans="1:7" x14ac:dyDescent="0.3">
      <c r="A26" s="75">
        <v>20</v>
      </c>
      <c r="B26" s="75" t="s">
        <v>141</v>
      </c>
      <c r="C26" s="75" t="s">
        <v>97</v>
      </c>
      <c r="D26" s="75">
        <v>23.738</v>
      </c>
      <c r="E26" s="75">
        <v>12.955</v>
      </c>
      <c r="F26" s="75">
        <v>0.25080000000000002</v>
      </c>
      <c r="G26" s="75">
        <f t="shared" si="0"/>
        <v>24</v>
      </c>
    </row>
    <row r="27" spans="1:7" x14ac:dyDescent="0.3">
      <c r="A27" s="75">
        <v>19</v>
      </c>
      <c r="B27" s="75" t="s">
        <v>140</v>
      </c>
      <c r="C27" s="75" t="s">
        <v>85</v>
      </c>
      <c r="D27" s="75">
        <v>36.128100000000003</v>
      </c>
      <c r="E27" s="75">
        <v>0.1203</v>
      </c>
      <c r="F27" s="75">
        <v>0.31969999999999998</v>
      </c>
      <c r="G27" s="75">
        <f t="shared" si="0"/>
        <v>25</v>
      </c>
    </row>
    <row r="28" spans="1:7" x14ac:dyDescent="0.3">
      <c r="A28" s="75">
        <v>19</v>
      </c>
      <c r="B28" s="75" t="s">
        <v>140</v>
      </c>
      <c r="C28" s="75" t="s">
        <v>86</v>
      </c>
      <c r="D28" s="75">
        <v>7.6101000000000001</v>
      </c>
      <c r="E28" s="75">
        <v>0.24510000000000001</v>
      </c>
      <c r="F28" s="75">
        <v>0.13320000000000001</v>
      </c>
      <c r="G28" s="75">
        <f t="shared" si="0"/>
        <v>26</v>
      </c>
    </row>
    <row r="29" spans="1:7" x14ac:dyDescent="0.3">
      <c r="A29" s="75">
        <v>19</v>
      </c>
      <c r="B29" s="75" t="s">
        <v>140</v>
      </c>
      <c r="C29" s="75" t="s">
        <v>97</v>
      </c>
      <c r="D29" s="75">
        <v>11.0876</v>
      </c>
      <c r="E29" s="75">
        <v>5.7096</v>
      </c>
      <c r="F29" s="75">
        <v>0.36349999999999999</v>
      </c>
      <c r="G29" s="75">
        <f t="shared" si="0"/>
        <v>27</v>
      </c>
    </row>
    <row r="30" spans="1:7" x14ac:dyDescent="0.3">
      <c r="A30" s="75">
        <v>19</v>
      </c>
      <c r="B30" s="75" t="s">
        <v>141</v>
      </c>
      <c r="C30" s="75" t="s">
        <v>85</v>
      </c>
      <c r="D30" s="75">
        <v>56.114100000000001</v>
      </c>
      <c r="E30" s="75">
        <v>2.1617999999999999</v>
      </c>
      <c r="F30" s="75">
        <v>0.16039999999999999</v>
      </c>
      <c r="G30" s="75">
        <f t="shared" si="0"/>
        <v>28</v>
      </c>
    </row>
    <row r="31" spans="1:7" x14ac:dyDescent="0.3">
      <c r="A31" s="75">
        <v>19</v>
      </c>
      <c r="B31" s="75" t="s">
        <v>141</v>
      </c>
      <c r="C31" s="75" t="s">
        <v>86</v>
      </c>
      <c r="D31" s="75">
        <v>11.4772</v>
      </c>
      <c r="E31" s="75">
        <v>0.1051</v>
      </c>
      <c r="F31" s="75">
        <v>6.2199999999999998E-2</v>
      </c>
      <c r="G31" s="75">
        <f t="shared" si="0"/>
        <v>29</v>
      </c>
    </row>
    <row r="32" spans="1:7" x14ac:dyDescent="0.3">
      <c r="A32" s="75">
        <v>19</v>
      </c>
      <c r="B32" s="75" t="s">
        <v>141</v>
      </c>
      <c r="C32" s="75" t="s">
        <v>97</v>
      </c>
      <c r="D32" s="75">
        <v>26.959700000000002</v>
      </c>
      <c r="E32" s="75">
        <v>14.140700000000001</v>
      </c>
      <c r="F32" s="75">
        <v>0.25829999999999997</v>
      </c>
      <c r="G32" s="75">
        <f t="shared" si="0"/>
        <v>30</v>
      </c>
    </row>
    <row r="33" spans="1:7" x14ac:dyDescent="0.3">
      <c r="A33" s="75">
        <v>18</v>
      </c>
      <c r="B33" s="75" t="s">
        <v>140</v>
      </c>
      <c r="C33" s="75" t="s">
        <v>85</v>
      </c>
      <c r="D33" s="75">
        <v>43.191000000000003</v>
      </c>
      <c r="E33" s="75">
        <v>0.1038</v>
      </c>
      <c r="F33" s="75">
        <v>0.31969999999999998</v>
      </c>
      <c r="G33" s="75">
        <f t="shared" si="0"/>
        <v>31</v>
      </c>
    </row>
    <row r="34" spans="1:7" x14ac:dyDescent="0.3">
      <c r="A34" s="75">
        <v>18</v>
      </c>
      <c r="B34" s="75" t="s">
        <v>140</v>
      </c>
      <c r="C34" s="75" t="s">
        <v>86</v>
      </c>
      <c r="D34" s="75">
        <v>9.2677999999999994</v>
      </c>
      <c r="E34" s="75">
        <v>0.251</v>
      </c>
      <c r="F34" s="75">
        <v>0.1331</v>
      </c>
      <c r="G34" s="75">
        <f t="shared" si="0"/>
        <v>32</v>
      </c>
    </row>
    <row r="35" spans="1:7" x14ac:dyDescent="0.3">
      <c r="A35" s="75">
        <v>18</v>
      </c>
      <c r="B35" s="75" t="s">
        <v>140</v>
      </c>
      <c r="C35" s="75" t="s">
        <v>97</v>
      </c>
      <c r="D35" s="75">
        <v>12.6526</v>
      </c>
      <c r="E35" s="75">
        <v>5.8864000000000001</v>
      </c>
      <c r="F35" s="75">
        <v>0.38350000000000001</v>
      </c>
      <c r="G35" s="75">
        <f t="shared" si="0"/>
        <v>33</v>
      </c>
    </row>
    <row r="36" spans="1:7" x14ac:dyDescent="0.3">
      <c r="A36" s="75">
        <v>18</v>
      </c>
      <c r="B36" s="75" t="s">
        <v>141</v>
      </c>
      <c r="C36" s="75" t="s">
        <v>85</v>
      </c>
      <c r="D36" s="75">
        <v>67.085099999999997</v>
      </c>
      <c r="E36" s="75">
        <v>2.1448</v>
      </c>
      <c r="F36" s="75">
        <v>0.1608</v>
      </c>
      <c r="G36" s="75">
        <f t="shared" si="0"/>
        <v>34</v>
      </c>
    </row>
    <row r="37" spans="1:7" x14ac:dyDescent="0.3">
      <c r="A37" s="75">
        <v>18</v>
      </c>
      <c r="B37" s="75" t="s">
        <v>141</v>
      </c>
      <c r="C37" s="75" t="s">
        <v>86</v>
      </c>
      <c r="D37" s="75">
        <v>13.957000000000001</v>
      </c>
      <c r="E37" s="75">
        <v>9.0800000000000006E-2</v>
      </c>
      <c r="F37" s="75">
        <v>6.2E-2</v>
      </c>
      <c r="G37" s="75">
        <f t="shared" si="0"/>
        <v>35</v>
      </c>
    </row>
    <row r="38" spans="1:7" x14ac:dyDescent="0.3">
      <c r="A38" s="75">
        <v>18</v>
      </c>
      <c r="B38" s="75" t="s">
        <v>141</v>
      </c>
      <c r="C38" s="75" t="s">
        <v>97</v>
      </c>
      <c r="D38" s="75">
        <v>29.850300000000001</v>
      </c>
      <c r="E38" s="75">
        <v>14.882999999999999</v>
      </c>
      <c r="F38" s="75">
        <v>0.26800000000000002</v>
      </c>
      <c r="G38" s="75">
        <f t="shared" si="0"/>
        <v>36</v>
      </c>
    </row>
    <row r="39" spans="1:7" x14ac:dyDescent="0.3">
      <c r="A39" s="75">
        <v>17</v>
      </c>
      <c r="B39" s="75" t="s">
        <v>140</v>
      </c>
      <c r="C39" s="75" t="s">
        <v>85</v>
      </c>
      <c r="D39" s="75">
        <v>50.272100000000002</v>
      </c>
      <c r="E39" s="75">
        <v>8.3099999999999993E-2</v>
      </c>
      <c r="F39" s="75">
        <v>0.31990000000000002</v>
      </c>
      <c r="G39" s="75">
        <f t="shared" si="0"/>
        <v>37</v>
      </c>
    </row>
    <row r="40" spans="1:7" x14ac:dyDescent="0.3">
      <c r="A40" s="75">
        <v>17</v>
      </c>
      <c r="B40" s="75" t="s">
        <v>140</v>
      </c>
      <c r="C40" s="75" t="s">
        <v>86</v>
      </c>
      <c r="D40" s="75">
        <v>10.933400000000001</v>
      </c>
      <c r="E40" s="75">
        <v>0.25769999999999998</v>
      </c>
      <c r="F40" s="75">
        <v>0.13300000000000001</v>
      </c>
      <c r="G40" s="75">
        <f t="shared" si="0"/>
        <v>38</v>
      </c>
    </row>
    <row r="41" spans="1:7" x14ac:dyDescent="0.3">
      <c r="A41" s="75">
        <v>17</v>
      </c>
      <c r="B41" s="75" t="s">
        <v>140</v>
      </c>
      <c r="C41" s="75" t="s">
        <v>97</v>
      </c>
      <c r="D41" s="75">
        <v>14.1747</v>
      </c>
      <c r="E41" s="75">
        <v>5.9757999999999996</v>
      </c>
      <c r="F41" s="75">
        <v>0.39889999999999998</v>
      </c>
      <c r="G41" s="75">
        <f t="shared" si="0"/>
        <v>39</v>
      </c>
    </row>
    <row r="42" spans="1:7" x14ac:dyDescent="0.3">
      <c r="A42" s="75">
        <v>17</v>
      </c>
      <c r="B42" s="75" t="s">
        <v>141</v>
      </c>
      <c r="C42" s="75" t="s">
        <v>85</v>
      </c>
      <c r="D42" s="75">
        <v>78.036799999999999</v>
      </c>
      <c r="E42" s="75">
        <v>2.1385999999999998</v>
      </c>
      <c r="F42" s="75">
        <v>0.16009999999999999</v>
      </c>
      <c r="G42" s="75">
        <f t="shared" si="0"/>
        <v>40</v>
      </c>
    </row>
    <row r="43" spans="1:7" x14ac:dyDescent="0.3">
      <c r="A43" s="75">
        <v>17</v>
      </c>
      <c r="B43" s="75" t="s">
        <v>141</v>
      </c>
      <c r="C43" s="75" t="s">
        <v>86</v>
      </c>
      <c r="D43" s="75">
        <v>16.433700000000002</v>
      </c>
      <c r="E43" s="75">
        <v>7.6799999999999993E-2</v>
      </c>
      <c r="F43" s="75">
        <v>6.1499999999999999E-2</v>
      </c>
      <c r="G43" s="75">
        <f t="shared" si="0"/>
        <v>41</v>
      </c>
    </row>
    <row r="44" spans="1:7" x14ac:dyDescent="0.3">
      <c r="A44" s="75">
        <v>17</v>
      </c>
      <c r="B44" s="75" t="s">
        <v>141</v>
      </c>
      <c r="C44" s="75" t="s">
        <v>97</v>
      </c>
      <c r="D44" s="75">
        <v>32.526000000000003</v>
      </c>
      <c r="E44" s="75">
        <v>15.338200000000001</v>
      </c>
      <c r="F44" s="75">
        <v>0.2762</v>
      </c>
      <c r="G44" s="75">
        <f t="shared" si="0"/>
        <v>42</v>
      </c>
    </row>
    <row r="45" spans="1:7" x14ac:dyDescent="0.3">
      <c r="A45" s="75">
        <v>16</v>
      </c>
      <c r="B45" s="75" t="s">
        <v>140</v>
      </c>
      <c r="C45" s="75" t="s">
        <v>85</v>
      </c>
      <c r="D45" s="75">
        <v>57.376300000000001</v>
      </c>
      <c r="E45" s="75">
        <v>7.2300000000000003E-2</v>
      </c>
      <c r="F45" s="75">
        <v>0.32050000000000001</v>
      </c>
      <c r="G45" s="75">
        <f t="shared" si="0"/>
        <v>43</v>
      </c>
    </row>
    <row r="46" spans="1:7" x14ac:dyDescent="0.3">
      <c r="A46" s="75">
        <v>16</v>
      </c>
      <c r="B46" s="75" t="s">
        <v>140</v>
      </c>
      <c r="C46" s="75" t="s">
        <v>86</v>
      </c>
      <c r="D46" s="75">
        <v>12.607900000000001</v>
      </c>
      <c r="E46" s="75">
        <v>0.26200000000000001</v>
      </c>
      <c r="F46" s="75">
        <v>0.13300000000000001</v>
      </c>
      <c r="G46" s="75">
        <f t="shared" si="0"/>
        <v>44</v>
      </c>
    </row>
    <row r="47" spans="1:7" x14ac:dyDescent="0.3">
      <c r="A47" s="75">
        <v>16</v>
      </c>
      <c r="B47" s="75" t="s">
        <v>140</v>
      </c>
      <c r="C47" s="75" t="s">
        <v>97</v>
      </c>
      <c r="D47" s="75">
        <v>15.645200000000001</v>
      </c>
      <c r="E47" s="75">
        <v>6.0362</v>
      </c>
      <c r="F47" s="75">
        <v>0.41039999999999999</v>
      </c>
      <c r="G47" s="75">
        <f t="shared" si="0"/>
        <v>45</v>
      </c>
    </row>
    <row r="48" spans="1:7" x14ac:dyDescent="0.3">
      <c r="A48" s="75">
        <v>16</v>
      </c>
      <c r="B48" s="75" t="s">
        <v>141</v>
      </c>
      <c r="C48" s="75" t="s">
        <v>85</v>
      </c>
      <c r="D48" s="75">
        <v>88.961699999999993</v>
      </c>
      <c r="E48" s="75">
        <v>2.1253000000000002</v>
      </c>
      <c r="F48" s="75">
        <v>0.159</v>
      </c>
      <c r="G48" s="75">
        <f t="shared" si="0"/>
        <v>46</v>
      </c>
    </row>
    <row r="49" spans="1:7" x14ac:dyDescent="0.3">
      <c r="A49" s="75">
        <v>16</v>
      </c>
      <c r="B49" s="75" t="s">
        <v>141</v>
      </c>
      <c r="C49" s="75" t="s">
        <v>86</v>
      </c>
      <c r="D49" s="75">
        <v>18.904900000000001</v>
      </c>
      <c r="E49" s="75">
        <v>6.3399999999999998E-2</v>
      </c>
      <c r="F49" s="75">
        <v>6.0699999999999997E-2</v>
      </c>
      <c r="G49" s="75">
        <f t="shared" si="0"/>
        <v>47</v>
      </c>
    </row>
    <row r="50" spans="1:7" x14ac:dyDescent="0.3">
      <c r="A50" s="75">
        <v>16</v>
      </c>
      <c r="B50" s="75" t="s">
        <v>141</v>
      </c>
      <c r="C50" s="75" t="s">
        <v>97</v>
      </c>
      <c r="D50" s="75">
        <v>35.046799999999998</v>
      </c>
      <c r="E50" s="75">
        <v>15.774699999999999</v>
      </c>
      <c r="F50" s="75">
        <v>0.2833</v>
      </c>
      <c r="G50" s="75">
        <f t="shared" si="0"/>
        <v>48</v>
      </c>
    </row>
    <row r="51" spans="1:7" x14ac:dyDescent="0.3">
      <c r="A51" s="75">
        <v>15</v>
      </c>
      <c r="B51" s="75" t="s">
        <v>140</v>
      </c>
      <c r="C51" s="75" t="s">
        <v>85</v>
      </c>
      <c r="D51" s="75">
        <v>64.524600000000007</v>
      </c>
      <c r="E51" s="75">
        <v>8.0199999999999994E-2</v>
      </c>
      <c r="F51" s="75">
        <v>0.32329999999999998</v>
      </c>
      <c r="G51" s="75">
        <f t="shared" si="0"/>
        <v>49</v>
      </c>
    </row>
    <row r="52" spans="1:7" x14ac:dyDescent="0.3">
      <c r="A52" s="75">
        <v>15</v>
      </c>
      <c r="B52" s="75" t="s">
        <v>140</v>
      </c>
      <c r="C52" s="75" t="s">
        <v>86</v>
      </c>
      <c r="D52" s="75">
        <v>14.299799999999999</v>
      </c>
      <c r="E52" s="75">
        <v>0.25979999999999998</v>
      </c>
      <c r="F52" s="75">
        <v>0.13400000000000001</v>
      </c>
      <c r="G52" s="75">
        <f t="shared" si="0"/>
        <v>50</v>
      </c>
    </row>
    <row r="53" spans="1:7" x14ac:dyDescent="0.3">
      <c r="A53" s="75">
        <v>15</v>
      </c>
      <c r="B53" s="75" t="s">
        <v>140</v>
      </c>
      <c r="C53" s="75" t="s">
        <v>97</v>
      </c>
      <c r="D53" s="75">
        <v>17.012699999999999</v>
      </c>
      <c r="E53" s="75">
        <v>6.0631000000000004</v>
      </c>
      <c r="F53" s="75">
        <v>0.42170000000000002</v>
      </c>
      <c r="G53" s="75">
        <f t="shared" si="0"/>
        <v>51</v>
      </c>
    </row>
    <row r="54" spans="1:7" x14ac:dyDescent="0.3">
      <c r="A54" s="75">
        <v>15</v>
      </c>
      <c r="B54" s="75" t="s">
        <v>141</v>
      </c>
      <c r="C54" s="75" t="s">
        <v>85</v>
      </c>
      <c r="D54" s="75">
        <v>99.858199999999997</v>
      </c>
      <c r="E54" s="75">
        <v>2.1076999999999999</v>
      </c>
      <c r="F54" s="75">
        <v>0.1573</v>
      </c>
      <c r="G54" s="75">
        <f t="shared" si="0"/>
        <v>52</v>
      </c>
    </row>
    <row r="55" spans="1:7" x14ac:dyDescent="0.3">
      <c r="A55" s="75">
        <v>15</v>
      </c>
      <c r="B55" s="75" t="s">
        <v>141</v>
      </c>
      <c r="C55" s="75" t="s">
        <v>86</v>
      </c>
      <c r="D55" s="75">
        <v>21.372599999999998</v>
      </c>
      <c r="E55" s="75">
        <v>3.6700000000000003E-2</v>
      </c>
      <c r="F55" s="75">
        <v>5.9799999999999999E-2</v>
      </c>
      <c r="G55" s="75">
        <f t="shared" si="0"/>
        <v>53</v>
      </c>
    </row>
    <row r="56" spans="1:7" x14ac:dyDescent="0.3">
      <c r="A56" s="75">
        <v>15</v>
      </c>
      <c r="B56" s="75" t="s">
        <v>141</v>
      </c>
      <c r="C56" s="75" t="s">
        <v>97</v>
      </c>
      <c r="D56" s="75">
        <v>37.383499999999998</v>
      </c>
      <c r="E56" s="75">
        <v>16.444299999999998</v>
      </c>
      <c r="F56" s="75">
        <v>0.28989999999999999</v>
      </c>
      <c r="G56" s="75">
        <f t="shared" si="0"/>
        <v>54</v>
      </c>
    </row>
    <row r="57" spans="1:7" x14ac:dyDescent="0.3">
      <c r="A57" s="75">
        <v>14</v>
      </c>
      <c r="B57" s="75" t="s">
        <v>140</v>
      </c>
      <c r="C57" s="75" t="s">
        <v>85</v>
      </c>
      <c r="D57" s="75">
        <v>71.848200000000006</v>
      </c>
      <c r="E57" s="75">
        <v>0.18060000000000001</v>
      </c>
      <c r="F57" s="75">
        <v>0.29139999999999999</v>
      </c>
      <c r="G57" s="75">
        <f t="shared" si="0"/>
        <v>55</v>
      </c>
    </row>
    <row r="58" spans="1:7" x14ac:dyDescent="0.3">
      <c r="A58" s="75">
        <v>14</v>
      </c>
      <c r="B58" s="75" t="s">
        <v>140</v>
      </c>
      <c r="C58" s="75" t="s">
        <v>86</v>
      </c>
      <c r="D58" s="75">
        <v>16.052399999999999</v>
      </c>
      <c r="E58" s="75">
        <v>0.23580000000000001</v>
      </c>
      <c r="F58" s="75">
        <v>0.11990000000000001</v>
      </c>
      <c r="G58" s="75">
        <f t="shared" si="0"/>
        <v>56</v>
      </c>
    </row>
    <row r="59" spans="1:7" x14ac:dyDescent="0.3">
      <c r="A59" s="75">
        <v>14</v>
      </c>
      <c r="B59" s="75" t="s">
        <v>140</v>
      </c>
      <c r="C59" s="75" t="s">
        <v>97</v>
      </c>
      <c r="D59" s="75">
        <v>17.8614</v>
      </c>
      <c r="E59" s="75">
        <v>7.1387</v>
      </c>
      <c r="F59" s="75">
        <v>0.3891</v>
      </c>
      <c r="G59" s="75">
        <f t="shared" si="0"/>
        <v>57</v>
      </c>
    </row>
    <row r="60" spans="1:7" x14ac:dyDescent="0.3">
      <c r="A60" s="75">
        <v>14</v>
      </c>
      <c r="B60" s="75" t="s">
        <v>141</v>
      </c>
      <c r="C60" s="75" t="s">
        <v>85</v>
      </c>
      <c r="D60" s="75">
        <v>110.819</v>
      </c>
      <c r="E60" s="75">
        <v>2.0947</v>
      </c>
      <c r="F60" s="75">
        <v>0.14149999999999999</v>
      </c>
      <c r="G60" s="75">
        <f t="shared" si="0"/>
        <v>58</v>
      </c>
    </row>
    <row r="61" spans="1:7" x14ac:dyDescent="0.3">
      <c r="A61" s="75">
        <v>14</v>
      </c>
      <c r="B61" s="75" t="s">
        <v>141</v>
      </c>
      <c r="C61" s="75" t="s">
        <v>86</v>
      </c>
      <c r="D61" s="75">
        <v>23.884399999999999</v>
      </c>
      <c r="E61" s="75">
        <v>1.6199999999999999E-2</v>
      </c>
      <c r="F61" s="75">
        <v>5.33E-2</v>
      </c>
      <c r="G61" s="75">
        <f t="shared" si="0"/>
        <v>59</v>
      </c>
    </row>
    <row r="62" spans="1:7" x14ac:dyDescent="0.3">
      <c r="A62" s="75">
        <v>14</v>
      </c>
      <c r="B62" s="75" t="s">
        <v>141</v>
      </c>
      <c r="C62" s="75" t="s">
        <v>97</v>
      </c>
      <c r="D62" s="75">
        <v>39.849899999999998</v>
      </c>
      <c r="E62" s="75">
        <v>17.917000000000002</v>
      </c>
      <c r="F62" s="75">
        <v>0.27360000000000001</v>
      </c>
      <c r="G62" s="75">
        <f t="shared" si="0"/>
        <v>60</v>
      </c>
    </row>
    <row r="63" spans="1:7" x14ac:dyDescent="0.3">
      <c r="A63" s="75">
        <v>13</v>
      </c>
      <c r="B63" s="75" t="s">
        <v>140</v>
      </c>
      <c r="C63" s="75" t="s">
        <v>85</v>
      </c>
      <c r="D63" s="75">
        <v>79.644300000000001</v>
      </c>
      <c r="E63" s="75">
        <v>0.39989999999999998</v>
      </c>
      <c r="F63" s="75">
        <v>0.55489999999999995</v>
      </c>
      <c r="G63" s="75">
        <f t="shared" si="0"/>
        <v>61</v>
      </c>
    </row>
    <row r="64" spans="1:7" x14ac:dyDescent="0.3">
      <c r="A64" s="75">
        <v>13</v>
      </c>
      <c r="B64" s="75" t="s">
        <v>140</v>
      </c>
      <c r="C64" s="75" t="s">
        <v>86</v>
      </c>
      <c r="D64" s="75">
        <v>17.725100000000001</v>
      </c>
      <c r="E64" s="75">
        <v>0.30149999999999999</v>
      </c>
      <c r="F64" s="75">
        <v>0.22639999999999999</v>
      </c>
      <c r="G64" s="75">
        <f t="shared" si="0"/>
        <v>62</v>
      </c>
    </row>
    <row r="65" spans="1:7" x14ac:dyDescent="0.3">
      <c r="A65" s="75">
        <v>13</v>
      </c>
      <c r="B65" s="75" t="s">
        <v>140</v>
      </c>
      <c r="C65" s="75" t="s">
        <v>97</v>
      </c>
      <c r="D65" s="75">
        <v>19.3752</v>
      </c>
      <c r="E65" s="75">
        <v>4.1776</v>
      </c>
      <c r="F65" s="75">
        <v>0.70089999999999997</v>
      </c>
      <c r="G65" s="75">
        <f t="shared" si="0"/>
        <v>63</v>
      </c>
    </row>
    <row r="66" spans="1:7" x14ac:dyDescent="0.3">
      <c r="A66" s="75">
        <v>13</v>
      </c>
      <c r="B66" s="75" t="s">
        <v>141</v>
      </c>
      <c r="C66" s="75" t="s">
        <v>85</v>
      </c>
      <c r="D66" s="75">
        <v>123.0765</v>
      </c>
      <c r="E66" s="75">
        <v>2.7871000000000001</v>
      </c>
      <c r="F66" s="75">
        <v>0.27089999999999997</v>
      </c>
      <c r="G66" s="75">
        <f t="shared" si="0"/>
        <v>64</v>
      </c>
    </row>
    <row r="67" spans="1:7" x14ac:dyDescent="0.3">
      <c r="A67" s="75">
        <v>13</v>
      </c>
      <c r="B67" s="75" t="s">
        <v>141</v>
      </c>
      <c r="C67" s="75" t="s">
        <v>86</v>
      </c>
      <c r="D67" s="75">
        <v>26.321200000000001</v>
      </c>
      <c r="E67" s="75">
        <v>5.5399999999999998E-2</v>
      </c>
      <c r="F67" s="75">
        <v>0.1024</v>
      </c>
      <c r="G67" s="75">
        <f t="shared" si="0"/>
        <v>65</v>
      </c>
    </row>
    <row r="68" spans="1:7" x14ac:dyDescent="0.3">
      <c r="A68" s="75">
        <v>13</v>
      </c>
      <c r="B68" s="75" t="s">
        <v>141</v>
      </c>
      <c r="C68" s="75" t="s">
        <v>97</v>
      </c>
      <c r="D68" s="75">
        <v>42.704500000000003</v>
      </c>
      <c r="E68" s="75">
        <v>12.0312</v>
      </c>
      <c r="F68" s="75">
        <v>0.53649999999999998</v>
      </c>
      <c r="G68" s="75">
        <f t="shared" si="0"/>
        <v>66</v>
      </c>
    </row>
    <row r="69" spans="1:7" x14ac:dyDescent="0.3">
      <c r="A69" s="75">
        <v>12</v>
      </c>
      <c r="B69" s="75" t="s">
        <v>140</v>
      </c>
      <c r="C69" s="75" t="s">
        <v>85</v>
      </c>
      <c r="D69" s="75">
        <v>87.475800000000007</v>
      </c>
      <c r="E69" s="75">
        <v>0.35639999999999999</v>
      </c>
      <c r="F69" s="75">
        <v>0.50260000000000005</v>
      </c>
      <c r="G69" s="75">
        <f t="shared" ref="G69:G132" si="1">G68+1</f>
        <v>67</v>
      </c>
    </row>
    <row r="70" spans="1:7" x14ac:dyDescent="0.3">
      <c r="A70" s="75">
        <v>12</v>
      </c>
      <c r="B70" s="75" t="s">
        <v>140</v>
      </c>
      <c r="C70" s="75" t="s">
        <v>86</v>
      </c>
      <c r="D70" s="75">
        <v>19.3352</v>
      </c>
      <c r="E70" s="75">
        <v>0.27650000000000002</v>
      </c>
      <c r="F70" s="75">
        <v>0.20449999999999999</v>
      </c>
      <c r="G70" s="75">
        <f t="shared" si="1"/>
        <v>68</v>
      </c>
    </row>
    <row r="71" spans="1:7" x14ac:dyDescent="0.3">
      <c r="A71" s="75">
        <v>12</v>
      </c>
      <c r="B71" s="75" t="s">
        <v>140</v>
      </c>
      <c r="C71" s="75" t="s">
        <v>97</v>
      </c>
      <c r="D71" s="75">
        <v>21.483499999999999</v>
      </c>
      <c r="E71" s="75">
        <v>5.4085999999999999</v>
      </c>
      <c r="F71" s="75">
        <v>0.64239999999999997</v>
      </c>
      <c r="G71" s="75">
        <f t="shared" si="1"/>
        <v>69</v>
      </c>
    </row>
    <row r="72" spans="1:7" x14ac:dyDescent="0.3">
      <c r="A72" s="75">
        <v>12</v>
      </c>
      <c r="B72" s="75" t="s">
        <v>141</v>
      </c>
      <c r="C72" s="75" t="s">
        <v>85</v>
      </c>
      <c r="D72" s="75">
        <v>135.26740000000001</v>
      </c>
      <c r="E72" s="75">
        <v>2.5070000000000001</v>
      </c>
      <c r="F72" s="75">
        <v>0.2404</v>
      </c>
      <c r="G72" s="75">
        <f t="shared" si="1"/>
        <v>70</v>
      </c>
    </row>
    <row r="73" spans="1:7" x14ac:dyDescent="0.3">
      <c r="A73" s="75">
        <v>12</v>
      </c>
      <c r="B73" s="75" t="s">
        <v>141</v>
      </c>
      <c r="C73" s="75" t="s">
        <v>86</v>
      </c>
      <c r="D73" s="75">
        <v>28.6799</v>
      </c>
      <c r="E73" s="75">
        <v>5.0799999999999998E-2</v>
      </c>
      <c r="F73" s="75">
        <v>9.1200000000000003E-2</v>
      </c>
      <c r="G73" s="75">
        <f t="shared" si="1"/>
        <v>71</v>
      </c>
    </row>
    <row r="74" spans="1:7" x14ac:dyDescent="0.3">
      <c r="A74" s="75">
        <v>12</v>
      </c>
      <c r="B74" s="75" t="s">
        <v>141</v>
      </c>
      <c r="C74" s="75" t="s">
        <v>97</v>
      </c>
      <c r="D74" s="75">
        <v>45.7209</v>
      </c>
      <c r="E74" s="75">
        <v>14.124700000000001</v>
      </c>
      <c r="F74" s="75">
        <v>0.49519999999999997</v>
      </c>
      <c r="G74" s="75">
        <f t="shared" si="1"/>
        <v>72</v>
      </c>
    </row>
    <row r="75" spans="1:7" x14ac:dyDescent="0.3">
      <c r="A75" s="75">
        <v>11</v>
      </c>
      <c r="B75" s="75" t="s">
        <v>140</v>
      </c>
      <c r="C75" s="75" t="s">
        <v>85</v>
      </c>
      <c r="D75" s="75">
        <v>95.382499999999993</v>
      </c>
      <c r="E75" s="75">
        <v>0.36720000000000003</v>
      </c>
      <c r="F75" s="75">
        <v>0.51129999999999998</v>
      </c>
      <c r="G75" s="75">
        <f t="shared" si="1"/>
        <v>73</v>
      </c>
    </row>
    <row r="76" spans="1:7" x14ac:dyDescent="0.3">
      <c r="A76" s="75">
        <v>11</v>
      </c>
      <c r="B76" s="75" t="s">
        <v>140</v>
      </c>
      <c r="C76" s="75" t="s">
        <v>86</v>
      </c>
      <c r="D76" s="75">
        <v>21.002099999999999</v>
      </c>
      <c r="E76" s="75">
        <v>0.2752</v>
      </c>
      <c r="F76" s="75">
        <v>0.2074</v>
      </c>
      <c r="G76" s="75">
        <f t="shared" si="1"/>
        <v>74</v>
      </c>
    </row>
    <row r="77" spans="1:7" x14ac:dyDescent="0.3">
      <c r="A77" s="75">
        <v>11</v>
      </c>
      <c r="B77" s="75" t="s">
        <v>140</v>
      </c>
      <c r="C77" s="75" t="s">
        <v>97</v>
      </c>
      <c r="D77" s="75">
        <v>22.958100000000002</v>
      </c>
      <c r="E77" s="75">
        <v>5.4409999999999998</v>
      </c>
      <c r="F77" s="75">
        <v>0.65200000000000002</v>
      </c>
      <c r="G77" s="75">
        <f t="shared" si="1"/>
        <v>75</v>
      </c>
    </row>
    <row r="78" spans="1:7" x14ac:dyDescent="0.3">
      <c r="A78" s="75">
        <v>11</v>
      </c>
      <c r="B78" s="75" t="s">
        <v>141</v>
      </c>
      <c r="C78" s="75" t="s">
        <v>85</v>
      </c>
      <c r="D78" s="75">
        <v>147.542</v>
      </c>
      <c r="E78" s="75">
        <v>2.5470000000000002</v>
      </c>
      <c r="F78" s="75">
        <v>0.23830000000000001</v>
      </c>
      <c r="G78" s="75">
        <f t="shared" si="1"/>
        <v>76</v>
      </c>
    </row>
    <row r="79" spans="1:7" x14ac:dyDescent="0.3">
      <c r="A79" s="75">
        <v>11</v>
      </c>
      <c r="B79" s="75" t="s">
        <v>141</v>
      </c>
      <c r="C79" s="75" t="s">
        <v>86</v>
      </c>
      <c r="D79" s="75">
        <v>31.084399999999999</v>
      </c>
      <c r="E79" s="75">
        <v>1.7399999999999999E-2</v>
      </c>
      <c r="F79" s="75">
        <v>8.9800000000000005E-2</v>
      </c>
      <c r="G79" s="75">
        <f t="shared" si="1"/>
        <v>77</v>
      </c>
    </row>
    <row r="80" spans="1:7" x14ac:dyDescent="0.3">
      <c r="A80" s="75">
        <v>11</v>
      </c>
      <c r="B80" s="75" t="s">
        <v>141</v>
      </c>
      <c r="C80" s="75" t="s">
        <v>97</v>
      </c>
      <c r="D80" s="75">
        <v>48.282699999999998</v>
      </c>
      <c r="E80" s="75">
        <v>15.4078</v>
      </c>
      <c r="F80" s="75">
        <v>0.49049999999999999</v>
      </c>
      <c r="G80" s="75">
        <f t="shared" si="1"/>
        <v>78</v>
      </c>
    </row>
    <row r="81" spans="1:7" x14ac:dyDescent="0.3">
      <c r="A81" s="75">
        <v>10</v>
      </c>
      <c r="B81" s="75" t="s">
        <v>140</v>
      </c>
      <c r="C81" s="75" t="s">
        <v>85</v>
      </c>
      <c r="D81" s="75">
        <v>103.3145</v>
      </c>
      <c r="E81" s="75">
        <v>0.35670000000000002</v>
      </c>
      <c r="F81" s="75">
        <v>0.51239999999999997</v>
      </c>
      <c r="G81" s="75">
        <f t="shared" si="1"/>
        <v>79</v>
      </c>
    </row>
    <row r="82" spans="1:7" x14ac:dyDescent="0.3">
      <c r="A82" s="75">
        <v>10</v>
      </c>
      <c r="B82" s="75" t="s">
        <v>140</v>
      </c>
      <c r="C82" s="75" t="s">
        <v>86</v>
      </c>
      <c r="D82" s="75">
        <v>22.6831</v>
      </c>
      <c r="E82" s="75">
        <v>0.27939999999999998</v>
      </c>
      <c r="F82" s="75">
        <v>0.2074</v>
      </c>
      <c r="G82" s="75">
        <f t="shared" si="1"/>
        <v>80</v>
      </c>
    </row>
    <row r="83" spans="1:7" x14ac:dyDescent="0.3">
      <c r="A83" s="75">
        <v>10</v>
      </c>
      <c r="B83" s="75" t="s">
        <v>140</v>
      </c>
      <c r="C83" s="75" t="s">
        <v>97</v>
      </c>
      <c r="D83" s="75">
        <v>24.236699999999999</v>
      </c>
      <c r="E83" s="75">
        <v>5.5582000000000003</v>
      </c>
      <c r="F83" s="75">
        <v>0.65290000000000004</v>
      </c>
      <c r="G83" s="75">
        <f t="shared" si="1"/>
        <v>81</v>
      </c>
    </row>
    <row r="84" spans="1:7" x14ac:dyDescent="0.3">
      <c r="A84" s="75">
        <v>10</v>
      </c>
      <c r="B84" s="75" t="s">
        <v>141</v>
      </c>
      <c r="C84" s="75" t="s">
        <v>85</v>
      </c>
      <c r="D84" s="75">
        <v>159.75399999999999</v>
      </c>
      <c r="E84" s="75">
        <v>2.5272000000000001</v>
      </c>
      <c r="F84" s="75">
        <v>0.23080000000000001</v>
      </c>
      <c r="G84" s="75">
        <f t="shared" si="1"/>
        <v>82</v>
      </c>
    </row>
    <row r="85" spans="1:7" x14ac:dyDescent="0.3">
      <c r="A85" s="75">
        <v>10</v>
      </c>
      <c r="B85" s="75" t="s">
        <v>141</v>
      </c>
      <c r="C85" s="75" t="s">
        <v>86</v>
      </c>
      <c r="D85" s="75">
        <v>33.4803</v>
      </c>
      <c r="E85" s="75">
        <v>2.8E-3</v>
      </c>
      <c r="F85" s="75">
        <v>8.6900000000000005E-2</v>
      </c>
      <c r="G85" s="75">
        <f t="shared" si="1"/>
        <v>83</v>
      </c>
    </row>
    <row r="86" spans="1:7" x14ac:dyDescent="0.3">
      <c r="A86" s="75">
        <v>10</v>
      </c>
      <c r="B86" s="75" t="s">
        <v>141</v>
      </c>
      <c r="C86" s="75" t="s">
        <v>97</v>
      </c>
      <c r="D86" s="75">
        <v>49.992899999999999</v>
      </c>
      <c r="E86" s="75">
        <v>16.808</v>
      </c>
      <c r="F86" s="75">
        <v>0.47889999999999999</v>
      </c>
      <c r="G86" s="75">
        <f t="shared" si="1"/>
        <v>84</v>
      </c>
    </row>
    <row r="87" spans="1:7" x14ac:dyDescent="0.3">
      <c r="A87" s="75">
        <v>9</v>
      </c>
      <c r="B87" s="75" t="s">
        <v>140</v>
      </c>
      <c r="C87" s="75" t="s">
        <v>85</v>
      </c>
      <c r="D87" s="75">
        <v>111.27679999999999</v>
      </c>
      <c r="E87" s="75">
        <v>0.3508</v>
      </c>
      <c r="F87" s="75">
        <v>0.51849999999999996</v>
      </c>
      <c r="G87" s="75">
        <f t="shared" si="1"/>
        <v>85</v>
      </c>
    </row>
    <row r="88" spans="1:7" x14ac:dyDescent="0.3">
      <c r="A88" s="75">
        <v>9</v>
      </c>
      <c r="B88" s="75" t="s">
        <v>140</v>
      </c>
      <c r="C88" s="75" t="s">
        <v>86</v>
      </c>
      <c r="D88" s="75">
        <v>24.377099999999999</v>
      </c>
      <c r="E88" s="75">
        <v>0.28370000000000001</v>
      </c>
      <c r="F88" s="75">
        <v>0.2089</v>
      </c>
      <c r="G88" s="75">
        <f t="shared" si="1"/>
        <v>86</v>
      </c>
    </row>
    <row r="89" spans="1:7" x14ac:dyDescent="0.3">
      <c r="A89" s="75">
        <v>9</v>
      </c>
      <c r="B89" s="75" t="s">
        <v>140</v>
      </c>
      <c r="C89" s="75" t="s">
        <v>97</v>
      </c>
      <c r="D89" s="75">
        <v>25.3416</v>
      </c>
      <c r="E89" s="75">
        <v>5.6401000000000003</v>
      </c>
      <c r="F89" s="75">
        <v>0.64570000000000005</v>
      </c>
      <c r="G89" s="75">
        <f t="shared" si="1"/>
        <v>87</v>
      </c>
    </row>
    <row r="90" spans="1:7" x14ac:dyDescent="0.3">
      <c r="A90" s="75">
        <v>9</v>
      </c>
      <c r="B90" s="75" t="s">
        <v>141</v>
      </c>
      <c r="C90" s="75" t="s">
        <v>85</v>
      </c>
      <c r="D90" s="75">
        <v>171.91839999999999</v>
      </c>
      <c r="E90" s="75">
        <v>2.5295999999999998</v>
      </c>
      <c r="F90" s="75">
        <v>0.22420000000000001</v>
      </c>
      <c r="G90" s="75">
        <f t="shared" si="1"/>
        <v>88</v>
      </c>
    </row>
    <row r="91" spans="1:7" x14ac:dyDescent="0.3">
      <c r="A91" s="75">
        <v>9</v>
      </c>
      <c r="B91" s="75" t="s">
        <v>141</v>
      </c>
      <c r="C91" s="75" t="s">
        <v>86</v>
      </c>
      <c r="D91" s="75">
        <v>35.8645</v>
      </c>
      <c r="E91" s="75">
        <v>1.37E-2</v>
      </c>
      <c r="F91" s="75">
        <v>8.4199999999999997E-2</v>
      </c>
      <c r="G91" s="75">
        <f t="shared" si="1"/>
        <v>89</v>
      </c>
    </row>
    <row r="92" spans="1:7" x14ac:dyDescent="0.3">
      <c r="A92" s="75">
        <v>9</v>
      </c>
      <c r="B92" s="75" t="s">
        <v>141</v>
      </c>
      <c r="C92" s="75" t="s">
        <v>97</v>
      </c>
      <c r="D92" s="75">
        <v>50.856200000000001</v>
      </c>
      <c r="E92" s="75">
        <v>18.364899999999999</v>
      </c>
      <c r="F92" s="75">
        <v>0.45669999999999999</v>
      </c>
      <c r="G92" s="75">
        <f t="shared" si="1"/>
        <v>90</v>
      </c>
    </row>
    <row r="93" spans="1:7" x14ac:dyDescent="0.3">
      <c r="A93" s="75">
        <v>8</v>
      </c>
      <c r="B93" s="75" t="s">
        <v>140</v>
      </c>
      <c r="C93" s="75" t="s">
        <v>85</v>
      </c>
      <c r="D93" s="75">
        <v>119.26819999999999</v>
      </c>
      <c r="E93" s="75">
        <v>0.35399999999999998</v>
      </c>
      <c r="F93" s="75">
        <v>0.50260000000000005</v>
      </c>
      <c r="G93" s="75">
        <f t="shared" si="1"/>
        <v>91</v>
      </c>
    </row>
    <row r="94" spans="1:7" x14ac:dyDescent="0.3">
      <c r="A94" s="75">
        <v>8</v>
      </c>
      <c r="B94" s="75" t="s">
        <v>140</v>
      </c>
      <c r="C94" s="75" t="s">
        <v>86</v>
      </c>
      <c r="D94" s="75">
        <v>26.089600000000001</v>
      </c>
      <c r="E94" s="75">
        <v>0.27889999999999998</v>
      </c>
      <c r="F94" s="75">
        <v>0.20280000000000001</v>
      </c>
      <c r="G94" s="75">
        <f t="shared" si="1"/>
        <v>92</v>
      </c>
    </row>
    <row r="95" spans="1:7" x14ac:dyDescent="0.3">
      <c r="A95" s="75">
        <v>8</v>
      </c>
      <c r="B95" s="75" t="s">
        <v>140</v>
      </c>
      <c r="C95" s="75" t="s">
        <v>97</v>
      </c>
      <c r="D95" s="75">
        <v>26.057200000000002</v>
      </c>
      <c r="E95" s="75">
        <v>6.1189</v>
      </c>
      <c r="F95" s="75">
        <v>0.64729999999999999</v>
      </c>
      <c r="G95" s="75">
        <f t="shared" si="1"/>
        <v>93</v>
      </c>
    </row>
    <row r="96" spans="1:7" x14ac:dyDescent="0.3">
      <c r="A96" s="75">
        <v>8</v>
      </c>
      <c r="B96" s="75" t="s">
        <v>141</v>
      </c>
      <c r="C96" s="75" t="s">
        <v>85</v>
      </c>
      <c r="D96" s="75">
        <v>184.03370000000001</v>
      </c>
      <c r="E96" s="75">
        <v>2.5177</v>
      </c>
      <c r="F96" s="75">
        <v>0.20979999999999999</v>
      </c>
      <c r="G96" s="75">
        <f t="shared" si="1"/>
        <v>94</v>
      </c>
    </row>
    <row r="97" spans="1:7" x14ac:dyDescent="0.3">
      <c r="A97" s="75">
        <v>8</v>
      </c>
      <c r="B97" s="75" t="s">
        <v>141</v>
      </c>
      <c r="C97" s="75" t="s">
        <v>86</v>
      </c>
      <c r="D97" s="75">
        <v>38.237099999999998</v>
      </c>
      <c r="E97" s="75">
        <v>3.5000000000000003E-2</v>
      </c>
      <c r="F97" s="75">
        <v>7.9399999999999998E-2</v>
      </c>
      <c r="G97" s="75">
        <f t="shared" si="1"/>
        <v>95</v>
      </c>
    </row>
    <row r="98" spans="1:7" x14ac:dyDescent="0.3">
      <c r="A98" s="75">
        <v>8</v>
      </c>
      <c r="B98" s="75" t="s">
        <v>141</v>
      </c>
      <c r="C98" s="75" t="s">
        <v>97</v>
      </c>
      <c r="D98" s="75">
        <v>50.935400000000001</v>
      </c>
      <c r="E98" s="75">
        <v>20.196000000000002</v>
      </c>
      <c r="F98" s="75">
        <v>0.44640000000000002</v>
      </c>
      <c r="G98" s="75">
        <f t="shared" si="1"/>
        <v>96</v>
      </c>
    </row>
    <row r="99" spans="1:7" x14ac:dyDescent="0.3">
      <c r="A99" s="75">
        <v>7</v>
      </c>
      <c r="B99" s="75" t="s">
        <v>140</v>
      </c>
      <c r="C99" s="75" t="s">
        <v>85</v>
      </c>
      <c r="D99" s="75">
        <v>127.2414</v>
      </c>
      <c r="E99" s="75">
        <v>0.4108</v>
      </c>
      <c r="F99" s="75">
        <v>0.5262</v>
      </c>
      <c r="G99" s="75">
        <f t="shared" si="1"/>
        <v>97</v>
      </c>
    </row>
    <row r="100" spans="1:7" x14ac:dyDescent="0.3">
      <c r="A100" s="75">
        <v>7</v>
      </c>
      <c r="B100" s="75" t="s">
        <v>140</v>
      </c>
      <c r="C100" s="75" t="s">
        <v>86</v>
      </c>
      <c r="D100" s="75">
        <v>27.783200000000001</v>
      </c>
      <c r="E100" s="75">
        <v>0.28470000000000001</v>
      </c>
      <c r="F100" s="75">
        <v>0.21129999999999999</v>
      </c>
      <c r="G100" s="75">
        <f t="shared" si="1"/>
        <v>98</v>
      </c>
    </row>
    <row r="101" spans="1:7" x14ac:dyDescent="0.3">
      <c r="A101" s="75">
        <v>7</v>
      </c>
      <c r="B101" s="75" t="s">
        <v>140</v>
      </c>
      <c r="C101" s="75" t="s">
        <v>97</v>
      </c>
      <c r="D101" s="75">
        <v>27.36</v>
      </c>
      <c r="E101" s="75">
        <v>5.3425000000000002</v>
      </c>
      <c r="F101" s="75">
        <v>0.66349999999999998</v>
      </c>
      <c r="G101" s="75">
        <f t="shared" si="1"/>
        <v>99</v>
      </c>
    </row>
    <row r="102" spans="1:7" x14ac:dyDescent="0.3">
      <c r="A102" s="75">
        <v>7</v>
      </c>
      <c r="B102" s="75" t="s">
        <v>141</v>
      </c>
      <c r="C102" s="75" t="s">
        <v>85</v>
      </c>
      <c r="D102" s="75">
        <v>195.94139999999999</v>
      </c>
      <c r="E102" s="75">
        <v>2.6036000000000001</v>
      </c>
      <c r="F102" s="75">
        <v>0.21129999999999999</v>
      </c>
      <c r="G102" s="75">
        <f t="shared" si="1"/>
        <v>100</v>
      </c>
    </row>
    <row r="103" spans="1:7" x14ac:dyDescent="0.3">
      <c r="A103" s="75">
        <v>7</v>
      </c>
      <c r="B103" s="75" t="s">
        <v>141</v>
      </c>
      <c r="C103" s="75" t="s">
        <v>86</v>
      </c>
      <c r="D103" s="75">
        <v>40.5642</v>
      </c>
      <c r="E103" s="75">
        <v>4.48E-2</v>
      </c>
      <c r="F103" s="75">
        <v>8.0100000000000005E-2</v>
      </c>
      <c r="G103" s="75">
        <f t="shared" si="1"/>
        <v>101</v>
      </c>
    </row>
    <row r="104" spans="1:7" x14ac:dyDescent="0.3">
      <c r="A104" s="75">
        <v>7</v>
      </c>
      <c r="B104" s="75" t="s">
        <v>141</v>
      </c>
      <c r="C104" s="75" t="s">
        <v>97</v>
      </c>
      <c r="D104" s="75">
        <v>51.140799999999999</v>
      </c>
      <c r="E104" s="75">
        <v>20.064599999999999</v>
      </c>
      <c r="F104" s="75">
        <v>0.44280000000000003</v>
      </c>
      <c r="G104" s="75">
        <f t="shared" si="1"/>
        <v>102</v>
      </c>
    </row>
    <row r="105" spans="1:7" x14ac:dyDescent="0.3">
      <c r="A105" s="75">
        <v>6</v>
      </c>
      <c r="B105" s="75" t="s">
        <v>140</v>
      </c>
      <c r="C105" s="75" t="s">
        <v>85</v>
      </c>
      <c r="D105" s="75">
        <v>135.20509999999999</v>
      </c>
      <c r="E105" s="75">
        <v>0.34749999999999998</v>
      </c>
      <c r="F105" s="75">
        <v>0.51149999999999995</v>
      </c>
      <c r="G105" s="75">
        <f t="shared" si="1"/>
        <v>103</v>
      </c>
    </row>
    <row r="106" spans="1:7" x14ac:dyDescent="0.3">
      <c r="A106" s="75">
        <v>6</v>
      </c>
      <c r="B106" s="75" t="s">
        <v>140</v>
      </c>
      <c r="C106" s="75" t="s">
        <v>86</v>
      </c>
      <c r="D106" s="75">
        <v>29.465</v>
      </c>
      <c r="E106" s="75">
        <v>0.30330000000000001</v>
      </c>
      <c r="F106" s="75">
        <v>0.2072</v>
      </c>
      <c r="G106" s="75">
        <f t="shared" si="1"/>
        <v>104</v>
      </c>
    </row>
    <row r="107" spans="1:7" x14ac:dyDescent="0.3">
      <c r="A107" s="75">
        <v>6</v>
      </c>
      <c r="B107" s="75" t="s">
        <v>140</v>
      </c>
      <c r="C107" s="75" t="s">
        <v>97</v>
      </c>
      <c r="D107" s="75">
        <v>28.7012</v>
      </c>
      <c r="E107" s="75">
        <v>5.6532</v>
      </c>
      <c r="F107" s="75">
        <v>0.63380000000000003</v>
      </c>
      <c r="G107" s="75">
        <f t="shared" si="1"/>
        <v>105</v>
      </c>
    </row>
    <row r="108" spans="1:7" x14ac:dyDescent="0.3">
      <c r="A108" s="75">
        <v>6</v>
      </c>
      <c r="B108" s="75" t="s">
        <v>141</v>
      </c>
      <c r="C108" s="75" t="s">
        <v>85</v>
      </c>
      <c r="D108" s="75">
        <v>207.7003</v>
      </c>
      <c r="E108" s="75">
        <v>2.4681999999999999</v>
      </c>
      <c r="F108" s="75">
        <v>0.1885</v>
      </c>
      <c r="G108" s="75">
        <f t="shared" si="1"/>
        <v>106</v>
      </c>
    </row>
    <row r="109" spans="1:7" x14ac:dyDescent="0.3">
      <c r="A109" s="75">
        <v>6</v>
      </c>
      <c r="B109" s="75" t="s">
        <v>141</v>
      </c>
      <c r="C109" s="75" t="s">
        <v>86</v>
      </c>
      <c r="D109" s="75">
        <v>42.854900000000001</v>
      </c>
      <c r="E109" s="75">
        <v>5.33E-2</v>
      </c>
      <c r="F109" s="75">
        <v>7.2599999999999998E-2</v>
      </c>
      <c r="G109" s="75">
        <f t="shared" si="1"/>
        <v>107</v>
      </c>
    </row>
    <row r="110" spans="1:7" x14ac:dyDescent="0.3">
      <c r="A110" s="75">
        <v>6</v>
      </c>
      <c r="B110" s="75" t="s">
        <v>141</v>
      </c>
      <c r="C110" s="75" t="s">
        <v>97</v>
      </c>
      <c r="D110" s="75">
        <v>50.640099999999997</v>
      </c>
      <c r="E110" s="75">
        <v>22.086600000000001</v>
      </c>
      <c r="F110" s="75">
        <v>0.4078</v>
      </c>
      <c r="G110" s="75">
        <f t="shared" si="1"/>
        <v>108</v>
      </c>
    </row>
    <row r="111" spans="1:7" x14ac:dyDescent="0.3">
      <c r="A111" s="75">
        <v>5</v>
      </c>
      <c r="B111" s="75" t="s">
        <v>140</v>
      </c>
      <c r="C111" s="75" t="s">
        <v>85</v>
      </c>
      <c r="D111" s="75">
        <v>143.31059999999999</v>
      </c>
      <c r="E111" s="75">
        <v>0.52429999999999999</v>
      </c>
      <c r="F111" s="75">
        <v>0.55659999999999998</v>
      </c>
      <c r="G111" s="75">
        <f t="shared" si="1"/>
        <v>109</v>
      </c>
    </row>
    <row r="112" spans="1:7" x14ac:dyDescent="0.3">
      <c r="A112" s="75">
        <v>5</v>
      </c>
      <c r="B112" s="75" t="s">
        <v>140</v>
      </c>
      <c r="C112" s="75" t="s">
        <v>86</v>
      </c>
      <c r="D112" s="75">
        <v>31.156500000000001</v>
      </c>
      <c r="E112" s="75">
        <v>0.2843</v>
      </c>
      <c r="F112" s="75">
        <v>0.21709999999999999</v>
      </c>
      <c r="G112" s="75">
        <f t="shared" si="1"/>
        <v>110</v>
      </c>
    </row>
    <row r="113" spans="1:7" x14ac:dyDescent="0.3">
      <c r="A113" s="75">
        <v>5</v>
      </c>
      <c r="B113" s="75" t="s">
        <v>140</v>
      </c>
      <c r="C113" s="75" t="s">
        <v>97</v>
      </c>
      <c r="D113" s="75">
        <v>30.9099</v>
      </c>
      <c r="E113" s="75">
        <v>4.6296999999999997</v>
      </c>
      <c r="F113" s="75">
        <v>0.57889999999999997</v>
      </c>
      <c r="G113" s="75">
        <f t="shared" si="1"/>
        <v>111</v>
      </c>
    </row>
    <row r="114" spans="1:7" x14ac:dyDescent="0.3">
      <c r="A114" s="75">
        <v>5</v>
      </c>
      <c r="B114" s="75" t="s">
        <v>141</v>
      </c>
      <c r="C114" s="75" t="s">
        <v>85</v>
      </c>
      <c r="D114" s="75">
        <v>219.31460000000001</v>
      </c>
      <c r="E114" s="75">
        <v>2.2547000000000001</v>
      </c>
      <c r="F114" s="75">
        <v>0.17710000000000001</v>
      </c>
      <c r="G114" s="75">
        <f t="shared" si="1"/>
        <v>112</v>
      </c>
    </row>
    <row r="115" spans="1:7" x14ac:dyDescent="0.3">
      <c r="A115" s="75">
        <v>5</v>
      </c>
      <c r="B115" s="75" t="s">
        <v>141</v>
      </c>
      <c r="C115" s="75" t="s">
        <v>86</v>
      </c>
      <c r="D115" s="75">
        <v>45.151200000000003</v>
      </c>
      <c r="E115" s="75">
        <v>4.3999999999999997E-2</v>
      </c>
      <c r="F115" s="75">
        <v>6.7599999999999993E-2</v>
      </c>
      <c r="G115" s="75">
        <f t="shared" si="1"/>
        <v>113</v>
      </c>
    </row>
    <row r="116" spans="1:7" x14ac:dyDescent="0.3">
      <c r="A116" s="75">
        <v>5</v>
      </c>
      <c r="B116" s="75" t="s">
        <v>141</v>
      </c>
      <c r="C116" s="75" t="s">
        <v>97</v>
      </c>
      <c r="D116" s="75">
        <v>50.118200000000002</v>
      </c>
      <c r="E116" s="75">
        <v>22.976800000000001</v>
      </c>
      <c r="F116" s="75">
        <v>0.3468</v>
      </c>
      <c r="G116" s="75">
        <f t="shared" si="1"/>
        <v>114</v>
      </c>
    </row>
    <row r="117" spans="1:7" x14ac:dyDescent="0.3">
      <c r="A117" s="74">
        <v>4</v>
      </c>
      <c r="B117" s="74" t="s">
        <v>140</v>
      </c>
      <c r="C117" s="74" t="s">
        <v>85</v>
      </c>
      <c r="D117" s="74">
        <v>149.92529999999999</v>
      </c>
      <c r="E117" s="74">
        <v>1.7707999999999999</v>
      </c>
      <c r="F117" s="74">
        <v>0.42270000000000002</v>
      </c>
      <c r="G117" s="74">
        <f t="shared" si="1"/>
        <v>115</v>
      </c>
    </row>
    <row r="118" spans="1:7" x14ac:dyDescent="0.3">
      <c r="A118" s="74">
        <v>4</v>
      </c>
      <c r="B118" s="74" t="s">
        <v>140</v>
      </c>
      <c r="C118" s="74" t="s">
        <v>86</v>
      </c>
      <c r="D118" s="74">
        <v>32.445</v>
      </c>
      <c r="E118" s="74">
        <v>0.82930000000000004</v>
      </c>
      <c r="F118" s="74">
        <v>0.18940000000000001</v>
      </c>
      <c r="G118" s="74">
        <f t="shared" si="1"/>
        <v>116</v>
      </c>
    </row>
    <row r="119" spans="1:7" x14ac:dyDescent="0.3">
      <c r="A119" s="74">
        <v>4</v>
      </c>
      <c r="B119" s="74" t="s">
        <v>140</v>
      </c>
      <c r="C119" s="74" t="s">
        <v>97</v>
      </c>
      <c r="D119" s="74">
        <v>35.790999999999997</v>
      </c>
      <c r="E119" s="74">
        <v>3.2444999999999999</v>
      </c>
      <c r="F119" s="74">
        <v>0.53759999999999997</v>
      </c>
      <c r="G119" s="74">
        <f t="shared" si="1"/>
        <v>117</v>
      </c>
    </row>
    <row r="120" spans="1:7" x14ac:dyDescent="0.3">
      <c r="A120" s="74">
        <v>4</v>
      </c>
      <c r="B120" s="74" t="s">
        <v>141</v>
      </c>
      <c r="C120" s="74" t="s">
        <v>85</v>
      </c>
      <c r="D120" s="74">
        <v>229.6969</v>
      </c>
      <c r="E120" s="74">
        <v>1.8655999999999999</v>
      </c>
      <c r="F120" s="74">
        <v>0.2026</v>
      </c>
      <c r="G120" s="74">
        <f t="shared" si="1"/>
        <v>118</v>
      </c>
    </row>
    <row r="121" spans="1:7" x14ac:dyDescent="0.3">
      <c r="A121" s="74">
        <v>4</v>
      </c>
      <c r="B121" s="74" t="s">
        <v>141</v>
      </c>
      <c r="C121" s="74" t="s">
        <v>86</v>
      </c>
      <c r="D121" s="74">
        <v>47.331400000000002</v>
      </c>
      <c r="E121" s="74">
        <v>3.7499999999999999E-2</v>
      </c>
      <c r="F121" s="74">
        <v>6.5000000000000002E-2</v>
      </c>
      <c r="G121" s="74">
        <f t="shared" si="1"/>
        <v>119</v>
      </c>
    </row>
    <row r="122" spans="1:7" x14ac:dyDescent="0.3">
      <c r="A122" s="74">
        <v>4</v>
      </c>
      <c r="B122" s="74" t="s">
        <v>141</v>
      </c>
      <c r="C122" s="74" t="s">
        <v>97</v>
      </c>
      <c r="D122" s="74">
        <v>50.674399999999999</v>
      </c>
      <c r="E122" s="74">
        <v>24.528199999999998</v>
      </c>
      <c r="F122" s="74">
        <v>0.3614</v>
      </c>
      <c r="G122" s="74">
        <f t="shared" si="1"/>
        <v>120</v>
      </c>
    </row>
    <row r="123" spans="1:7" x14ac:dyDescent="0.3">
      <c r="A123" s="75">
        <v>3</v>
      </c>
      <c r="B123" s="75" t="s">
        <v>140</v>
      </c>
      <c r="C123" s="75" t="s">
        <v>85</v>
      </c>
      <c r="D123" s="75">
        <v>166.95580000000001</v>
      </c>
      <c r="E123" s="75">
        <v>22.662299999999998</v>
      </c>
      <c r="F123" s="75">
        <v>0.91500000000000004</v>
      </c>
      <c r="G123" s="75">
        <f t="shared" si="1"/>
        <v>121</v>
      </c>
    </row>
    <row r="124" spans="1:7" x14ac:dyDescent="0.3">
      <c r="A124" s="75">
        <v>3</v>
      </c>
      <c r="B124" s="75" t="s">
        <v>140</v>
      </c>
      <c r="C124" s="75" t="s">
        <v>86</v>
      </c>
      <c r="D124" s="75">
        <v>35.637599999999999</v>
      </c>
      <c r="E124" s="75">
        <v>4.1965000000000003</v>
      </c>
      <c r="F124" s="75">
        <v>0.29099999999999998</v>
      </c>
      <c r="G124" s="75">
        <f t="shared" si="1"/>
        <v>122</v>
      </c>
    </row>
    <row r="125" spans="1:7" x14ac:dyDescent="0.3">
      <c r="A125" s="75">
        <v>3</v>
      </c>
      <c r="B125" s="75" t="s">
        <v>140</v>
      </c>
      <c r="C125" s="75" t="s">
        <v>97</v>
      </c>
      <c r="D125" s="75">
        <v>52.653100000000002</v>
      </c>
      <c r="E125" s="75">
        <v>6.5167999999999999</v>
      </c>
      <c r="F125" s="75">
        <v>0.54730000000000001</v>
      </c>
      <c r="G125" s="75">
        <f t="shared" si="1"/>
        <v>123</v>
      </c>
    </row>
    <row r="126" spans="1:7" x14ac:dyDescent="0.3">
      <c r="A126" s="75">
        <v>3</v>
      </c>
      <c r="B126" s="75" t="s">
        <v>141</v>
      </c>
      <c r="C126" s="75" t="s">
        <v>85</v>
      </c>
      <c r="D126" s="75">
        <v>244.01859999999999</v>
      </c>
      <c r="E126" s="75">
        <v>13.462899999999999</v>
      </c>
      <c r="F126" s="75">
        <v>3.5200000000000002E-2</v>
      </c>
      <c r="G126" s="75">
        <f t="shared" si="1"/>
        <v>124</v>
      </c>
    </row>
    <row r="127" spans="1:7" x14ac:dyDescent="0.3">
      <c r="A127" s="75">
        <v>3</v>
      </c>
      <c r="B127" s="75" t="s">
        <v>141</v>
      </c>
      <c r="C127" s="75" t="s">
        <v>86</v>
      </c>
      <c r="D127" s="75">
        <v>50.749400000000001</v>
      </c>
      <c r="E127" s="75">
        <v>2.5657000000000001</v>
      </c>
      <c r="F127" s="75">
        <v>1.26E-2</v>
      </c>
      <c r="G127" s="75">
        <f t="shared" si="1"/>
        <v>125</v>
      </c>
    </row>
    <row r="128" spans="1:7" x14ac:dyDescent="0.3">
      <c r="A128" s="75">
        <v>3</v>
      </c>
      <c r="B128" s="75" t="s">
        <v>141</v>
      </c>
      <c r="C128" s="75" t="s">
        <v>97</v>
      </c>
      <c r="D128" s="75">
        <v>63.231400000000001</v>
      </c>
      <c r="E128" s="75">
        <v>24.186</v>
      </c>
      <c r="F128" s="75">
        <v>0.81720000000000004</v>
      </c>
      <c r="G128" s="75">
        <f t="shared" si="1"/>
        <v>126</v>
      </c>
    </row>
    <row r="129" spans="1:7" x14ac:dyDescent="0.3">
      <c r="A129" s="75">
        <v>2</v>
      </c>
      <c r="B129" s="75" t="s">
        <v>140</v>
      </c>
      <c r="C129" s="75" t="s">
        <v>85</v>
      </c>
      <c r="D129" s="75">
        <v>272.98579999999998</v>
      </c>
      <c r="E129" s="75">
        <v>25.0868</v>
      </c>
      <c r="F129" s="75">
        <v>1.3456999999999999</v>
      </c>
      <c r="G129" s="75">
        <f t="shared" si="1"/>
        <v>127</v>
      </c>
    </row>
    <row r="130" spans="1:7" x14ac:dyDescent="0.3">
      <c r="A130" s="75">
        <v>2</v>
      </c>
      <c r="B130" s="75" t="s">
        <v>140</v>
      </c>
      <c r="C130" s="75" t="s">
        <v>86</v>
      </c>
      <c r="D130" s="75">
        <v>58.490200000000002</v>
      </c>
      <c r="E130" s="75">
        <v>6.41</v>
      </c>
      <c r="F130" s="75">
        <v>0.67630000000000001</v>
      </c>
      <c r="G130" s="75">
        <f t="shared" si="1"/>
        <v>128</v>
      </c>
    </row>
    <row r="131" spans="1:7" x14ac:dyDescent="0.3">
      <c r="A131" s="75">
        <v>2</v>
      </c>
      <c r="B131" s="75" t="s">
        <v>140</v>
      </c>
      <c r="C131" s="75" t="s">
        <v>97</v>
      </c>
      <c r="D131" s="75">
        <v>120.1339</v>
      </c>
      <c r="E131" s="75">
        <v>29.3948</v>
      </c>
      <c r="F131" s="75">
        <v>0.39050000000000001</v>
      </c>
      <c r="G131" s="75">
        <f t="shared" si="1"/>
        <v>129</v>
      </c>
    </row>
    <row r="132" spans="1:7" x14ac:dyDescent="0.3">
      <c r="A132" s="75">
        <v>2</v>
      </c>
      <c r="B132" s="75" t="s">
        <v>142</v>
      </c>
      <c r="C132" s="75" t="s">
        <v>85</v>
      </c>
      <c r="D132" s="75">
        <v>291.4298</v>
      </c>
      <c r="E132" s="75">
        <v>21.577200000000001</v>
      </c>
      <c r="F132" s="75">
        <v>0.252</v>
      </c>
      <c r="G132" s="75">
        <f t="shared" si="1"/>
        <v>130</v>
      </c>
    </row>
    <row r="133" spans="1:7" x14ac:dyDescent="0.3">
      <c r="A133" s="75">
        <v>2</v>
      </c>
      <c r="B133" s="75" t="s">
        <v>142</v>
      </c>
      <c r="C133" s="75" t="s">
        <v>86</v>
      </c>
      <c r="D133" s="75">
        <v>61.388199999999998</v>
      </c>
      <c r="E133" s="75">
        <v>5.7099000000000002</v>
      </c>
      <c r="F133" s="75">
        <v>6.7599999999999993E-2</v>
      </c>
      <c r="G133" s="75">
        <f t="shared" ref="G133:G146" si="2">G132+1</f>
        <v>131</v>
      </c>
    </row>
    <row r="134" spans="1:7" x14ac:dyDescent="0.3">
      <c r="A134" s="75">
        <v>2</v>
      </c>
      <c r="B134" s="75" t="s">
        <v>142</v>
      </c>
      <c r="C134" s="75" t="s">
        <v>97</v>
      </c>
      <c r="D134" s="75">
        <v>110.0154</v>
      </c>
      <c r="E134" s="75">
        <v>58.660899999999998</v>
      </c>
      <c r="F134" s="75">
        <v>0.88019999999999998</v>
      </c>
      <c r="G134" s="75">
        <f t="shared" si="2"/>
        <v>132</v>
      </c>
    </row>
    <row r="135" spans="1:7" x14ac:dyDescent="0.3">
      <c r="A135" s="75">
        <v>1</v>
      </c>
      <c r="B135" s="75" t="s">
        <v>143</v>
      </c>
      <c r="C135" s="75" t="s">
        <v>85</v>
      </c>
      <c r="D135" s="75">
        <v>286.84469999999999</v>
      </c>
      <c r="E135" s="75">
        <v>3.9618000000000002</v>
      </c>
      <c r="F135" s="75">
        <v>0.75090000000000001</v>
      </c>
      <c r="G135" s="75">
        <f t="shared" si="2"/>
        <v>133</v>
      </c>
    </row>
    <row r="136" spans="1:7" x14ac:dyDescent="0.3">
      <c r="A136" s="75">
        <v>1</v>
      </c>
      <c r="B136" s="75" t="s">
        <v>143</v>
      </c>
      <c r="C136" s="75" t="s">
        <v>86</v>
      </c>
      <c r="D136" s="75">
        <v>67.0518</v>
      </c>
      <c r="E136" s="75">
        <v>5.3270999999999997</v>
      </c>
      <c r="F136" s="75">
        <v>1.0361</v>
      </c>
      <c r="G136" s="75">
        <f t="shared" si="2"/>
        <v>134</v>
      </c>
    </row>
    <row r="137" spans="1:7" x14ac:dyDescent="0.3">
      <c r="A137" s="75">
        <v>1</v>
      </c>
      <c r="B137" s="75" t="s">
        <v>143</v>
      </c>
      <c r="C137" s="75" t="s">
        <v>97</v>
      </c>
      <c r="D137" s="75">
        <v>121.37569999999999</v>
      </c>
      <c r="E137" s="75">
        <v>9.6</v>
      </c>
      <c r="F137" s="75">
        <v>0.83779999999999999</v>
      </c>
      <c r="G137" s="75">
        <f t="shared" si="2"/>
        <v>135</v>
      </c>
    </row>
    <row r="138" spans="1:7" x14ac:dyDescent="0.3">
      <c r="A138" s="75">
        <v>1</v>
      </c>
      <c r="B138" s="75" t="s">
        <v>142</v>
      </c>
      <c r="C138" s="75" t="s">
        <v>85</v>
      </c>
      <c r="D138" s="75">
        <v>343.5335</v>
      </c>
      <c r="E138" s="75">
        <v>2.4918999999999998</v>
      </c>
      <c r="F138" s="75">
        <v>0.1285</v>
      </c>
      <c r="G138" s="75">
        <f t="shared" si="2"/>
        <v>136</v>
      </c>
    </row>
    <row r="139" spans="1:7" x14ac:dyDescent="0.3">
      <c r="A139" s="75">
        <v>1</v>
      </c>
      <c r="B139" s="75" t="s">
        <v>142</v>
      </c>
      <c r="C139" s="75" t="s">
        <v>86</v>
      </c>
      <c r="D139" s="75">
        <v>72.685500000000005</v>
      </c>
      <c r="E139" s="75">
        <v>1.5005999999999999</v>
      </c>
      <c r="F139" s="75">
        <v>0.25090000000000001</v>
      </c>
      <c r="G139" s="75">
        <f t="shared" si="2"/>
        <v>137</v>
      </c>
    </row>
    <row r="140" spans="1:7" x14ac:dyDescent="0.3">
      <c r="A140" s="75">
        <v>1</v>
      </c>
      <c r="B140" s="75" t="s">
        <v>142</v>
      </c>
      <c r="C140" s="75" t="s">
        <v>97</v>
      </c>
      <c r="D140" s="75">
        <v>160.57679999999999</v>
      </c>
      <c r="E140" s="75">
        <v>28.832599999999999</v>
      </c>
      <c r="F140" s="75">
        <v>1.5034000000000001</v>
      </c>
      <c r="G140" s="75">
        <f t="shared" si="2"/>
        <v>138</v>
      </c>
    </row>
    <row r="141" spans="1:7" x14ac:dyDescent="0.3">
      <c r="A141" s="75">
        <v>-1</v>
      </c>
      <c r="B141" s="75" t="s">
        <v>144</v>
      </c>
      <c r="C141" s="75" t="s">
        <v>85</v>
      </c>
      <c r="D141" s="75">
        <v>367.00830000000002</v>
      </c>
      <c r="E141" s="75">
        <v>27.334099999999999</v>
      </c>
      <c r="F141" s="75">
        <v>0.30819999999999997</v>
      </c>
      <c r="G141" s="75">
        <f t="shared" si="2"/>
        <v>139</v>
      </c>
    </row>
    <row r="142" spans="1:7" x14ac:dyDescent="0.3">
      <c r="A142" s="75">
        <v>-1</v>
      </c>
      <c r="B142" s="75" t="s">
        <v>144</v>
      </c>
      <c r="C142" s="75" t="s">
        <v>86</v>
      </c>
      <c r="D142" s="75">
        <v>88.477400000000003</v>
      </c>
      <c r="E142" s="75">
        <v>0.62009999999999998</v>
      </c>
      <c r="F142" s="75">
        <v>0.12590000000000001</v>
      </c>
      <c r="G142" s="75">
        <f t="shared" si="2"/>
        <v>140</v>
      </c>
    </row>
    <row r="143" spans="1:7" x14ac:dyDescent="0.3">
      <c r="A143" s="75">
        <v>-1</v>
      </c>
      <c r="B143" s="75" t="s">
        <v>144</v>
      </c>
      <c r="C143" s="75" t="s">
        <v>97</v>
      </c>
      <c r="D143" s="75">
        <v>165.37610000000001</v>
      </c>
      <c r="E143" s="75">
        <v>26.4162</v>
      </c>
      <c r="F143" s="75">
        <v>1.3081</v>
      </c>
      <c r="G143" s="75">
        <f t="shared" si="2"/>
        <v>141</v>
      </c>
    </row>
    <row r="144" spans="1:7" x14ac:dyDescent="0.3">
      <c r="A144" s="75">
        <v>-1</v>
      </c>
      <c r="B144" s="75" t="s">
        <v>143</v>
      </c>
      <c r="C144" s="75" t="s">
        <v>85</v>
      </c>
      <c r="D144" s="75">
        <v>304.39460000000003</v>
      </c>
      <c r="E144" s="75">
        <v>5.1531000000000002</v>
      </c>
      <c r="F144" s="75">
        <v>0.20269999999999999</v>
      </c>
      <c r="G144" s="75">
        <f t="shared" si="2"/>
        <v>142</v>
      </c>
    </row>
    <row r="145" spans="1:7" x14ac:dyDescent="0.3">
      <c r="A145" s="75">
        <v>-1</v>
      </c>
      <c r="B145" s="75" t="s">
        <v>143</v>
      </c>
      <c r="C145" s="75" t="s">
        <v>86</v>
      </c>
      <c r="D145" s="75">
        <v>80.475999999999999</v>
      </c>
      <c r="E145" s="75">
        <v>2.6031</v>
      </c>
      <c r="F145" s="75">
        <v>0.57140000000000002</v>
      </c>
      <c r="G145" s="75">
        <f t="shared" si="2"/>
        <v>143</v>
      </c>
    </row>
    <row r="146" spans="1:7" x14ac:dyDescent="0.3">
      <c r="A146" s="75">
        <v>-1</v>
      </c>
      <c r="B146" s="75" t="s">
        <v>143</v>
      </c>
      <c r="C146" s="75" t="s">
        <v>97</v>
      </c>
      <c r="D146" s="75">
        <v>124.4293</v>
      </c>
      <c r="E146" s="75">
        <v>8.9535999999999998</v>
      </c>
      <c r="F146" s="75">
        <v>0.59099999999999997</v>
      </c>
      <c r="G146" s="75">
        <f t="shared" si="2"/>
        <v>144</v>
      </c>
    </row>
  </sheetData>
  <autoFilter ref="A1:F147" xr:uid="{AA706BBC-0642-489D-8B77-8DB5C30B68D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93A4-41E6-4BE1-8FEB-34A8C85B7506}">
  <sheetPr>
    <tabColor theme="0" tint="-0.249977111117893"/>
  </sheetPr>
  <dimension ref="A1:AW53"/>
  <sheetViews>
    <sheetView showGridLines="0" topLeftCell="A16" zoomScale="70" zoomScaleNormal="70" workbookViewId="0">
      <selection activeCell="O24" sqref="O24"/>
    </sheetView>
  </sheetViews>
  <sheetFormatPr defaultColWidth="11.5546875" defaultRowHeight="14.4" x14ac:dyDescent="0.3"/>
  <cols>
    <col min="1" max="1" width="7.21875" style="26" bestFit="1" customWidth="1"/>
    <col min="2" max="2" width="3.33203125" style="26" customWidth="1"/>
    <col min="3" max="3" width="5.109375" style="26" bestFit="1" customWidth="1"/>
    <col min="4" max="4" width="10.5546875" style="26" bestFit="1" customWidth="1"/>
    <col min="5" max="5" width="12" style="26" bestFit="1" customWidth="1"/>
    <col min="6" max="6" width="14.6640625" style="26" hidden="1" customWidth="1"/>
    <col min="7" max="7" width="17.21875" style="26" bestFit="1" customWidth="1"/>
    <col min="8" max="9" width="8.5546875" style="26" bestFit="1" customWidth="1"/>
    <col min="10" max="10" width="8.77734375" style="26" bestFit="1" customWidth="1"/>
    <col min="11" max="11" width="12.21875" style="26" bestFit="1" customWidth="1"/>
    <col min="12" max="13" width="11.6640625" style="26" bestFit="1" customWidth="1"/>
    <col min="14" max="14" width="11.77734375" style="26" bestFit="1" customWidth="1"/>
    <col min="15" max="15" width="16.21875" style="26" bestFit="1" customWidth="1"/>
    <col min="16" max="17" width="16.21875" style="26" customWidth="1"/>
    <col min="18" max="18" width="4.5546875" style="26" customWidth="1"/>
    <col min="19" max="19" width="29.33203125" style="26" hidden="1" customWidth="1"/>
    <col min="20" max="20" width="15.21875" style="26" hidden="1" customWidth="1"/>
    <col min="21" max="21" width="11" style="26" hidden="1" customWidth="1"/>
    <col min="22" max="22" width="7.33203125" style="26" bestFit="1" customWidth="1"/>
    <col min="23" max="23" width="6.5546875" style="26" bestFit="1" customWidth="1"/>
    <col min="24" max="24" width="19" style="26" bestFit="1" customWidth="1"/>
    <col min="25" max="25" width="8.21875" style="26" bestFit="1" customWidth="1"/>
    <col min="26" max="26" width="9.44140625" style="26" bestFit="1" customWidth="1"/>
    <col min="27" max="27" width="13.21875" style="26" bestFit="1" customWidth="1"/>
    <col min="28" max="28" width="4.44140625" style="26" customWidth="1"/>
    <col min="29" max="29" width="7.33203125" style="26" bestFit="1" customWidth="1"/>
    <col min="30" max="30" width="8.44140625" style="26" bestFit="1" customWidth="1"/>
    <col min="31" max="32" width="7.33203125" style="26" bestFit="1" customWidth="1"/>
    <col min="33" max="33" width="8.44140625" style="26" bestFit="1" customWidth="1"/>
    <col min="34" max="34" width="6.77734375" style="26" bestFit="1" customWidth="1"/>
    <col min="35" max="35" width="7.33203125" style="26" bestFit="1" customWidth="1"/>
    <col min="36" max="36" width="8.44140625" style="26" bestFit="1" customWidth="1"/>
    <col min="37" max="37" width="6.77734375" style="26" bestFit="1" customWidth="1"/>
    <col min="38" max="38" width="7.33203125" style="26" bestFit="1" customWidth="1"/>
    <col min="39" max="39" width="8.44140625" style="26" bestFit="1" customWidth="1"/>
    <col min="40" max="40" width="6.77734375" style="26" bestFit="1" customWidth="1"/>
    <col min="41" max="41" width="7.33203125" style="26" bestFit="1" customWidth="1"/>
    <col min="42" max="42" width="8.44140625" style="26" bestFit="1" customWidth="1"/>
    <col min="43" max="43" width="6.77734375" style="26" customWidth="1"/>
    <col min="44" max="44" width="7.33203125" style="26" bestFit="1" customWidth="1"/>
    <col min="45" max="45" width="7.21875" style="26" bestFit="1" customWidth="1"/>
    <col min="46" max="46" width="6.77734375" style="26" bestFit="1" customWidth="1"/>
    <col min="47" max="16384" width="11.5546875" style="26"/>
  </cols>
  <sheetData>
    <row r="1" spans="1:49" x14ac:dyDescent="0.3">
      <c r="C1" s="45" t="s">
        <v>145</v>
      </c>
      <c r="D1" s="45" t="s">
        <v>90</v>
      </c>
    </row>
    <row r="2" spans="1:49" x14ac:dyDescent="0.3">
      <c r="L2" s="92" t="s">
        <v>106</v>
      </c>
      <c r="M2" s="92"/>
      <c r="N2" s="92"/>
      <c r="AC2" s="26" t="s">
        <v>126</v>
      </c>
      <c r="AD2" s="26">
        <v>1.5</v>
      </c>
    </row>
    <row r="3" spans="1:49" x14ac:dyDescent="0.3">
      <c r="A3" s="26" t="s">
        <v>148</v>
      </c>
      <c r="C3" s="51" t="s">
        <v>83</v>
      </c>
      <c r="D3" s="51" t="s">
        <v>4</v>
      </c>
      <c r="E3" s="51" t="s">
        <v>84</v>
      </c>
      <c r="F3" s="51" t="s">
        <v>88</v>
      </c>
      <c r="G3" s="51" t="s">
        <v>108</v>
      </c>
      <c r="H3" s="51" t="s">
        <v>89</v>
      </c>
      <c r="I3" s="51" t="s">
        <v>100</v>
      </c>
      <c r="J3" s="51" t="s">
        <v>101</v>
      </c>
      <c r="K3" s="51" t="s">
        <v>102</v>
      </c>
      <c r="L3" s="51" t="s">
        <v>103</v>
      </c>
      <c r="M3" s="51" t="s">
        <v>104</v>
      </c>
      <c r="N3" s="51" t="s">
        <v>105</v>
      </c>
      <c r="O3" s="71" t="s">
        <v>131</v>
      </c>
      <c r="P3" s="71" t="s">
        <v>136</v>
      </c>
      <c r="Q3" s="71" t="s">
        <v>137</v>
      </c>
      <c r="S3" s="51" t="s">
        <v>98</v>
      </c>
      <c r="T3" s="51" t="s">
        <v>107</v>
      </c>
      <c r="U3" s="51" t="s">
        <v>113</v>
      </c>
      <c r="V3" s="51" t="s">
        <v>119</v>
      </c>
      <c r="W3" s="51" t="s">
        <v>118</v>
      </c>
      <c r="X3" s="51" t="s">
        <v>120</v>
      </c>
      <c r="Y3" s="26" t="s">
        <v>121</v>
      </c>
      <c r="Z3" s="26" t="s">
        <v>122</v>
      </c>
      <c r="AA3" s="26" t="s">
        <v>125</v>
      </c>
      <c r="AC3" s="47">
        <v>1</v>
      </c>
      <c r="AD3" s="26" t="str">
        <f>"N"&amp;AC3</f>
        <v>N1</v>
      </c>
      <c r="AE3" s="26" t="str">
        <f>"N"&amp;AC3&amp;"F"</f>
        <v>N1F</v>
      </c>
      <c r="AF3" s="47">
        <f>AC3+1</f>
        <v>2</v>
      </c>
      <c r="AG3" s="26" t="str">
        <f>"N"&amp;AF3</f>
        <v>N2</v>
      </c>
      <c r="AH3" s="26" t="str">
        <f>"N"&amp;AF3&amp;"F"</f>
        <v>N2F</v>
      </c>
      <c r="AI3" s="47">
        <v>3</v>
      </c>
      <c r="AJ3" s="26" t="str">
        <f>"N"&amp;AI3</f>
        <v>N3</v>
      </c>
      <c r="AK3" s="26" t="str">
        <f>"N"&amp;AI3&amp;"F"</f>
        <v>N3F</v>
      </c>
      <c r="AL3" s="47">
        <v>4</v>
      </c>
      <c r="AM3" s="26" t="str">
        <f>"N"&amp;AL3</f>
        <v>N4</v>
      </c>
      <c r="AN3" s="26" t="str">
        <f>"N"&amp;AL3&amp;"F"</f>
        <v>N4F</v>
      </c>
      <c r="AO3" s="47">
        <v>5</v>
      </c>
      <c r="AP3" s="26" t="str">
        <f>"N"&amp;AO3</f>
        <v>N5</v>
      </c>
      <c r="AQ3" s="26" t="str">
        <f>"N"&amp;AO3&amp;"F"</f>
        <v>N5F</v>
      </c>
      <c r="AR3" s="47">
        <v>6</v>
      </c>
      <c r="AT3" s="70" t="s">
        <v>127</v>
      </c>
      <c r="AU3" s="26" t="s">
        <v>128</v>
      </c>
      <c r="AV3" s="26" t="s">
        <v>129</v>
      </c>
      <c r="AW3" s="26" t="s">
        <v>130</v>
      </c>
    </row>
    <row r="4" spans="1:49" s="78" customFormat="1" x14ac:dyDescent="0.3">
      <c r="A4" s="78">
        <f>VLOOKUP(C4,'PIER-FORCES'!$A$3:$G$146,7,FALSE)</f>
        <v>139</v>
      </c>
      <c r="C4" s="72">
        <v>-1</v>
      </c>
      <c r="D4" s="72" t="s">
        <v>146</v>
      </c>
      <c r="E4" s="72" t="s">
        <v>143</v>
      </c>
      <c r="F4" s="72" t="s">
        <v>87</v>
      </c>
      <c r="G4" s="72">
        <f>VLOOKUP(C4,TABLAS!$J$4:$M$26,2)</f>
        <v>35</v>
      </c>
      <c r="H4" s="72">
        <f>VLOOKUP(C4,TABLAS!$J$4:$M$27,3)</f>
        <v>25</v>
      </c>
      <c r="I4" s="72">
        <v>192</v>
      </c>
      <c r="J4" s="72">
        <v>230</v>
      </c>
      <c r="K4" s="79">
        <f>MAX('PIER-FORCES'!D144:D146)</f>
        <v>304.39460000000003</v>
      </c>
      <c r="L4" s="79">
        <f>'PIER-FORCES'!E144</f>
        <v>5.1531000000000002</v>
      </c>
      <c r="M4" s="79">
        <f>'PIER-FORCES'!E145</f>
        <v>2.6031</v>
      </c>
      <c r="N4" s="79">
        <f>'PIER-FORCES'!E146</f>
        <v>8.9535999999999998</v>
      </c>
      <c r="O4" s="72" t="str">
        <f>'PLANILLAS EJE 15'!C24</f>
        <v>$\phi$12@14</v>
      </c>
      <c r="P4" s="72" t="str">
        <f>VLOOKUP(H4,TABLAS!$R$17:$S$19,2)</f>
        <v>$\phi$8@16</v>
      </c>
      <c r="Q4" s="72" t="str">
        <f>AW4&amp;"$\phi$"&amp;AU4</f>
        <v>2$\phi$16</v>
      </c>
      <c r="S4" s="80" t="str">
        <f t="shared" ref="S4" si="0">D4&amp;" | PIER "&amp;E4&amp;" | PISO "&amp;C4</f>
        <v>EJE 15.C-C1 | PIER F28X | PISO -1</v>
      </c>
      <c r="T4" s="72" t="str">
        <f>'PLANILLAS EJE 15'!F24</f>
        <v>[ÁREA MINIMA]</v>
      </c>
      <c r="U4" s="72" t="str">
        <f>'PLANILLAS EJE 15'!F25</f>
        <v>[OK]</v>
      </c>
      <c r="V4" s="78">
        <f t="shared" ref="V4" si="1">H4*I4</f>
        <v>4800</v>
      </c>
      <c r="W4" s="81">
        <f>'PLANILLAS EJE 15'!C33</f>
        <v>6.4627048873847183E-3</v>
      </c>
      <c r="X4" s="81">
        <v>0.01</v>
      </c>
      <c r="Y4" s="78">
        <f t="shared" ref="Y4" si="2">0.1*I4</f>
        <v>19.200000000000003</v>
      </c>
      <c r="Z4" s="78">
        <f t="shared" ref="Z4" si="3">X4*H4*Y4</f>
        <v>4.8000000000000007</v>
      </c>
      <c r="AA4" s="78" t="str">
        <f>"$\phi$"&amp;VLOOKUP(AO4,TABLAS!$O$4:$P$13,2)</f>
        <v>$\phi$25</v>
      </c>
      <c r="AC4" s="78">
        <f>VLOOKUP(Z4,TABLAS!$O$4:$P$13,1)</f>
        <v>3.8</v>
      </c>
      <c r="AD4" s="78">
        <f t="shared" ref="AD4" si="4">AC4-Z4</f>
        <v>-1.0000000000000009</v>
      </c>
      <c r="AE4" s="78">
        <f t="shared" ref="AE4" si="5">Z4-AD4</f>
        <v>5.8000000000000016</v>
      </c>
      <c r="AF4" s="78">
        <f>IF(AD4&lt;0,VLOOKUP(AE4,TABLAS!$O$4:$P$13,1),AC4)</f>
        <v>4.91</v>
      </c>
      <c r="AG4" s="78">
        <f>AF4-$Z4</f>
        <v>0.10999999999999943</v>
      </c>
      <c r="AH4" s="82">
        <f>IF(AG4&lt;0,IF(AG4=AD4,AE4-$AD$2*AG4,AF4-AG4),AE4-$AD$2*AG4/2)</f>
        <v>5.717500000000002</v>
      </c>
      <c r="AI4" s="78">
        <f>IF(AG4&lt;0,VLOOKUP(AH4,TABLAS!$O$4:$P$13,1),AF4)</f>
        <v>4.91</v>
      </c>
      <c r="AJ4" s="78">
        <f t="shared" ref="AJ4" si="6">AI4-$Z4</f>
        <v>0.10999999999999943</v>
      </c>
      <c r="AK4" s="82">
        <f>IF(AJ4&lt;0,IF(AJ4=AG4,AH4-$AD$2*AJ4,AI4-AJ4),AH4-$AD$2*AJ4/2)</f>
        <v>5.6350000000000025</v>
      </c>
      <c r="AL4" s="78">
        <f>IF(AJ4&lt;0,VLOOKUP(AK4,TABLAS!$O$4:$P$13,1),AI4)</f>
        <v>4.91</v>
      </c>
      <c r="AM4" s="78">
        <f t="shared" ref="AM4" si="7">AL4-$Z4</f>
        <v>0.10999999999999943</v>
      </c>
      <c r="AN4" s="82">
        <f>IF(AM4&lt;0,IF(AM4=AJ4,AK4-$AD$2*AM4,AL4-AM4),AK4-$AD$2*AM4/2)</f>
        <v>5.5525000000000029</v>
      </c>
      <c r="AO4" s="78">
        <f>IF(AM4&lt;0,VLOOKUP(AN4,TABLAS!$O$4:$P$13,1),AL4)</f>
        <v>4.91</v>
      </c>
      <c r="AP4" s="78">
        <f t="shared" ref="AP4" si="8">AO4-$Z4</f>
        <v>0.10999999999999943</v>
      </c>
      <c r="AQ4" s="82">
        <f>IF(AP4&lt;0,IF(AP4=AM4,AN4-$AD$2*AP4,AO4-AP4),AN4-$AD$2*AP4/2)</f>
        <v>5.4700000000000033</v>
      </c>
      <c r="AR4" s="78">
        <f>IF(AP4&lt;0,VLOOKUP(AQ4,TABLAS!$O$4:$P$13,1),AO4)</f>
        <v>4.91</v>
      </c>
      <c r="AT4" s="91">
        <v>16</v>
      </c>
      <c r="AU4" s="78">
        <f>VLOOKUP(AT4,TABLAS!$R$4:$S$13,1,TRUE)</f>
        <v>16</v>
      </c>
      <c r="AV4" s="78">
        <f>VLOOKUP(AU4,TABLAS!$R$4:$S$13,2,TRUE)</f>
        <v>2.0099999999999998</v>
      </c>
      <c r="AW4" s="26">
        <v>2</v>
      </c>
    </row>
    <row r="5" spans="1:49" s="78" customFormat="1" x14ac:dyDescent="0.3">
      <c r="A5" s="78">
        <f>VLOOKUP(C5,'PIER-FORCES'!$A$3:$G$146,7,FALSE)</f>
        <v>139</v>
      </c>
      <c r="C5" s="72">
        <v>-1</v>
      </c>
      <c r="D5" s="72" t="s">
        <v>147</v>
      </c>
      <c r="E5" s="72" t="s">
        <v>144</v>
      </c>
      <c r="F5" s="72" t="s">
        <v>87</v>
      </c>
      <c r="G5" s="72">
        <f>VLOOKUP(C5,TABLAS!$J$4:$M$26,2)</f>
        <v>35</v>
      </c>
      <c r="H5" s="72">
        <f>VLOOKUP(C5,TABLAS!$J$4:$M$27,3)</f>
        <v>25</v>
      </c>
      <c r="I5" s="72">
        <v>489</v>
      </c>
      <c r="J5" s="72">
        <v>230</v>
      </c>
      <c r="K5" s="79">
        <f>ABS(MAX('PIER-FORCES'!D141:D143))</f>
        <v>367.00830000000002</v>
      </c>
      <c r="L5" s="79">
        <f>'PIER-FORCES'!E141</f>
        <v>27.334099999999999</v>
      </c>
      <c r="M5" s="79">
        <f>'PIER-FORCES'!E142</f>
        <v>0.62009999999999998</v>
      </c>
      <c r="N5" s="79">
        <f>'PIER-FORCES'!E143</f>
        <v>26.4162</v>
      </c>
      <c r="O5" s="72" t="str">
        <f>'PLANILLAS EJE 15'!C70</f>
        <v>$\phi$12@14</v>
      </c>
      <c r="P5" s="72" t="str">
        <f>VLOOKUP(H5,TABLAS!$R$17:$S$19,2)</f>
        <v>$\phi$8@16</v>
      </c>
      <c r="Q5" s="72" t="str">
        <f>AW5&amp;"$\phi$"&amp;AU5</f>
        <v>2$\phi$25</v>
      </c>
      <c r="S5" s="80" t="str">
        <f t="shared" ref="S5:S6" si="9">D5&amp;" | PIER "&amp;E5&amp;" | PISO "&amp;C5</f>
        <v>EJE 15.G-L | PIER F22X | PISO -1</v>
      </c>
      <c r="T5" s="72" t="str">
        <f>'PLANILLAS EJE 15'!F25</f>
        <v>[OK]</v>
      </c>
      <c r="U5" s="72">
        <f>'PLANILLAS EJE 15'!F26</f>
        <v>0</v>
      </c>
      <c r="V5" s="78">
        <f t="shared" ref="V5:V6" si="10">H5*I5</f>
        <v>12225</v>
      </c>
      <c r="W5" s="81">
        <f>'PLANILLAS EJE 15'!C79</f>
        <v>6.4627048873847175E-3</v>
      </c>
      <c r="X5" s="81">
        <v>0.01</v>
      </c>
      <c r="Y5" s="78">
        <f t="shared" ref="Y5:Y6" si="11">0.1*I5</f>
        <v>48.900000000000006</v>
      </c>
      <c r="Z5" s="78">
        <f t="shared" ref="Z5:Z6" si="12">X5*H5*Y5</f>
        <v>12.225000000000001</v>
      </c>
      <c r="AA5" s="78" t="str">
        <f>"$\phi$"&amp;VLOOKUP(AO5,TABLAS!$O$4:$P$13,2)</f>
        <v>$\phi$36</v>
      </c>
      <c r="AC5" s="78">
        <f>VLOOKUP(Z5,TABLAS!$O$4:$P$13,1)</f>
        <v>10.18</v>
      </c>
      <c r="AD5" s="78">
        <f t="shared" ref="AD5:AD6" si="13">AC5-Z5</f>
        <v>-2.0450000000000017</v>
      </c>
      <c r="AE5" s="78">
        <f t="shared" ref="AE5:AE6" si="14">Z5-AD5</f>
        <v>14.270000000000003</v>
      </c>
      <c r="AF5" s="78">
        <f>IF(AD5&lt;0,VLOOKUP(AE5,TABLAS!$O$4:$P$13,1),AC5)</f>
        <v>10.18</v>
      </c>
      <c r="AG5" s="78">
        <f>AF5-$Z5</f>
        <v>-2.0450000000000017</v>
      </c>
      <c r="AH5" s="82">
        <f>IF(AG5&lt;0,IF(AG5=AD5,AE5-$AD$2*AG5,AF5-AG5),AE5-$AD$2*AG5/2)</f>
        <v>17.337500000000006</v>
      </c>
      <c r="AI5" s="78">
        <f>IF(AG5&lt;0,VLOOKUP(AH5,TABLAS!$O$4:$P$13,1),AF5)</f>
        <v>10.18</v>
      </c>
      <c r="AJ5" s="78">
        <f t="shared" ref="AJ5:AJ6" si="15">AI5-$Z5</f>
        <v>-2.0450000000000017</v>
      </c>
      <c r="AK5" s="82">
        <f>IF(AJ5&lt;0,IF(AJ5=AG5,AH5-$AD$2*AJ5,AI5-AJ5),AH5-$AD$2*AJ5/2)</f>
        <v>20.405000000000008</v>
      </c>
      <c r="AL5" s="78">
        <f>IF(AJ5&lt;0,VLOOKUP(AK5,TABLAS!$O$4:$P$13,1),AI5)</f>
        <v>10.18</v>
      </c>
      <c r="AM5" s="78">
        <f t="shared" ref="AM5:AM6" si="16">AL5-$Z5</f>
        <v>-2.0450000000000017</v>
      </c>
      <c r="AN5" s="82">
        <f>IF(AM5&lt;0,IF(AM5=AJ5,AK5-$AD$2*AM5,AL5-AM5),AK5-$AD$2*AM5/2)</f>
        <v>23.472500000000011</v>
      </c>
      <c r="AO5" s="78">
        <f>IF(AM5&lt;0,VLOOKUP(AN5,TABLAS!$O$4:$P$13,1),AL5)</f>
        <v>10.18</v>
      </c>
      <c r="AP5" s="78">
        <f t="shared" ref="AP5:AP6" si="17">AO5-$Z5</f>
        <v>-2.0450000000000017</v>
      </c>
      <c r="AQ5" s="82">
        <f>IF(AP5&lt;0,IF(AP5=AM5,AN5-$AD$2*AP5,AO5-AP5),AN5-$AD$2*AP5/2)</f>
        <v>26.540000000000013</v>
      </c>
      <c r="AR5" s="78">
        <f>IF(AP5&lt;0,VLOOKUP(AQ5,TABLAS!$O$4:$P$13,1),AO5)</f>
        <v>10.18</v>
      </c>
      <c r="AT5" s="91">
        <v>25</v>
      </c>
      <c r="AU5" s="78">
        <f>VLOOKUP(AT5,TABLAS!$R$4:$S$13,1,TRUE)</f>
        <v>25</v>
      </c>
      <c r="AV5" s="78">
        <f>VLOOKUP(AU5,TABLAS!$R$4:$S$13,2,TRUE)</f>
        <v>4.91</v>
      </c>
      <c r="AW5" s="26">
        <f t="shared" ref="AW5:AW51" si="18">ROUNDUP(Z5/AV5/2,0)</f>
        <v>2</v>
      </c>
    </row>
    <row r="6" spans="1:49" x14ac:dyDescent="0.3">
      <c r="A6" s="78">
        <f>VLOOKUP(C6,'PIER-FORCES'!$A$3:$G$146,7,FALSE)</f>
        <v>133</v>
      </c>
      <c r="C6" s="24">
        <v>1</v>
      </c>
      <c r="D6" s="24" t="s">
        <v>146</v>
      </c>
      <c r="E6" s="24" t="s">
        <v>143</v>
      </c>
      <c r="F6" s="24" t="s">
        <v>87</v>
      </c>
      <c r="G6" s="24">
        <f>VLOOKUP(C6,TABLAS!$J$4:$M$26,2)</f>
        <v>35</v>
      </c>
      <c r="H6" s="24">
        <f>VLOOKUP(C6,TABLAS!$J$4:$M$27,3)</f>
        <v>25</v>
      </c>
      <c r="I6" s="24">
        <v>192</v>
      </c>
      <c r="J6" s="24">
        <v>230</v>
      </c>
      <c r="K6" s="73">
        <f>MAX('PIER-FORCES'!D135:D137)</f>
        <v>286.84469999999999</v>
      </c>
      <c r="L6" s="73">
        <f>'PIER-FORCES'!E135</f>
        <v>3.9618000000000002</v>
      </c>
      <c r="M6" s="73">
        <f>'PIER-FORCES'!E136</f>
        <v>5.3270999999999997</v>
      </c>
      <c r="N6" s="73">
        <f>'PIER-FORCES'!E137</f>
        <v>9.6</v>
      </c>
      <c r="O6" s="67" t="str">
        <f>'PLANILLAS EJE 15'!C116</f>
        <v>$\phi$12@14</v>
      </c>
      <c r="P6" s="67" t="str">
        <f>VLOOKUP(H6,TABLAS!$R$17:$S$19,2)</f>
        <v>$\phi$8@16</v>
      </c>
      <c r="Q6" s="67" t="str">
        <f>AW6&amp;"$\phi$"&amp;AU6</f>
        <v>2$\phi$16</v>
      </c>
      <c r="S6" s="65" t="str">
        <f t="shared" si="9"/>
        <v>EJE 15.C-C1 | PIER F28X | PISO 1</v>
      </c>
      <c r="T6" s="24">
        <f>'PLANILLAS EJE 15'!F26</f>
        <v>0</v>
      </c>
      <c r="U6" s="24">
        <f>'PLANILLAS EJE 15'!F27</f>
        <v>0</v>
      </c>
      <c r="V6" s="26">
        <f t="shared" si="10"/>
        <v>4800</v>
      </c>
      <c r="W6" s="66">
        <f>'PLANILLAS EJE 15'!C125</f>
        <v>6.4627048873847183E-3</v>
      </c>
      <c r="X6" s="66">
        <v>0.01</v>
      </c>
      <c r="Y6" s="26">
        <f t="shared" si="11"/>
        <v>19.200000000000003</v>
      </c>
      <c r="Z6" s="26">
        <f t="shared" si="12"/>
        <v>4.8000000000000007</v>
      </c>
      <c r="AA6" s="26" t="str">
        <f>"$\phi$"&amp;VLOOKUP(AO6,TABLAS!$O$4:$P$13,2)</f>
        <v>$\phi$25</v>
      </c>
      <c r="AC6" s="47">
        <f>VLOOKUP(Z6,TABLAS!$O$4:$P$13,1)</f>
        <v>3.8</v>
      </c>
      <c r="AD6" s="26">
        <f t="shared" si="13"/>
        <v>-1.0000000000000009</v>
      </c>
      <c r="AE6" s="26">
        <f t="shared" si="14"/>
        <v>5.8000000000000016</v>
      </c>
      <c r="AF6" s="47">
        <f>IF(AD6&lt;0,VLOOKUP(AE6,TABLAS!$O$4:$P$13,1),AC6)</f>
        <v>4.91</v>
      </c>
      <c r="AG6" s="26">
        <f>AF6-$Z6</f>
        <v>0.10999999999999943</v>
      </c>
      <c r="AH6" s="69">
        <f>IF(AG6&lt;0,IF(AG6=AD6,AE6-$AD$2*AG6,AF6-AG6),AE6-$AD$2*AG6/2)</f>
        <v>5.717500000000002</v>
      </c>
      <c r="AI6" s="47">
        <f>IF(AG6&lt;0,VLOOKUP(AH6,TABLAS!$O$4:$P$13,1),AF6)</f>
        <v>4.91</v>
      </c>
      <c r="AJ6" s="26">
        <f t="shared" si="15"/>
        <v>0.10999999999999943</v>
      </c>
      <c r="AK6" s="69">
        <f>IF(AJ6&lt;0,IF(AJ6=AG6,AH6-$AD$2*AJ6,AI6-AJ6),AH6-$AD$2*AJ6/2)</f>
        <v>5.6350000000000025</v>
      </c>
      <c r="AL6" s="47">
        <f>IF(AJ6&lt;0,VLOOKUP(AK6,TABLAS!$O$4:$P$13,1),AI6)</f>
        <v>4.91</v>
      </c>
      <c r="AM6" s="26">
        <f t="shared" si="16"/>
        <v>0.10999999999999943</v>
      </c>
      <c r="AN6" s="69">
        <f>IF(AM6&lt;0,IF(AM6=AJ6,AK6-$AD$2*AM6,AL6-AM6),AK6-$AD$2*AM6/2)</f>
        <v>5.5525000000000029</v>
      </c>
      <c r="AO6" s="47">
        <f>IF(AM6&lt;0,VLOOKUP(AN6,TABLAS!$O$4:$P$13,1),AL6)</f>
        <v>4.91</v>
      </c>
      <c r="AP6" s="26">
        <f t="shared" si="17"/>
        <v>0.10999999999999943</v>
      </c>
      <c r="AQ6" s="69">
        <f>IF(AP6&lt;0,IF(AP6=AM6,AN6-$AD$2*AP6,AO6-AP6),AN6-$AD$2*AP6/2)</f>
        <v>5.4700000000000033</v>
      </c>
      <c r="AR6" s="47">
        <f>IF(AP6&lt;0,VLOOKUP(AQ6,TABLAS!$O$4:$P$13,1),AO6)</f>
        <v>4.91</v>
      </c>
      <c r="AT6" s="90">
        <v>16</v>
      </c>
      <c r="AU6" s="26">
        <f>VLOOKUP(AT6,TABLAS!$R$4:$S$13,1,TRUE)</f>
        <v>16</v>
      </c>
      <c r="AV6" s="26">
        <f>VLOOKUP(AU6,TABLAS!$R$4:$S$13,2,TRUE)</f>
        <v>2.0099999999999998</v>
      </c>
      <c r="AW6" s="26">
        <f t="shared" si="18"/>
        <v>2</v>
      </c>
    </row>
    <row r="7" spans="1:49" x14ac:dyDescent="0.3">
      <c r="A7" s="78">
        <f>VLOOKUP(C7,'PIER-FORCES'!$A$3:$G$146,7,FALSE)</f>
        <v>133</v>
      </c>
      <c r="C7" s="24">
        <v>1</v>
      </c>
      <c r="D7" s="24" t="s">
        <v>147</v>
      </c>
      <c r="E7" s="24" t="s">
        <v>142</v>
      </c>
      <c r="F7" s="24" t="s">
        <v>87</v>
      </c>
      <c r="G7" s="24">
        <f>VLOOKUP(C7,TABLAS!$J$4:$M$26,2)</f>
        <v>35</v>
      </c>
      <c r="H7" s="24">
        <f>VLOOKUP(C7,TABLAS!$J$4:$M$27,3)</f>
        <v>25</v>
      </c>
      <c r="I7" s="24">
        <v>339</v>
      </c>
      <c r="J7" s="24">
        <v>230</v>
      </c>
      <c r="K7" s="73">
        <f>MAX('PIER-FORCES'!D132:D134)</f>
        <v>291.4298</v>
      </c>
      <c r="L7" s="73">
        <f>'PIER-FORCES'!E138</f>
        <v>2.4918999999999998</v>
      </c>
      <c r="M7" s="73">
        <f>'PIER-FORCES'!E139</f>
        <v>1.5005999999999999</v>
      </c>
      <c r="N7" s="73">
        <f>'PIER-FORCES'!E140</f>
        <v>28.832599999999999</v>
      </c>
      <c r="O7" s="67" t="str">
        <f>'PLANILLAS EJE 15'!C162</f>
        <v>$\phi$12@14</v>
      </c>
      <c r="P7" s="67" t="str">
        <f>VLOOKUP(H7,TABLAS!$R$17:$S$19,2)</f>
        <v>$\phi$8@16</v>
      </c>
      <c r="Q7" s="67" t="str">
        <f>AW7&amp;"$\phi$"&amp;AU7</f>
        <v>2$\phi$18</v>
      </c>
      <c r="S7" s="65" t="str">
        <f t="shared" ref="S7:S9" si="19">D7&amp;" | PIER "&amp;E7&amp;" | PISO "&amp;C7</f>
        <v>EJE 15.G-L | PIER F32X | PISO 1</v>
      </c>
      <c r="T7" s="24">
        <f>'PLANILLAS EJE 15'!F27</f>
        <v>0</v>
      </c>
      <c r="U7" s="24">
        <f>'PLANILLAS EJE 15'!F28</f>
        <v>0</v>
      </c>
      <c r="V7" s="26">
        <f t="shared" ref="V7:V9" si="20">H7*I7</f>
        <v>8475</v>
      </c>
      <c r="W7" s="66">
        <f>'PLANILLAS EJE 15'!C171</f>
        <v>6.4627048873847175E-3</v>
      </c>
      <c r="X7" s="66">
        <v>0.01</v>
      </c>
      <c r="Y7" s="26">
        <f t="shared" ref="Y7:Y9" si="21">0.1*I7</f>
        <v>33.9</v>
      </c>
      <c r="Z7" s="26">
        <f t="shared" ref="Z7:Z9" si="22">X7*H7*Y7</f>
        <v>8.4749999999999996</v>
      </c>
      <c r="AA7" s="26" t="str">
        <f>"$\phi$"&amp;VLOOKUP(AO7,TABLAS!$O$4:$P$13,2)</f>
        <v>$\phi$36</v>
      </c>
      <c r="AC7" s="47">
        <f>VLOOKUP(Z7,TABLAS!$O$4:$P$13,1)</f>
        <v>8.0399999999999991</v>
      </c>
      <c r="AD7" s="26">
        <f t="shared" ref="AD7:AD9" si="23">AC7-Z7</f>
        <v>-0.4350000000000005</v>
      </c>
      <c r="AE7" s="26">
        <f t="shared" ref="AE7:AE9" si="24">Z7-AD7</f>
        <v>8.91</v>
      </c>
      <c r="AF7" s="47">
        <f>IF(AD7&lt;0,VLOOKUP(AE7,TABLAS!$O$4:$P$13,1),AC7)</f>
        <v>8.0399999999999991</v>
      </c>
      <c r="AG7" s="26">
        <f>AF7-$Z7</f>
        <v>-0.4350000000000005</v>
      </c>
      <c r="AH7" s="69">
        <f>IF(AG7&lt;0,IF(AG7=AD7,AE7-$AD$2*AG7,AF7-AG7),AE7-$AD$2*AG7/2)</f>
        <v>9.5625</v>
      </c>
      <c r="AI7" s="47">
        <f>IF(AG7&lt;0,VLOOKUP(AH7,TABLAS!$O$4:$P$13,1),AF7)</f>
        <v>8.0399999999999991</v>
      </c>
      <c r="AJ7" s="26">
        <f t="shared" ref="AJ7:AJ9" si="25">AI7-$Z7</f>
        <v>-0.4350000000000005</v>
      </c>
      <c r="AK7" s="69">
        <f>IF(AJ7&lt;0,IF(AJ7=AG7,AH7-$AD$2*AJ7,AI7-AJ7),AH7-$AD$2*AJ7/2)</f>
        <v>10.215</v>
      </c>
      <c r="AL7" s="47">
        <f>IF(AJ7&lt;0,VLOOKUP(AK7,TABLAS!$O$4:$P$13,1),AI7)</f>
        <v>10.18</v>
      </c>
      <c r="AM7" s="26">
        <f t="shared" ref="AM7:AM9" si="26">AL7-$Z7</f>
        <v>1.7050000000000001</v>
      </c>
      <c r="AN7" s="69">
        <f>IF(AM7&lt;0,IF(AM7=AJ7,AK7-$AD$2*AM7,AL7-AM7),AK7-$AD$2*AM7/2)</f>
        <v>8.9362499999999994</v>
      </c>
      <c r="AO7" s="47">
        <f>IF(AM7&lt;0,VLOOKUP(AN7,TABLAS!$O$4:$P$13,1),AL7)</f>
        <v>10.18</v>
      </c>
      <c r="AP7" s="26">
        <f t="shared" ref="AP7:AP9" si="27">AO7-$Z7</f>
        <v>1.7050000000000001</v>
      </c>
      <c r="AQ7" s="69">
        <f>IF(AP7&lt;0,IF(AP7=AM7,AN7-$AD$2*AP7,AO7-AP7),AN7-$AD$2*AP7/2)</f>
        <v>7.6574999999999989</v>
      </c>
      <c r="AR7" s="47">
        <f>IF(AP7&lt;0,VLOOKUP(AQ7,TABLAS!$O$4:$P$13,1),AO7)</f>
        <v>10.18</v>
      </c>
      <c r="AT7" s="90">
        <v>18</v>
      </c>
      <c r="AU7" s="26">
        <f>VLOOKUP(AT7,TABLAS!$R$4:$S$13,1,TRUE)</f>
        <v>18</v>
      </c>
      <c r="AV7" s="26">
        <f>VLOOKUP(AU7,TABLAS!$R$4:$S$13,2,TRUE)</f>
        <v>2.54</v>
      </c>
      <c r="AW7" s="26">
        <f t="shared" si="18"/>
        <v>2</v>
      </c>
    </row>
    <row r="8" spans="1:49" s="78" customFormat="1" x14ac:dyDescent="0.3">
      <c r="A8" s="78">
        <f>VLOOKUP(C8,'PIER-FORCES'!$A$3:$G$146,7,FALSE)</f>
        <v>127</v>
      </c>
      <c r="C8" s="72">
        <v>2</v>
      </c>
      <c r="D8" s="72" t="s">
        <v>146</v>
      </c>
      <c r="E8" s="72" t="s">
        <v>140</v>
      </c>
      <c r="F8" s="72" t="s">
        <v>87</v>
      </c>
      <c r="G8" s="72">
        <f>VLOOKUP(C8,TABLAS!$J$4:$M$26,2)</f>
        <v>35</v>
      </c>
      <c r="H8" s="72">
        <f>VLOOKUP(C8,TABLAS!$J$4:$M$27,3)</f>
        <v>25</v>
      </c>
      <c r="I8" s="72">
        <v>192</v>
      </c>
      <c r="J8" s="72">
        <v>230</v>
      </c>
      <c r="K8" s="79">
        <f>MAX('PIER-FORCES'!D129:D131)</f>
        <v>272.98579999999998</v>
      </c>
      <c r="L8" s="79">
        <f>'PIER-FORCES'!E129</f>
        <v>25.0868</v>
      </c>
      <c r="M8" s="79">
        <f>'PIER-FORCES'!E130</f>
        <v>6.41</v>
      </c>
      <c r="N8" s="79">
        <f>'PIER-FORCES'!E131</f>
        <v>29.3948</v>
      </c>
      <c r="O8" s="72" t="str">
        <f>'PLANILLAS EJE 15'!C208</f>
        <v>$\phi$12@14</v>
      </c>
      <c r="P8" s="72" t="str">
        <f>VLOOKUP(H8,TABLAS!$R$17:$S$19,2)</f>
        <v>$\phi$8@16</v>
      </c>
      <c r="Q8" s="72" t="str">
        <f>AW8&amp;"$\phi$"&amp;AU8</f>
        <v>2$\phi$16</v>
      </c>
      <c r="S8" s="80" t="str">
        <f t="shared" si="19"/>
        <v>EJE 15.C-C1 | PIER F31X | PISO 2</v>
      </c>
      <c r="T8" s="72">
        <f>'PLANILLAS EJE 15'!F28</f>
        <v>0</v>
      </c>
      <c r="U8" s="72">
        <f>'PLANILLAS EJE 15'!F29</f>
        <v>0</v>
      </c>
      <c r="V8" s="78">
        <f t="shared" si="20"/>
        <v>4800</v>
      </c>
      <c r="W8" s="81">
        <f>'PLANILLAS EJE 15'!C217</f>
        <v>6.4627048873847183E-3</v>
      </c>
      <c r="X8" s="81">
        <v>0.01</v>
      </c>
      <c r="Y8" s="78">
        <f t="shared" si="21"/>
        <v>19.200000000000003</v>
      </c>
      <c r="Z8" s="78">
        <f t="shared" si="22"/>
        <v>4.8000000000000007</v>
      </c>
      <c r="AA8" s="78" t="str">
        <f>"$\phi$"&amp;VLOOKUP(AO8,TABLAS!$O$4:$P$13,2)</f>
        <v>$\phi$25</v>
      </c>
      <c r="AC8" s="78">
        <f>VLOOKUP(Z8,TABLAS!$O$4:$P$13,1)</f>
        <v>3.8</v>
      </c>
      <c r="AD8" s="78">
        <f t="shared" si="23"/>
        <v>-1.0000000000000009</v>
      </c>
      <c r="AE8" s="78">
        <f t="shared" si="24"/>
        <v>5.8000000000000016</v>
      </c>
      <c r="AF8" s="78">
        <f>IF(AD8&lt;0,VLOOKUP(AE8,TABLAS!$O$4:$P$13,1),AC8)</f>
        <v>4.91</v>
      </c>
      <c r="AG8" s="78">
        <f>AF8-$Z8</f>
        <v>0.10999999999999943</v>
      </c>
      <c r="AH8" s="82">
        <f>IF(AG8&lt;0,IF(AG8=AD8,AE8-$AD$2*AG8,AF8-AG8),AE8-$AD$2*AG8/2)</f>
        <v>5.717500000000002</v>
      </c>
      <c r="AI8" s="78">
        <f>IF(AG8&lt;0,VLOOKUP(AH8,TABLAS!$O$4:$P$13,1),AF8)</f>
        <v>4.91</v>
      </c>
      <c r="AJ8" s="78">
        <f t="shared" si="25"/>
        <v>0.10999999999999943</v>
      </c>
      <c r="AK8" s="82">
        <f>IF(AJ8&lt;0,IF(AJ8=AG8,AH8-$AD$2*AJ8,AI8-AJ8),AH8-$AD$2*AJ8/2)</f>
        <v>5.6350000000000025</v>
      </c>
      <c r="AL8" s="78">
        <f>IF(AJ8&lt;0,VLOOKUP(AK8,TABLAS!$O$4:$P$13,1),AI8)</f>
        <v>4.91</v>
      </c>
      <c r="AM8" s="78">
        <f t="shared" si="26"/>
        <v>0.10999999999999943</v>
      </c>
      <c r="AN8" s="82">
        <f>IF(AM8&lt;0,IF(AM8=AJ8,AK8-$AD$2*AM8,AL8-AM8),AK8-$AD$2*AM8/2)</f>
        <v>5.5525000000000029</v>
      </c>
      <c r="AO8" s="78">
        <f>IF(AM8&lt;0,VLOOKUP(AN8,TABLAS!$O$4:$P$13,1),AL8)</f>
        <v>4.91</v>
      </c>
      <c r="AP8" s="78">
        <f t="shared" si="27"/>
        <v>0.10999999999999943</v>
      </c>
      <c r="AQ8" s="82">
        <f>IF(AP8&lt;0,IF(AP8=AM8,AN8-$AD$2*AP8,AO8-AP8),AN8-$AD$2*AP8/2)</f>
        <v>5.4700000000000033</v>
      </c>
      <c r="AR8" s="78">
        <f>IF(AP8&lt;0,VLOOKUP(AQ8,TABLAS!$O$4:$P$13,1),AO8)</f>
        <v>4.91</v>
      </c>
      <c r="AT8" s="82">
        <v>16</v>
      </c>
      <c r="AU8" s="78">
        <f>VLOOKUP(AT8,TABLAS!$R$4:$S$13,1,TRUE)</f>
        <v>16</v>
      </c>
      <c r="AV8" s="78">
        <f>VLOOKUP(AU8,TABLAS!$R$4:$S$13,2,TRUE)</f>
        <v>2.0099999999999998</v>
      </c>
      <c r="AW8" s="26">
        <f t="shared" si="18"/>
        <v>2</v>
      </c>
    </row>
    <row r="9" spans="1:49" s="78" customFormat="1" x14ac:dyDescent="0.3">
      <c r="A9" s="78">
        <f>VLOOKUP(C9,'PIER-FORCES'!$A$3:$G$146,7,FALSE)</f>
        <v>127</v>
      </c>
      <c r="C9" s="72">
        <v>2</v>
      </c>
      <c r="D9" s="72" t="s">
        <v>147</v>
      </c>
      <c r="E9" s="72" t="s">
        <v>142</v>
      </c>
      <c r="F9" s="72" t="s">
        <v>87</v>
      </c>
      <c r="G9" s="72">
        <f>VLOOKUP(C9,TABLAS!$J$4:$M$26,2)</f>
        <v>35</v>
      </c>
      <c r="H9" s="72">
        <f>VLOOKUP(C9,TABLAS!$J$4:$M$27,3)</f>
        <v>25</v>
      </c>
      <c r="I9" s="72">
        <v>339</v>
      </c>
      <c r="J9" s="72">
        <v>230</v>
      </c>
      <c r="K9" s="79">
        <f>MAX('PIER-FORCES'!D132:D134)</f>
        <v>291.4298</v>
      </c>
      <c r="L9" s="79">
        <f>'PIER-FORCES'!E132</f>
        <v>21.577200000000001</v>
      </c>
      <c r="M9" s="79">
        <f>'PIER-FORCES'!E133</f>
        <v>5.7099000000000002</v>
      </c>
      <c r="N9" s="79">
        <f>'PIER-FORCES'!E134</f>
        <v>58.660899999999998</v>
      </c>
      <c r="O9" s="86" t="str">
        <f>'PLANILLAS EJE 15'!C254</f>
        <v>$\phi$12@14</v>
      </c>
      <c r="P9" s="72" t="str">
        <f>VLOOKUP(H9,TABLAS!$R$17:$S$19,2)</f>
        <v>$\phi$8@16</v>
      </c>
      <c r="Q9" s="72" t="str">
        <f>AW9&amp;"$\phi$"&amp;AU9</f>
        <v>2$\phi$18</v>
      </c>
      <c r="S9" s="80" t="str">
        <f t="shared" si="19"/>
        <v>EJE 15.G-L | PIER F32X | PISO 2</v>
      </c>
      <c r="T9" s="72">
        <f>'PLANILLAS EJE 15'!F29</f>
        <v>0</v>
      </c>
      <c r="U9" s="72">
        <f>'PLANILLAS EJE 15'!F30</f>
        <v>0</v>
      </c>
      <c r="V9" s="78">
        <f t="shared" si="20"/>
        <v>8475</v>
      </c>
      <c r="W9" s="81">
        <f>'PLANILLAS EJE 15'!C263</f>
        <v>6.4627048873847175E-3</v>
      </c>
      <c r="X9" s="81">
        <v>0.01</v>
      </c>
      <c r="Y9" s="78">
        <f t="shared" si="21"/>
        <v>33.9</v>
      </c>
      <c r="Z9" s="78">
        <f t="shared" si="22"/>
        <v>8.4749999999999996</v>
      </c>
      <c r="AA9" s="78" t="str">
        <f>"$\phi$"&amp;VLOOKUP(AO9,TABLAS!$O$4:$P$13,2)</f>
        <v>$\phi$36</v>
      </c>
      <c r="AC9" s="78">
        <f>VLOOKUP(Z9,TABLAS!$O$4:$P$13,1)</f>
        <v>8.0399999999999991</v>
      </c>
      <c r="AD9" s="78">
        <f t="shared" si="23"/>
        <v>-0.4350000000000005</v>
      </c>
      <c r="AE9" s="78">
        <f t="shared" si="24"/>
        <v>8.91</v>
      </c>
      <c r="AF9" s="78">
        <f>IF(AD9&lt;0,VLOOKUP(AE9,TABLAS!$O$4:$P$13,1),AC9)</f>
        <v>8.0399999999999991</v>
      </c>
      <c r="AG9" s="78">
        <f>AF9-$Z9</f>
        <v>-0.4350000000000005</v>
      </c>
      <c r="AH9" s="82">
        <f>IF(AG9&lt;0,IF(AG9=AD9,AE9-$AD$2*AG9,AF9-AG9),AE9-$AD$2*AG9/2)</f>
        <v>9.5625</v>
      </c>
      <c r="AI9" s="78">
        <f>IF(AG9&lt;0,VLOOKUP(AH9,TABLAS!$O$4:$P$13,1),AF9)</f>
        <v>8.0399999999999991</v>
      </c>
      <c r="AJ9" s="78">
        <f t="shared" si="25"/>
        <v>-0.4350000000000005</v>
      </c>
      <c r="AK9" s="82">
        <f>IF(AJ9&lt;0,IF(AJ9=AG9,AH9-$AD$2*AJ9,AI9-AJ9),AH9-$AD$2*AJ9/2)</f>
        <v>10.215</v>
      </c>
      <c r="AL9" s="78">
        <f>IF(AJ9&lt;0,VLOOKUP(AK9,TABLAS!$O$4:$P$13,1),AI9)</f>
        <v>10.18</v>
      </c>
      <c r="AM9" s="78">
        <f t="shared" si="26"/>
        <v>1.7050000000000001</v>
      </c>
      <c r="AN9" s="82">
        <f>IF(AM9&lt;0,IF(AM9=AJ9,AK9-$AD$2*AM9,AL9-AM9),AK9-$AD$2*AM9/2)</f>
        <v>8.9362499999999994</v>
      </c>
      <c r="AO9" s="78">
        <f>IF(AM9&lt;0,VLOOKUP(AN9,TABLAS!$O$4:$P$13,1),AL9)</f>
        <v>10.18</v>
      </c>
      <c r="AP9" s="78">
        <f t="shared" si="27"/>
        <v>1.7050000000000001</v>
      </c>
      <c r="AQ9" s="82">
        <f>IF(AP9&lt;0,IF(AP9=AM9,AN9-$AD$2*AP9,AO9-AP9),AN9-$AD$2*AP9/2)</f>
        <v>7.6574999999999989</v>
      </c>
      <c r="AR9" s="78">
        <f>IF(AP9&lt;0,VLOOKUP(AQ9,TABLAS!$O$4:$P$13,1),AO9)</f>
        <v>10.18</v>
      </c>
      <c r="AT9" s="82">
        <v>18</v>
      </c>
      <c r="AU9" s="78">
        <f>VLOOKUP(AT9,TABLAS!$R$4:$S$13,1,TRUE)</f>
        <v>18</v>
      </c>
      <c r="AV9" s="78">
        <f>VLOOKUP(AU9,TABLAS!$R$4:$S$13,2,TRUE)</f>
        <v>2.54</v>
      </c>
      <c r="AW9" s="26">
        <f t="shared" si="18"/>
        <v>2</v>
      </c>
    </row>
    <row r="10" spans="1:49" x14ac:dyDescent="0.3">
      <c r="A10" s="78">
        <f>VLOOKUP(C10,'PIER-FORCES'!$A$3:$G$146,7,FALSE)</f>
        <v>121</v>
      </c>
      <c r="C10" s="24">
        <v>3</v>
      </c>
      <c r="D10" s="24" t="s">
        <v>146</v>
      </c>
      <c r="E10" s="24" t="s">
        <v>140</v>
      </c>
      <c r="F10" s="24" t="s">
        <v>87</v>
      </c>
      <c r="G10" s="24">
        <f>VLOOKUP(C10,TABLAS!$J$4:$M$26,2)</f>
        <v>35</v>
      </c>
      <c r="H10" s="24">
        <f>VLOOKUP(C10,TABLAS!$J$4:$M$27,3)</f>
        <v>25</v>
      </c>
      <c r="I10" s="24">
        <v>192</v>
      </c>
      <c r="J10" s="24">
        <v>230</v>
      </c>
      <c r="K10" s="73">
        <f>MAX(INDEX('PIER-FORCES'!$A$3:$G$146,A10,4),INDEX('PIER-FORCES'!$A$3:$G$146,A10+1,4),INDEX('PIER-FORCES'!$A$3:$G$146,A10+2,4))</f>
        <v>166.95580000000001</v>
      </c>
      <c r="L10" s="73">
        <f>INDEX('PIER-FORCES'!$A$3:$G$146,A11,5)</f>
        <v>22.662299999999998</v>
      </c>
      <c r="M10" s="73">
        <f>INDEX('PIER-FORCES'!$A$3:$G$146,A11+1,5)</f>
        <v>4.1965000000000003</v>
      </c>
      <c r="N10" s="73">
        <f>INDEX('PIER-FORCES'!$A$3:$G$146,A11+2,5)</f>
        <v>6.5167999999999999</v>
      </c>
      <c r="O10" s="67" t="str">
        <f>'PLANILLAS EJE 15'!C300</f>
        <v>$\phi$12@14</v>
      </c>
      <c r="P10" s="67" t="str">
        <f>VLOOKUP(H10,TABLAS!$R$17:$S$19,2)</f>
        <v>$\phi$8@16</v>
      </c>
      <c r="Q10" s="67" t="str">
        <f>AW10&amp;"$\phi$"&amp;AU10</f>
        <v>2$\phi$16</v>
      </c>
      <c r="R10" s="87"/>
      <c r="S10" s="65" t="str">
        <f t="shared" ref="S10:S33" si="28">D10&amp;" | PIER "&amp;E10&amp;" | PISO "&amp;C10</f>
        <v>EJE 15.C-C1 | PIER F31X | PISO 3</v>
      </c>
      <c r="T10" s="24">
        <f>'PLANILLAS EJE 15'!F30</f>
        <v>0</v>
      </c>
      <c r="U10" s="24">
        <f>'PLANILLAS EJE 15'!F31</f>
        <v>0</v>
      </c>
      <c r="V10" s="26">
        <f t="shared" ref="V10:V33" si="29">H10*I10</f>
        <v>4800</v>
      </c>
      <c r="W10" s="66">
        <f>'PLANILLAS EJE 15'!C309</f>
        <v>6.4627048873847183E-3</v>
      </c>
      <c r="X10" s="66">
        <v>0.01</v>
      </c>
      <c r="Y10" s="26">
        <f t="shared" ref="Y10:Y33" si="30">0.1*I10</f>
        <v>19.200000000000003</v>
      </c>
      <c r="Z10" s="26">
        <f t="shared" ref="Z10:Z33" si="31">X10*H10*Y10</f>
        <v>4.8000000000000007</v>
      </c>
      <c r="AA10" s="26" t="str">
        <f>"$\phi$"&amp;VLOOKUP(AO10,TABLAS!$O$4:$P$13,2)</f>
        <v>$\phi$25</v>
      </c>
      <c r="AC10" s="47">
        <f>VLOOKUP(Z10,TABLAS!$O$4:$P$13,1)</f>
        <v>3.8</v>
      </c>
      <c r="AD10" s="26">
        <f t="shared" ref="AD10:AD33" si="32">AC10-Z10</f>
        <v>-1.0000000000000009</v>
      </c>
      <c r="AE10" s="26">
        <f t="shared" ref="AE10:AE33" si="33">Z10-AD10</f>
        <v>5.8000000000000016</v>
      </c>
      <c r="AF10" s="47">
        <f>IF(AD10&lt;0,VLOOKUP(AE10,TABLAS!$O$4:$P$13,1),AC10)</f>
        <v>4.91</v>
      </c>
      <c r="AG10" s="26">
        <f>AF10-$Z10</f>
        <v>0.10999999999999943</v>
      </c>
      <c r="AH10" s="69">
        <f>IF(AG10&lt;0,IF(AG10=AD10,AE10-$AD$2*AG10,AF10-AG10),AE10-$AD$2*AG10/2)</f>
        <v>5.717500000000002</v>
      </c>
      <c r="AI10" s="47">
        <f>IF(AG10&lt;0,VLOOKUP(AH10,TABLAS!$O$4:$P$13,1),AF10)</f>
        <v>4.91</v>
      </c>
      <c r="AJ10" s="26">
        <f t="shared" ref="AJ10:AJ33" si="34">AI10-$Z10</f>
        <v>0.10999999999999943</v>
      </c>
      <c r="AK10" s="69">
        <f>IF(AJ10&lt;0,IF(AJ10=AG10,AH10-$AD$2*AJ10,AI10-AJ10),AH10-$AD$2*AJ10/2)</f>
        <v>5.6350000000000025</v>
      </c>
      <c r="AL10" s="47">
        <f>IF(AJ10&lt;0,VLOOKUP(AK10,TABLAS!$O$4:$P$13,1),AI10)</f>
        <v>4.91</v>
      </c>
      <c r="AM10" s="26">
        <f t="shared" ref="AM10:AM33" si="35">AL10-$Z10</f>
        <v>0.10999999999999943</v>
      </c>
      <c r="AN10" s="69">
        <f>IF(AM10&lt;0,IF(AM10=AJ10,AK10-$AD$2*AM10,AL10-AM10),AK10-$AD$2*AM10/2)</f>
        <v>5.5525000000000029</v>
      </c>
      <c r="AO10" s="47">
        <f>IF(AM10&lt;0,VLOOKUP(AN10,TABLAS!$O$4:$P$13,1),AL10)</f>
        <v>4.91</v>
      </c>
      <c r="AP10" s="26">
        <f t="shared" ref="AP10:AP33" si="36">AO10-$Z10</f>
        <v>0.10999999999999943</v>
      </c>
      <c r="AQ10" s="69">
        <f>IF(AP10&lt;0,IF(AP10=AM10,AN10-$AD$2*AP10,AO10-AP10),AN10-$AD$2*AP10/2)</f>
        <v>5.4700000000000033</v>
      </c>
      <c r="AR10" s="47">
        <f>IF(AP10&lt;0,VLOOKUP(AQ10,TABLAS!$O$4:$P$13,1),AO10)</f>
        <v>4.91</v>
      </c>
      <c r="AT10" s="90">
        <v>16</v>
      </c>
      <c r="AU10" s="26">
        <f>VLOOKUP(AT10,TABLAS!$R$4:$S$13,1,TRUE)</f>
        <v>16</v>
      </c>
      <c r="AV10" s="26">
        <f>VLOOKUP(AU10,TABLAS!$R$4:$S$13,2,TRUE)</f>
        <v>2.0099999999999998</v>
      </c>
      <c r="AW10" s="26">
        <f t="shared" si="18"/>
        <v>2</v>
      </c>
    </row>
    <row r="11" spans="1:49" x14ac:dyDescent="0.3">
      <c r="A11" s="78">
        <f>VLOOKUP(C11,'PIER-FORCES'!$A$3:$G$146,7,FALSE)</f>
        <v>121</v>
      </c>
      <c r="C11" s="24">
        <v>3</v>
      </c>
      <c r="D11" s="24" t="s">
        <v>147</v>
      </c>
      <c r="E11" s="24" t="s">
        <v>141</v>
      </c>
      <c r="F11" s="24" t="s">
        <v>87</v>
      </c>
      <c r="G11" s="24">
        <f>VLOOKUP(C11,TABLAS!$J$4:$M$26,2)</f>
        <v>35</v>
      </c>
      <c r="H11" s="24">
        <f>VLOOKUP(C11,TABLAS!$J$4:$M$27,3)</f>
        <v>25</v>
      </c>
      <c r="I11" s="24">
        <v>339</v>
      </c>
      <c r="J11" s="24">
        <v>230</v>
      </c>
      <c r="K11" s="73">
        <f>MAX(INDEX('PIER-FORCES'!$A$3:$G$146,A11+3,4),INDEX('PIER-FORCES'!$A$3:$G$146,A11+4,4),INDEX('PIER-FORCES'!$A$3:$G$146,A11+5,4))</f>
        <v>244.01859999999999</v>
      </c>
      <c r="L11" s="73">
        <f>INDEX('PIER-FORCES'!$A$3:$G$146,A11+3,5)</f>
        <v>13.462899999999999</v>
      </c>
      <c r="M11" s="73">
        <f>INDEX('PIER-FORCES'!$A$3:$G$146,A11+4,5)</f>
        <v>2.5657000000000001</v>
      </c>
      <c r="N11" s="73">
        <f>INDEX('PIER-FORCES'!$A$3:$G$146,A11+5,5)</f>
        <v>24.186</v>
      </c>
      <c r="O11" s="67" t="str">
        <f>'PLANILLAS EJE 15'!C346</f>
        <v>$\phi$10@14</v>
      </c>
      <c r="P11" s="67" t="str">
        <f>VLOOKUP(H11,TABLAS!$R$17:$S$19,2)</f>
        <v>$\phi$8@16</v>
      </c>
      <c r="Q11" s="67" t="str">
        <f>AW11&amp;"$\phi$"&amp;AU11</f>
        <v>2$\phi$18</v>
      </c>
      <c r="R11" s="87"/>
      <c r="S11" s="65" t="str">
        <f t="shared" si="28"/>
        <v>EJE 15.G-L | PIER F33X | PISO 3</v>
      </c>
      <c r="T11" s="24">
        <f>'PLANILLAS EJE 15'!F31</f>
        <v>0</v>
      </c>
      <c r="U11" s="24">
        <f>'PLANILLAS EJE 15'!F32</f>
        <v>0</v>
      </c>
      <c r="V11" s="26">
        <f t="shared" si="29"/>
        <v>8475</v>
      </c>
      <c r="W11" s="66">
        <f>'PLANILLAS EJE 15'!C355</f>
        <v>4.4879895051282755E-3</v>
      </c>
      <c r="X11" s="66">
        <v>0.01</v>
      </c>
      <c r="Y11" s="26">
        <f t="shared" si="30"/>
        <v>33.9</v>
      </c>
      <c r="Z11" s="26">
        <f t="shared" si="31"/>
        <v>8.4749999999999996</v>
      </c>
      <c r="AA11" s="26" t="str">
        <f>"$\phi$"&amp;VLOOKUP(AO11,TABLAS!$O$4:$P$13,2)</f>
        <v>$\phi$36</v>
      </c>
      <c r="AC11" s="47">
        <f>VLOOKUP(Z11,TABLAS!$O$4:$P$13,1)</f>
        <v>8.0399999999999991</v>
      </c>
      <c r="AD11" s="26">
        <f t="shared" si="32"/>
        <v>-0.4350000000000005</v>
      </c>
      <c r="AE11" s="26">
        <f t="shared" si="33"/>
        <v>8.91</v>
      </c>
      <c r="AF11" s="47">
        <f>IF(AD11&lt;0,VLOOKUP(AE11,TABLAS!$O$4:$P$13,1),AC11)</f>
        <v>8.0399999999999991</v>
      </c>
      <c r="AG11" s="26">
        <f>AF11-$Z11</f>
        <v>-0.4350000000000005</v>
      </c>
      <c r="AH11" s="69">
        <f>IF(AG11&lt;0,IF(AG11=AD11,AE11-$AD$2*AG11,AF11-AG11),AE11-$AD$2*AG11/2)</f>
        <v>9.5625</v>
      </c>
      <c r="AI11" s="47">
        <f>IF(AG11&lt;0,VLOOKUP(AH11,TABLAS!$O$4:$P$13,1),AF11)</f>
        <v>8.0399999999999991</v>
      </c>
      <c r="AJ11" s="26">
        <f t="shared" si="34"/>
        <v>-0.4350000000000005</v>
      </c>
      <c r="AK11" s="69">
        <f>IF(AJ11&lt;0,IF(AJ11=AG11,AH11-$AD$2*AJ11,AI11-AJ11),AH11-$AD$2*AJ11/2)</f>
        <v>10.215</v>
      </c>
      <c r="AL11" s="47">
        <f>IF(AJ11&lt;0,VLOOKUP(AK11,TABLAS!$O$4:$P$13,1),AI11)</f>
        <v>10.18</v>
      </c>
      <c r="AM11" s="26">
        <f t="shared" si="35"/>
        <v>1.7050000000000001</v>
      </c>
      <c r="AN11" s="69">
        <f>IF(AM11&lt;0,IF(AM11=AJ11,AK11-$AD$2*AM11,AL11-AM11),AK11-$AD$2*AM11/2)</f>
        <v>8.9362499999999994</v>
      </c>
      <c r="AO11" s="47">
        <f>IF(AM11&lt;0,VLOOKUP(AN11,TABLAS!$O$4:$P$13,1),AL11)</f>
        <v>10.18</v>
      </c>
      <c r="AP11" s="26">
        <f t="shared" si="36"/>
        <v>1.7050000000000001</v>
      </c>
      <c r="AQ11" s="69">
        <f>IF(AP11&lt;0,IF(AP11=AM11,AN11-$AD$2*AP11,AO11-AP11),AN11-$AD$2*AP11/2)</f>
        <v>7.6574999999999989</v>
      </c>
      <c r="AR11" s="47">
        <f>IF(AP11&lt;0,VLOOKUP(AQ11,TABLAS!$O$4:$P$13,1),AO11)</f>
        <v>10.18</v>
      </c>
      <c r="AT11" s="90">
        <v>18</v>
      </c>
      <c r="AU11" s="26">
        <f>VLOOKUP(AT11,TABLAS!$R$4:$S$13,1,TRUE)</f>
        <v>18</v>
      </c>
      <c r="AV11" s="26">
        <f>VLOOKUP(AU11,TABLAS!$R$4:$S$13,2,TRUE)</f>
        <v>2.54</v>
      </c>
      <c r="AW11" s="26">
        <f t="shared" si="18"/>
        <v>2</v>
      </c>
    </row>
    <row r="12" spans="1:49" s="78" customFormat="1" x14ac:dyDescent="0.3">
      <c r="A12" s="78">
        <f>VLOOKUP(C12,'PIER-FORCES'!$A$3:$G$146,7,FALSE)</f>
        <v>115</v>
      </c>
      <c r="C12" s="72">
        <v>4</v>
      </c>
      <c r="D12" s="72" t="s">
        <v>146</v>
      </c>
      <c r="E12" s="72" t="s">
        <v>140</v>
      </c>
      <c r="F12" s="72" t="s">
        <v>87</v>
      </c>
      <c r="G12" s="72">
        <f>VLOOKUP(C12,TABLAS!$J$4:$M$26,2)</f>
        <v>35</v>
      </c>
      <c r="H12" s="72">
        <f>VLOOKUP(C12,TABLAS!$J$4:$M$27,3)</f>
        <v>25</v>
      </c>
      <c r="I12" s="72">
        <v>192</v>
      </c>
      <c r="J12" s="72">
        <v>230</v>
      </c>
      <c r="K12" s="79">
        <f>MAX(INDEX('PIER-FORCES'!$A$3:$G$146,A12,4),INDEX('PIER-FORCES'!$A$3:$G$146,A12+1,4),INDEX('PIER-FORCES'!$A$3:$G$146,A12+2,4))</f>
        <v>149.92529999999999</v>
      </c>
      <c r="L12" s="79">
        <f>INDEX('PIER-FORCES'!$A$3:$G$146,A13,5)</f>
        <v>1.7707999999999999</v>
      </c>
      <c r="M12" s="79">
        <f>INDEX('PIER-FORCES'!$A$3:$G$146,A13+1,5)</f>
        <v>0.82930000000000004</v>
      </c>
      <c r="N12" s="79">
        <f>INDEX('PIER-FORCES'!$A$3:$G$146,A13+2,5)</f>
        <v>3.2444999999999999</v>
      </c>
      <c r="O12" s="72" t="str">
        <f>'PLANILLAS EJE 15'!C392</f>
        <v>$\phi$12@14</v>
      </c>
      <c r="P12" s="72" t="str">
        <f>VLOOKUP(H12,TABLAS!$R$17:$S$19,2)</f>
        <v>$\phi$8@16</v>
      </c>
      <c r="Q12" s="72" t="str">
        <f>AW12&amp;"$\phi$"&amp;AU12</f>
        <v>2$\phi$16</v>
      </c>
      <c r="S12" s="80" t="str">
        <f t="shared" si="28"/>
        <v>EJE 15.C-C1 | PIER F31X | PISO 4</v>
      </c>
      <c r="T12" s="72">
        <f>'PLANILLAS EJE 15'!F32</f>
        <v>0</v>
      </c>
      <c r="U12" s="72">
        <f>'PLANILLAS EJE 15'!F33</f>
        <v>0</v>
      </c>
      <c r="V12" s="78">
        <f t="shared" si="29"/>
        <v>4800</v>
      </c>
      <c r="W12" s="81">
        <f>'PLANILLAS EJE 15'!C401</f>
        <v>6.4627048873847183E-3</v>
      </c>
      <c r="X12" s="81">
        <v>0.01</v>
      </c>
      <c r="Y12" s="78">
        <f t="shared" si="30"/>
        <v>19.200000000000003</v>
      </c>
      <c r="Z12" s="78">
        <f t="shared" si="31"/>
        <v>4.8000000000000007</v>
      </c>
      <c r="AA12" s="78" t="str">
        <f>"$\phi$"&amp;VLOOKUP(AO12,TABLAS!$O$4:$P$13,2)</f>
        <v>$\phi$25</v>
      </c>
      <c r="AC12" s="78">
        <f>VLOOKUP(Z12,TABLAS!$O$4:$P$13,1)</f>
        <v>3.8</v>
      </c>
      <c r="AD12" s="78">
        <f t="shared" si="32"/>
        <v>-1.0000000000000009</v>
      </c>
      <c r="AE12" s="78">
        <f t="shared" si="33"/>
        <v>5.8000000000000016</v>
      </c>
      <c r="AF12" s="78">
        <f>IF(AD12&lt;0,VLOOKUP(AE12,TABLAS!$O$4:$P$13,1),AC12)</f>
        <v>4.91</v>
      </c>
      <c r="AG12" s="78">
        <f>AF12-$Z12</f>
        <v>0.10999999999999943</v>
      </c>
      <c r="AH12" s="82">
        <f>IF(AG12&lt;0,IF(AG12=AD12,AE12-$AD$2*AG12,AF12-AG12),AE12-$AD$2*AG12/2)</f>
        <v>5.717500000000002</v>
      </c>
      <c r="AI12" s="78">
        <f>IF(AG12&lt;0,VLOOKUP(AH12,TABLAS!$O$4:$P$13,1),AF12)</f>
        <v>4.91</v>
      </c>
      <c r="AJ12" s="78">
        <f t="shared" si="34"/>
        <v>0.10999999999999943</v>
      </c>
      <c r="AK12" s="82">
        <f>IF(AJ12&lt;0,IF(AJ12=AG12,AH12-$AD$2*AJ12,AI12-AJ12),AH12-$AD$2*AJ12/2)</f>
        <v>5.6350000000000025</v>
      </c>
      <c r="AL12" s="78">
        <f>IF(AJ12&lt;0,VLOOKUP(AK12,TABLAS!$O$4:$P$13,1),AI12)</f>
        <v>4.91</v>
      </c>
      <c r="AM12" s="78">
        <f t="shared" si="35"/>
        <v>0.10999999999999943</v>
      </c>
      <c r="AN12" s="82">
        <f>IF(AM12&lt;0,IF(AM12=AJ12,AK12-$AD$2*AM12,AL12-AM12),AK12-$AD$2*AM12/2)</f>
        <v>5.5525000000000029</v>
      </c>
      <c r="AO12" s="78">
        <f>IF(AM12&lt;0,VLOOKUP(AN12,TABLAS!$O$4:$P$13,1),AL12)</f>
        <v>4.91</v>
      </c>
      <c r="AP12" s="78">
        <f t="shared" si="36"/>
        <v>0.10999999999999943</v>
      </c>
      <c r="AQ12" s="82">
        <f>IF(AP12&lt;0,IF(AP12=AM12,AN12-$AD$2*AP12,AO12-AP12),AN12-$AD$2*AP12/2)</f>
        <v>5.4700000000000033</v>
      </c>
      <c r="AR12" s="78">
        <f>IF(AP12&lt;0,VLOOKUP(AQ12,TABLAS!$O$4:$P$13,1),AO12)</f>
        <v>4.91</v>
      </c>
      <c r="AT12" s="82">
        <v>16</v>
      </c>
      <c r="AU12" s="78">
        <f>VLOOKUP(AT12,TABLAS!$R$4:$S$13,1,TRUE)</f>
        <v>16</v>
      </c>
      <c r="AV12" s="78">
        <f>VLOOKUP(AU12,TABLAS!$R$4:$S$13,2,TRUE)</f>
        <v>2.0099999999999998</v>
      </c>
      <c r="AW12" s="26">
        <f t="shared" si="18"/>
        <v>2</v>
      </c>
    </row>
    <row r="13" spans="1:49" s="78" customFormat="1" x14ac:dyDescent="0.3">
      <c r="A13" s="78">
        <f>VLOOKUP(C13,'PIER-FORCES'!$A$3:$G$146,7,FALSE)</f>
        <v>115</v>
      </c>
      <c r="C13" s="72">
        <v>4</v>
      </c>
      <c r="D13" s="72" t="s">
        <v>147</v>
      </c>
      <c r="E13" s="72" t="s">
        <v>141</v>
      </c>
      <c r="F13" s="72" t="s">
        <v>87</v>
      </c>
      <c r="G13" s="72">
        <f>VLOOKUP(C13,TABLAS!$J$4:$M$26,2)</f>
        <v>35</v>
      </c>
      <c r="H13" s="72">
        <f>VLOOKUP(C13,TABLAS!$J$4:$M$27,3)</f>
        <v>25</v>
      </c>
      <c r="I13" s="72">
        <v>339</v>
      </c>
      <c r="J13" s="72">
        <v>230</v>
      </c>
      <c r="K13" s="79">
        <f>MAX(INDEX('PIER-FORCES'!$A$3:$G$146,A13+3,4),INDEX('PIER-FORCES'!$A$3:$G$146,A13+4,4),INDEX('PIER-FORCES'!$A$3:$G$146,A13+5,4))</f>
        <v>229.6969</v>
      </c>
      <c r="L13" s="79">
        <f>INDEX('PIER-FORCES'!$A$3:$G$146,A13+3,5)</f>
        <v>1.8655999999999999</v>
      </c>
      <c r="M13" s="79">
        <f>INDEX('PIER-FORCES'!$A$3:$G$146,A13+4,5)</f>
        <v>3.7499999999999999E-2</v>
      </c>
      <c r="N13" s="79">
        <f>INDEX('PIER-FORCES'!$A$3:$G$146,A13+5,5)</f>
        <v>24.528199999999998</v>
      </c>
      <c r="O13" s="72" t="str">
        <f>'PLANILLAS EJE 15'!C438</f>
        <v>$\phi$10@14</v>
      </c>
      <c r="P13" s="72" t="str">
        <f>VLOOKUP(H13,TABLAS!$R$17:$S$19,2)</f>
        <v>$\phi$8@16</v>
      </c>
      <c r="Q13" s="72" t="str">
        <f>AW13&amp;"$\phi$"&amp;AU13</f>
        <v>2$\phi$18</v>
      </c>
      <c r="S13" s="80" t="str">
        <f t="shared" si="28"/>
        <v>EJE 15.G-L | PIER F33X | PISO 4</v>
      </c>
      <c r="T13" s="72">
        <f>'PLANILLAS EJE 15'!F33</f>
        <v>0</v>
      </c>
      <c r="U13" s="72">
        <f>'PLANILLAS EJE 15'!F34</f>
        <v>0</v>
      </c>
      <c r="V13" s="78">
        <f t="shared" si="29"/>
        <v>8475</v>
      </c>
      <c r="W13" s="81">
        <f>'PLANILLAS EJE 15'!C447</f>
        <v>4.4879895051282755E-3</v>
      </c>
      <c r="X13" s="81">
        <v>0.01</v>
      </c>
      <c r="Y13" s="78">
        <f t="shared" si="30"/>
        <v>33.9</v>
      </c>
      <c r="Z13" s="78">
        <f t="shared" si="31"/>
        <v>8.4749999999999996</v>
      </c>
      <c r="AA13" s="78" t="str">
        <f>"$\phi$"&amp;VLOOKUP(AO13,TABLAS!$O$4:$P$13,2)</f>
        <v>$\phi$36</v>
      </c>
      <c r="AC13" s="78">
        <f>VLOOKUP(Z13,TABLAS!$O$4:$P$13,1)</f>
        <v>8.0399999999999991</v>
      </c>
      <c r="AD13" s="78">
        <f t="shared" si="32"/>
        <v>-0.4350000000000005</v>
      </c>
      <c r="AE13" s="78">
        <f t="shared" si="33"/>
        <v>8.91</v>
      </c>
      <c r="AF13" s="78">
        <f>IF(AD13&lt;0,VLOOKUP(AE13,TABLAS!$O$4:$P$13,1),AC13)</f>
        <v>8.0399999999999991</v>
      </c>
      <c r="AG13" s="78">
        <f>AF13-$Z13</f>
        <v>-0.4350000000000005</v>
      </c>
      <c r="AH13" s="82">
        <f>IF(AG13&lt;0,IF(AG13=AD13,AE13-$AD$2*AG13,AF13-AG13),AE13-$AD$2*AG13/2)</f>
        <v>9.5625</v>
      </c>
      <c r="AI13" s="78">
        <f>IF(AG13&lt;0,VLOOKUP(AH13,TABLAS!$O$4:$P$13,1),AF13)</f>
        <v>8.0399999999999991</v>
      </c>
      <c r="AJ13" s="78">
        <f t="shared" si="34"/>
        <v>-0.4350000000000005</v>
      </c>
      <c r="AK13" s="82">
        <f>IF(AJ13&lt;0,IF(AJ13=AG13,AH13-$AD$2*AJ13,AI13-AJ13),AH13-$AD$2*AJ13/2)</f>
        <v>10.215</v>
      </c>
      <c r="AL13" s="78">
        <f>IF(AJ13&lt;0,VLOOKUP(AK13,TABLAS!$O$4:$P$13,1),AI13)</f>
        <v>10.18</v>
      </c>
      <c r="AM13" s="78">
        <f t="shared" si="35"/>
        <v>1.7050000000000001</v>
      </c>
      <c r="AN13" s="82">
        <f>IF(AM13&lt;0,IF(AM13=AJ13,AK13-$AD$2*AM13,AL13-AM13),AK13-$AD$2*AM13/2)</f>
        <v>8.9362499999999994</v>
      </c>
      <c r="AO13" s="78">
        <f>IF(AM13&lt;0,VLOOKUP(AN13,TABLAS!$O$4:$P$13,1),AL13)</f>
        <v>10.18</v>
      </c>
      <c r="AP13" s="78">
        <f t="shared" si="36"/>
        <v>1.7050000000000001</v>
      </c>
      <c r="AQ13" s="82">
        <f>IF(AP13&lt;0,IF(AP13=AM13,AN13-$AD$2*AP13,AO13-AP13),AN13-$AD$2*AP13/2)</f>
        <v>7.6574999999999989</v>
      </c>
      <c r="AR13" s="78">
        <f>IF(AP13&lt;0,VLOOKUP(AQ13,TABLAS!$O$4:$P$13,1),AO13)</f>
        <v>10.18</v>
      </c>
      <c r="AT13" s="82">
        <v>18</v>
      </c>
      <c r="AU13" s="78">
        <f>VLOOKUP(AT13,TABLAS!$R$4:$S$13,1,TRUE)</f>
        <v>18</v>
      </c>
      <c r="AV13" s="78">
        <f>VLOOKUP(AU13,TABLAS!$R$4:$S$13,2,TRUE)</f>
        <v>2.54</v>
      </c>
      <c r="AW13" s="26">
        <f t="shared" si="18"/>
        <v>2</v>
      </c>
    </row>
    <row r="14" spans="1:49" x14ac:dyDescent="0.3">
      <c r="A14" s="78">
        <f>VLOOKUP(C14,'PIER-FORCES'!$A$3:$G$146,7,FALSE)</f>
        <v>109</v>
      </c>
      <c r="C14" s="24">
        <v>5</v>
      </c>
      <c r="D14" s="24" t="s">
        <v>146</v>
      </c>
      <c r="E14" s="24" t="s">
        <v>140</v>
      </c>
      <c r="F14" s="24" t="s">
        <v>87</v>
      </c>
      <c r="G14" s="24">
        <f>VLOOKUP(C14,TABLAS!$J$4:$M$26,2)</f>
        <v>35</v>
      </c>
      <c r="H14" s="24">
        <f>VLOOKUP(C14,TABLAS!$J$4:$M$27,3)</f>
        <v>25</v>
      </c>
      <c r="I14" s="24">
        <v>192</v>
      </c>
      <c r="J14" s="24">
        <v>230</v>
      </c>
      <c r="K14" s="73">
        <f>MAX(INDEX('PIER-FORCES'!$A$3:$G$146,A14,4),INDEX('PIER-FORCES'!$A$3:$G$146,A14+1,4),INDEX('PIER-FORCES'!$A$3:$G$146,A14+2,4))</f>
        <v>143.31059999999999</v>
      </c>
      <c r="L14" s="73">
        <f>INDEX('PIER-FORCES'!$A$3:$G$146,A15,5)</f>
        <v>0.52429999999999999</v>
      </c>
      <c r="M14" s="73">
        <f>INDEX('PIER-FORCES'!$A$3:$G$146,A15+1,5)</f>
        <v>0.2843</v>
      </c>
      <c r="N14" s="73">
        <f>INDEX('PIER-FORCES'!$A$3:$G$146,A15+2,5)</f>
        <v>4.6296999999999997</v>
      </c>
      <c r="O14" s="67" t="str">
        <f>'PLANILLAS EJE 15'!C484</f>
        <v>$\phi$12@14</v>
      </c>
      <c r="P14" s="67" t="str">
        <f>VLOOKUP(H14,TABLAS!$R$17:$S$19,2)</f>
        <v>$\phi$8@16</v>
      </c>
      <c r="Q14" s="67" t="str">
        <f>AW14&amp;"$\phi$"&amp;AU14</f>
        <v>2$\phi$16</v>
      </c>
      <c r="R14" s="87"/>
      <c r="S14" s="65" t="str">
        <f t="shared" si="28"/>
        <v>EJE 15.C-C1 | PIER F31X | PISO 5</v>
      </c>
      <c r="T14" s="24">
        <f>'PLANILLAS EJE 15'!F34</f>
        <v>0</v>
      </c>
      <c r="U14" s="24">
        <f>'PLANILLAS EJE 15'!F35</f>
        <v>0</v>
      </c>
      <c r="V14" s="26">
        <f t="shared" si="29"/>
        <v>4800</v>
      </c>
      <c r="W14" s="66">
        <f>'PLANILLAS EJE 15'!C493</f>
        <v>6.4627048873847183E-3</v>
      </c>
      <c r="X14" s="66">
        <v>0.01</v>
      </c>
      <c r="Y14" s="26">
        <f t="shared" si="30"/>
        <v>19.200000000000003</v>
      </c>
      <c r="Z14" s="26">
        <f t="shared" si="31"/>
        <v>4.8000000000000007</v>
      </c>
      <c r="AA14" s="26" t="str">
        <f>"$\phi$"&amp;VLOOKUP(AO14,TABLAS!$O$4:$P$13,2)</f>
        <v>$\phi$25</v>
      </c>
      <c r="AC14" s="47">
        <f>VLOOKUP(Z14,TABLAS!$O$4:$P$13,1)</f>
        <v>3.8</v>
      </c>
      <c r="AD14" s="26">
        <f t="shared" si="32"/>
        <v>-1.0000000000000009</v>
      </c>
      <c r="AE14" s="26">
        <f t="shared" si="33"/>
        <v>5.8000000000000016</v>
      </c>
      <c r="AF14" s="47">
        <f>IF(AD14&lt;0,VLOOKUP(AE14,TABLAS!$O$4:$P$13,1),AC14)</f>
        <v>4.91</v>
      </c>
      <c r="AG14" s="26">
        <f>AF14-$Z14</f>
        <v>0.10999999999999943</v>
      </c>
      <c r="AH14" s="69">
        <f>IF(AG14&lt;0,IF(AG14=AD14,AE14-$AD$2*AG14,AF14-AG14),AE14-$AD$2*AG14/2)</f>
        <v>5.717500000000002</v>
      </c>
      <c r="AI14" s="47">
        <f>IF(AG14&lt;0,VLOOKUP(AH14,TABLAS!$O$4:$P$13,1),AF14)</f>
        <v>4.91</v>
      </c>
      <c r="AJ14" s="26">
        <f t="shared" si="34"/>
        <v>0.10999999999999943</v>
      </c>
      <c r="AK14" s="69">
        <f>IF(AJ14&lt;0,IF(AJ14=AG14,AH14-$AD$2*AJ14,AI14-AJ14),AH14-$AD$2*AJ14/2)</f>
        <v>5.6350000000000025</v>
      </c>
      <c r="AL14" s="47">
        <f>IF(AJ14&lt;0,VLOOKUP(AK14,TABLAS!$O$4:$P$13,1),AI14)</f>
        <v>4.91</v>
      </c>
      <c r="AM14" s="26">
        <f t="shared" si="35"/>
        <v>0.10999999999999943</v>
      </c>
      <c r="AN14" s="69">
        <f>IF(AM14&lt;0,IF(AM14=AJ14,AK14-$AD$2*AM14,AL14-AM14),AK14-$AD$2*AM14/2)</f>
        <v>5.5525000000000029</v>
      </c>
      <c r="AO14" s="47">
        <f>IF(AM14&lt;0,VLOOKUP(AN14,TABLAS!$O$4:$P$13,1),AL14)</f>
        <v>4.91</v>
      </c>
      <c r="AP14" s="26">
        <f t="shared" si="36"/>
        <v>0.10999999999999943</v>
      </c>
      <c r="AQ14" s="69">
        <f>IF(AP14&lt;0,IF(AP14=AM14,AN14-$AD$2*AP14,AO14-AP14),AN14-$AD$2*AP14/2)</f>
        <v>5.4700000000000033</v>
      </c>
      <c r="AR14" s="47">
        <f>IF(AP14&lt;0,VLOOKUP(AQ14,TABLAS!$O$4:$P$13,1),AO14)</f>
        <v>4.91</v>
      </c>
      <c r="AT14" s="90">
        <v>16</v>
      </c>
      <c r="AU14" s="26">
        <f>VLOOKUP(AT14,TABLAS!$R$4:$S$13,1,TRUE)</f>
        <v>16</v>
      </c>
      <c r="AV14" s="26">
        <f>VLOOKUP(AU14,TABLAS!$R$4:$S$13,2,TRUE)</f>
        <v>2.0099999999999998</v>
      </c>
      <c r="AW14" s="26">
        <f t="shared" si="18"/>
        <v>2</v>
      </c>
    </row>
    <row r="15" spans="1:49" x14ac:dyDescent="0.3">
      <c r="A15" s="78">
        <f>VLOOKUP(C15,'PIER-FORCES'!$A$3:$G$146,7,FALSE)</f>
        <v>109</v>
      </c>
      <c r="C15" s="24">
        <v>5</v>
      </c>
      <c r="D15" s="24" t="s">
        <v>147</v>
      </c>
      <c r="E15" s="24" t="s">
        <v>141</v>
      </c>
      <c r="F15" s="24" t="s">
        <v>87</v>
      </c>
      <c r="G15" s="24">
        <f>VLOOKUP(C15,TABLAS!$J$4:$M$26,2)</f>
        <v>35</v>
      </c>
      <c r="H15" s="24">
        <f>VLOOKUP(C15,TABLAS!$J$4:$M$27,3)</f>
        <v>25</v>
      </c>
      <c r="I15" s="24">
        <v>339</v>
      </c>
      <c r="J15" s="24">
        <v>230</v>
      </c>
      <c r="K15" s="73">
        <f>MAX(INDEX('PIER-FORCES'!$A$3:$G$146,A15+3,4),INDEX('PIER-FORCES'!$A$3:$G$146,A15+4,4),INDEX('PIER-FORCES'!$A$3:$G$146,A15+5,4))</f>
        <v>219.31460000000001</v>
      </c>
      <c r="L15" s="73">
        <f>INDEX('PIER-FORCES'!$A$3:$G$146,A15+3,5)</f>
        <v>2.2547000000000001</v>
      </c>
      <c r="M15" s="73">
        <f>INDEX('PIER-FORCES'!$A$3:$G$146,A15+4,5)</f>
        <v>4.3999999999999997E-2</v>
      </c>
      <c r="N15" s="73">
        <f>INDEX('PIER-FORCES'!$A$3:$G$146,A15+5,5)</f>
        <v>22.976800000000001</v>
      </c>
      <c r="O15" s="67" t="str">
        <f>'PLANILLAS EJE 15'!C530</f>
        <v>$\phi$10@14</v>
      </c>
      <c r="P15" s="67" t="str">
        <f>VLOOKUP(H15,TABLAS!$R$17:$S$19,2)</f>
        <v>$\phi$8@16</v>
      </c>
      <c r="Q15" s="67" t="str">
        <f>AW15&amp;"$\phi$"&amp;AU15</f>
        <v>2$\phi$18</v>
      </c>
      <c r="R15" s="87"/>
      <c r="S15" s="65" t="str">
        <f t="shared" si="28"/>
        <v>EJE 15.G-L | PIER F33X | PISO 5</v>
      </c>
      <c r="T15" s="24">
        <f>'PLANILLAS EJE 15'!F35</f>
        <v>0</v>
      </c>
      <c r="U15" s="24">
        <f>'PLANILLAS EJE 15'!F36</f>
        <v>0</v>
      </c>
      <c r="V15" s="26">
        <f t="shared" si="29"/>
        <v>8475</v>
      </c>
      <c r="W15" s="66">
        <f>'PLANILLAS EJE 15'!C539</f>
        <v>4.4879895051282755E-3</v>
      </c>
      <c r="X15" s="66">
        <v>0.01</v>
      </c>
      <c r="Y15" s="26">
        <f t="shared" si="30"/>
        <v>33.9</v>
      </c>
      <c r="Z15" s="26">
        <f t="shared" si="31"/>
        <v>8.4749999999999996</v>
      </c>
      <c r="AA15" s="26" t="str">
        <f>"$\phi$"&amp;VLOOKUP(AO15,TABLAS!$O$4:$P$13,2)</f>
        <v>$\phi$36</v>
      </c>
      <c r="AC15" s="47">
        <f>VLOOKUP(Z15,TABLAS!$O$4:$P$13,1)</f>
        <v>8.0399999999999991</v>
      </c>
      <c r="AD15" s="26">
        <f t="shared" si="32"/>
        <v>-0.4350000000000005</v>
      </c>
      <c r="AE15" s="26">
        <f t="shared" si="33"/>
        <v>8.91</v>
      </c>
      <c r="AF15" s="47">
        <f>IF(AD15&lt;0,VLOOKUP(AE15,TABLAS!$O$4:$P$13,1),AC15)</f>
        <v>8.0399999999999991</v>
      </c>
      <c r="AG15" s="26">
        <f>AF15-$Z15</f>
        <v>-0.4350000000000005</v>
      </c>
      <c r="AH15" s="69">
        <f>IF(AG15&lt;0,IF(AG15=AD15,AE15-$AD$2*AG15,AF15-AG15),AE15-$AD$2*AG15/2)</f>
        <v>9.5625</v>
      </c>
      <c r="AI15" s="47">
        <f>IF(AG15&lt;0,VLOOKUP(AH15,TABLAS!$O$4:$P$13,1),AF15)</f>
        <v>8.0399999999999991</v>
      </c>
      <c r="AJ15" s="26">
        <f t="shared" si="34"/>
        <v>-0.4350000000000005</v>
      </c>
      <c r="AK15" s="69">
        <f>IF(AJ15&lt;0,IF(AJ15=AG15,AH15-$AD$2*AJ15,AI15-AJ15),AH15-$AD$2*AJ15/2)</f>
        <v>10.215</v>
      </c>
      <c r="AL15" s="47">
        <f>IF(AJ15&lt;0,VLOOKUP(AK15,TABLAS!$O$4:$P$13,1),AI15)</f>
        <v>10.18</v>
      </c>
      <c r="AM15" s="26">
        <f t="shared" si="35"/>
        <v>1.7050000000000001</v>
      </c>
      <c r="AN15" s="69">
        <f>IF(AM15&lt;0,IF(AM15=AJ15,AK15-$AD$2*AM15,AL15-AM15),AK15-$AD$2*AM15/2)</f>
        <v>8.9362499999999994</v>
      </c>
      <c r="AO15" s="47">
        <f>IF(AM15&lt;0,VLOOKUP(AN15,TABLAS!$O$4:$P$13,1),AL15)</f>
        <v>10.18</v>
      </c>
      <c r="AP15" s="26">
        <f t="shared" si="36"/>
        <v>1.7050000000000001</v>
      </c>
      <c r="AQ15" s="69">
        <f>IF(AP15&lt;0,IF(AP15=AM15,AN15-$AD$2*AP15,AO15-AP15),AN15-$AD$2*AP15/2)</f>
        <v>7.6574999999999989</v>
      </c>
      <c r="AR15" s="47">
        <f>IF(AP15&lt;0,VLOOKUP(AQ15,TABLAS!$O$4:$P$13,1),AO15)</f>
        <v>10.18</v>
      </c>
      <c r="AT15" s="90">
        <v>18</v>
      </c>
      <c r="AU15" s="26">
        <f>VLOOKUP(AT15,TABLAS!$R$4:$S$13,1,TRUE)</f>
        <v>18</v>
      </c>
      <c r="AV15" s="26">
        <f>VLOOKUP(AU15,TABLAS!$R$4:$S$13,2,TRUE)</f>
        <v>2.54</v>
      </c>
      <c r="AW15" s="26">
        <f t="shared" si="18"/>
        <v>2</v>
      </c>
    </row>
    <row r="16" spans="1:49" s="78" customFormat="1" x14ac:dyDescent="0.3">
      <c r="A16" s="78">
        <f>VLOOKUP(C16,'PIER-FORCES'!$A$3:$G$146,7,FALSE)</f>
        <v>103</v>
      </c>
      <c r="C16" s="72">
        <v>6</v>
      </c>
      <c r="D16" s="72" t="s">
        <v>146</v>
      </c>
      <c r="E16" s="72" t="s">
        <v>140</v>
      </c>
      <c r="F16" s="72" t="s">
        <v>87</v>
      </c>
      <c r="G16" s="72">
        <f>VLOOKUP(C16,TABLAS!$J$4:$M$26,2)</f>
        <v>35</v>
      </c>
      <c r="H16" s="72">
        <f>VLOOKUP(C16,TABLAS!$J$4:$M$27,3)</f>
        <v>25</v>
      </c>
      <c r="I16" s="72">
        <v>192</v>
      </c>
      <c r="J16" s="72">
        <v>230</v>
      </c>
      <c r="K16" s="79">
        <f>MAX(INDEX('PIER-FORCES'!$A$3:$G$146,A16,4),INDEX('PIER-FORCES'!$A$3:$G$146,A16+1,4),INDEX('PIER-FORCES'!$A$3:$G$146,A16+2,4))</f>
        <v>135.20509999999999</v>
      </c>
      <c r="L16" s="79">
        <f>INDEX('PIER-FORCES'!$A$3:$G$146,A17,5)</f>
        <v>0.34749999999999998</v>
      </c>
      <c r="M16" s="79">
        <f>INDEX('PIER-FORCES'!$A$3:$G$146,A17+1,5)</f>
        <v>0.30330000000000001</v>
      </c>
      <c r="N16" s="79">
        <f>INDEX('PIER-FORCES'!$A$3:$G$146,A17+2,5)</f>
        <v>5.6532</v>
      </c>
      <c r="O16" s="72" t="str">
        <f>'PLANILLAS EJE 15'!C576</f>
        <v>$\phi$12@14</v>
      </c>
      <c r="P16" s="72" t="str">
        <f>VLOOKUP(H16,TABLAS!$R$17:$S$19,2)</f>
        <v>$\phi$8@16</v>
      </c>
      <c r="Q16" s="72" t="str">
        <f>AW16&amp;"$\phi$"&amp;AU16</f>
        <v>2$\phi$16</v>
      </c>
      <c r="S16" s="80" t="str">
        <f t="shared" si="28"/>
        <v>EJE 15.C-C1 | PIER F31X | PISO 6</v>
      </c>
      <c r="T16" s="72">
        <f>'PLANILLAS EJE 15'!F36</f>
        <v>0</v>
      </c>
      <c r="U16" s="72">
        <f>'PLANILLAS EJE 15'!F37</f>
        <v>0</v>
      </c>
      <c r="V16" s="78">
        <f t="shared" si="29"/>
        <v>4800</v>
      </c>
      <c r="W16" s="81">
        <f>'PLANILLAS EJE 15'!C585</f>
        <v>6.4627048873847183E-3</v>
      </c>
      <c r="X16" s="81">
        <v>0.01</v>
      </c>
      <c r="Y16" s="78">
        <f t="shared" si="30"/>
        <v>19.200000000000003</v>
      </c>
      <c r="Z16" s="78">
        <f t="shared" si="31"/>
        <v>4.8000000000000007</v>
      </c>
      <c r="AA16" s="78" t="str">
        <f>"$\phi$"&amp;VLOOKUP(AO16,TABLAS!$O$4:$P$13,2)</f>
        <v>$\phi$25</v>
      </c>
      <c r="AC16" s="78">
        <f>VLOOKUP(Z16,TABLAS!$O$4:$P$13,1)</f>
        <v>3.8</v>
      </c>
      <c r="AD16" s="78">
        <f t="shared" si="32"/>
        <v>-1.0000000000000009</v>
      </c>
      <c r="AE16" s="78">
        <f t="shared" si="33"/>
        <v>5.8000000000000016</v>
      </c>
      <c r="AF16" s="78">
        <f>IF(AD16&lt;0,VLOOKUP(AE16,TABLAS!$O$4:$P$13,1),AC16)</f>
        <v>4.91</v>
      </c>
      <c r="AG16" s="78">
        <f>AF16-$Z16</f>
        <v>0.10999999999999943</v>
      </c>
      <c r="AH16" s="82">
        <f>IF(AG16&lt;0,IF(AG16=AD16,AE16-$AD$2*AG16,AF16-AG16),AE16-$AD$2*AG16/2)</f>
        <v>5.717500000000002</v>
      </c>
      <c r="AI16" s="78">
        <f>IF(AG16&lt;0,VLOOKUP(AH16,TABLAS!$O$4:$P$13,1),AF16)</f>
        <v>4.91</v>
      </c>
      <c r="AJ16" s="78">
        <f t="shared" si="34"/>
        <v>0.10999999999999943</v>
      </c>
      <c r="AK16" s="82">
        <f>IF(AJ16&lt;0,IF(AJ16=AG16,AH16-$AD$2*AJ16,AI16-AJ16),AH16-$AD$2*AJ16/2)</f>
        <v>5.6350000000000025</v>
      </c>
      <c r="AL16" s="78">
        <f>IF(AJ16&lt;0,VLOOKUP(AK16,TABLAS!$O$4:$P$13,1),AI16)</f>
        <v>4.91</v>
      </c>
      <c r="AM16" s="78">
        <f t="shared" si="35"/>
        <v>0.10999999999999943</v>
      </c>
      <c r="AN16" s="82">
        <f>IF(AM16&lt;0,IF(AM16=AJ16,AK16-$AD$2*AM16,AL16-AM16),AK16-$AD$2*AM16/2)</f>
        <v>5.5525000000000029</v>
      </c>
      <c r="AO16" s="78">
        <f>IF(AM16&lt;0,VLOOKUP(AN16,TABLAS!$O$4:$P$13,1),AL16)</f>
        <v>4.91</v>
      </c>
      <c r="AP16" s="78">
        <f t="shared" si="36"/>
        <v>0.10999999999999943</v>
      </c>
      <c r="AQ16" s="82">
        <f>IF(AP16&lt;0,IF(AP16=AM16,AN16-$AD$2*AP16,AO16-AP16),AN16-$AD$2*AP16/2)</f>
        <v>5.4700000000000033</v>
      </c>
      <c r="AR16" s="78">
        <f>IF(AP16&lt;0,VLOOKUP(AQ16,TABLAS!$O$4:$P$13,1),AO16)</f>
        <v>4.91</v>
      </c>
      <c r="AT16" s="82">
        <v>16</v>
      </c>
      <c r="AU16" s="78">
        <f>VLOOKUP(AT16,TABLAS!$R$4:$S$13,1,TRUE)</f>
        <v>16</v>
      </c>
      <c r="AV16" s="78">
        <f>VLOOKUP(AU16,TABLAS!$R$4:$S$13,2,TRUE)</f>
        <v>2.0099999999999998</v>
      </c>
      <c r="AW16" s="26">
        <f t="shared" si="18"/>
        <v>2</v>
      </c>
    </row>
    <row r="17" spans="1:49" s="78" customFormat="1" x14ac:dyDescent="0.3">
      <c r="A17" s="78">
        <f>VLOOKUP(C17,'PIER-FORCES'!$A$3:$G$146,7,FALSE)</f>
        <v>103</v>
      </c>
      <c r="C17" s="72">
        <v>6</v>
      </c>
      <c r="D17" s="72" t="s">
        <v>147</v>
      </c>
      <c r="E17" s="72" t="s">
        <v>141</v>
      </c>
      <c r="F17" s="72" t="s">
        <v>87</v>
      </c>
      <c r="G17" s="72">
        <f>VLOOKUP(C17,TABLAS!$J$4:$M$26,2)</f>
        <v>35</v>
      </c>
      <c r="H17" s="72">
        <f>VLOOKUP(C17,TABLAS!$J$4:$M$27,3)</f>
        <v>25</v>
      </c>
      <c r="I17" s="72">
        <v>339</v>
      </c>
      <c r="J17" s="72">
        <v>230</v>
      </c>
      <c r="K17" s="79">
        <f>MAX(INDEX('PIER-FORCES'!$A$3:$G$146,A17+3,4),INDEX('PIER-FORCES'!$A$3:$G$146,A17+4,4),INDEX('PIER-FORCES'!$A$3:$G$146,A17+5,4))</f>
        <v>207.7003</v>
      </c>
      <c r="L17" s="79">
        <f>INDEX('PIER-FORCES'!$A$3:$G$146,A17+3,5)</f>
        <v>2.4681999999999999</v>
      </c>
      <c r="M17" s="79">
        <f>INDEX('PIER-FORCES'!$A$3:$G$146,A17+4,5)</f>
        <v>5.33E-2</v>
      </c>
      <c r="N17" s="79">
        <f>INDEX('PIER-FORCES'!$A$3:$G$146,A17+5,5)</f>
        <v>22.086600000000001</v>
      </c>
      <c r="O17" s="72" t="str">
        <f>'PLANILLAS EJE 15'!C622</f>
        <v>$\phi$10@14</v>
      </c>
      <c r="P17" s="72" t="str">
        <f>VLOOKUP(H17,TABLAS!$R$17:$S$19,2)</f>
        <v>$\phi$8@16</v>
      </c>
      <c r="Q17" s="72" t="str">
        <f>AW17&amp;"$\phi$"&amp;AU17</f>
        <v>2$\phi$18</v>
      </c>
      <c r="S17" s="80" t="str">
        <f t="shared" si="28"/>
        <v>EJE 15.G-L | PIER F33X | PISO 6</v>
      </c>
      <c r="T17" s="72">
        <f>'PLANILLAS EJE 15'!F37</f>
        <v>0</v>
      </c>
      <c r="U17" s="72">
        <f>'PLANILLAS EJE 15'!F38</f>
        <v>0</v>
      </c>
      <c r="V17" s="78">
        <f t="shared" si="29"/>
        <v>8475</v>
      </c>
      <c r="W17" s="81">
        <f>'PLANILLAS EJE 15'!C631</f>
        <v>4.4879895051282755E-3</v>
      </c>
      <c r="X17" s="81">
        <v>0.01</v>
      </c>
      <c r="Y17" s="78">
        <f t="shared" si="30"/>
        <v>33.9</v>
      </c>
      <c r="Z17" s="78">
        <f t="shared" si="31"/>
        <v>8.4749999999999996</v>
      </c>
      <c r="AA17" s="78" t="str">
        <f>"$\phi$"&amp;VLOOKUP(AO17,TABLAS!$O$4:$P$13,2)</f>
        <v>$\phi$36</v>
      </c>
      <c r="AC17" s="78">
        <f>VLOOKUP(Z17,TABLAS!$O$4:$P$13,1)</f>
        <v>8.0399999999999991</v>
      </c>
      <c r="AD17" s="78">
        <f t="shared" si="32"/>
        <v>-0.4350000000000005</v>
      </c>
      <c r="AE17" s="78">
        <f t="shared" si="33"/>
        <v>8.91</v>
      </c>
      <c r="AF17" s="78">
        <f>IF(AD17&lt;0,VLOOKUP(AE17,TABLAS!$O$4:$P$13,1),AC17)</f>
        <v>8.0399999999999991</v>
      </c>
      <c r="AG17" s="78">
        <f>AF17-$Z17</f>
        <v>-0.4350000000000005</v>
      </c>
      <c r="AH17" s="82">
        <f>IF(AG17&lt;0,IF(AG17=AD17,AE17-$AD$2*AG17,AF17-AG17),AE17-$AD$2*AG17/2)</f>
        <v>9.5625</v>
      </c>
      <c r="AI17" s="78">
        <f>IF(AG17&lt;0,VLOOKUP(AH17,TABLAS!$O$4:$P$13,1),AF17)</f>
        <v>8.0399999999999991</v>
      </c>
      <c r="AJ17" s="78">
        <f t="shared" si="34"/>
        <v>-0.4350000000000005</v>
      </c>
      <c r="AK17" s="82">
        <f>IF(AJ17&lt;0,IF(AJ17=AG17,AH17-$AD$2*AJ17,AI17-AJ17),AH17-$AD$2*AJ17/2)</f>
        <v>10.215</v>
      </c>
      <c r="AL17" s="78">
        <f>IF(AJ17&lt;0,VLOOKUP(AK17,TABLAS!$O$4:$P$13,1),AI17)</f>
        <v>10.18</v>
      </c>
      <c r="AM17" s="78">
        <f t="shared" si="35"/>
        <v>1.7050000000000001</v>
      </c>
      <c r="AN17" s="82">
        <f>IF(AM17&lt;0,IF(AM17=AJ17,AK17-$AD$2*AM17,AL17-AM17),AK17-$AD$2*AM17/2)</f>
        <v>8.9362499999999994</v>
      </c>
      <c r="AO17" s="78">
        <f>IF(AM17&lt;0,VLOOKUP(AN17,TABLAS!$O$4:$P$13,1),AL17)</f>
        <v>10.18</v>
      </c>
      <c r="AP17" s="78">
        <f t="shared" si="36"/>
        <v>1.7050000000000001</v>
      </c>
      <c r="AQ17" s="82">
        <f>IF(AP17&lt;0,IF(AP17=AM17,AN17-$AD$2*AP17,AO17-AP17),AN17-$AD$2*AP17/2)</f>
        <v>7.6574999999999989</v>
      </c>
      <c r="AR17" s="78">
        <f>IF(AP17&lt;0,VLOOKUP(AQ17,TABLAS!$O$4:$P$13,1),AO17)</f>
        <v>10.18</v>
      </c>
      <c r="AT17" s="82">
        <v>18</v>
      </c>
      <c r="AU17" s="78">
        <f>VLOOKUP(AT17,TABLAS!$R$4:$S$13,1,TRUE)</f>
        <v>18</v>
      </c>
      <c r="AV17" s="78">
        <f>VLOOKUP(AU17,TABLAS!$R$4:$S$13,2,TRUE)</f>
        <v>2.54</v>
      </c>
      <c r="AW17" s="26">
        <f t="shared" si="18"/>
        <v>2</v>
      </c>
    </row>
    <row r="18" spans="1:49" x14ac:dyDescent="0.3">
      <c r="A18" s="78">
        <f>VLOOKUP(C18,'PIER-FORCES'!$A$3:$G$146,7,FALSE)</f>
        <v>97</v>
      </c>
      <c r="C18" s="24">
        <v>7</v>
      </c>
      <c r="D18" s="24" t="s">
        <v>146</v>
      </c>
      <c r="E18" s="24" t="s">
        <v>140</v>
      </c>
      <c r="F18" s="24" t="s">
        <v>87</v>
      </c>
      <c r="G18" s="24">
        <f>VLOOKUP(C18,TABLAS!$J$4:$M$26,2)</f>
        <v>35</v>
      </c>
      <c r="H18" s="24">
        <f>VLOOKUP(C18,TABLAS!$J$4:$M$27,3)</f>
        <v>25</v>
      </c>
      <c r="I18" s="24">
        <v>192</v>
      </c>
      <c r="J18" s="24">
        <v>230</v>
      </c>
      <c r="K18" s="73">
        <f>MAX(INDEX('PIER-FORCES'!$A$3:$G$146,A18,4),INDEX('PIER-FORCES'!$A$3:$G$146,A18+1,4),INDEX('PIER-FORCES'!$A$3:$G$146,A18+2,4))</f>
        <v>127.2414</v>
      </c>
      <c r="L18" s="73">
        <f>INDEX('PIER-FORCES'!$A$3:$G$146,A19,5)</f>
        <v>0.4108</v>
      </c>
      <c r="M18" s="73">
        <f>INDEX('PIER-FORCES'!$A$3:$G$146,A19+1,5)</f>
        <v>0.28470000000000001</v>
      </c>
      <c r="N18" s="88">
        <f>INDEX('PIER-FORCES'!$A$3:$G$146,A19+2,5)</f>
        <v>5.3425000000000002</v>
      </c>
      <c r="O18" s="67" t="str">
        <f>'PLANILLAS EJE 15'!C668</f>
        <v>$\phi$12@14</v>
      </c>
      <c r="P18" s="67" t="str">
        <f>VLOOKUP(H18,TABLAS!$R$17:$S$19,2)</f>
        <v>$\phi$8@16</v>
      </c>
      <c r="Q18" s="67" t="str">
        <f>AW18&amp;"$\phi$"&amp;AU18</f>
        <v>2$\phi$16</v>
      </c>
      <c r="R18" s="87"/>
      <c r="S18" s="89" t="str">
        <f t="shared" si="28"/>
        <v>EJE 15.C-C1 | PIER F31X | PISO 7</v>
      </c>
      <c r="T18" s="67">
        <f>'PLANILLAS EJE 15'!F38</f>
        <v>0</v>
      </c>
      <c r="U18" s="67">
        <f>'PLANILLAS EJE 15'!F39</f>
        <v>0</v>
      </c>
      <c r="V18" s="87">
        <f t="shared" si="29"/>
        <v>4800</v>
      </c>
      <c r="W18" s="66">
        <f>'PLANILLAS EJE 15'!C677</f>
        <v>6.4627048873847183E-3</v>
      </c>
      <c r="X18" s="66">
        <v>0.01</v>
      </c>
      <c r="Y18" s="26">
        <f t="shared" si="30"/>
        <v>19.200000000000003</v>
      </c>
      <c r="Z18" s="26">
        <f t="shared" si="31"/>
        <v>4.8000000000000007</v>
      </c>
      <c r="AA18" s="26" t="str">
        <f>"$\phi$"&amp;VLOOKUP(AO18,TABLAS!$O$4:$P$13,2)</f>
        <v>$\phi$25</v>
      </c>
      <c r="AC18" s="47">
        <f>VLOOKUP(Z18,TABLAS!$O$4:$P$13,1)</f>
        <v>3.8</v>
      </c>
      <c r="AD18" s="26">
        <f t="shared" si="32"/>
        <v>-1.0000000000000009</v>
      </c>
      <c r="AE18" s="26">
        <f t="shared" si="33"/>
        <v>5.8000000000000016</v>
      </c>
      <c r="AF18" s="47">
        <f>IF(AD18&lt;0,VLOOKUP(AE18,TABLAS!$O$4:$P$13,1),AC18)</f>
        <v>4.91</v>
      </c>
      <c r="AG18" s="26">
        <f>AF18-$Z18</f>
        <v>0.10999999999999943</v>
      </c>
      <c r="AH18" s="69">
        <f>IF(AG18&lt;0,IF(AG18=AD18,AE18-$AD$2*AG18,AF18-AG18),AE18-$AD$2*AG18/2)</f>
        <v>5.717500000000002</v>
      </c>
      <c r="AI18" s="47">
        <f>IF(AG18&lt;0,VLOOKUP(AH18,TABLAS!$O$4:$P$13,1),AF18)</f>
        <v>4.91</v>
      </c>
      <c r="AJ18" s="26">
        <f t="shared" si="34"/>
        <v>0.10999999999999943</v>
      </c>
      <c r="AK18" s="69">
        <f>IF(AJ18&lt;0,IF(AJ18=AG18,AH18-$AD$2*AJ18,AI18-AJ18),AH18-$AD$2*AJ18/2)</f>
        <v>5.6350000000000025</v>
      </c>
      <c r="AL18" s="47">
        <f>IF(AJ18&lt;0,VLOOKUP(AK18,TABLAS!$O$4:$P$13,1),AI18)</f>
        <v>4.91</v>
      </c>
      <c r="AM18" s="26">
        <f t="shared" si="35"/>
        <v>0.10999999999999943</v>
      </c>
      <c r="AN18" s="69">
        <f>IF(AM18&lt;0,IF(AM18=AJ18,AK18-$AD$2*AM18,AL18-AM18),AK18-$AD$2*AM18/2)</f>
        <v>5.5525000000000029</v>
      </c>
      <c r="AO18" s="47">
        <f>IF(AM18&lt;0,VLOOKUP(AN18,TABLAS!$O$4:$P$13,1),AL18)</f>
        <v>4.91</v>
      </c>
      <c r="AP18" s="26">
        <f t="shared" si="36"/>
        <v>0.10999999999999943</v>
      </c>
      <c r="AQ18" s="69">
        <f>IF(AP18&lt;0,IF(AP18=AM18,AN18-$AD$2*AP18,AO18-AP18),AN18-$AD$2*AP18/2)</f>
        <v>5.4700000000000033</v>
      </c>
      <c r="AR18" s="47">
        <f>IF(AP18&lt;0,VLOOKUP(AQ18,TABLAS!$O$4:$P$13,1),AO18)</f>
        <v>4.91</v>
      </c>
      <c r="AT18" s="90">
        <v>16</v>
      </c>
      <c r="AU18" s="26">
        <f>VLOOKUP(AT18,TABLAS!$R$4:$S$13,1,TRUE)</f>
        <v>16</v>
      </c>
      <c r="AV18" s="26">
        <f>VLOOKUP(AU18,TABLAS!$R$4:$S$13,2,TRUE)</f>
        <v>2.0099999999999998</v>
      </c>
      <c r="AW18" s="26">
        <f t="shared" si="18"/>
        <v>2</v>
      </c>
    </row>
    <row r="19" spans="1:49" x14ac:dyDescent="0.3">
      <c r="A19" s="78">
        <f>VLOOKUP(C19,'PIER-FORCES'!$A$3:$G$146,7,FALSE)</f>
        <v>97</v>
      </c>
      <c r="C19" s="24">
        <v>7</v>
      </c>
      <c r="D19" s="24" t="s">
        <v>147</v>
      </c>
      <c r="E19" s="24" t="s">
        <v>141</v>
      </c>
      <c r="F19" s="24" t="s">
        <v>87</v>
      </c>
      <c r="G19" s="24">
        <f>VLOOKUP(C19,TABLAS!$J$4:$M$26,2)</f>
        <v>35</v>
      </c>
      <c r="H19" s="24">
        <f>VLOOKUP(C19,TABLAS!$J$4:$M$27,3)</f>
        <v>25</v>
      </c>
      <c r="I19" s="24">
        <v>339</v>
      </c>
      <c r="J19" s="24">
        <v>230</v>
      </c>
      <c r="K19" s="73">
        <f>MAX(INDEX('PIER-FORCES'!$A$3:$G$146,A19+3,4),INDEX('PIER-FORCES'!$A$3:$G$146,A19+4,4),INDEX('PIER-FORCES'!$A$3:$G$146,A19+5,4))</f>
        <v>195.94139999999999</v>
      </c>
      <c r="L19" s="73">
        <f>INDEX('PIER-FORCES'!$A$3:$G$146,A19+3,5)</f>
        <v>2.6036000000000001</v>
      </c>
      <c r="M19" s="73">
        <f>INDEX('PIER-FORCES'!$A$3:$G$146,A19+4,5)</f>
        <v>4.48E-2</v>
      </c>
      <c r="N19" s="88">
        <f>INDEX('PIER-FORCES'!$A$3:$G$146,A19+5,5)</f>
        <v>20.064599999999999</v>
      </c>
      <c r="O19" s="67" t="str">
        <f>'PLANILLAS EJE 15'!C714</f>
        <v>$\phi$10@14</v>
      </c>
      <c r="P19" s="67" t="str">
        <f>VLOOKUP(H19,TABLAS!$R$17:$S$19,2)</f>
        <v>$\phi$8@16</v>
      </c>
      <c r="Q19" s="67" t="str">
        <f>AW19&amp;"$\phi$"&amp;AU19</f>
        <v>2$\phi$18</v>
      </c>
      <c r="R19" s="87"/>
      <c r="S19" s="89" t="str">
        <f t="shared" si="28"/>
        <v>EJE 15.G-L | PIER F33X | PISO 7</v>
      </c>
      <c r="T19" s="67">
        <f>'PLANILLAS EJE 15'!F39</f>
        <v>0</v>
      </c>
      <c r="U19" s="67">
        <f>'PLANILLAS EJE 15'!F40</f>
        <v>0</v>
      </c>
      <c r="V19" s="87">
        <f t="shared" si="29"/>
        <v>8475</v>
      </c>
      <c r="W19" s="66">
        <f>'PLANILLAS EJE 15'!C723</f>
        <v>4.4879895051282755E-3</v>
      </c>
      <c r="X19" s="66">
        <v>0.01</v>
      </c>
      <c r="Y19" s="26">
        <f t="shared" si="30"/>
        <v>33.9</v>
      </c>
      <c r="Z19" s="26">
        <f t="shared" si="31"/>
        <v>8.4749999999999996</v>
      </c>
      <c r="AA19" s="26" t="str">
        <f>"$\phi$"&amp;VLOOKUP(AO19,TABLAS!$O$4:$P$13,2)</f>
        <v>$\phi$36</v>
      </c>
      <c r="AC19" s="47">
        <f>VLOOKUP(Z19,TABLAS!$O$4:$P$13,1)</f>
        <v>8.0399999999999991</v>
      </c>
      <c r="AD19" s="26">
        <f t="shared" si="32"/>
        <v>-0.4350000000000005</v>
      </c>
      <c r="AE19" s="26">
        <f t="shared" si="33"/>
        <v>8.91</v>
      </c>
      <c r="AF19" s="47">
        <f>IF(AD19&lt;0,VLOOKUP(AE19,TABLAS!$O$4:$P$13,1),AC19)</f>
        <v>8.0399999999999991</v>
      </c>
      <c r="AG19" s="26">
        <f>AF19-$Z19</f>
        <v>-0.4350000000000005</v>
      </c>
      <c r="AH19" s="69">
        <f>IF(AG19&lt;0,IF(AG19=AD19,AE19-$AD$2*AG19,AF19-AG19),AE19-$AD$2*AG19/2)</f>
        <v>9.5625</v>
      </c>
      <c r="AI19" s="47">
        <f>IF(AG19&lt;0,VLOOKUP(AH19,TABLAS!$O$4:$P$13,1),AF19)</f>
        <v>8.0399999999999991</v>
      </c>
      <c r="AJ19" s="26">
        <f t="shared" si="34"/>
        <v>-0.4350000000000005</v>
      </c>
      <c r="AK19" s="69">
        <f>IF(AJ19&lt;0,IF(AJ19=AG19,AH19-$AD$2*AJ19,AI19-AJ19),AH19-$AD$2*AJ19/2)</f>
        <v>10.215</v>
      </c>
      <c r="AL19" s="47">
        <f>IF(AJ19&lt;0,VLOOKUP(AK19,TABLAS!$O$4:$P$13,1),AI19)</f>
        <v>10.18</v>
      </c>
      <c r="AM19" s="26">
        <f t="shared" si="35"/>
        <v>1.7050000000000001</v>
      </c>
      <c r="AN19" s="69">
        <f>IF(AM19&lt;0,IF(AM19=AJ19,AK19-$AD$2*AM19,AL19-AM19),AK19-$AD$2*AM19/2)</f>
        <v>8.9362499999999994</v>
      </c>
      <c r="AO19" s="47">
        <f>IF(AM19&lt;0,VLOOKUP(AN19,TABLAS!$O$4:$P$13,1),AL19)</f>
        <v>10.18</v>
      </c>
      <c r="AP19" s="26">
        <f t="shared" si="36"/>
        <v>1.7050000000000001</v>
      </c>
      <c r="AQ19" s="69">
        <f>IF(AP19&lt;0,IF(AP19=AM19,AN19-$AD$2*AP19,AO19-AP19),AN19-$AD$2*AP19/2)</f>
        <v>7.6574999999999989</v>
      </c>
      <c r="AR19" s="47">
        <f>IF(AP19&lt;0,VLOOKUP(AQ19,TABLAS!$O$4:$P$13,1),AO19)</f>
        <v>10.18</v>
      </c>
      <c r="AT19" s="90">
        <v>18</v>
      </c>
      <c r="AU19" s="26">
        <f>VLOOKUP(AT19,TABLAS!$R$4:$S$13,1,TRUE)</f>
        <v>18</v>
      </c>
      <c r="AV19" s="26">
        <f>VLOOKUP(AU19,TABLAS!$R$4:$S$13,2,TRUE)</f>
        <v>2.54</v>
      </c>
      <c r="AW19" s="26">
        <f t="shared" si="18"/>
        <v>2</v>
      </c>
    </row>
    <row r="20" spans="1:49" s="78" customFormat="1" x14ac:dyDescent="0.3">
      <c r="A20" s="78">
        <f>VLOOKUP(C20,'PIER-FORCES'!$A$3:$G$146,7,FALSE)</f>
        <v>91</v>
      </c>
      <c r="C20" s="72">
        <v>8</v>
      </c>
      <c r="D20" s="72" t="s">
        <v>146</v>
      </c>
      <c r="E20" s="72" t="s">
        <v>140</v>
      </c>
      <c r="F20" s="72" t="s">
        <v>87</v>
      </c>
      <c r="G20" s="72">
        <f>VLOOKUP(C20,TABLAS!$J$4:$M$26,2)</f>
        <v>30</v>
      </c>
      <c r="H20" s="72">
        <f>VLOOKUP(C20,TABLAS!$J$4:$M$27,3)</f>
        <v>25</v>
      </c>
      <c r="I20" s="72">
        <v>192</v>
      </c>
      <c r="J20" s="72">
        <v>230</v>
      </c>
      <c r="K20" s="79">
        <f>MAX(INDEX('PIER-FORCES'!$A$3:$G$146,A20,4),INDEX('PIER-FORCES'!$A$3:$G$146,A20+1,4),INDEX('PIER-FORCES'!$A$3:$G$146,A20+2,4))</f>
        <v>119.26819999999999</v>
      </c>
      <c r="L20" s="79">
        <f>INDEX('PIER-FORCES'!$A$3:$G$146,A21,5)</f>
        <v>0.35399999999999998</v>
      </c>
      <c r="M20" s="79">
        <f>INDEX('PIER-FORCES'!$A$3:$G$146,A21+1,5)</f>
        <v>0.27889999999999998</v>
      </c>
      <c r="N20" s="79">
        <f>INDEX('PIER-FORCES'!$A$3:$G$146,A21+2,5)</f>
        <v>6.1189</v>
      </c>
      <c r="O20" s="72" t="str">
        <f>'PLANILLAS EJE 15'!C760</f>
        <v>$\phi$12@14</v>
      </c>
      <c r="P20" s="72" t="str">
        <f>VLOOKUP(H20,TABLAS!$R$17:$S$19,2)</f>
        <v>$\phi$8@16</v>
      </c>
      <c r="Q20" s="72" t="str">
        <f>AW20&amp;"$\phi$"&amp;AU20</f>
        <v>2$\phi$16</v>
      </c>
      <c r="S20" s="80" t="str">
        <f t="shared" si="28"/>
        <v>EJE 15.C-C1 | PIER F31X | PISO 8</v>
      </c>
      <c r="T20" s="72">
        <f>'PLANILLAS EJE 15'!F40</f>
        <v>0</v>
      </c>
      <c r="U20" s="72">
        <f>'PLANILLAS EJE 15'!F41</f>
        <v>0</v>
      </c>
      <c r="V20" s="78">
        <f t="shared" si="29"/>
        <v>4800</v>
      </c>
      <c r="W20" s="81">
        <f>'PLANILLAS EJE 15'!C769</f>
        <v>6.4627048873847183E-3</v>
      </c>
      <c r="X20" s="81">
        <v>0.01</v>
      </c>
      <c r="Y20" s="78">
        <f t="shared" si="30"/>
        <v>19.200000000000003</v>
      </c>
      <c r="Z20" s="78">
        <f t="shared" si="31"/>
        <v>4.8000000000000007</v>
      </c>
      <c r="AA20" s="78" t="str">
        <f>"$\phi$"&amp;VLOOKUP(AO20,TABLAS!$O$4:$P$13,2)</f>
        <v>$\phi$25</v>
      </c>
      <c r="AC20" s="78">
        <f>VLOOKUP(Z20,TABLAS!$O$4:$P$13,1)</f>
        <v>3.8</v>
      </c>
      <c r="AD20" s="78">
        <f t="shared" si="32"/>
        <v>-1.0000000000000009</v>
      </c>
      <c r="AE20" s="78">
        <f t="shared" si="33"/>
        <v>5.8000000000000016</v>
      </c>
      <c r="AF20" s="78">
        <f>IF(AD20&lt;0,VLOOKUP(AE20,TABLAS!$O$4:$P$13,1),AC20)</f>
        <v>4.91</v>
      </c>
      <c r="AG20" s="78">
        <f>AF20-$Z20</f>
        <v>0.10999999999999943</v>
      </c>
      <c r="AH20" s="82">
        <f>IF(AG20&lt;0,IF(AG20=AD20,AE20-$AD$2*AG20,AF20-AG20),AE20-$AD$2*AG20/2)</f>
        <v>5.717500000000002</v>
      </c>
      <c r="AI20" s="78">
        <f>IF(AG20&lt;0,VLOOKUP(AH20,TABLAS!$O$4:$P$13,1),AF20)</f>
        <v>4.91</v>
      </c>
      <c r="AJ20" s="78">
        <f t="shared" si="34"/>
        <v>0.10999999999999943</v>
      </c>
      <c r="AK20" s="82">
        <f>IF(AJ20&lt;0,IF(AJ20=AG20,AH20-$AD$2*AJ20,AI20-AJ20),AH20-$AD$2*AJ20/2)</f>
        <v>5.6350000000000025</v>
      </c>
      <c r="AL20" s="78">
        <f>IF(AJ20&lt;0,VLOOKUP(AK20,TABLAS!$O$4:$P$13,1),AI20)</f>
        <v>4.91</v>
      </c>
      <c r="AM20" s="78">
        <f t="shared" si="35"/>
        <v>0.10999999999999943</v>
      </c>
      <c r="AN20" s="82">
        <f>IF(AM20&lt;0,IF(AM20=AJ20,AK20-$AD$2*AM20,AL20-AM20),AK20-$AD$2*AM20/2)</f>
        <v>5.5525000000000029</v>
      </c>
      <c r="AO20" s="78">
        <f>IF(AM20&lt;0,VLOOKUP(AN20,TABLAS!$O$4:$P$13,1),AL20)</f>
        <v>4.91</v>
      </c>
      <c r="AP20" s="78">
        <f t="shared" si="36"/>
        <v>0.10999999999999943</v>
      </c>
      <c r="AQ20" s="82">
        <f>IF(AP20&lt;0,IF(AP20=AM20,AN20-$AD$2*AP20,AO20-AP20),AN20-$AD$2*AP20/2)</f>
        <v>5.4700000000000033</v>
      </c>
      <c r="AR20" s="78">
        <f>IF(AP20&lt;0,VLOOKUP(AQ20,TABLAS!$O$4:$P$13,1),AO20)</f>
        <v>4.91</v>
      </c>
      <c r="AT20" s="82">
        <v>16</v>
      </c>
      <c r="AU20" s="78">
        <f>VLOOKUP(AT20,TABLAS!$R$4:$S$13,1,TRUE)</f>
        <v>16</v>
      </c>
      <c r="AV20" s="78">
        <f>VLOOKUP(AU20,TABLAS!$R$4:$S$13,2,TRUE)</f>
        <v>2.0099999999999998</v>
      </c>
      <c r="AW20" s="26">
        <f t="shared" si="18"/>
        <v>2</v>
      </c>
    </row>
    <row r="21" spans="1:49" s="78" customFormat="1" x14ac:dyDescent="0.3">
      <c r="A21" s="78">
        <f>VLOOKUP(C21,'PIER-FORCES'!$A$3:$G$146,7,FALSE)</f>
        <v>91</v>
      </c>
      <c r="C21" s="72">
        <v>8</v>
      </c>
      <c r="D21" s="72" t="s">
        <v>147</v>
      </c>
      <c r="E21" s="72" t="s">
        <v>141</v>
      </c>
      <c r="F21" s="72" t="s">
        <v>87</v>
      </c>
      <c r="G21" s="72">
        <f>VLOOKUP(C21,TABLAS!$J$4:$M$26,2)</f>
        <v>30</v>
      </c>
      <c r="H21" s="72">
        <f>VLOOKUP(C21,TABLAS!$J$4:$M$27,3)</f>
        <v>25</v>
      </c>
      <c r="I21" s="72">
        <v>339</v>
      </c>
      <c r="J21" s="72">
        <v>230</v>
      </c>
      <c r="K21" s="79">
        <f>MAX(INDEX('PIER-FORCES'!$A$3:$G$146,A21+3,4),INDEX('PIER-FORCES'!$A$3:$G$146,A21+4,4),INDEX('PIER-FORCES'!$A$3:$G$146,A21+5,4))</f>
        <v>184.03370000000001</v>
      </c>
      <c r="L21" s="79">
        <f>INDEX('PIER-FORCES'!$A$3:$G$146,A21+3,5)</f>
        <v>2.5177</v>
      </c>
      <c r="M21" s="79">
        <f>INDEX('PIER-FORCES'!$A$3:$G$146,A21+4,5)</f>
        <v>3.5000000000000003E-2</v>
      </c>
      <c r="N21" s="79">
        <f>INDEX('PIER-FORCES'!$A$3:$G$146,A21+5,5)</f>
        <v>20.196000000000002</v>
      </c>
      <c r="O21" s="72" t="str">
        <f>'PLANILLAS EJE 15'!C806</f>
        <v>$\phi$10@14</v>
      </c>
      <c r="P21" s="72" t="str">
        <f>VLOOKUP(H21,TABLAS!$R$17:$S$19,2)</f>
        <v>$\phi$8@16</v>
      </c>
      <c r="Q21" s="72" t="str">
        <f>AW21&amp;"$\phi$"&amp;AU21</f>
        <v>2$\phi$18</v>
      </c>
      <c r="S21" s="80" t="str">
        <f t="shared" si="28"/>
        <v>EJE 15.G-L | PIER F33X | PISO 8</v>
      </c>
      <c r="T21" s="72">
        <f>'PLANILLAS EJE 15'!F41</f>
        <v>0</v>
      </c>
      <c r="U21" s="72">
        <f>'PLANILLAS EJE 15'!F42</f>
        <v>0</v>
      </c>
      <c r="V21" s="78">
        <f t="shared" si="29"/>
        <v>8475</v>
      </c>
      <c r="W21" s="81">
        <f>'PLANILLAS EJE 15'!C815</f>
        <v>4.4879895051282755E-3</v>
      </c>
      <c r="X21" s="81">
        <v>0.01</v>
      </c>
      <c r="Y21" s="78">
        <f t="shared" si="30"/>
        <v>33.9</v>
      </c>
      <c r="Z21" s="78">
        <f t="shared" si="31"/>
        <v>8.4749999999999996</v>
      </c>
      <c r="AA21" s="78" t="str">
        <f>"$\phi$"&amp;VLOOKUP(AO21,TABLAS!$O$4:$P$13,2)</f>
        <v>$\phi$36</v>
      </c>
      <c r="AC21" s="78">
        <f>VLOOKUP(Z21,TABLAS!$O$4:$P$13,1)</f>
        <v>8.0399999999999991</v>
      </c>
      <c r="AD21" s="78">
        <f t="shared" si="32"/>
        <v>-0.4350000000000005</v>
      </c>
      <c r="AE21" s="78">
        <f t="shared" si="33"/>
        <v>8.91</v>
      </c>
      <c r="AF21" s="78">
        <f>IF(AD21&lt;0,VLOOKUP(AE21,TABLAS!$O$4:$P$13,1),AC21)</f>
        <v>8.0399999999999991</v>
      </c>
      <c r="AG21" s="78">
        <f>AF21-$Z21</f>
        <v>-0.4350000000000005</v>
      </c>
      <c r="AH21" s="82">
        <f>IF(AG21&lt;0,IF(AG21=AD21,AE21-$AD$2*AG21,AF21-AG21),AE21-$AD$2*AG21/2)</f>
        <v>9.5625</v>
      </c>
      <c r="AI21" s="78">
        <f>IF(AG21&lt;0,VLOOKUP(AH21,TABLAS!$O$4:$P$13,1),AF21)</f>
        <v>8.0399999999999991</v>
      </c>
      <c r="AJ21" s="78">
        <f t="shared" si="34"/>
        <v>-0.4350000000000005</v>
      </c>
      <c r="AK21" s="82">
        <f>IF(AJ21&lt;0,IF(AJ21=AG21,AH21-$AD$2*AJ21,AI21-AJ21),AH21-$AD$2*AJ21/2)</f>
        <v>10.215</v>
      </c>
      <c r="AL21" s="78">
        <f>IF(AJ21&lt;0,VLOOKUP(AK21,TABLAS!$O$4:$P$13,1),AI21)</f>
        <v>10.18</v>
      </c>
      <c r="AM21" s="78">
        <f t="shared" si="35"/>
        <v>1.7050000000000001</v>
      </c>
      <c r="AN21" s="82">
        <f>IF(AM21&lt;0,IF(AM21=AJ21,AK21-$AD$2*AM21,AL21-AM21),AK21-$AD$2*AM21/2)</f>
        <v>8.9362499999999994</v>
      </c>
      <c r="AO21" s="78">
        <f>IF(AM21&lt;0,VLOOKUP(AN21,TABLAS!$O$4:$P$13,1),AL21)</f>
        <v>10.18</v>
      </c>
      <c r="AP21" s="78">
        <f t="shared" si="36"/>
        <v>1.7050000000000001</v>
      </c>
      <c r="AQ21" s="82">
        <f>IF(AP21&lt;0,IF(AP21=AM21,AN21-$AD$2*AP21,AO21-AP21),AN21-$AD$2*AP21/2)</f>
        <v>7.6574999999999989</v>
      </c>
      <c r="AR21" s="78">
        <f>IF(AP21&lt;0,VLOOKUP(AQ21,TABLAS!$O$4:$P$13,1),AO21)</f>
        <v>10.18</v>
      </c>
      <c r="AT21" s="82">
        <v>18</v>
      </c>
      <c r="AU21" s="78">
        <f>VLOOKUP(AT21,TABLAS!$R$4:$S$13,1,TRUE)</f>
        <v>18</v>
      </c>
      <c r="AV21" s="78">
        <f>VLOOKUP(AU21,TABLAS!$R$4:$S$13,2,TRUE)</f>
        <v>2.54</v>
      </c>
      <c r="AW21" s="26">
        <f t="shared" si="18"/>
        <v>2</v>
      </c>
    </row>
    <row r="22" spans="1:49" x14ac:dyDescent="0.3">
      <c r="A22" s="78">
        <f>VLOOKUP(C22,'PIER-FORCES'!$A$3:$G$146,7,FALSE)</f>
        <v>85</v>
      </c>
      <c r="C22" s="24">
        <v>9</v>
      </c>
      <c r="D22" s="24" t="s">
        <v>146</v>
      </c>
      <c r="E22" s="24" t="s">
        <v>140</v>
      </c>
      <c r="F22" s="24" t="s">
        <v>87</v>
      </c>
      <c r="G22" s="24">
        <f>VLOOKUP(C22,TABLAS!$J$4:$M$26,2)</f>
        <v>30</v>
      </c>
      <c r="H22" s="24">
        <f>VLOOKUP(C22,TABLAS!$J$4:$M$27,3)</f>
        <v>25</v>
      </c>
      <c r="I22" s="24">
        <v>192</v>
      </c>
      <c r="J22" s="24">
        <v>230</v>
      </c>
      <c r="K22" s="73">
        <f>MAX(INDEX('PIER-FORCES'!$A$3:$G$146,A22,4),INDEX('PIER-FORCES'!$A$3:$G$146,A22+1,4),INDEX('PIER-FORCES'!$A$3:$G$146,A22+2,4))</f>
        <v>111.27679999999999</v>
      </c>
      <c r="L22" s="73">
        <f>INDEX('PIER-FORCES'!$A$3:$G$146,A23,5)</f>
        <v>0.3508</v>
      </c>
      <c r="M22" s="73">
        <f>INDEX('PIER-FORCES'!$A$3:$G$146,A23+1,5)</f>
        <v>0.28370000000000001</v>
      </c>
      <c r="N22" s="88">
        <f>INDEX('PIER-FORCES'!$A$3:$G$146,A23+2,5)</f>
        <v>5.6401000000000003</v>
      </c>
      <c r="O22" s="67" t="str">
        <f>'PLANILLAS EJE 15'!C852</f>
        <v>$\phi$12@14</v>
      </c>
      <c r="P22" s="67" t="str">
        <f>VLOOKUP(H22,TABLAS!$R$17:$S$19,2)</f>
        <v>$\phi$8@16</v>
      </c>
      <c r="Q22" s="67" t="str">
        <f>AW22&amp;"$\phi$"&amp;AU22</f>
        <v>2$\phi$16</v>
      </c>
      <c r="R22" s="87"/>
      <c r="S22" s="89" t="str">
        <f t="shared" si="28"/>
        <v>EJE 15.C-C1 | PIER F31X | PISO 9</v>
      </c>
      <c r="T22" s="67">
        <f>'PLANILLAS EJE 15'!F42</f>
        <v>0</v>
      </c>
      <c r="U22" s="67">
        <f>'PLANILLAS EJE 15'!F43</f>
        <v>0</v>
      </c>
      <c r="V22" s="87">
        <f t="shared" si="29"/>
        <v>4800</v>
      </c>
      <c r="W22" s="66">
        <f>'PLANILLAS EJE 15'!C861</f>
        <v>6.4627048873847183E-3</v>
      </c>
      <c r="X22" s="66">
        <v>0.01</v>
      </c>
      <c r="Y22" s="26">
        <f t="shared" si="30"/>
        <v>19.200000000000003</v>
      </c>
      <c r="Z22" s="26">
        <f t="shared" si="31"/>
        <v>4.8000000000000007</v>
      </c>
      <c r="AA22" s="26" t="str">
        <f>"$\phi$"&amp;VLOOKUP(AO22,TABLAS!$O$4:$P$13,2)</f>
        <v>$\phi$25</v>
      </c>
      <c r="AC22" s="47">
        <f>VLOOKUP(Z22,TABLAS!$O$4:$P$13,1)</f>
        <v>3.8</v>
      </c>
      <c r="AD22" s="26">
        <f t="shared" si="32"/>
        <v>-1.0000000000000009</v>
      </c>
      <c r="AE22" s="26">
        <f t="shared" si="33"/>
        <v>5.8000000000000016</v>
      </c>
      <c r="AF22" s="47">
        <f>IF(AD22&lt;0,VLOOKUP(AE22,TABLAS!$O$4:$P$13,1),AC22)</f>
        <v>4.91</v>
      </c>
      <c r="AG22" s="26">
        <f>AF22-$Z22</f>
        <v>0.10999999999999943</v>
      </c>
      <c r="AH22" s="69">
        <f>IF(AG22&lt;0,IF(AG22=AD22,AE22-$AD$2*AG22,AF22-AG22),AE22-$AD$2*AG22/2)</f>
        <v>5.717500000000002</v>
      </c>
      <c r="AI22" s="47">
        <f>IF(AG22&lt;0,VLOOKUP(AH22,TABLAS!$O$4:$P$13,1),AF22)</f>
        <v>4.91</v>
      </c>
      <c r="AJ22" s="26">
        <f t="shared" si="34"/>
        <v>0.10999999999999943</v>
      </c>
      <c r="AK22" s="69">
        <f>IF(AJ22&lt;0,IF(AJ22=AG22,AH22-$AD$2*AJ22,AI22-AJ22),AH22-$AD$2*AJ22/2)</f>
        <v>5.6350000000000025</v>
      </c>
      <c r="AL22" s="47">
        <f>IF(AJ22&lt;0,VLOOKUP(AK22,TABLAS!$O$4:$P$13,1),AI22)</f>
        <v>4.91</v>
      </c>
      <c r="AM22" s="26">
        <f t="shared" si="35"/>
        <v>0.10999999999999943</v>
      </c>
      <c r="AN22" s="69">
        <f>IF(AM22&lt;0,IF(AM22=AJ22,AK22-$AD$2*AM22,AL22-AM22),AK22-$AD$2*AM22/2)</f>
        <v>5.5525000000000029</v>
      </c>
      <c r="AO22" s="47">
        <f>IF(AM22&lt;0,VLOOKUP(AN22,TABLAS!$O$4:$P$13,1),AL22)</f>
        <v>4.91</v>
      </c>
      <c r="AP22" s="26">
        <f t="shared" si="36"/>
        <v>0.10999999999999943</v>
      </c>
      <c r="AQ22" s="69">
        <f>IF(AP22&lt;0,IF(AP22=AM22,AN22-$AD$2*AP22,AO22-AP22),AN22-$AD$2*AP22/2)</f>
        <v>5.4700000000000033</v>
      </c>
      <c r="AR22" s="47">
        <f>IF(AP22&lt;0,VLOOKUP(AQ22,TABLAS!$O$4:$P$13,1),AO22)</f>
        <v>4.91</v>
      </c>
      <c r="AT22" s="90">
        <v>16</v>
      </c>
      <c r="AU22" s="26">
        <f>VLOOKUP(AT22,TABLAS!$R$4:$S$13,1,TRUE)</f>
        <v>16</v>
      </c>
      <c r="AV22" s="26">
        <f>VLOOKUP(AU22,TABLAS!$R$4:$S$13,2,TRUE)</f>
        <v>2.0099999999999998</v>
      </c>
      <c r="AW22" s="26">
        <f t="shared" si="18"/>
        <v>2</v>
      </c>
    </row>
    <row r="23" spans="1:49" x14ac:dyDescent="0.3">
      <c r="A23" s="78">
        <f>VLOOKUP(C23,'PIER-FORCES'!$A$3:$G$146,7,FALSE)</f>
        <v>85</v>
      </c>
      <c r="C23" s="24">
        <v>9</v>
      </c>
      <c r="D23" s="24" t="s">
        <v>147</v>
      </c>
      <c r="E23" s="24" t="s">
        <v>141</v>
      </c>
      <c r="F23" s="24" t="s">
        <v>87</v>
      </c>
      <c r="G23" s="24">
        <f>VLOOKUP(C23,TABLAS!$J$4:$M$26,2)</f>
        <v>30</v>
      </c>
      <c r="H23" s="24">
        <f>VLOOKUP(C23,TABLAS!$J$4:$M$27,3)</f>
        <v>25</v>
      </c>
      <c r="I23" s="24">
        <v>339</v>
      </c>
      <c r="J23" s="24">
        <v>230</v>
      </c>
      <c r="K23" s="73">
        <f>MAX(INDEX('PIER-FORCES'!$A$3:$G$146,A23+3,4),INDEX('PIER-FORCES'!$A$3:$G$146,A23+4,4),INDEX('PIER-FORCES'!$A$3:$G$146,A23+5,4))</f>
        <v>171.91839999999999</v>
      </c>
      <c r="L23" s="73">
        <f>INDEX('PIER-FORCES'!$A$3:$G$146,A23+3,5)</f>
        <v>2.5295999999999998</v>
      </c>
      <c r="M23" s="73">
        <f>INDEX('PIER-FORCES'!$A$3:$G$146,A23+4,5)</f>
        <v>1.37E-2</v>
      </c>
      <c r="N23" s="88">
        <f>INDEX('PIER-FORCES'!$A$3:$G$146,A23+5,5)</f>
        <v>18.364899999999999</v>
      </c>
      <c r="O23" s="67" t="str">
        <f>'PLANILLAS EJE 15'!C806</f>
        <v>$\phi$10@14</v>
      </c>
      <c r="P23" s="67" t="str">
        <f>VLOOKUP(H23,TABLAS!$R$17:$S$19,2)</f>
        <v>$\phi$8@16</v>
      </c>
      <c r="Q23" s="67" t="str">
        <f>AW23&amp;"$\phi$"&amp;AU23</f>
        <v>2$\phi$18</v>
      </c>
      <c r="R23" s="87"/>
      <c r="S23" s="89" t="str">
        <f t="shared" si="28"/>
        <v>EJE 15.G-L | PIER F33X | PISO 9</v>
      </c>
      <c r="T23" s="67">
        <f>'PLANILLAS EJE 15'!F43</f>
        <v>0</v>
      </c>
      <c r="U23" s="67">
        <f>'PLANILLAS EJE 15'!F44</f>
        <v>0</v>
      </c>
      <c r="V23" s="87">
        <f t="shared" si="29"/>
        <v>8475</v>
      </c>
      <c r="W23" s="66">
        <f>'PLANILLAS EJE 15'!S861</f>
        <v>6.4627048873847175E-3</v>
      </c>
      <c r="X23" s="66">
        <v>0.01</v>
      </c>
      <c r="Y23" s="26">
        <f t="shared" si="30"/>
        <v>33.9</v>
      </c>
      <c r="Z23" s="26">
        <f t="shared" si="31"/>
        <v>8.4749999999999996</v>
      </c>
      <c r="AA23" s="26" t="str">
        <f>"$\phi$"&amp;VLOOKUP(AO23,TABLAS!$O$4:$P$13,2)</f>
        <v>$\phi$36</v>
      </c>
      <c r="AC23" s="47">
        <f>VLOOKUP(Z23,TABLAS!$O$4:$P$13,1)</f>
        <v>8.0399999999999991</v>
      </c>
      <c r="AD23" s="26">
        <f t="shared" si="32"/>
        <v>-0.4350000000000005</v>
      </c>
      <c r="AE23" s="26">
        <f t="shared" si="33"/>
        <v>8.91</v>
      </c>
      <c r="AF23" s="47">
        <f>IF(AD23&lt;0,VLOOKUP(AE23,TABLAS!$O$4:$P$13,1),AC23)</f>
        <v>8.0399999999999991</v>
      </c>
      <c r="AG23" s="26">
        <f>AF23-$Z23</f>
        <v>-0.4350000000000005</v>
      </c>
      <c r="AH23" s="69">
        <f>IF(AG23&lt;0,IF(AG23=AD23,AE23-$AD$2*AG23,AF23-AG23),AE23-$AD$2*AG23/2)</f>
        <v>9.5625</v>
      </c>
      <c r="AI23" s="47">
        <f>IF(AG23&lt;0,VLOOKUP(AH23,TABLAS!$O$4:$P$13,1),AF23)</f>
        <v>8.0399999999999991</v>
      </c>
      <c r="AJ23" s="26">
        <f t="shared" si="34"/>
        <v>-0.4350000000000005</v>
      </c>
      <c r="AK23" s="69">
        <f>IF(AJ23&lt;0,IF(AJ23=AG23,AH23-$AD$2*AJ23,AI23-AJ23),AH23-$AD$2*AJ23/2)</f>
        <v>10.215</v>
      </c>
      <c r="AL23" s="47">
        <f>IF(AJ23&lt;0,VLOOKUP(AK23,TABLAS!$O$4:$P$13,1),AI23)</f>
        <v>10.18</v>
      </c>
      <c r="AM23" s="26">
        <f t="shared" si="35"/>
        <v>1.7050000000000001</v>
      </c>
      <c r="AN23" s="69">
        <f>IF(AM23&lt;0,IF(AM23=AJ23,AK23-$AD$2*AM23,AL23-AM23),AK23-$AD$2*AM23/2)</f>
        <v>8.9362499999999994</v>
      </c>
      <c r="AO23" s="47">
        <f>IF(AM23&lt;0,VLOOKUP(AN23,TABLAS!$O$4:$P$13,1),AL23)</f>
        <v>10.18</v>
      </c>
      <c r="AP23" s="26">
        <f t="shared" si="36"/>
        <v>1.7050000000000001</v>
      </c>
      <c r="AQ23" s="69">
        <f>IF(AP23&lt;0,IF(AP23=AM23,AN23-$AD$2*AP23,AO23-AP23),AN23-$AD$2*AP23/2)</f>
        <v>7.6574999999999989</v>
      </c>
      <c r="AR23" s="47">
        <f>IF(AP23&lt;0,VLOOKUP(AQ23,TABLAS!$O$4:$P$13,1),AO23)</f>
        <v>10.18</v>
      </c>
      <c r="AT23" s="90">
        <v>18</v>
      </c>
      <c r="AU23" s="26">
        <f>VLOOKUP(AT23,TABLAS!$R$4:$S$13,1,TRUE)</f>
        <v>18</v>
      </c>
      <c r="AV23" s="26">
        <f>VLOOKUP(AU23,TABLAS!$R$4:$S$13,2,TRUE)</f>
        <v>2.54</v>
      </c>
      <c r="AW23" s="26">
        <f t="shared" si="18"/>
        <v>2</v>
      </c>
    </row>
    <row r="24" spans="1:49" s="78" customFormat="1" x14ac:dyDescent="0.3">
      <c r="A24" s="78">
        <f>VLOOKUP(C24,'PIER-FORCES'!$A$3:$G$146,7,FALSE)</f>
        <v>79</v>
      </c>
      <c r="C24" s="72">
        <v>10</v>
      </c>
      <c r="D24" s="72" t="s">
        <v>146</v>
      </c>
      <c r="E24" s="72" t="s">
        <v>140</v>
      </c>
      <c r="F24" s="72" t="s">
        <v>87</v>
      </c>
      <c r="G24" s="72">
        <f>VLOOKUP(C24,TABLAS!$J$4:$M$26,2)</f>
        <v>30</v>
      </c>
      <c r="H24" s="72">
        <f>VLOOKUP(C24,TABLAS!$J$4:$M$27,3)</f>
        <v>25</v>
      </c>
      <c r="I24" s="72">
        <v>192</v>
      </c>
      <c r="J24" s="72">
        <v>230</v>
      </c>
      <c r="K24" s="79">
        <f>MAX(INDEX('PIER-FORCES'!$A$3:$G$146,A24,4),INDEX('PIER-FORCES'!$A$3:$G$146,A24+1,4),INDEX('PIER-FORCES'!$A$3:$G$146,A24+2,4))</f>
        <v>103.3145</v>
      </c>
      <c r="L24" s="79">
        <f>INDEX('PIER-FORCES'!$A$3:$G$146,A25,5)</f>
        <v>0.35670000000000002</v>
      </c>
      <c r="M24" s="79">
        <f>INDEX('PIER-FORCES'!$A$3:$G$146,A25+1,5)</f>
        <v>0.27939999999999998</v>
      </c>
      <c r="N24" s="79">
        <f>INDEX('PIER-FORCES'!$A$3:$G$146,A25+2,5)</f>
        <v>5.5582000000000003</v>
      </c>
      <c r="O24" s="72" t="str">
        <f>'PLANILLAS EJE 15'!C898</f>
        <v>$\phi$10@14</v>
      </c>
      <c r="P24" s="72" t="str">
        <f>VLOOKUP(H24,TABLAS!$R$17:$S$19,2)</f>
        <v>$\phi$8@16</v>
      </c>
      <c r="Q24" s="72" t="str">
        <f>AW24&amp;"$\phi$"&amp;AU24</f>
        <v>2$\phi$16</v>
      </c>
      <c r="S24" s="80" t="str">
        <f t="shared" si="28"/>
        <v>EJE 15.C-C1 | PIER F31X | PISO 10</v>
      </c>
      <c r="T24" s="72">
        <f>'PLANILLAS EJE 15'!F44</f>
        <v>0</v>
      </c>
      <c r="U24" s="72">
        <f>'PLANILLAS EJE 15'!F45</f>
        <v>0</v>
      </c>
      <c r="V24" s="78">
        <f t="shared" si="29"/>
        <v>4800</v>
      </c>
      <c r="W24" s="81">
        <f>'PLANILLAS EJE 15'!C907</f>
        <v>4.4879895051282755E-3</v>
      </c>
      <c r="X24" s="81">
        <v>0.01</v>
      </c>
      <c r="Y24" s="78">
        <f t="shared" si="30"/>
        <v>19.200000000000003</v>
      </c>
      <c r="Z24" s="78">
        <f t="shared" si="31"/>
        <v>4.8000000000000007</v>
      </c>
      <c r="AA24" s="78" t="str">
        <f>"$\phi$"&amp;VLOOKUP(AO24,TABLAS!$O$4:$P$13,2)</f>
        <v>$\phi$25</v>
      </c>
      <c r="AC24" s="78">
        <f>VLOOKUP(Z24,TABLAS!$O$4:$P$13,1)</f>
        <v>3.8</v>
      </c>
      <c r="AD24" s="78">
        <f t="shared" si="32"/>
        <v>-1.0000000000000009</v>
      </c>
      <c r="AE24" s="78">
        <f t="shared" si="33"/>
        <v>5.8000000000000016</v>
      </c>
      <c r="AF24" s="78">
        <f>IF(AD24&lt;0,VLOOKUP(AE24,TABLAS!$O$4:$P$13,1),AC24)</f>
        <v>4.91</v>
      </c>
      <c r="AG24" s="78">
        <f>AF24-$Z24</f>
        <v>0.10999999999999943</v>
      </c>
      <c r="AH24" s="82">
        <f>IF(AG24&lt;0,IF(AG24=AD24,AE24-$AD$2*AG24,AF24-AG24),AE24-$AD$2*AG24/2)</f>
        <v>5.717500000000002</v>
      </c>
      <c r="AI24" s="78">
        <f>IF(AG24&lt;0,VLOOKUP(AH24,TABLAS!$O$4:$P$13,1),AF24)</f>
        <v>4.91</v>
      </c>
      <c r="AJ24" s="78">
        <f t="shared" si="34"/>
        <v>0.10999999999999943</v>
      </c>
      <c r="AK24" s="82">
        <f>IF(AJ24&lt;0,IF(AJ24=AG24,AH24-$AD$2*AJ24,AI24-AJ24),AH24-$AD$2*AJ24/2)</f>
        <v>5.6350000000000025</v>
      </c>
      <c r="AL24" s="78">
        <f>IF(AJ24&lt;0,VLOOKUP(AK24,TABLAS!$O$4:$P$13,1),AI24)</f>
        <v>4.91</v>
      </c>
      <c r="AM24" s="78">
        <f t="shared" si="35"/>
        <v>0.10999999999999943</v>
      </c>
      <c r="AN24" s="82">
        <f>IF(AM24&lt;0,IF(AM24=AJ24,AK24-$AD$2*AM24,AL24-AM24),AK24-$AD$2*AM24/2)</f>
        <v>5.5525000000000029</v>
      </c>
      <c r="AO24" s="78">
        <f>IF(AM24&lt;0,VLOOKUP(AN24,TABLAS!$O$4:$P$13,1),AL24)</f>
        <v>4.91</v>
      </c>
      <c r="AP24" s="78">
        <f t="shared" si="36"/>
        <v>0.10999999999999943</v>
      </c>
      <c r="AQ24" s="82">
        <f>IF(AP24&lt;0,IF(AP24=AM24,AN24-$AD$2*AP24,AO24-AP24),AN24-$AD$2*AP24/2)</f>
        <v>5.4700000000000033</v>
      </c>
      <c r="AR24" s="78">
        <f>IF(AP24&lt;0,VLOOKUP(AQ24,TABLAS!$O$4:$P$13,1),AO24)</f>
        <v>4.91</v>
      </c>
      <c r="AT24" s="82">
        <v>16</v>
      </c>
      <c r="AU24" s="78">
        <f>VLOOKUP(AT24,TABLAS!$R$4:$S$13,1,TRUE)</f>
        <v>16</v>
      </c>
      <c r="AV24" s="78">
        <f>VLOOKUP(AU24,TABLAS!$R$4:$S$13,2,TRUE)</f>
        <v>2.0099999999999998</v>
      </c>
      <c r="AW24" s="26">
        <f t="shared" si="18"/>
        <v>2</v>
      </c>
    </row>
    <row r="25" spans="1:49" s="78" customFormat="1" x14ac:dyDescent="0.3">
      <c r="A25" s="78">
        <f>VLOOKUP(C25,'PIER-FORCES'!$A$3:$G$146,7,FALSE)</f>
        <v>79</v>
      </c>
      <c r="C25" s="72">
        <v>10</v>
      </c>
      <c r="D25" s="72" t="s">
        <v>147</v>
      </c>
      <c r="E25" s="72" t="s">
        <v>141</v>
      </c>
      <c r="F25" s="72" t="s">
        <v>87</v>
      </c>
      <c r="G25" s="72">
        <f>VLOOKUP(C25,TABLAS!$J$4:$M$26,2)</f>
        <v>30</v>
      </c>
      <c r="H25" s="72">
        <f>VLOOKUP(C25,TABLAS!$J$4:$M$27,3)</f>
        <v>25</v>
      </c>
      <c r="I25" s="72">
        <v>339</v>
      </c>
      <c r="J25" s="72">
        <v>230</v>
      </c>
      <c r="K25" s="79">
        <f>MAX(INDEX('PIER-FORCES'!$A$3:$G$146,A25+3,4),INDEX('PIER-FORCES'!$A$3:$G$146,A25+4,4),INDEX('PIER-FORCES'!$A$3:$G$146,A25+5,4))</f>
        <v>159.75399999999999</v>
      </c>
      <c r="L25" s="79">
        <f>INDEX('PIER-FORCES'!$A$3:$G$146,A25+3,5)</f>
        <v>2.5272000000000001</v>
      </c>
      <c r="M25" s="79">
        <f>INDEX('PIER-FORCES'!$A$3:$G$146,A25+4,5)</f>
        <v>2.8E-3</v>
      </c>
      <c r="N25" s="79">
        <f>INDEX('PIER-FORCES'!$A$3:$G$146,A25+5,5)</f>
        <v>16.808</v>
      </c>
      <c r="O25" s="72" t="str">
        <f>'PLANILLAS EJE 15'!C944</f>
        <v>$\phi$10@14</v>
      </c>
      <c r="P25" s="72" t="str">
        <f>VLOOKUP(H25,TABLAS!$R$17:$S$19,2)</f>
        <v>$\phi$8@16</v>
      </c>
      <c r="Q25" s="72" t="str">
        <f>AW25&amp;"$\phi$"&amp;AU25</f>
        <v>2$\phi$18</v>
      </c>
      <c r="S25" s="80" t="str">
        <f t="shared" si="28"/>
        <v>EJE 15.G-L | PIER F33X | PISO 10</v>
      </c>
      <c r="T25" s="72">
        <f>'PLANILLAS EJE 15'!F45</f>
        <v>0</v>
      </c>
      <c r="U25" s="72">
        <f>'PLANILLAS EJE 15'!F46</f>
        <v>0</v>
      </c>
      <c r="V25" s="78">
        <f t="shared" si="29"/>
        <v>8475</v>
      </c>
      <c r="W25" s="81">
        <f>'PLANILLAS EJE 15'!C953</f>
        <v>4.4879895051282755E-3</v>
      </c>
      <c r="X25" s="81">
        <v>0.01</v>
      </c>
      <c r="Y25" s="78">
        <f t="shared" si="30"/>
        <v>33.9</v>
      </c>
      <c r="Z25" s="78">
        <f t="shared" si="31"/>
        <v>8.4749999999999996</v>
      </c>
      <c r="AA25" s="78" t="str">
        <f>"$\phi$"&amp;VLOOKUP(AO25,TABLAS!$O$4:$P$13,2)</f>
        <v>$\phi$36</v>
      </c>
      <c r="AC25" s="78">
        <f>VLOOKUP(Z25,TABLAS!$O$4:$P$13,1)</f>
        <v>8.0399999999999991</v>
      </c>
      <c r="AD25" s="78">
        <f t="shared" si="32"/>
        <v>-0.4350000000000005</v>
      </c>
      <c r="AE25" s="78">
        <f t="shared" si="33"/>
        <v>8.91</v>
      </c>
      <c r="AF25" s="78">
        <f>IF(AD25&lt;0,VLOOKUP(AE25,TABLAS!$O$4:$P$13,1),AC25)</f>
        <v>8.0399999999999991</v>
      </c>
      <c r="AG25" s="78">
        <f>AF25-$Z25</f>
        <v>-0.4350000000000005</v>
      </c>
      <c r="AH25" s="82">
        <f>IF(AG25&lt;0,IF(AG25=AD25,AE25-$AD$2*AG25,AF25-AG25),AE25-$AD$2*AG25/2)</f>
        <v>9.5625</v>
      </c>
      <c r="AI25" s="78">
        <f>IF(AG25&lt;0,VLOOKUP(AH25,TABLAS!$O$4:$P$13,1),AF25)</f>
        <v>8.0399999999999991</v>
      </c>
      <c r="AJ25" s="78">
        <f t="shared" si="34"/>
        <v>-0.4350000000000005</v>
      </c>
      <c r="AK25" s="82">
        <f>IF(AJ25&lt;0,IF(AJ25=AG25,AH25-$AD$2*AJ25,AI25-AJ25),AH25-$AD$2*AJ25/2)</f>
        <v>10.215</v>
      </c>
      <c r="AL25" s="78">
        <f>IF(AJ25&lt;0,VLOOKUP(AK25,TABLAS!$O$4:$P$13,1),AI25)</f>
        <v>10.18</v>
      </c>
      <c r="AM25" s="78">
        <f t="shared" si="35"/>
        <v>1.7050000000000001</v>
      </c>
      <c r="AN25" s="82">
        <f>IF(AM25&lt;0,IF(AM25=AJ25,AK25-$AD$2*AM25,AL25-AM25),AK25-$AD$2*AM25/2)</f>
        <v>8.9362499999999994</v>
      </c>
      <c r="AO25" s="78">
        <f>IF(AM25&lt;0,VLOOKUP(AN25,TABLAS!$O$4:$P$13,1),AL25)</f>
        <v>10.18</v>
      </c>
      <c r="AP25" s="78">
        <f t="shared" si="36"/>
        <v>1.7050000000000001</v>
      </c>
      <c r="AQ25" s="82">
        <f>IF(AP25&lt;0,IF(AP25=AM25,AN25-$AD$2*AP25,AO25-AP25),AN25-$AD$2*AP25/2)</f>
        <v>7.6574999999999989</v>
      </c>
      <c r="AR25" s="78">
        <f>IF(AP25&lt;0,VLOOKUP(AQ25,TABLAS!$O$4:$P$13,1),AO25)</f>
        <v>10.18</v>
      </c>
      <c r="AT25" s="82">
        <v>18</v>
      </c>
      <c r="AU25" s="78">
        <f>VLOOKUP(AT25,TABLAS!$R$4:$S$13,1,TRUE)</f>
        <v>18</v>
      </c>
      <c r="AV25" s="78">
        <f>VLOOKUP(AU25,TABLAS!$R$4:$S$13,2,TRUE)</f>
        <v>2.54</v>
      </c>
      <c r="AW25" s="26">
        <f t="shared" si="18"/>
        <v>2</v>
      </c>
    </row>
    <row r="26" spans="1:49" x14ac:dyDescent="0.3">
      <c r="A26" s="78">
        <f>VLOOKUP(C26,'PIER-FORCES'!$A$3:$G$146,7,FALSE)</f>
        <v>73</v>
      </c>
      <c r="C26" s="24">
        <v>11</v>
      </c>
      <c r="D26" s="24" t="s">
        <v>146</v>
      </c>
      <c r="E26" s="24" t="s">
        <v>140</v>
      </c>
      <c r="F26" s="24" t="s">
        <v>87</v>
      </c>
      <c r="G26" s="24">
        <f>VLOOKUP(C26,TABLAS!$J$4:$M$26,2)</f>
        <v>30</v>
      </c>
      <c r="H26" s="24">
        <f>VLOOKUP(C26,TABLAS!$J$4:$M$27,3)</f>
        <v>25</v>
      </c>
      <c r="I26" s="24">
        <v>192</v>
      </c>
      <c r="J26" s="24">
        <v>230</v>
      </c>
      <c r="K26" s="73">
        <f>MAX(INDEX('PIER-FORCES'!$A$3:$G$146,A26,4),INDEX('PIER-FORCES'!$A$3:$G$146,A26+1,4),INDEX('PIER-FORCES'!$A$3:$G$146,A26+2,4))</f>
        <v>95.382499999999993</v>
      </c>
      <c r="L26" s="73">
        <f>INDEX('PIER-FORCES'!$A$3:$G$146,A27,5)</f>
        <v>0.36720000000000003</v>
      </c>
      <c r="M26" s="73">
        <f>INDEX('PIER-FORCES'!$A$3:$G$146,A27+1,5)</f>
        <v>0.2752</v>
      </c>
      <c r="N26" s="73">
        <f>INDEX('PIER-FORCES'!$A$3:$G$146,A27+2,5)</f>
        <v>5.4409999999999998</v>
      </c>
      <c r="O26" s="86" t="str">
        <f>'PLANILLAS EJE 15'!C990</f>
        <v>$\phi$12@14</v>
      </c>
      <c r="P26" s="67" t="str">
        <f>VLOOKUP(H26,TABLAS!$R$17:$S$19,2)</f>
        <v>$\phi$8@16</v>
      </c>
      <c r="Q26" s="67" t="str">
        <f>AW26&amp;"$\phi$"&amp;AU26</f>
        <v>2$\phi$16</v>
      </c>
      <c r="R26" s="87"/>
      <c r="S26" s="89" t="str">
        <f t="shared" si="28"/>
        <v>EJE 15.C-C1 | PIER F31X | PISO 11</v>
      </c>
      <c r="T26" s="67">
        <f>'PLANILLAS EJE 15'!F46</f>
        <v>0</v>
      </c>
      <c r="U26" s="67">
        <f>'PLANILLAS EJE 15'!F47</f>
        <v>0</v>
      </c>
      <c r="V26" s="87">
        <f t="shared" si="29"/>
        <v>4800</v>
      </c>
      <c r="W26" s="66">
        <f>'PLANILLAS EJE 15'!C999</f>
        <v>6.4627048873847175E-3</v>
      </c>
      <c r="X26" s="66">
        <v>0.01</v>
      </c>
      <c r="Y26" s="26">
        <f t="shared" si="30"/>
        <v>19.200000000000003</v>
      </c>
      <c r="Z26" s="26">
        <f t="shared" si="31"/>
        <v>4.8000000000000007</v>
      </c>
      <c r="AA26" s="26" t="str">
        <f>"$\phi$"&amp;VLOOKUP(AO26,TABLAS!$O$4:$P$13,2)</f>
        <v>$\phi$25</v>
      </c>
      <c r="AC26" s="47">
        <f>VLOOKUP(Z26,TABLAS!$O$4:$P$13,1)</f>
        <v>3.8</v>
      </c>
      <c r="AD26" s="26">
        <f t="shared" si="32"/>
        <v>-1.0000000000000009</v>
      </c>
      <c r="AE26" s="26">
        <f t="shared" si="33"/>
        <v>5.8000000000000016</v>
      </c>
      <c r="AF26" s="47">
        <f>IF(AD26&lt;0,VLOOKUP(AE26,TABLAS!$O$4:$P$13,1),AC26)</f>
        <v>4.91</v>
      </c>
      <c r="AG26" s="26">
        <f>AF26-$Z26</f>
        <v>0.10999999999999943</v>
      </c>
      <c r="AH26" s="69">
        <f>IF(AG26&lt;0,IF(AG26=AD26,AE26-$AD$2*AG26,AF26-AG26),AE26-$AD$2*AG26/2)</f>
        <v>5.717500000000002</v>
      </c>
      <c r="AI26" s="47">
        <f>IF(AG26&lt;0,VLOOKUP(AH26,TABLAS!$O$4:$P$13,1),AF26)</f>
        <v>4.91</v>
      </c>
      <c r="AJ26" s="26">
        <f t="shared" si="34"/>
        <v>0.10999999999999943</v>
      </c>
      <c r="AK26" s="69">
        <f>IF(AJ26&lt;0,IF(AJ26=AG26,AH26-$AD$2*AJ26,AI26-AJ26),AH26-$AD$2*AJ26/2)</f>
        <v>5.6350000000000025</v>
      </c>
      <c r="AL26" s="47">
        <f>IF(AJ26&lt;0,VLOOKUP(AK26,TABLAS!$O$4:$P$13,1),AI26)</f>
        <v>4.91</v>
      </c>
      <c r="AM26" s="26">
        <f t="shared" si="35"/>
        <v>0.10999999999999943</v>
      </c>
      <c r="AN26" s="69">
        <f>IF(AM26&lt;0,IF(AM26=AJ26,AK26-$AD$2*AM26,AL26-AM26),AK26-$AD$2*AM26/2)</f>
        <v>5.5525000000000029</v>
      </c>
      <c r="AO26" s="47">
        <f>IF(AM26&lt;0,VLOOKUP(AN26,TABLAS!$O$4:$P$13,1),AL26)</f>
        <v>4.91</v>
      </c>
      <c r="AP26" s="26">
        <f t="shared" si="36"/>
        <v>0.10999999999999943</v>
      </c>
      <c r="AQ26" s="69">
        <f>IF(AP26&lt;0,IF(AP26=AM26,AN26-$AD$2*AP26,AO26-AP26),AN26-$AD$2*AP26/2)</f>
        <v>5.4700000000000033</v>
      </c>
      <c r="AR26" s="47">
        <f>IF(AP26&lt;0,VLOOKUP(AQ26,TABLAS!$O$4:$P$13,1),AO26)</f>
        <v>4.91</v>
      </c>
      <c r="AT26" s="90">
        <v>16</v>
      </c>
      <c r="AU26" s="26">
        <f>VLOOKUP(AT26,TABLAS!$R$4:$S$13,1,TRUE)</f>
        <v>16</v>
      </c>
      <c r="AV26" s="26">
        <f>VLOOKUP(AU26,TABLAS!$R$4:$S$13,2,TRUE)</f>
        <v>2.0099999999999998</v>
      </c>
      <c r="AW26" s="26">
        <f t="shared" si="18"/>
        <v>2</v>
      </c>
    </row>
    <row r="27" spans="1:49" x14ac:dyDescent="0.3">
      <c r="A27" s="78">
        <f>VLOOKUP(C27,'PIER-FORCES'!$A$3:$G$146,7,FALSE)</f>
        <v>73</v>
      </c>
      <c r="C27" s="24">
        <v>11</v>
      </c>
      <c r="D27" s="24" t="s">
        <v>147</v>
      </c>
      <c r="E27" s="24" t="s">
        <v>141</v>
      </c>
      <c r="F27" s="24" t="s">
        <v>87</v>
      </c>
      <c r="G27" s="24">
        <f>VLOOKUP(C27,TABLAS!$J$4:$M$26,2)</f>
        <v>30</v>
      </c>
      <c r="H27" s="24">
        <f>VLOOKUP(C27,TABLAS!$J$4:$M$27,3)</f>
        <v>25</v>
      </c>
      <c r="I27" s="24">
        <v>339</v>
      </c>
      <c r="J27" s="24">
        <v>230</v>
      </c>
      <c r="K27" s="73">
        <f>MAX(INDEX('PIER-FORCES'!$A$3:$G$146,A27+3,4),INDEX('PIER-FORCES'!$A$3:$G$146,A27+4,4),INDEX('PIER-FORCES'!$A$3:$G$146,A27+5,4))</f>
        <v>147.542</v>
      </c>
      <c r="L27" s="73">
        <f>INDEX('PIER-FORCES'!$A$3:$G$146,A27+3,5)</f>
        <v>2.5470000000000002</v>
      </c>
      <c r="M27" s="73">
        <f>INDEX('PIER-FORCES'!$A$3:$G$146,A27+4,5)</f>
        <v>1.7399999999999999E-2</v>
      </c>
      <c r="N27" s="73">
        <f>INDEX('PIER-FORCES'!$A$3:$G$146,A27+5,5)</f>
        <v>15.4078</v>
      </c>
      <c r="O27" s="67" t="str">
        <f>'PLANILLAS EJE 15'!C1036</f>
        <v>$\phi$10@14</v>
      </c>
      <c r="P27" s="67" t="str">
        <f>VLOOKUP(H27,TABLAS!$R$17:$S$19,2)</f>
        <v>$\phi$8@16</v>
      </c>
      <c r="Q27" s="67" t="str">
        <f>AW27&amp;"$\phi$"&amp;AU27</f>
        <v>2$\phi$18</v>
      </c>
      <c r="R27" s="87"/>
      <c r="S27" s="89" t="str">
        <f t="shared" si="28"/>
        <v>EJE 15.G-L | PIER F33X | PISO 11</v>
      </c>
      <c r="T27" s="67">
        <f>'PLANILLAS EJE 15'!F47</f>
        <v>0</v>
      </c>
      <c r="U27" s="67">
        <f>'PLANILLAS EJE 15'!F48</f>
        <v>0</v>
      </c>
      <c r="V27" s="87">
        <f t="shared" si="29"/>
        <v>8475</v>
      </c>
      <c r="W27" s="66">
        <f>'PLANILLAS EJE 15'!C1045</f>
        <v>4.4879895051282755E-3</v>
      </c>
      <c r="X27" s="66">
        <v>0.01</v>
      </c>
      <c r="Y27" s="26">
        <f t="shared" si="30"/>
        <v>33.9</v>
      </c>
      <c r="Z27" s="26">
        <f t="shared" si="31"/>
        <v>8.4749999999999996</v>
      </c>
      <c r="AA27" s="26" t="str">
        <f>"$\phi$"&amp;VLOOKUP(AO27,TABLAS!$O$4:$P$13,2)</f>
        <v>$\phi$36</v>
      </c>
      <c r="AC27" s="47">
        <f>VLOOKUP(Z27,TABLAS!$O$4:$P$13,1)</f>
        <v>8.0399999999999991</v>
      </c>
      <c r="AD27" s="26">
        <f t="shared" si="32"/>
        <v>-0.4350000000000005</v>
      </c>
      <c r="AE27" s="26">
        <f t="shared" si="33"/>
        <v>8.91</v>
      </c>
      <c r="AF27" s="47">
        <f>IF(AD27&lt;0,VLOOKUP(AE27,TABLAS!$O$4:$P$13,1),AC27)</f>
        <v>8.0399999999999991</v>
      </c>
      <c r="AG27" s="26">
        <f>AF27-$Z27</f>
        <v>-0.4350000000000005</v>
      </c>
      <c r="AH27" s="69">
        <f>IF(AG27&lt;0,IF(AG27=AD27,AE27-$AD$2*AG27,AF27-AG27),AE27-$AD$2*AG27/2)</f>
        <v>9.5625</v>
      </c>
      <c r="AI27" s="47">
        <f>IF(AG27&lt;0,VLOOKUP(AH27,TABLAS!$O$4:$P$13,1),AF27)</f>
        <v>8.0399999999999991</v>
      </c>
      <c r="AJ27" s="26">
        <f t="shared" si="34"/>
        <v>-0.4350000000000005</v>
      </c>
      <c r="AK27" s="69">
        <f>IF(AJ27&lt;0,IF(AJ27=AG27,AH27-$AD$2*AJ27,AI27-AJ27),AH27-$AD$2*AJ27/2)</f>
        <v>10.215</v>
      </c>
      <c r="AL27" s="47">
        <f>IF(AJ27&lt;0,VLOOKUP(AK27,TABLAS!$O$4:$P$13,1),AI27)</f>
        <v>10.18</v>
      </c>
      <c r="AM27" s="26">
        <f t="shared" si="35"/>
        <v>1.7050000000000001</v>
      </c>
      <c r="AN27" s="69">
        <f>IF(AM27&lt;0,IF(AM27=AJ27,AK27-$AD$2*AM27,AL27-AM27),AK27-$AD$2*AM27/2)</f>
        <v>8.9362499999999994</v>
      </c>
      <c r="AO27" s="47">
        <f>IF(AM27&lt;0,VLOOKUP(AN27,TABLAS!$O$4:$P$13,1),AL27)</f>
        <v>10.18</v>
      </c>
      <c r="AP27" s="26">
        <f t="shared" si="36"/>
        <v>1.7050000000000001</v>
      </c>
      <c r="AQ27" s="69">
        <f>IF(AP27&lt;0,IF(AP27=AM27,AN27-$AD$2*AP27,AO27-AP27),AN27-$AD$2*AP27/2)</f>
        <v>7.6574999999999989</v>
      </c>
      <c r="AR27" s="47">
        <f>IF(AP27&lt;0,VLOOKUP(AQ27,TABLAS!$O$4:$P$13,1),AO27)</f>
        <v>10.18</v>
      </c>
      <c r="AT27" s="90">
        <v>18</v>
      </c>
      <c r="AU27" s="26">
        <f>VLOOKUP(AT27,TABLAS!$R$4:$S$13,1,TRUE)</f>
        <v>18</v>
      </c>
      <c r="AV27" s="26">
        <f>VLOOKUP(AU27,TABLAS!$R$4:$S$13,2,TRUE)</f>
        <v>2.54</v>
      </c>
      <c r="AW27" s="26">
        <f t="shared" si="18"/>
        <v>2</v>
      </c>
    </row>
    <row r="28" spans="1:49" s="78" customFormat="1" x14ac:dyDescent="0.3">
      <c r="A28" s="78">
        <f>VLOOKUP(C28,'PIER-FORCES'!$A$3:$G$146,7,FALSE)</f>
        <v>67</v>
      </c>
      <c r="C28" s="72">
        <v>12</v>
      </c>
      <c r="D28" s="72" t="s">
        <v>146</v>
      </c>
      <c r="E28" s="72" t="s">
        <v>140</v>
      </c>
      <c r="F28" s="72" t="s">
        <v>87</v>
      </c>
      <c r="G28" s="72">
        <f>VLOOKUP(C28,TABLAS!$J$4:$M$26,2)</f>
        <v>30</v>
      </c>
      <c r="H28" s="72">
        <f>VLOOKUP(C28,TABLAS!$J$4:$M$27,3)</f>
        <v>25</v>
      </c>
      <c r="I28" s="72">
        <v>192</v>
      </c>
      <c r="J28" s="72">
        <v>230</v>
      </c>
      <c r="K28" s="79">
        <f>MAX(INDEX('PIER-FORCES'!$A$3:$G$146,A28,4),INDEX('PIER-FORCES'!$A$3:$G$146,A28+1,4),INDEX('PIER-FORCES'!$A$3:$G$146,A28+2,4))</f>
        <v>87.475800000000007</v>
      </c>
      <c r="L28" s="79">
        <f>INDEX('PIER-FORCES'!$A$3:$G$146,A29,5)</f>
        <v>0.35639999999999999</v>
      </c>
      <c r="M28" s="79">
        <f>INDEX('PIER-FORCES'!$A$3:$G$146,A29+1,5)</f>
        <v>0.27650000000000002</v>
      </c>
      <c r="N28" s="79">
        <f>INDEX('PIER-FORCES'!$A$3:$G$146,A29+2,5)</f>
        <v>5.4085999999999999</v>
      </c>
      <c r="O28" s="72" t="str">
        <f>'PLANILLAS EJE 15'!C1082</f>
        <v>$\phi$10@14</v>
      </c>
      <c r="P28" s="72" t="str">
        <f>VLOOKUP(H28,TABLAS!$R$17:$S$19,2)</f>
        <v>$\phi$8@16</v>
      </c>
      <c r="Q28" s="72" t="str">
        <f>AW28&amp;"$\phi$"&amp;AU28</f>
        <v>2$\phi$16</v>
      </c>
      <c r="S28" s="80" t="str">
        <f t="shared" si="28"/>
        <v>EJE 15.C-C1 | PIER F31X | PISO 12</v>
      </c>
      <c r="T28" s="72">
        <f>'PLANILLAS EJE 15'!F48</f>
        <v>0</v>
      </c>
      <c r="U28" s="72">
        <f>'PLANILLAS EJE 15'!F49</f>
        <v>0</v>
      </c>
      <c r="V28" s="78">
        <f t="shared" si="29"/>
        <v>4800</v>
      </c>
      <c r="W28" s="81">
        <f>'PLANILLAS EJE 15'!C1091</f>
        <v>4.4879895051282755E-3</v>
      </c>
      <c r="X28" s="81">
        <v>0.01</v>
      </c>
      <c r="Y28" s="78">
        <f t="shared" si="30"/>
        <v>19.200000000000003</v>
      </c>
      <c r="Z28" s="78">
        <f t="shared" si="31"/>
        <v>4.8000000000000007</v>
      </c>
      <c r="AA28" s="78" t="str">
        <f>"$\phi$"&amp;VLOOKUP(AO28,TABLAS!$O$4:$P$13,2)</f>
        <v>$\phi$25</v>
      </c>
      <c r="AC28" s="78">
        <f>VLOOKUP(Z28,TABLAS!$O$4:$P$13,1)</f>
        <v>3.8</v>
      </c>
      <c r="AD28" s="78">
        <f t="shared" si="32"/>
        <v>-1.0000000000000009</v>
      </c>
      <c r="AE28" s="78">
        <f t="shared" si="33"/>
        <v>5.8000000000000016</v>
      </c>
      <c r="AF28" s="78">
        <f>IF(AD28&lt;0,VLOOKUP(AE28,TABLAS!$O$4:$P$13,1),AC28)</f>
        <v>4.91</v>
      </c>
      <c r="AG28" s="78">
        <f>AF28-$Z28</f>
        <v>0.10999999999999943</v>
      </c>
      <c r="AH28" s="82">
        <f>IF(AG28&lt;0,IF(AG28=AD28,AE28-$AD$2*AG28,AF28-AG28),AE28-$AD$2*AG28/2)</f>
        <v>5.717500000000002</v>
      </c>
      <c r="AI28" s="78">
        <f>IF(AG28&lt;0,VLOOKUP(AH28,TABLAS!$O$4:$P$13,1),AF28)</f>
        <v>4.91</v>
      </c>
      <c r="AJ28" s="78">
        <f t="shared" si="34"/>
        <v>0.10999999999999943</v>
      </c>
      <c r="AK28" s="82">
        <f>IF(AJ28&lt;0,IF(AJ28=AG28,AH28-$AD$2*AJ28,AI28-AJ28),AH28-$AD$2*AJ28/2)</f>
        <v>5.6350000000000025</v>
      </c>
      <c r="AL28" s="78">
        <f>IF(AJ28&lt;0,VLOOKUP(AK28,TABLAS!$O$4:$P$13,1),AI28)</f>
        <v>4.91</v>
      </c>
      <c r="AM28" s="78">
        <f t="shared" si="35"/>
        <v>0.10999999999999943</v>
      </c>
      <c r="AN28" s="82">
        <f>IF(AM28&lt;0,IF(AM28=AJ28,AK28-$AD$2*AM28,AL28-AM28),AK28-$AD$2*AM28/2)</f>
        <v>5.5525000000000029</v>
      </c>
      <c r="AO28" s="78">
        <f>IF(AM28&lt;0,VLOOKUP(AN28,TABLAS!$O$4:$P$13,1),AL28)</f>
        <v>4.91</v>
      </c>
      <c r="AP28" s="78">
        <f t="shared" si="36"/>
        <v>0.10999999999999943</v>
      </c>
      <c r="AQ28" s="82">
        <f>IF(AP28&lt;0,IF(AP28=AM28,AN28-$AD$2*AP28,AO28-AP28),AN28-$AD$2*AP28/2)</f>
        <v>5.4700000000000033</v>
      </c>
      <c r="AR28" s="78">
        <f>IF(AP28&lt;0,VLOOKUP(AQ28,TABLAS!$O$4:$P$13,1),AO28)</f>
        <v>4.91</v>
      </c>
      <c r="AT28" s="82">
        <v>16</v>
      </c>
      <c r="AU28" s="78">
        <f>VLOOKUP(AT28,TABLAS!$R$4:$S$13,1,TRUE)</f>
        <v>16</v>
      </c>
      <c r="AV28" s="78">
        <f>VLOOKUP(AU28,TABLAS!$R$4:$S$13,2,TRUE)</f>
        <v>2.0099999999999998</v>
      </c>
      <c r="AW28" s="26">
        <f t="shared" si="18"/>
        <v>2</v>
      </c>
    </row>
    <row r="29" spans="1:49" s="78" customFormat="1" x14ac:dyDescent="0.3">
      <c r="A29" s="78">
        <f>VLOOKUP(C29,'PIER-FORCES'!$A$3:$G$146,7,FALSE)</f>
        <v>67</v>
      </c>
      <c r="C29" s="72">
        <v>12</v>
      </c>
      <c r="D29" s="72" t="s">
        <v>147</v>
      </c>
      <c r="E29" s="72" t="s">
        <v>141</v>
      </c>
      <c r="F29" s="72" t="s">
        <v>87</v>
      </c>
      <c r="G29" s="72">
        <f>VLOOKUP(C29,TABLAS!$J$4:$M$26,2)</f>
        <v>30</v>
      </c>
      <c r="H29" s="72">
        <f>VLOOKUP(C29,TABLAS!$J$4:$M$27,3)</f>
        <v>25</v>
      </c>
      <c r="I29" s="72">
        <v>339</v>
      </c>
      <c r="J29" s="72">
        <v>230</v>
      </c>
      <c r="K29" s="79">
        <f>MAX(INDEX('PIER-FORCES'!$A$3:$G$146,A29+3,4),INDEX('PIER-FORCES'!$A$3:$G$146,A29+4,4),INDEX('PIER-FORCES'!$A$3:$G$146,A29+5,4))</f>
        <v>135.26740000000001</v>
      </c>
      <c r="L29" s="79">
        <f>INDEX('PIER-FORCES'!$A$3:$G$146,A29+3,5)</f>
        <v>2.5070000000000001</v>
      </c>
      <c r="M29" s="79">
        <f>INDEX('PIER-FORCES'!$A$3:$G$146,A29+4,5)</f>
        <v>5.0799999999999998E-2</v>
      </c>
      <c r="N29" s="79">
        <f>INDEX('PIER-FORCES'!$A$3:$G$146,A29+5,5)</f>
        <v>14.124700000000001</v>
      </c>
      <c r="O29" s="72" t="str">
        <f>'PLANILLAS EJE 15'!C1128</f>
        <v>$\phi$10@14</v>
      </c>
      <c r="P29" s="72" t="str">
        <f>VLOOKUP(H29,TABLAS!$R$17:$S$19,2)</f>
        <v>$\phi$8@16</v>
      </c>
      <c r="Q29" s="72" t="str">
        <f>AW29&amp;"$\phi$"&amp;AU29</f>
        <v>2$\phi$18</v>
      </c>
      <c r="S29" s="80" t="str">
        <f t="shared" si="28"/>
        <v>EJE 15.G-L | PIER F33X | PISO 12</v>
      </c>
      <c r="T29" s="72">
        <f>'PLANILLAS EJE 15'!F49</f>
        <v>0</v>
      </c>
      <c r="U29" s="72">
        <f>'PLANILLAS EJE 15'!F50</f>
        <v>0</v>
      </c>
      <c r="V29" s="78">
        <f t="shared" si="29"/>
        <v>8475</v>
      </c>
      <c r="W29" s="81">
        <f>'PLANILLAS EJE 15'!C1137</f>
        <v>4.4879895051282755E-3</v>
      </c>
      <c r="X29" s="81">
        <v>0.01</v>
      </c>
      <c r="Y29" s="78">
        <f t="shared" si="30"/>
        <v>33.9</v>
      </c>
      <c r="Z29" s="78">
        <f t="shared" si="31"/>
        <v>8.4749999999999996</v>
      </c>
      <c r="AA29" s="78" t="str">
        <f>"$\phi$"&amp;VLOOKUP(AO29,TABLAS!$O$4:$P$13,2)</f>
        <v>$\phi$36</v>
      </c>
      <c r="AC29" s="78">
        <f>VLOOKUP(Z29,TABLAS!$O$4:$P$13,1)</f>
        <v>8.0399999999999991</v>
      </c>
      <c r="AD29" s="78">
        <f t="shared" si="32"/>
        <v>-0.4350000000000005</v>
      </c>
      <c r="AE29" s="78">
        <f t="shared" si="33"/>
        <v>8.91</v>
      </c>
      <c r="AF29" s="78">
        <f>IF(AD29&lt;0,VLOOKUP(AE29,TABLAS!$O$4:$P$13,1),AC29)</f>
        <v>8.0399999999999991</v>
      </c>
      <c r="AG29" s="78">
        <f>AF29-$Z29</f>
        <v>-0.4350000000000005</v>
      </c>
      <c r="AH29" s="82">
        <f>IF(AG29&lt;0,IF(AG29=AD29,AE29-$AD$2*AG29,AF29-AG29),AE29-$AD$2*AG29/2)</f>
        <v>9.5625</v>
      </c>
      <c r="AI29" s="78">
        <f>IF(AG29&lt;0,VLOOKUP(AH29,TABLAS!$O$4:$P$13,1),AF29)</f>
        <v>8.0399999999999991</v>
      </c>
      <c r="AJ29" s="78">
        <f t="shared" si="34"/>
        <v>-0.4350000000000005</v>
      </c>
      <c r="AK29" s="82">
        <f>IF(AJ29&lt;0,IF(AJ29=AG29,AH29-$AD$2*AJ29,AI29-AJ29),AH29-$AD$2*AJ29/2)</f>
        <v>10.215</v>
      </c>
      <c r="AL29" s="78">
        <f>IF(AJ29&lt;0,VLOOKUP(AK29,TABLAS!$O$4:$P$13,1),AI29)</f>
        <v>10.18</v>
      </c>
      <c r="AM29" s="78">
        <f t="shared" si="35"/>
        <v>1.7050000000000001</v>
      </c>
      <c r="AN29" s="82">
        <f>IF(AM29&lt;0,IF(AM29=AJ29,AK29-$AD$2*AM29,AL29-AM29),AK29-$AD$2*AM29/2)</f>
        <v>8.9362499999999994</v>
      </c>
      <c r="AO29" s="78">
        <f>IF(AM29&lt;0,VLOOKUP(AN29,TABLAS!$O$4:$P$13,1),AL29)</f>
        <v>10.18</v>
      </c>
      <c r="AP29" s="78">
        <f t="shared" si="36"/>
        <v>1.7050000000000001</v>
      </c>
      <c r="AQ29" s="82">
        <f>IF(AP29&lt;0,IF(AP29=AM29,AN29-$AD$2*AP29,AO29-AP29),AN29-$AD$2*AP29/2)</f>
        <v>7.6574999999999989</v>
      </c>
      <c r="AR29" s="78">
        <f>IF(AP29&lt;0,VLOOKUP(AQ29,TABLAS!$O$4:$P$13,1),AO29)</f>
        <v>10.18</v>
      </c>
      <c r="AT29" s="82">
        <v>18</v>
      </c>
      <c r="AU29" s="78">
        <f>VLOOKUP(AT29,TABLAS!$R$4:$S$13,1,TRUE)</f>
        <v>18</v>
      </c>
      <c r="AV29" s="78">
        <f>VLOOKUP(AU29,TABLAS!$R$4:$S$13,2,TRUE)</f>
        <v>2.54</v>
      </c>
      <c r="AW29" s="26">
        <f t="shared" si="18"/>
        <v>2</v>
      </c>
    </row>
    <row r="30" spans="1:49" x14ac:dyDescent="0.3">
      <c r="A30" s="78">
        <f>VLOOKUP(C30,'PIER-FORCES'!$A$3:$G$146,7,FALSE)</f>
        <v>61</v>
      </c>
      <c r="C30" s="24">
        <v>13</v>
      </c>
      <c r="D30" s="24" t="s">
        <v>146</v>
      </c>
      <c r="E30" s="24" t="s">
        <v>140</v>
      </c>
      <c r="F30" s="24" t="s">
        <v>87</v>
      </c>
      <c r="G30" s="24">
        <f>VLOOKUP(C30,TABLAS!$J$4:$M$26,2)</f>
        <v>30</v>
      </c>
      <c r="H30" s="24">
        <f>VLOOKUP(C30,TABLAS!$J$4:$M$27,3)</f>
        <v>25</v>
      </c>
      <c r="I30" s="24">
        <v>192</v>
      </c>
      <c r="J30" s="24">
        <v>230</v>
      </c>
      <c r="K30" s="73">
        <f>MAX(INDEX('PIER-FORCES'!$A$3:$G$146,A30,4),INDEX('PIER-FORCES'!$A$3:$G$146,A30+1,4),INDEX('PIER-FORCES'!$A$3:$G$146,A30+2,4))</f>
        <v>79.644300000000001</v>
      </c>
      <c r="L30" s="73">
        <f>INDEX('PIER-FORCES'!$A$3:$G$146,A31,5)</f>
        <v>0.39989999999999998</v>
      </c>
      <c r="M30" s="73">
        <f>INDEX('PIER-FORCES'!$A$3:$G$146,A31+1,5)</f>
        <v>0.30149999999999999</v>
      </c>
      <c r="N30" s="73">
        <f>INDEX('PIER-FORCES'!$A$3:$G$146,A31+2,5)</f>
        <v>4.1776</v>
      </c>
      <c r="O30" s="67" t="str">
        <f>'PLANILLAS EJE 15'!C1174</f>
        <v>$\phi$10@14</v>
      </c>
      <c r="P30" s="67" t="str">
        <f>VLOOKUP(H30,TABLAS!$R$17:$S$19,2)</f>
        <v>$\phi$8@16</v>
      </c>
      <c r="Q30" s="67" t="str">
        <f>AW30&amp;"$\phi$"&amp;AU30</f>
        <v>2$\phi$16</v>
      </c>
      <c r="R30" s="87"/>
      <c r="S30" s="65" t="str">
        <f t="shared" si="28"/>
        <v>EJE 15.C-C1 | PIER F31X | PISO 13</v>
      </c>
      <c r="T30" s="24">
        <f>'PLANILLAS EJE 15'!F50</f>
        <v>0</v>
      </c>
      <c r="U30" s="24">
        <f>'PLANILLAS EJE 15'!F51</f>
        <v>0</v>
      </c>
      <c r="V30" s="26">
        <f t="shared" si="29"/>
        <v>4800</v>
      </c>
      <c r="W30" s="66">
        <v>4.4879895051282755E-3</v>
      </c>
      <c r="X30" s="66">
        <v>0.01</v>
      </c>
      <c r="Y30" s="26">
        <f t="shared" si="30"/>
        <v>19.200000000000003</v>
      </c>
      <c r="Z30" s="26">
        <f t="shared" si="31"/>
        <v>4.8000000000000007</v>
      </c>
      <c r="AA30" s="26" t="str">
        <f>"$\phi$"&amp;VLOOKUP(AO30,TABLAS!$O$4:$P$13,2)</f>
        <v>$\phi$25</v>
      </c>
      <c r="AC30" s="47">
        <f>VLOOKUP(Z30,TABLAS!$O$4:$P$13,1)</f>
        <v>3.8</v>
      </c>
      <c r="AD30" s="26">
        <f t="shared" si="32"/>
        <v>-1.0000000000000009</v>
      </c>
      <c r="AE30" s="26">
        <f t="shared" si="33"/>
        <v>5.8000000000000016</v>
      </c>
      <c r="AF30" s="47">
        <f>IF(AD30&lt;0,VLOOKUP(AE30,TABLAS!$O$4:$P$13,1),AC30)</f>
        <v>4.91</v>
      </c>
      <c r="AG30" s="26">
        <f>AF30-$Z30</f>
        <v>0.10999999999999943</v>
      </c>
      <c r="AH30" s="69">
        <f>IF(AG30&lt;0,IF(AG30=AD30,AE30-$AD$2*AG30,AF30-AG30),AE30-$AD$2*AG30/2)</f>
        <v>5.717500000000002</v>
      </c>
      <c r="AI30" s="47">
        <f>IF(AG30&lt;0,VLOOKUP(AH30,TABLAS!$O$4:$P$13,1),AF30)</f>
        <v>4.91</v>
      </c>
      <c r="AJ30" s="26">
        <f t="shared" si="34"/>
        <v>0.10999999999999943</v>
      </c>
      <c r="AK30" s="69">
        <f>IF(AJ30&lt;0,IF(AJ30=AG30,AH30-$AD$2*AJ30,AI30-AJ30),AH30-$AD$2*AJ30/2)</f>
        <v>5.6350000000000025</v>
      </c>
      <c r="AL30" s="47">
        <f>IF(AJ30&lt;0,VLOOKUP(AK30,TABLAS!$O$4:$P$13,1),AI30)</f>
        <v>4.91</v>
      </c>
      <c r="AM30" s="26">
        <f t="shared" si="35"/>
        <v>0.10999999999999943</v>
      </c>
      <c r="AN30" s="69">
        <f>IF(AM30&lt;0,IF(AM30=AJ30,AK30-$AD$2*AM30,AL30-AM30),AK30-$AD$2*AM30/2)</f>
        <v>5.5525000000000029</v>
      </c>
      <c r="AO30" s="47">
        <f>IF(AM30&lt;0,VLOOKUP(AN30,TABLAS!$O$4:$P$13,1),AL30)</f>
        <v>4.91</v>
      </c>
      <c r="AP30" s="26">
        <f t="shared" si="36"/>
        <v>0.10999999999999943</v>
      </c>
      <c r="AQ30" s="69">
        <f>IF(AP30&lt;0,IF(AP30=AM30,AN30-$AD$2*AP30,AO30-AP30),AN30-$AD$2*AP30/2)</f>
        <v>5.4700000000000033</v>
      </c>
      <c r="AR30" s="47">
        <f>IF(AP30&lt;0,VLOOKUP(AQ30,TABLAS!$O$4:$P$13,1),AO30)</f>
        <v>4.91</v>
      </c>
      <c r="AT30" s="90">
        <v>16</v>
      </c>
      <c r="AU30" s="26">
        <f>VLOOKUP(AT30,TABLAS!$R$4:$S$13,1,TRUE)</f>
        <v>16</v>
      </c>
      <c r="AV30" s="26">
        <f>VLOOKUP(AU30,TABLAS!$R$4:$S$13,2,TRUE)</f>
        <v>2.0099999999999998</v>
      </c>
      <c r="AW30" s="26">
        <f t="shared" si="18"/>
        <v>2</v>
      </c>
    </row>
    <row r="31" spans="1:49" x14ac:dyDescent="0.3">
      <c r="A31" s="78">
        <f>VLOOKUP(C31,'PIER-FORCES'!$A$3:$G$146,7,FALSE)</f>
        <v>61</v>
      </c>
      <c r="C31" s="24">
        <v>13</v>
      </c>
      <c r="D31" s="24" t="s">
        <v>147</v>
      </c>
      <c r="E31" s="24" t="s">
        <v>141</v>
      </c>
      <c r="F31" s="24" t="s">
        <v>87</v>
      </c>
      <c r="G31" s="24">
        <f>VLOOKUP(C31,TABLAS!$J$4:$M$26,2)</f>
        <v>30</v>
      </c>
      <c r="H31" s="24">
        <f>VLOOKUP(C31,TABLAS!$J$4:$M$27,3)</f>
        <v>25</v>
      </c>
      <c r="I31" s="24">
        <v>339</v>
      </c>
      <c r="J31" s="24">
        <v>230</v>
      </c>
      <c r="K31" s="73">
        <f>MAX(INDEX('PIER-FORCES'!$A$3:$G$146,A31+3,4),INDEX('PIER-FORCES'!$A$3:$G$146,A31+4,4),INDEX('PIER-FORCES'!$A$3:$G$146,A31+5,4))</f>
        <v>123.0765</v>
      </c>
      <c r="L31" s="73">
        <f>INDEX('PIER-FORCES'!$A$3:$G$146,A31+3,5)</f>
        <v>2.7871000000000001</v>
      </c>
      <c r="M31" s="73">
        <f>INDEX('PIER-FORCES'!$A$3:$G$146,A31+4,5)</f>
        <v>5.5399999999999998E-2</v>
      </c>
      <c r="N31" s="73">
        <f>INDEX('PIER-FORCES'!$A$3:$G$146,A31+5,5)</f>
        <v>12.0312</v>
      </c>
      <c r="O31" s="67" t="str">
        <f>'PLANILLAS EJE 15'!C1220</f>
        <v>$\phi$10@14</v>
      </c>
      <c r="P31" s="67" t="str">
        <f>VLOOKUP(H31,TABLAS!$R$17:$S$19,2)</f>
        <v>$\phi$8@16</v>
      </c>
      <c r="Q31" s="67" t="str">
        <f>AW31&amp;"$\phi$"&amp;AU31</f>
        <v>2$\phi$18</v>
      </c>
      <c r="R31" s="87"/>
      <c r="S31" s="65" t="str">
        <f t="shared" si="28"/>
        <v>EJE 15.G-L | PIER F33X | PISO 13</v>
      </c>
      <c r="T31" s="24">
        <f>'PLANILLAS EJE 15'!F51</f>
        <v>0</v>
      </c>
      <c r="U31" s="24">
        <f>'PLANILLAS EJE 15'!F52</f>
        <v>0</v>
      </c>
      <c r="V31" s="26">
        <f t="shared" si="29"/>
        <v>8475</v>
      </c>
      <c r="W31" s="66">
        <v>4.4879895051282755E-3</v>
      </c>
      <c r="X31" s="66">
        <v>0.01</v>
      </c>
      <c r="Y31" s="26">
        <f t="shared" si="30"/>
        <v>33.9</v>
      </c>
      <c r="Z31" s="26">
        <f t="shared" si="31"/>
        <v>8.4749999999999996</v>
      </c>
      <c r="AA31" s="26" t="str">
        <f>"$\phi$"&amp;VLOOKUP(AO31,TABLAS!$O$4:$P$13,2)</f>
        <v>$\phi$36</v>
      </c>
      <c r="AC31" s="47">
        <f>VLOOKUP(Z31,TABLAS!$O$4:$P$13,1)</f>
        <v>8.0399999999999991</v>
      </c>
      <c r="AD31" s="26">
        <f t="shared" si="32"/>
        <v>-0.4350000000000005</v>
      </c>
      <c r="AE31" s="26">
        <f t="shared" si="33"/>
        <v>8.91</v>
      </c>
      <c r="AF31" s="47">
        <f>IF(AD31&lt;0,VLOOKUP(AE31,TABLAS!$O$4:$P$13,1),AC31)</f>
        <v>8.0399999999999991</v>
      </c>
      <c r="AG31" s="26">
        <f>AF31-$Z31</f>
        <v>-0.4350000000000005</v>
      </c>
      <c r="AH31" s="69">
        <f>IF(AG31&lt;0,IF(AG31=AD31,AE31-$AD$2*AG31,AF31-AG31),AE31-$AD$2*AG31/2)</f>
        <v>9.5625</v>
      </c>
      <c r="AI31" s="47">
        <f>IF(AG31&lt;0,VLOOKUP(AH31,TABLAS!$O$4:$P$13,1),AF31)</f>
        <v>8.0399999999999991</v>
      </c>
      <c r="AJ31" s="26">
        <f t="shared" si="34"/>
        <v>-0.4350000000000005</v>
      </c>
      <c r="AK31" s="69">
        <f>IF(AJ31&lt;0,IF(AJ31=AG31,AH31-$AD$2*AJ31,AI31-AJ31),AH31-$AD$2*AJ31/2)</f>
        <v>10.215</v>
      </c>
      <c r="AL31" s="47">
        <f>IF(AJ31&lt;0,VLOOKUP(AK31,TABLAS!$O$4:$P$13,1),AI31)</f>
        <v>10.18</v>
      </c>
      <c r="AM31" s="26">
        <f t="shared" si="35"/>
        <v>1.7050000000000001</v>
      </c>
      <c r="AN31" s="69">
        <f>IF(AM31&lt;0,IF(AM31=AJ31,AK31-$AD$2*AM31,AL31-AM31),AK31-$AD$2*AM31/2)</f>
        <v>8.9362499999999994</v>
      </c>
      <c r="AO31" s="47">
        <f>IF(AM31&lt;0,VLOOKUP(AN31,TABLAS!$O$4:$P$13,1),AL31)</f>
        <v>10.18</v>
      </c>
      <c r="AP31" s="26">
        <f t="shared" si="36"/>
        <v>1.7050000000000001</v>
      </c>
      <c r="AQ31" s="69">
        <f>IF(AP31&lt;0,IF(AP31=AM31,AN31-$AD$2*AP31,AO31-AP31),AN31-$AD$2*AP31/2)</f>
        <v>7.6574999999999989</v>
      </c>
      <c r="AR31" s="47">
        <f>IF(AP31&lt;0,VLOOKUP(AQ31,TABLAS!$O$4:$P$13,1),AO31)</f>
        <v>10.18</v>
      </c>
      <c r="AT31" s="91">
        <v>18</v>
      </c>
      <c r="AU31" s="26">
        <f>VLOOKUP(AT31,TABLAS!$R$4:$S$13,1,TRUE)</f>
        <v>18</v>
      </c>
      <c r="AV31" s="26">
        <f>VLOOKUP(AU31,TABLAS!$R$4:$S$13,2,TRUE)</f>
        <v>2.54</v>
      </c>
      <c r="AW31" s="26">
        <f t="shared" si="18"/>
        <v>2</v>
      </c>
    </row>
    <row r="32" spans="1:49" s="78" customFormat="1" x14ac:dyDescent="0.3">
      <c r="A32" s="78">
        <f>VLOOKUP(C32,'PIER-FORCES'!$A$3:$G$146,7,FALSE)</f>
        <v>55</v>
      </c>
      <c r="C32" s="72">
        <v>14</v>
      </c>
      <c r="D32" s="72" t="s">
        <v>146</v>
      </c>
      <c r="E32" s="72" t="s">
        <v>140</v>
      </c>
      <c r="F32" s="72" t="s">
        <v>87</v>
      </c>
      <c r="G32" s="72">
        <f>VLOOKUP(C32,TABLAS!$J$4:$M$26,2)</f>
        <v>20</v>
      </c>
      <c r="H32" s="72">
        <f>VLOOKUP(C32,TABLAS!$J$4:$M$27,3)</f>
        <v>20</v>
      </c>
      <c r="I32" s="72">
        <v>192</v>
      </c>
      <c r="J32" s="72">
        <v>230</v>
      </c>
      <c r="K32" s="79">
        <f>MAX(INDEX('PIER-FORCES'!$A$3:$G$146,A32,4),INDEX('PIER-FORCES'!$A$3:$G$146,A32+1,4),INDEX('PIER-FORCES'!$A$3:$G$146,A32+2,4))</f>
        <v>71.848200000000006</v>
      </c>
      <c r="L32" s="79">
        <f>INDEX('PIER-FORCES'!$A$3:$G$146,A33,5)</f>
        <v>0.18060000000000001</v>
      </c>
      <c r="M32" s="79">
        <f>INDEX('PIER-FORCES'!$A$3:$G$146,A33+1,5)</f>
        <v>0.23580000000000001</v>
      </c>
      <c r="N32" s="79">
        <f>INDEX('PIER-FORCES'!$A$3:$G$146,A33+2,5)</f>
        <v>7.1387</v>
      </c>
      <c r="O32" s="72" t="str">
        <f>'PLANILLAS EJE 15'!C1266</f>
        <v>$\phi$10@14</v>
      </c>
      <c r="P32" s="72" t="str">
        <f>VLOOKUP(H32,TABLAS!$R$17:$S$19,2)</f>
        <v>$\phi$8@20</v>
      </c>
      <c r="Q32" s="72" t="str">
        <f>AW32&amp;"$\phi$"&amp;AU32</f>
        <v>2$\phi$12</v>
      </c>
      <c r="S32" s="80" t="str">
        <f t="shared" si="28"/>
        <v>EJE 15.C-C1 | PIER F31X | PISO 14</v>
      </c>
      <c r="T32" s="72">
        <f>'PLANILLAS EJE 15'!F52</f>
        <v>0</v>
      </c>
      <c r="U32" s="72">
        <f>'PLANILLAS EJE 15'!F53</f>
        <v>0</v>
      </c>
      <c r="V32" s="78">
        <f t="shared" si="29"/>
        <v>3840</v>
      </c>
      <c r="W32" s="81">
        <v>4.4879895051282755E-3</v>
      </c>
      <c r="X32" s="81">
        <v>0.01</v>
      </c>
      <c r="Y32" s="78">
        <f t="shared" si="30"/>
        <v>19.200000000000003</v>
      </c>
      <c r="Z32" s="78">
        <f t="shared" si="31"/>
        <v>3.8400000000000007</v>
      </c>
      <c r="AA32" s="78" t="str">
        <f>"$\phi$"&amp;VLOOKUP(AO32,TABLAS!$O$4:$P$13,2)</f>
        <v>$\phi$22</v>
      </c>
      <c r="AC32" s="78">
        <f>VLOOKUP(Z32,TABLAS!$O$4:$P$13,1)</f>
        <v>3.8</v>
      </c>
      <c r="AD32" s="78">
        <f t="shared" si="32"/>
        <v>-4.0000000000000924E-2</v>
      </c>
      <c r="AE32" s="78">
        <f t="shared" si="33"/>
        <v>3.8800000000000017</v>
      </c>
      <c r="AF32" s="78">
        <f>IF(AD32&lt;0,VLOOKUP(AE32,TABLAS!$O$4:$P$13,1),AC32)</f>
        <v>3.8</v>
      </c>
      <c r="AG32" s="78">
        <f>AF32-$Z32</f>
        <v>-4.0000000000000924E-2</v>
      </c>
      <c r="AH32" s="82">
        <f>IF(AG32&lt;0,IF(AG32=AD32,AE32-$AD$2*AG32,AF32-AG32),AE32-$AD$2*AG32/2)</f>
        <v>3.9400000000000031</v>
      </c>
      <c r="AI32" s="78">
        <f>IF(AG32&lt;0,VLOOKUP(AH32,TABLAS!$O$4:$P$13,1),AF32)</f>
        <v>3.8</v>
      </c>
      <c r="AJ32" s="78">
        <f t="shared" si="34"/>
        <v>-4.0000000000000924E-2</v>
      </c>
      <c r="AK32" s="82">
        <f>IF(AJ32&lt;0,IF(AJ32=AG32,AH32-$AD$2*AJ32,AI32-AJ32),AH32-$AD$2*AJ32/2)</f>
        <v>4.0000000000000044</v>
      </c>
      <c r="AL32" s="78">
        <f>IF(AJ32&lt;0,VLOOKUP(AK32,TABLAS!$O$4:$P$13,1),AI32)</f>
        <v>3.8</v>
      </c>
      <c r="AM32" s="78">
        <f t="shared" si="35"/>
        <v>-4.0000000000000924E-2</v>
      </c>
      <c r="AN32" s="82">
        <f>IF(AM32&lt;0,IF(AM32=AJ32,AK32-$AD$2*AM32,AL32-AM32),AK32-$AD$2*AM32/2)</f>
        <v>4.0600000000000058</v>
      </c>
      <c r="AO32" s="78">
        <f>IF(AM32&lt;0,VLOOKUP(AN32,TABLAS!$O$4:$P$13,1),AL32)</f>
        <v>3.8</v>
      </c>
      <c r="AP32" s="78">
        <f t="shared" si="36"/>
        <v>-4.0000000000000924E-2</v>
      </c>
      <c r="AQ32" s="82">
        <f>IF(AP32&lt;0,IF(AP32=AM32,AN32-$AD$2*AP32,AO32-AP32),AN32-$AD$2*AP32/2)</f>
        <v>4.1200000000000072</v>
      </c>
      <c r="AR32" s="78">
        <f>IF(AP32&lt;0,VLOOKUP(AQ32,TABLAS!$O$4:$P$13,1),AO32)</f>
        <v>3.8</v>
      </c>
      <c r="AT32" s="82">
        <v>12</v>
      </c>
      <c r="AU32" s="78">
        <f>VLOOKUP(AT32,TABLAS!$R$4:$S$13,1,TRUE)</f>
        <v>12</v>
      </c>
      <c r="AV32" s="78">
        <f>VLOOKUP(AU32,TABLAS!$R$4:$S$13,2,TRUE)</f>
        <v>1.1299999999999999</v>
      </c>
      <c r="AW32" s="26">
        <f t="shared" si="18"/>
        <v>2</v>
      </c>
    </row>
    <row r="33" spans="1:49" s="78" customFormat="1" x14ac:dyDescent="0.3">
      <c r="A33" s="78">
        <f>VLOOKUP(C33,'PIER-FORCES'!$A$3:$G$146,7,FALSE)</f>
        <v>55</v>
      </c>
      <c r="C33" s="72">
        <v>14</v>
      </c>
      <c r="D33" s="72" t="s">
        <v>147</v>
      </c>
      <c r="E33" s="72" t="s">
        <v>141</v>
      </c>
      <c r="F33" s="72" t="s">
        <v>87</v>
      </c>
      <c r="G33" s="72">
        <f>VLOOKUP(C33,TABLAS!$J$4:$M$26,2)</f>
        <v>20</v>
      </c>
      <c r="H33" s="72">
        <f>VLOOKUP(C33,TABLAS!$J$4:$M$27,3)</f>
        <v>20</v>
      </c>
      <c r="I33" s="72">
        <v>339</v>
      </c>
      <c r="J33" s="72">
        <v>230</v>
      </c>
      <c r="K33" s="79">
        <f>MAX(INDEX('PIER-FORCES'!$A$3:$G$146,A33+3,4),INDEX('PIER-FORCES'!$A$3:$G$146,A33+4,4),INDEX('PIER-FORCES'!$A$3:$G$146,A33+5,4))</f>
        <v>110.819</v>
      </c>
      <c r="L33" s="79">
        <f>INDEX('PIER-FORCES'!$A$3:$G$146,A33+3,5)</f>
        <v>2.0947</v>
      </c>
      <c r="M33" s="79">
        <f>INDEX('PIER-FORCES'!$A$3:$G$146,A33+4,5)</f>
        <v>1.6199999999999999E-2</v>
      </c>
      <c r="N33" s="79">
        <f>INDEX('PIER-FORCES'!$A$3:$G$146,A33+5,5)</f>
        <v>17.917000000000002</v>
      </c>
      <c r="O33" s="72" t="str">
        <f>'PLANILLAS EJE 15'!C1312</f>
        <v>$\phi$10@14</v>
      </c>
      <c r="P33" s="72" t="str">
        <f>VLOOKUP(H33,TABLAS!$R$17:$S$19,2)</f>
        <v>$\phi$8@20</v>
      </c>
      <c r="Q33" s="86" t="str">
        <f>AW33&amp;"$\phi$"&amp;AU33</f>
        <v>2$\phi$16</v>
      </c>
      <c r="S33" s="80" t="str">
        <f t="shared" si="28"/>
        <v>EJE 15.G-L | PIER F33X | PISO 14</v>
      </c>
      <c r="T33" s="72">
        <f>'PLANILLAS EJE 15'!F53</f>
        <v>0</v>
      </c>
      <c r="U33" s="72">
        <f>'PLANILLAS EJE 15'!F54</f>
        <v>0</v>
      </c>
      <c r="V33" s="78">
        <f t="shared" si="29"/>
        <v>6780</v>
      </c>
      <c r="W33" s="81">
        <v>4.4879895051282755E-3</v>
      </c>
      <c r="X33" s="81">
        <v>0.01</v>
      </c>
      <c r="Y33" s="78">
        <f t="shared" si="30"/>
        <v>33.9</v>
      </c>
      <c r="Z33" s="78">
        <f t="shared" si="31"/>
        <v>6.78</v>
      </c>
      <c r="AA33" s="78" t="str">
        <f>"$\phi$"&amp;VLOOKUP(AO33,TABLAS!$O$4:$P$13,2)</f>
        <v>$\phi$32</v>
      </c>
      <c r="AC33" s="78">
        <f>VLOOKUP(Z33,TABLAS!$O$4:$P$13,1)</f>
        <v>6.16</v>
      </c>
      <c r="AD33" s="78">
        <f t="shared" si="32"/>
        <v>-0.62000000000000011</v>
      </c>
      <c r="AE33" s="78">
        <f t="shared" si="33"/>
        <v>7.4</v>
      </c>
      <c r="AF33" s="78">
        <f>IF(AD33&lt;0,VLOOKUP(AE33,TABLAS!$O$4:$P$13,1),AC33)</f>
        <v>6.16</v>
      </c>
      <c r="AG33" s="78">
        <f>AF33-$Z33</f>
        <v>-0.62000000000000011</v>
      </c>
      <c r="AH33" s="82">
        <f>IF(AG33&lt;0,IF(AG33=AD33,AE33-$AD$2*AG33,AF33-AG33),AE33-$AD$2*AG33/2)</f>
        <v>8.33</v>
      </c>
      <c r="AI33" s="78">
        <f>IF(AG33&lt;0,VLOOKUP(AH33,TABLAS!$O$4:$P$13,1),AF33)</f>
        <v>8.0399999999999991</v>
      </c>
      <c r="AJ33" s="78">
        <f t="shared" si="34"/>
        <v>1.2599999999999989</v>
      </c>
      <c r="AK33" s="82">
        <f>IF(AJ33&lt;0,IF(AJ33=AG33,AH33-$AD$2*AJ33,AI33-AJ33),AH33-$AD$2*AJ33/2)</f>
        <v>7.3850000000000007</v>
      </c>
      <c r="AL33" s="78">
        <f>IF(AJ33&lt;0,VLOOKUP(AK33,TABLAS!$O$4:$P$13,1),AI33)</f>
        <v>8.0399999999999991</v>
      </c>
      <c r="AM33" s="78">
        <f t="shared" si="35"/>
        <v>1.2599999999999989</v>
      </c>
      <c r="AN33" s="82">
        <f>IF(AM33&lt;0,IF(AM33=AJ33,AK33-$AD$2*AM33,AL33-AM33),AK33-$AD$2*AM33/2)</f>
        <v>6.4400000000000013</v>
      </c>
      <c r="AO33" s="78">
        <f>IF(AM33&lt;0,VLOOKUP(AN33,TABLAS!$O$4:$P$13,1),AL33)</f>
        <v>8.0399999999999991</v>
      </c>
      <c r="AP33" s="78">
        <f t="shared" si="36"/>
        <v>1.2599999999999989</v>
      </c>
      <c r="AQ33" s="82">
        <f>IF(AP33&lt;0,IF(AP33=AM33,AN33-$AD$2*AP33,AO33-AP33),AN33-$AD$2*AP33/2)</f>
        <v>5.4950000000000019</v>
      </c>
      <c r="AR33" s="78">
        <f>IF(AP33&lt;0,VLOOKUP(AQ33,TABLAS!$O$4:$P$13,1),AO33)</f>
        <v>8.0399999999999991</v>
      </c>
      <c r="AT33" s="82">
        <v>16</v>
      </c>
      <c r="AU33" s="78">
        <f>VLOOKUP(AT33,TABLAS!$R$4:$S$13,1,TRUE)</f>
        <v>16</v>
      </c>
      <c r="AV33" s="78">
        <f>VLOOKUP(AU33,TABLAS!$R$4:$S$13,2,TRUE)</f>
        <v>2.0099999999999998</v>
      </c>
      <c r="AW33" s="26">
        <f t="shared" si="18"/>
        <v>2</v>
      </c>
    </row>
    <row r="34" spans="1:49" x14ac:dyDescent="0.3">
      <c r="A34" s="78">
        <f>VLOOKUP(C34,'PIER-FORCES'!$A$3:$G$146,7,FALSE)</f>
        <v>49</v>
      </c>
      <c r="C34" s="24">
        <v>15</v>
      </c>
      <c r="D34" s="24" t="s">
        <v>146</v>
      </c>
      <c r="E34" s="24" t="s">
        <v>140</v>
      </c>
      <c r="F34" s="24" t="s">
        <v>87</v>
      </c>
      <c r="G34" s="24">
        <f>VLOOKUP(C34,TABLAS!$J$4:$M$26,2)</f>
        <v>20</v>
      </c>
      <c r="H34" s="24">
        <f>VLOOKUP(C34,TABLAS!$J$4:$M$27,3)</f>
        <v>20</v>
      </c>
      <c r="I34" s="24">
        <v>192</v>
      </c>
      <c r="J34" s="24">
        <v>230</v>
      </c>
      <c r="K34" s="73">
        <f>MAX(INDEX('PIER-FORCES'!$A$3:$G$146,A34,4),INDEX('PIER-FORCES'!$A$3:$G$146,A34+1,4),INDEX('PIER-FORCES'!$A$3:$G$146,A34+2,4))</f>
        <v>64.524600000000007</v>
      </c>
      <c r="L34" s="73">
        <f>INDEX('PIER-FORCES'!$A$3:$G$146,A35,5)</f>
        <v>8.0199999999999994E-2</v>
      </c>
      <c r="M34" s="73">
        <f>INDEX('PIER-FORCES'!$A$3:$G$146,A35+1,5)</f>
        <v>0.25979999999999998</v>
      </c>
      <c r="N34" s="73">
        <f>INDEX('PIER-FORCES'!$A$3:$G$146,A35+2,5)</f>
        <v>6.0631000000000004</v>
      </c>
      <c r="O34" s="67" t="str">
        <f>'PLANILLAS EJE 15'!C1358</f>
        <v>$\phi$10@14</v>
      </c>
      <c r="P34" s="67" t="str">
        <f>VLOOKUP(H34,TABLAS!$R$17:$S$19,2)</f>
        <v>$\phi$8@20</v>
      </c>
      <c r="Q34" s="67" t="str">
        <f>AW34&amp;"$\phi$"&amp;AU34</f>
        <v>2$\phi$12</v>
      </c>
      <c r="R34" s="87"/>
      <c r="S34" s="65" t="str">
        <f t="shared" ref="S34:S39" si="37">D34&amp;" | PIER "&amp;E34&amp;" | PISO "&amp;C34</f>
        <v>EJE 15.C-C1 | PIER F31X | PISO 15</v>
      </c>
      <c r="T34" s="24">
        <f>'PLANILLAS EJE 15'!F54</f>
        <v>0</v>
      </c>
      <c r="U34" s="24">
        <f>'PLANILLAS EJE 15'!F55</f>
        <v>0</v>
      </c>
      <c r="V34" s="26">
        <f t="shared" ref="V34:V39" si="38">H34*I34</f>
        <v>3840</v>
      </c>
      <c r="W34" s="66">
        <v>4.4879895051282755E-3</v>
      </c>
      <c r="X34" s="66">
        <v>0.01</v>
      </c>
      <c r="Y34" s="26">
        <f t="shared" ref="Y34:Y39" si="39">0.1*I34</f>
        <v>19.200000000000003</v>
      </c>
      <c r="Z34" s="26">
        <f t="shared" ref="Z34:Z39" si="40">X34*H34*Y34</f>
        <v>3.8400000000000007</v>
      </c>
      <c r="AA34" s="26" t="str">
        <f>"$\phi$"&amp;VLOOKUP(AO34,TABLAS!$O$4:$P$13,2)</f>
        <v>$\phi$22</v>
      </c>
      <c r="AC34" s="47">
        <f>VLOOKUP(Z34,TABLAS!$O$4:$P$13,1)</f>
        <v>3.8</v>
      </c>
      <c r="AD34" s="26">
        <f t="shared" ref="AD34:AD39" si="41">AC34-Z34</f>
        <v>-4.0000000000000924E-2</v>
      </c>
      <c r="AE34" s="26">
        <f t="shared" ref="AE34:AE39" si="42">Z34-AD34</f>
        <v>3.8800000000000017</v>
      </c>
      <c r="AF34" s="47">
        <f>IF(AD34&lt;0,VLOOKUP(AE34,TABLAS!$O$4:$P$13,1),AC34)</f>
        <v>3.8</v>
      </c>
      <c r="AG34" s="26">
        <f>AF34-$Z34</f>
        <v>-4.0000000000000924E-2</v>
      </c>
      <c r="AH34" s="69">
        <f>IF(AG34&lt;0,IF(AG34=AD34,AE34-$AD$2*AG34,AF34-AG34),AE34-$AD$2*AG34/2)</f>
        <v>3.9400000000000031</v>
      </c>
      <c r="AI34" s="47">
        <f>IF(AG34&lt;0,VLOOKUP(AH34,TABLAS!$O$4:$P$13,1),AF34)</f>
        <v>3.8</v>
      </c>
      <c r="AJ34" s="26">
        <f t="shared" ref="AJ34:AJ39" si="43">AI34-$Z34</f>
        <v>-4.0000000000000924E-2</v>
      </c>
      <c r="AK34" s="69">
        <f>IF(AJ34&lt;0,IF(AJ34=AG34,AH34-$AD$2*AJ34,AI34-AJ34),AH34-$AD$2*AJ34/2)</f>
        <v>4.0000000000000044</v>
      </c>
      <c r="AL34" s="47">
        <f>IF(AJ34&lt;0,VLOOKUP(AK34,TABLAS!$O$4:$P$13,1),AI34)</f>
        <v>3.8</v>
      </c>
      <c r="AM34" s="26">
        <f t="shared" ref="AM34:AM39" si="44">AL34-$Z34</f>
        <v>-4.0000000000000924E-2</v>
      </c>
      <c r="AN34" s="69">
        <f>IF(AM34&lt;0,IF(AM34=AJ34,AK34-$AD$2*AM34,AL34-AM34),AK34-$AD$2*AM34/2)</f>
        <v>4.0600000000000058</v>
      </c>
      <c r="AO34" s="47">
        <f>IF(AM34&lt;0,VLOOKUP(AN34,TABLAS!$O$4:$P$13,1),AL34)</f>
        <v>3.8</v>
      </c>
      <c r="AP34" s="26">
        <f t="shared" ref="AP34:AP39" si="45">AO34-$Z34</f>
        <v>-4.0000000000000924E-2</v>
      </c>
      <c r="AQ34" s="69">
        <f>IF(AP34&lt;0,IF(AP34=AM34,AN34-$AD$2*AP34,AO34-AP34),AN34-$AD$2*AP34/2)</f>
        <v>4.1200000000000072</v>
      </c>
      <c r="AR34" s="47">
        <f>IF(AP34&lt;0,VLOOKUP(AQ34,TABLAS!$O$4:$P$13,1),AO34)</f>
        <v>3.8</v>
      </c>
      <c r="AT34" s="90">
        <v>12</v>
      </c>
      <c r="AU34" s="26">
        <f>VLOOKUP(AT34,TABLAS!$R$4:$S$13,1,TRUE)</f>
        <v>12</v>
      </c>
      <c r="AV34" s="26">
        <f>VLOOKUP(AU34,TABLAS!$R$4:$S$13,2,TRUE)</f>
        <v>1.1299999999999999</v>
      </c>
      <c r="AW34" s="26">
        <f t="shared" si="18"/>
        <v>2</v>
      </c>
    </row>
    <row r="35" spans="1:49" x14ac:dyDescent="0.3">
      <c r="A35" s="78">
        <f>VLOOKUP(C35,'PIER-FORCES'!$A$3:$G$146,7,FALSE)</f>
        <v>49</v>
      </c>
      <c r="C35" s="24">
        <v>15</v>
      </c>
      <c r="D35" s="24" t="s">
        <v>147</v>
      </c>
      <c r="E35" s="24" t="s">
        <v>141</v>
      </c>
      <c r="F35" s="24" t="s">
        <v>87</v>
      </c>
      <c r="G35" s="24">
        <f>VLOOKUP(C35,TABLAS!$J$4:$M$26,2)</f>
        <v>20</v>
      </c>
      <c r="H35" s="24">
        <f>VLOOKUP(C35,TABLAS!$J$4:$M$27,3)</f>
        <v>20</v>
      </c>
      <c r="I35" s="24">
        <v>339</v>
      </c>
      <c r="J35" s="24">
        <v>230</v>
      </c>
      <c r="K35" s="73">
        <f>MAX(INDEX('PIER-FORCES'!$A$3:$G$146,A35+3,4),INDEX('PIER-FORCES'!$A$3:$G$146,A35+4,4),INDEX('PIER-FORCES'!$A$3:$G$146,A35+5,4))</f>
        <v>99.858199999999997</v>
      </c>
      <c r="L35" s="73">
        <f>INDEX('PIER-FORCES'!$A$3:$G$146,A35+3,5)</f>
        <v>2.1076999999999999</v>
      </c>
      <c r="M35" s="73">
        <f>INDEX('PIER-FORCES'!$A$3:$G$146,A35+4,5)</f>
        <v>3.6700000000000003E-2</v>
      </c>
      <c r="N35" s="73">
        <f>INDEX('PIER-FORCES'!$A$3:$G$146,A35+5,5)</f>
        <v>16.444299999999998</v>
      </c>
      <c r="O35" s="67" t="str">
        <f>'PLANILLAS EJE 15'!C1404</f>
        <v>$\phi$10@14</v>
      </c>
      <c r="P35" s="67" t="str">
        <f>VLOOKUP(H35,TABLAS!$R$17:$S$19,2)</f>
        <v>$\phi$8@20</v>
      </c>
      <c r="Q35" s="67" t="str">
        <f>AW35&amp;"$\phi$"&amp;AU35</f>
        <v>2$\phi$16</v>
      </c>
      <c r="R35" s="87"/>
      <c r="S35" s="65" t="str">
        <f t="shared" si="37"/>
        <v>EJE 15.G-L | PIER F33X | PISO 15</v>
      </c>
      <c r="T35" s="24">
        <f>'PLANILLAS EJE 15'!F55</f>
        <v>0</v>
      </c>
      <c r="U35" s="24">
        <f>'PLANILLAS EJE 15'!F56</f>
        <v>0</v>
      </c>
      <c r="V35" s="26">
        <f t="shared" si="38"/>
        <v>6780</v>
      </c>
      <c r="W35" s="66">
        <v>4.4879895051282755E-3</v>
      </c>
      <c r="X35" s="66">
        <v>0.01</v>
      </c>
      <c r="Y35" s="26">
        <f t="shared" si="39"/>
        <v>33.9</v>
      </c>
      <c r="Z35" s="26">
        <f t="shared" si="40"/>
        <v>6.78</v>
      </c>
      <c r="AA35" s="26" t="str">
        <f>"$\phi$"&amp;VLOOKUP(AO35,TABLAS!$O$4:$P$13,2)</f>
        <v>$\phi$32</v>
      </c>
      <c r="AC35" s="47">
        <f>VLOOKUP(Z35,TABLAS!$O$4:$P$13,1)</f>
        <v>6.16</v>
      </c>
      <c r="AD35" s="26">
        <f t="shared" si="41"/>
        <v>-0.62000000000000011</v>
      </c>
      <c r="AE35" s="26">
        <f t="shared" si="42"/>
        <v>7.4</v>
      </c>
      <c r="AF35" s="47">
        <f>IF(AD35&lt;0,VLOOKUP(AE35,TABLAS!$O$4:$P$13,1),AC35)</f>
        <v>6.16</v>
      </c>
      <c r="AG35" s="26">
        <f>AF35-$Z35</f>
        <v>-0.62000000000000011</v>
      </c>
      <c r="AH35" s="69">
        <f>IF(AG35&lt;0,IF(AG35=AD35,AE35-$AD$2*AG35,AF35-AG35),AE35-$AD$2*AG35/2)</f>
        <v>8.33</v>
      </c>
      <c r="AI35" s="47">
        <f>IF(AG35&lt;0,VLOOKUP(AH35,TABLAS!$O$4:$P$13,1),AF35)</f>
        <v>8.0399999999999991</v>
      </c>
      <c r="AJ35" s="26">
        <f t="shared" si="43"/>
        <v>1.2599999999999989</v>
      </c>
      <c r="AK35" s="69">
        <f>IF(AJ35&lt;0,IF(AJ35=AG35,AH35-$AD$2*AJ35,AI35-AJ35),AH35-$AD$2*AJ35/2)</f>
        <v>7.3850000000000007</v>
      </c>
      <c r="AL35" s="47">
        <f>IF(AJ35&lt;0,VLOOKUP(AK35,TABLAS!$O$4:$P$13,1),AI35)</f>
        <v>8.0399999999999991</v>
      </c>
      <c r="AM35" s="26">
        <f t="shared" si="44"/>
        <v>1.2599999999999989</v>
      </c>
      <c r="AN35" s="69">
        <f>IF(AM35&lt;0,IF(AM35=AJ35,AK35-$AD$2*AM35,AL35-AM35),AK35-$AD$2*AM35/2)</f>
        <v>6.4400000000000013</v>
      </c>
      <c r="AO35" s="47">
        <f>IF(AM35&lt;0,VLOOKUP(AN35,TABLAS!$O$4:$P$13,1),AL35)</f>
        <v>8.0399999999999991</v>
      </c>
      <c r="AP35" s="26">
        <f t="shared" si="45"/>
        <v>1.2599999999999989</v>
      </c>
      <c r="AQ35" s="69">
        <f>IF(AP35&lt;0,IF(AP35=AM35,AN35-$AD$2*AP35,AO35-AP35),AN35-$AD$2*AP35/2)</f>
        <v>5.4950000000000019</v>
      </c>
      <c r="AR35" s="47">
        <f>IF(AP35&lt;0,VLOOKUP(AQ35,TABLAS!$O$4:$P$13,1),AO35)</f>
        <v>8.0399999999999991</v>
      </c>
      <c r="AT35" s="90">
        <v>16</v>
      </c>
      <c r="AU35" s="26">
        <f>VLOOKUP(AT35,TABLAS!$R$4:$S$13,1,TRUE)</f>
        <v>16</v>
      </c>
      <c r="AV35" s="26">
        <f>VLOOKUP(AU35,TABLAS!$R$4:$S$13,2,TRUE)</f>
        <v>2.0099999999999998</v>
      </c>
      <c r="AW35" s="26">
        <f t="shared" si="18"/>
        <v>2</v>
      </c>
    </row>
    <row r="36" spans="1:49" s="78" customFormat="1" x14ac:dyDescent="0.3">
      <c r="A36" s="78">
        <f>VLOOKUP(C36,'PIER-FORCES'!$A$3:$G$146,7,FALSE)</f>
        <v>43</v>
      </c>
      <c r="C36" s="72">
        <v>16</v>
      </c>
      <c r="D36" s="72" t="s">
        <v>146</v>
      </c>
      <c r="E36" s="72" t="s">
        <v>140</v>
      </c>
      <c r="F36" s="72" t="s">
        <v>87</v>
      </c>
      <c r="G36" s="72">
        <f>VLOOKUP(C36,TABLAS!$J$4:$M$26,2)</f>
        <v>20</v>
      </c>
      <c r="H36" s="72">
        <f>VLOOKUP(C36,TABLAS!$J$4:$M$27,3)</f>
        <v>20</v>
      </c>
      <c r="I36" s="72">
        <v>192</v>
      </c>
      <c r="J36" s="72">
        <v>230</v>
      </c>
      <c r="K36" s="79">
        <f>MAX(INDEX('PIER-FORCES'!$A$3:$G$146,A36,4),INDEX('PIER-FORCES'!$A$3:$G$146,A36+1,4),INDEX('PIER-FORCES'!$A$3:$G$146,A36+2,4))</f>
        <v>57.376300000000001</v>
      </c>
      <c r="L36" s="79">
        <f>INDEX('PIER-FORCES'!$A$3:$G$146,A37,5)</f>
        <v>7.2300000000000003E-2</v>
      </c>
      <c r="M36" s="79">
        <f>INDEX('PIER-FORCES'!$A$3:$G$146,A37+1,5)</f>
        <v>0.26200000000000001</v>
      </c>
      <c r="N36" s="79">
        <f>INDEX('PIER-FORCES'!$A$3:$G$146,A37+2,5)</f>
        <v>6.0362</v>
      </c>
      <c r="O36" s="72" t="s">
        <v>150</v>
      </c>
      <c r="P36" s="72" t="str">
        <f>VLOOKUP(H36,TABLAS!$R$17:$S$19,2)</f>
        <v>$\phi$8@20</v>
      </c>
      <c r="Q36" s="72" t="str">
        <f>AW36&amp;"$\phi$"&amp;AU36</f>
        <v>2$\phi$12</v>
      </c>
      <c r="S36" s="80" t="str">
        <f t="shared" si="37"/>
        <v>EJE 15.C-C1 | PIER F31X | PISO 16</v>
      </c>
      <c r="T36" s="72">
        <f>'PLANILLAS EJE 15'!F56</f>
        <v>0</v>
      </c>
      <c r="U36" s="72">
        <f>'PLANILLAS EJE 15'!F57</f>
        <v>0</v>
      </c>
      <c r="V36" s="78">
        <f t="shared" si="38"/>
        <v>3840</v>
      </c>
      <c r="W36" s="81">
        <v>4.4879895051282755E-3</v>
      </c>
      <c r="X36" s="81">
        <v>0.01</v>
      </c>
      <c r="Y36" s="78">
        <f t="shared" si="39"/>
        <v>19.200000000000003</v>
      </c>
      <c r="Z36" s="78">
        <f t="shared" si="40"/>
        <v>3.8400000000000007</v>
      </c>
      <c r="AA36" s="78" t="str">
        <f>"$\phi$"&amp;VLOOKUP(AO36,TABLAS!$O$4:$P$13,2)</f>
        <v>$\phi$22</v>
      </c>
      <c r="AC36" s="78">
        <f>VLOOKUP(Z36,TABLAS!$O$4:$P$13,1)</f>
        <v>3.8</v>
      </c>
      <c r="AD36" s="78">
        <f t="shared" si="41"/>
        <v>-4.0000000000000924E-2</v>
      </c>
      <c r="AE36" s="78">
        <f t="shared" si="42"/>
        <v>3.8800000000000017</v>
      </c>
      <c r="AF36" s="78">
        <f>IF(AD36&lt;0,VLOOKUP(AE36,TABLAS!$O$4:$P$13,1),AC36)</f>
        <v>3.8</v>
      </c>
      <c r="AG36" s="78">
        <f>AF36-$Z36</f>
        <v>-4.0000000000000924E-2</v>
      </c>
      <c r="AH36" s="82">
        <f>IF(AG36&lt;0,IF(AG36=AD36,AE36-$AD$2*AG36,AF36-AG36),AE36-$AD$2*AG36/2)</f>
        <v>3.9400000000000031</v>
      </c>
      <c r="AI36" s="78">
        <f>IF(AG36&lt;0,VLOOKUP(AH36,TABLAS!$O$4:$P$13,1),AF36)</f>
        <v>3.8</v>
      </c>
      <c r="AJ36" s="78">
        <f t="shared" si="43"/>
        <v>-4.0000000000000924E-2</v>
      </c>
      <c r="AK36" s="82">
        <f>IF(AJ36&lt;0,IF(AJ36=AG36,AH36-$AD$2*AJ36,AI36-AJ36),AH36-$AD$2*AJ36/2)</f>
        <v>4.0000000000000044</v>
      </c>
      <c r="AL36" s="78">
        <f>IF(AJ36&lt;0,VLOOKUP(AK36,TABLAS!$O$4:$P$13,1),AI36)</f>
        <v>3.8</v>
      </c>
      <c r="AM36" s="78">
        <f t="shared" si="44"/>
        <v>-4.0000000000000924E-2</v>
      </c>
      <c r="AN36" s="82">
        <f>IF(AM36&lt;0,IF(AM36=AJ36,AK36-$AD$2*AM36,AL36-AM36),AK36-$AD$2*AM36/2)</f>
        <v>4.0600000000000058</v>
      </c>
      <c r="AO36" s="78">
        <f>IF(AM36&lt;0,VLOOKUP(AN36,TABLAS!$O$4:$P$13,1),AL36)</f>
        <v>3.8</v>
      </c>
      <c r="AP36" s="78">
        <f t="shared" si="45"/>
        <v>-4.0000000000000924E-2</v>
      </c>
      <c r="AQ36" s="82">
        <f>IF(AP36&lt;0,IF(AP36=AM36,AN36-$AD$2*AP36,AO36-AP36),AN36-$AD$2*AP36/2)</f>
        <v>4.1200000000000072</v>
      </c>
      <c r="AR36" s="78">
        <f>IF(AP36&lt;0,VLOOKUP(AQ36,TABLAS!$O$4:$P$13,1),AO36)</f>
        <v>3.8</v>
      </c>
      <c r="AT36" s="82">
        <v>12</v>
      </c>
      <c r="AU36" s="78">
        <f>VLOOKUP(AT36,TABLAS!$R$4:$S$13,1,TRUE)</f>
        <v>12</v>
      </c>
      <c r="AV36" s="78">
        <f>VLOOKUP(AU36,TABLAS!$R$4:$S$13,2,TRUE)</f>
        <v>1.1299999999999999</v>
      </c>
      <c r="AW36" s="26">
        <f t="shared" si="18"/>
        <v>2</v>
      </c>
    </row>
    <row r="37" spans="1:49" s="78" customFormat="1" x14ac:dyDescent="0.3">
      <c r="A37" s="78">
        <f>VLOOKUP(C37,'PIER-FORCES'!$A$3:$G$146,7,FALSE)</f>
        <v>43</v>
      </c>
      <c r="C37" s="72">
        <v>16</v>
      </c>
      <c r="D37" s="72" t="s">
        <v>147</v>
      </c>
      <c r="E37" s="72" t="s">
        <v>141</v>
      </c>
      <c r="F37" s="72" t="s">
        <v>87</v>
      </c>
      <c r="G37" s="72">
        <f>VLOOKUP(C37,TABLAS!$J$4:$M$26,2)</f>
        <v>20</v>
      </c>
      <c r="H37" s="72">
        <f>VLOOKUP(C37,TABLAS!$J$4:$M$27,3)</f>
        <v>20</v>
      </c>
      <c r="I37" s="72">
        <v>339</v>
      </c>
      <c r="J37" s="72">
        <v>230</v>
      </c>
      <c r="K37" s="79">
        <f>MAX(INDEX('PIER-FORCES'!$A$3:$G$146,A37+3,4),INDEX('PIER-FORCES'!$A$3:$G$146,A37+4,4),INDEX('PIER-FORCES'!$A$3:$G$146,A37+5,4))</f>
        <v>88.961699999999993</v>
      </c>
      <c r="L37" s="79">
        <f>INDEX('PIER-FORCES'!$A$3:$G$146,A37+3,5)</f>
        <v>2.1253000000000002</v>
      </c>
      <c r="M37" s="79">
        <f>INDEX('PIER-FORCES'!$A$3:$G$146,A37+4,5)</f>
        <v>6.3399999999999998E-2</v>
      </c>
      <c r="N37" s="79">
        <f>INDEX('PIER-FORCES'!$A$3:$G$146,A37+5,5)</f>
        <v>15.774699999999999</v>
      </c>
      <c r="O37" s="72" t="s">
        <v>150</v>
      </c>
      <c r="P37" s="72" t="str">
        <f>VLOOKUP(H37,TABLAS!$R$17:$S$19,2)</f>
        <v>$\phi$8@20</v>
      </c>
      <c r="Q37" s="72" t="str">
        <f>AW37&amp;"$\phi$"&amp;AU37</f>
        <v>2$\phi$16</v>
      </c>
      <c r="S37" s="80" t="str">
        <f t="shared" si="37"/>
        <v>EJE 15.G-L | PIER F33X | PISO 16</v>
      </c>
      <c r="T37" s="72">
        <f>'PLANILLAS EJE 15'!F57</f>
        <v>0</v>
      </c>
      <c r="U37" s="72">
        <f>'PLANILLAS EJE 15'!F58</f>
        <v>0</v>
      </c>
      <c r="V37" s="78">
        <f t="shared" si="38"/>
        <v>6780</v>
      </c>
      <c r="W37" s="81">
        <v>4.4879895051282755E-3</v>
      </c>
      <c r="X37" s="81">
        <v>0.01</v>
      </c>
      <c r="Y37" s="78">
        <f t="shared" si="39"/>
        <v>33.9</v>
      </c>
      <c r="Z37" s="78">
        <f t="shared" si="40"/>
        <v>6.78</v>
      </c>
      <c r="AA37" s="78" t="str">
        <f>"$\phi$"&amp;VLOOKUP(AO37,TABLAS!$O$4:$P$13,2)</f>
        <v>$\phi$32</v>
      </c>
      <c r="AC37" s="78">
        <f>VLOOKUP(Z37,TABLAS!$O$4:$P$13,1)</f>
        <v>6.16</v>
      </c>
      <c r="AD37" s="78">
        <f t="shared" si="41"/>
        <v>-0.62000000000000011</v>
      </c>
      <c r="AE37" s="78">
        <f t="shared" si="42"/>
        <v>7.4</v>
      </c>
      <c r="AF37" s="78">
        <f>IF(AD37&lt;0,VLOOKUP(AE37,TABLAS!$O$4:$P$13,1),AC37)</f>
        <v>6.16</v>
      </c>
      <c r="AG37" s="78">
        <f>AF37-$Z37</f>
        <v>-0.62000000000000011</v>
      </c>
      <c r="AH37" s="82">
        <f>IF(AG37&lt;0,IF(AG37=AD37,AE37-$AD$2*AG37,AF37-AG37),AE37-$AD$2*AG37/2)</f>
        <v>8.33</v>
      </c>
      <c r="AI37" s="78">
        <f>IF(AG37&lt;0,VLOOKUP(AH37,TABLAS!$O$4:$P$13,1),AF37)</f>
        <v>8.0399999999999991</v>
      </c>
      <c r="AJ37" s="78">
        <f t="shared" si="43"/>
        <v>1.2599999999999989</v>
      </c>
      <c r="AK37" s="82">
        <f>IF(AJ37&lt;0,IF(AJ37=AG37,AH37-$AD$2*AJ37,AI37-AJ37),AH37-$AD$2*AJ37/2)</f>
        <v>7.3850000000000007</v>
      </c>
      <c r="AL37" s="78">
        <f>IF(AJ37&lt;0,VLOOKUP(AK37,TABLAS!$O$4:$P$13,1),AI37)</f>
        <v>8.0399999999999991</v>
      </c>
      <c r="AM37" s="78">
        <f t="shared" si="44"/>
        <v>1.2599999999999989</v>
      </c>
      <c r="AN37" s="82">
        <f>IF(AM37&lt;0,IF(AM37=AJ37,AK37-$AD$2*AM37,AL37-AM37),AK37-$AD$2*AM37/2)</f>
        <v>6.4400000000000013</v>
      </c>
      <c r="AO37" s="78">
        <f>IF(AM37&lt;0,VLOOKUP(AN37,TABLAS!$O$4:$P$13,1),AL37)</f>
        <v>8.0399999999999991</v>
      </c>
      <c r="AP37" s="78">
        <f t="shared" si="45"/>
        <v>1.2599999999999989</v>
      </c>
      <c r="AQ37" s="82">
        <f>IF(AP37&lt;0,IF(AP37=AM37,AN37-$AD$2*AP37,AO37-AP37),AN37-$AD$2*AP37/2)</f>
        <v>5.4950000000000019</v>
      </c>
      <c r="AR37" s="78">
        <f>IF(AP37&lt;0,VLOOKUP(AQ37,TABLAS!$O$4:$P$13,1),AO37)</f>
        <v>8.0399999999999991</v>
      </c>
      <c r="AT37" s="82">
        <v>16</v>
      </c>
      <c r="AU37" s="78">
        <f>VLOOKUP(AT37,TABLAS!$R$4:$S$13,1,TRUE)</f>
        <v>16</v>
      </c>
      <c r="AV37" s="78">
        <f>VLOOKUP(AU37,TABLAS!$R$4:$S$13,2,TRUE)</f>
        <v>2.0099999999999998</v>
      </c>
      <c r="AW37" s="26">
        <f t="shared" si="18"/>
        <v>2</v>
      </c>
    </row>
    <row r="38" spans="1:49" x14ac:dyDescent="0.3">
      <c r="A38" s="78">
        <f>VLOOKUP(C38,'PIER-FORCES'!$A$3:$G$146,7,FALSE)</f>
        <v>37</v>
      </c>
      <c r="C38" s="24">
        <v>17</v>
      </c>
      <c r="D38" s="24" t="s">
        <v>146</v>
      </c>
      <c r="E38" s="24" t="s">
        <v>140</v>
      </c>
      <c r="F38" s="24" t="s">
        <v>87</v>
      </c>
      <c r="G38" s="24">
        <f>VLOOKUP(C38,TABLAS!$J$4:$M$26,2)</f>
        <v>20</v>
      </c>
      <c r="H38" s="24">
        <f>VLOOKUP(C38,TABLAS!$J$4:$M$27,3)</f>
        <v>20</v>
      </c>
      <c r="I38" s="24">
        <v>192</v>
      </c>
      <c r="J38" s="24">
        <v>230</v>
      </c>
      <c r="K38" s="73">
        <f>MAX(INDEX('PIER-FORCES'!$A$3:$G$146,A38,4),INDEX('PIER-FORCES'!$A$3:$G$146,A38+1,4),INDEX('PIER-FORCES'!$A$3:$G$146,A38+2,4))</f>
        <v>50.272100000000002</v>
      </c>
      <c r="L38" s="73">
        <f>INDEX('PIER-FORCES'!$A$3:$G$146,A39,5)</f>
        <v>8.3099999999999993E-2</v>
      </c>
      <c r="M38" s="73">
        <f>INDEX('PIER-FORCES'!$A$3:$G$146,A39+1,5)</f>
        <v>0.25769999999999998</v>
      </c>
      <c r="N38" s="73">
        <f>INDEX('PIER-FORCES'!$A$3:$G$146,A39+2,5)</f>
        <v>5.9757999999999996</v>
      </c>
      <c r="O38" s="67" t="s">
        <v>150</v>
      </c>
      <c r="P38" s="67" t="str">
        <f>VLOOKUP(H38,TABLAS!$R$17:$S$19,2)</f>
        <v>$\phi$8@20</v>
      </c>
      <c r="Q38" s="67" t="str">
        <f>AW38&amp;"$\phi$"&amp;AU38</f>
        <v>2$\phi$12</v>
      </c>
      <c r="R38" s="87"/>
      <c r="S38" s="89" t="str">
        <f t="shared" si="37"/>
        <v>EJE 15.C-C1 | PIER F31X | PISO 17</v>
      </c>
      <c r="T38" s="67">
        <f>'PLANILLAS EJE 15'!F58</f>
        <v>0</v>
      </c>
      <c r="U38" s="67">
        <f>'PLANILLAS EJE 15'!F59</f>
        <v>0</v>
      </c>
      <c r="V38" s="87">
        <f t="shared" si="38"/>
        <v>3840</v>
      </c>
      <c r="W38" s="66">
        <v>4.4879895051282755E-3</v>
      </c>
      <c r="X38" s="66">
        <v>0.01</v>
      </c>
      <c r="Y38" s="26">
        <f t="shared" si="39"/>
        <v>19.200000000000003</v>
      </c>
      <c r="Z38" s="26">
        <f t="shared" si="40"/>
        <v>3.8400000000000007</v>
      </c>
      <c r="AA38" s="26" t="str">
        <f>"$\phi$"&amp;VLOOKUP(AO38,TABLAS!$O$4:$P$13,2)</f>
        <v>$\phi$22</v>
      </c>
      <c r="AC38" s="47">
        <f>VLOOKUP(Z38,TABLAS!$O$4:$P$13,1)</f>
        <v>3.8</v>
      </c>
      <c r="AD38" s="26">
        <f t="shared" si="41"/>
        <v>-4.0000000000000924E-2</v>
      </c>
      <c r="AE38" s="26">
        <f t="shared" si="42"/>
        <v>3.8800000000000017</v>
      </c>
      <c r="AF38" s="47">
        <f>IF(AD38&lt;0,VLOOKUP(AE38,TABLAS!$O$4:$P$13,1),AC38)</f>
        <v>3.8</v>
      </c>
      <c r="AG38" s="26">
        <f>AF38-$Z38</f>
        <v>-4.0000000000000924E-2</v>
      </c>
      <c r="AH38" s="69">
        <f>IF(AG38&lt;0,IF(AG38=AD38,AE38-$AD$2*AG38,AF38-AG38),AE38-$AD$2*AG38/2)</f>
        <v>3.9400000000000031</v>
      </c>
      <c r="AI38" s="47">
        <f>IF(AG38&lt;0,VLOOKUP(AH38,TABLAS!$O$4:$P$13,1),AF38)</f>
        <v>3.8</v>
      </c>
      <c r="AJ38" s="26">
        <f t="shared" si="43"/>
        <v>-4.0000000000000924E-2</v>
      </c>
      <c r="AK38" s="69">
        <f>IF(AJ38&lt;0,IF(AJ38=AG38,AH38-$AD$2*AJ38,AI38-AJ38),AH38-$AD$2*AJ38/2)</f>
        <v>4.0000000000000044</v>
      </c>
      <c r="AL38" s="47">
        <f>IF(AJ38&lt;0,VLOOKUP(AK38,TABLAS!$O$4:$P$13,1),AI38)</f>
        <v>3.8</v>
      </c>
      <c r="AM38" s="26">
        <f t="shared" si="44"/>
        <v>-4.0000000000000924E-2</v>
      </c>
      <c r="AN38" s="69">
        <f>IF(AM38&lt;0,IF(AM38=AJ38,AK38-$AD$2*AM38,AL38-AM38),AK38-$AD$2*AM38/2)</f>
        <v>4.0600000000000058</v>
      </c>
      <c r="AO38" s="47">
        <f>IF(AM38&lt;0,VLOOKUP(AN38,TABLAS!$O$4:$P$13,1),AL38)</f>
        <v>3.8</v>
      </c>
      <c r="AP38" s="26">
        <f t="shared" si="45"/>
        <v>-4.0000000000000924E-2</v>
      </c>
      <c r="AQ38" s="69">
        <f>IF(AP38&lt;0,IF(AP38=AM38,AN38-$AD$2*AP38,AO38-AP38),AN38-$AD$2*AP38/2)</f>
        <v>4.1200000000000072</v>
      </c>
      <c r="AR38" s="47">
        <f>IF(AP38&lt;0,VLOOKUP(AQ38,TABLAS!$O$4:$P$13,1),AO38)</f>
        <v>3.8</v>
      </c>
      <c r="AT38" s="90">
        <v>12</v>
      </c>
      <c r="AU38" s="26">
        <f>VLOOKUP(AT38,TABLAS!$R$4:$S$13,1,TRUE)</f>
        <v>12</v>
      </c>
      <c r="AV38" s="26">
        <f>VLOOKUP(AU38,TABLAS!$R$4:$S$13,2,TRUE)</f>
        <v>1.1299999999999999</v>
      </c>
      <c r="AW38" s="26">
        <f t="shared" si="18"/>
        <v>2</v>
      </c>
    </row>
    <row r="39" spans="1:49" x14ac:dyDescent="0.3">
      <c r="A39" s="78">
        <f>VLOOKUP(C39,'PIER-FORCES'!$A$3:$G$146,7,FALSE)</f>
        <v>37</v>
      </c>
      <c r="C39" s="24">
        <v>17</v>
      </c>
      <c r="D39" s="24" t="s">
        <v>147</v>
      </c>
      <c r="E39" s="24" t="s">
        <v>141</v>
      </c>
      <c r="F39" s="24" t="s">
        <v>87</v>
      </c>
      <c r="G39" s="24">
        <f>VLOOKUP(C39,TABLAS!$J$4:$M$26,2)</f>
        <v>20</v>
      </c>
      <c r="H39" s="24">
        <f>VLOOKUP(C39,TABLAS!$J$4:$M$27,3)</f>
        <v>20</v>
      </c>
      <c r="I39" s="24">
        <v>339</v>
      </c>
      <c r="J39" s="24">
        <v>230</v>
      </c>
      <c r="K39" s="73">
        <f>MAX(INDEX('PIER-FORCES'!$A$3:$G$146,A39+3,4),INDEX('PIER-FORCES'!$A$3:$G$146,A39+4,4),INDEX('PIER-FORCES'!$A$3:$G$146,A39+5,4))</f>
        <v>78.036799999999999</v>
      </c>
      <c r="L39" s="73">
        <f>INDEX('PIER-FORCES'!$A$3:$G$146,A39+3,5)</f>
        <v>2.1385999999999998</v>
      </c>
      <c r="M39" s="73">
        <f>INDEX('PIER-FORCES'!$A$3:$G$146,A39+4,5)</f>
        <v>7.6799999999999993E-2</v>
      </c>
      <c r="N39" s="73">
        <f>INDEX('PIER-FORCES'!$A$3:$G$146,A39+5,5)</f>
        <v>15.338200000000001</v>
      </c>
      <c r="O39" s="67" t="s">
        <v>150</v>
      </c>
      <c r="P39" s="67" t="str">
        <f>VLOOKUP(H39,TABLAS!$R$17:$S$19,2)</f>
        <v>$\phi$8@20</v>
      </c>
      <c r="Q39" s="67" t="str">
        <f>AW39&amp;"$\phi$"&amp;AU39</f>
        <v>2$\phi$16</v>
      </c>
      <c r="R39" s="87"/>
      <c r="S39" s="89" t="str">
        <f t="shared" si="37"/>
        <v>EJE 15.G-L | PIER F33X | PISO 17</v>
      </c>
      <c r="T39" s="67">
        <f>'PLANILLAS EJE 15'!F59</f>
        <v>0</v>
      </c>
      <c r="U39" s="67">
        <f>'PLANILLAS EJE 15'!F60</f>
        <v>0</v>
      </c>
      <c r="V39" s="87">
        <f t="shared" si="38"/>
        <v>6780</v>
      </c>
      <c r="W39" s="66">
        <v>4.4879895051282755E-3</v>
      </c>
      <c r="X39" s="66">
        <v>0.01</v>
      </c>
      <c r="Y39" s="26">
        <f t="shared" si="39"/>
        <v>33.9</v>
      </c>
      <c r="Z39" s="26">
        <f t="shared" si="40"/>
        <v>6.78</v>
      </c>
      <c r="AA39" s="26" t="str">
        <f>"$\phi$"&amp;VLOOKUP(AO39,TABLAS!$O$4:$P$13,2)</f>
        <v>$\phi$32</v>
      </c>
      <c r="AC39" s="47">
        <f>VLOOKUP(Z39,TABLAS!$O$4:$P$13,1)</f>
        <v>6.16</v>
      </c>
      <c r="AD39" s="26">
        <f t="shared" si="41"/>
        <v>-0.62000000000000011</v>
      </c>
      <c r="AE39" s="26">
        <f t="shared" si="42"/>
        <v>7.4</v>
      </c>
      <c r="AF39" s="47">
        <f>IF(AD39&lt;0,VLOOKUP(AE39,TABLAS!$O$4:$P$13,1),AC39)</f>
        <v>6.16</v>
      </c>
      <c r="AG39" s="26">
        <f>AF39-$Z39</f>
        <v>-0.62000000000000011</v>
      </c>
      <c r="AH39" s="69">
        <f>IF(AG39&lt;0,IF(AG39=AD39,AE39-$AD$2*AG39,AF39-AG39),AE39-$AD$2*AG39/2)</f>
        <v>8.33</v>
      </c>
      <c r="AI39" s="47">
        <f>IF(AG39&lt;0,VLOOKUP(AH39,TABLAS!$O$4:$P$13,1),AF39)</f>
        <v>8.0399999999999991</v>
      </c>
      <c r="AJ39" s="26">
        <f t="shared" si="43"/>
        <v>1.2599999999999989</v>
      </c>
      <c r="AK39" s="69">
        <f>IF(AJ39&lt;0,IF(AJ39=AG39,AH39-$AD$2*AJ39,AI39-AJ39),AH39-$AD$2*AJ39/2)</f>
        <v>7.3850000000000007</v>
      </c>
      <c r="AL39" s="47">
        <f>IF(AJ39&lt;0,VLOOKUP(AK39,TABLAS!$O$4:$P$13,1),AI39)</f>
        <v>8.0399999999999991</v>
      </c>
      <c r="AM39" s="26">
        <f t="shared" si="44"/>
        <v>1.2599999999999989</v>
      </c>
      <c r="AN39" s="69">
        <f>IF(AM39&lt;0,IF(AM39=AJ39,AK39-$AD$2*AM39,AL39-AM39),AK39-$AD$2*AM39/2)</f>
        <v>6.4400000000000013</v>
      </c>
      <c r="AO39" s="47">
        <f>IF(AM39&lt;0,VLOOKUP(AN39,TABLAS!$O$4:$P$13,1),AL39)</f>
        <v>8.0399999999999991</v>
      </c>
      <c r="AP39" s="26">
        <f t="shared" si="45"/>
        <v>1.2599999999999989</v>
      </c>
      <c r="AQ39" s="69">
        <f>IF(AP39&lt;0,IF(AP39=AM39,AN39-$AD$2*AP39,AO39-AP39),AN39-$AD$2*AP39/2)</f>
        <v>5.4950000000000019</v>
      </c>
      <c r="AR39" s="47">
        <f>IF(AP39&lt;0,VLOOKUP(AQ39,TABLAS!$O$4:$P$13,1),AO39)</f>
        <v>8.0399999999999991</v>
      </c>
      <c r="AT39" s="90">
        <v>16</v>
      </c>
      <c r="AU39" s="26">
        <f>VLOOKUP(AT39,TABLAS!$R$4:$S$13,1,TRUE)</f>
        <v>16</v>
      </c>
      <c r="AV39" s="26">
        <f>VLOOKUP(AU39,TABLAS!$R$4:$S$13,2,TRUE)</f>
        <v>2.0099999999999998</v>
      </c>
      <c r="AW39" s="26">
        <f t="shared" si="18"/>
        <v>2</v>
      </c>
    </row>
    <row r="40" spans="1:49" s="78" customFormat="1" x14ac:dyDescent="0.3">
      <c r="A40" s="78">
        <f>VLOOKUP(C40,'PIER-FORCES'!$A$3:$G$146,7,FALSE)</f>
        <v>31</v>
      </c>
      <c r="C40" s="72">
        <v>18</v>
      </c>
      <c r="D40" s="72" t="s">
        <v>146</v>
      </c>
      <c r="E40" s="72" t="s">
        <v>140</v>
      </c>
      <c r="F40" s="72" t="s">
        <v>87</v>
      </c>
      <c r="G40" s="72">
        <f>VLOOKUP(C40,TABLAS!$J$4:$M$26,2)</f>
        <v>20</v>
      </c>
      <c r="H40" s="72">
        <f>VLOOKUP(C40,TABLAS!$J$4:$M$27,3)</f>
        <v>20</v>
      </c>
      <c r="I40" s="72">
        <v>192</v>
      </c>
      <c r="J40" s="72">
        <v>230</v>
      </c>
      <c r="K40" s="79">
        <f>MAX(INDEX('PIER-FORCES'!$A$3:$G$146,A40,4),INDEX('PIER-FORCES'!$A$3:$G$146,A40+1,4),INDEX('PIER-FORCES'!$A$3:$G$146,A40+2,4))</f>
        <v>43.191000000000003</v>
      </c>
      <c r="L40" s="79">
        <f>INDEX('PIER-FORCES'!$A$3:$G$146,A41,5)</f>
        <v>0.1038</v>
      </c>
      <c r="M40" s="79">
        <f>INDEX('PIER-FORCES'!$A$3:$G$146,A41+1,5)</f>
        <v>0.251</v>
      </c>
      <c r="N40" s="79">
        <f>INDEX('PIER-FORCES'!$A$3:$G$146,A41+2,5)</f>
        <v>5.8864000000000001</v>
      </c>
      <c r="O40" s="72" t="s">
        <v>150</v>
      </c>
      <c r="P40" s="72" t="str">
        <f>VLOOKUP(H40,TABLAS!$R$17:$S$19,2)</f>
        <v>$\phi$8@20</v>
      </c>
      <c r="Q40" s="72" t="str">
        <f>AW40&amp;"$\phi$"&amp;AU40</f>
        <v>2$\phi$12</v>
      </c>
      <c r="S40" s="80" t="str">
        <f t="shared" ref="S40:S51" si="46">D40&amp;" | PIER "&amp;E40&amp;" | PISO "&amp;C40</f>
        <v>EJE 15.C-C1 | PIER F31X | PISO 18</v>
      </c>
      <c r="T40" s="72">
        <f>'PLANILLAS EJE 15'!F60</f>
        <v>0</v>
      </c>
      <c r="U40" s="72">
        <f>'PLANILLAS EJE 15'!F61</f>
        <v>0</v>
      </c>
      <c r="V40" s="78">
        <f t="shared" ref="V40:V51" si="47">H40*I40</f>
        <v>3840</v>
      </c>
      <c r="W40" s="81">
        <v>4.4879895051282755E-3</v>
      </c>
      <c r="X40" s="81">
        <v>0.01</v>
      </c>
      <c r="Y40" s="78">
        <f t="shared" ref="Y40:Y51" si="48">0.1*I40</f>
        <v>19.200000000000003</v>
      </c>
      <c r="Z40" s="78">
        <f t="shared" ref="Z40:Z51" si="49">X40*H40*Y40</f>
        <v>3.8400000000000007</v>
      </c>
      <c r="AA40" s="78" t="str">
        <f>"$\phi$"&amp;VLOOKUP(AO40,TABLAS!$O$4:$P$13,2)</f>
        <v>$\phi$22</v>
      </c>
      <c r="AC40" s="78">
        <f>VLOOKUP(Z40,TABLAS!$O$4:$P$13,1)</f>
        <v>3.8</v>
      </c>
      <c r="AD40" s="78">
        <f t="shared" ref="AD40:AD51" si="50">AC40-Z40</f>
        <v>-4.0000000000000924E-2</v>
      </c>
      <c r="AE40" s="78">
        <f t="shared" ref="AE40:AE51" si="51">Z40-AD40</f>
        <v>3.8800000000000017</v>
      </c>
      <c r="AF40" s="78">
        <f>IF(AD40&lt;0,VLOOKUP(AE40,TABLAS!$O$4:$P$13,1),AC40)</f>
        <v>3.8</v>
      </c>
      <c r="AG40" s="78">
        <f>AF40-$Z40</f>
        <v>-4.0000000000000924E-2</v>
      </c>
      <c r="AH40" s="82">
        <f>IF(AG40&lt;0,IF(AG40=AD40,AE40-$AD$2*AG40,AF40-AG40),AE40-$AD$2*AG40/2)</f>
        <v>3.9400000000000031</v>
      </c>
      <c r="AI40" s="78">
        <f>IF(AG40&lt;0,VLOOKUP(AH40,TABLAS!$O$4:$P$13,1),AF40)</f>
        <v>3.8</v>
      </c>
      <c r="AJ40" s="78">
        <f>AI40-$Z40</f>
        <v>-4.0000000000000924E-2</v>
      </c>
      <c r="AK40" s="82">
        <f>IF(AJ40&lt;0,IF(AJ40=AG40,AH40-$AD$2*AJ40,AI40-AJ40),AH40-$AD$2*AJ40/2)</f>
        <v>4.0000000000000044</v>
      </c>
      <c r="AL40" s="78">
        <f>IF(AJ40&lt;0,VLOOKUP(AK40,TABLAS!$O$4:$P$13,1),AI40)</f>
        <v>3.8</v>
      </c>
      <c r="AM40" s="78">
        <f>AL40-$Z40</f>
        <v>-4.0000000000000924E-2</v>
      </c>
      <c r="AN40" s="82">
        <f>IF(AM40&lt;0,IF(AM40=AJ40,AK40-$AD$2*AM40,AL40-AM40),AK40-$AD$2*AM40/2)</f>
        <v>4.0600000000000058</v>
      </c>
      <c r="AO40" s="78">
        <f>IF(AM40&lt;0,VLOOKUP(AN40,TABLAS!$O$4:$P$13,1),AL40)</f>
        <v>3.8</v>
      </c>
      <c r="AP40" s="78">
        <f>AO40-$Z40</f>
        <v>-4.0000000000000924E-2</v>
      </c>
      <c r="AQ40" s="82">
        <f>IF(AP40&lt;0,IF(AP40=AM40,AN40-$AD$2*AP40,AO40-AP40),AN40-$AD$2*AP40/2)</f>
        <v>4.1200000000000072</v>
      </c>
      <c r="AR40" s="78">
        <f>IF(AP40&lt;0,VLOOKUP(AQ40,TABLAS!$O$4:$P$13,1),AO40)</f>
        <v>3.8</v>
      </c>
      <c r="AT40" s="82">
        <v>12</v>
      </c>
      <c r="AU40" s="78">
        <f>VLOOKUP(AT40,TABLAS!$R$4:$S$13,1,TRUE)</f>
        <v>12</v>
      </c>
      <c r="AV40" s="78">
        <f>VLOOKUP(AU40,TABLAS!$R$4:$S$13,2,TRUE)</f>
        <v>1.1299999999999999</v>
      </c>
      <c r="AW40" s="26">
        <f t="shared" si="18"/>
        <v>2</v>
      </c>
    </row>
    <row r="41" spans="1:49" s="78" customFormat="1" x14ac:dyDescent="0.3">
      <c r="A41" s="78">
        <f>VLOOKUP(C41,'PIER-FORCES'!$A$3:$G$146,7,FALSE)</f>
        <v>31</v>
      </c>
      <c r="C41" s="72">
        <v>18</v>
      </c>
      <c r="D41" s="72" t="s">
        <v>147</v>
      </c>
      <c r="E41" s="72" t="s">
        <v>141</v>
      </c>
      <c r="F41" s="72" t="s">
        <v>87</v>
      </c>
      <c r="G41" s="72">
        <f>VLOOKUP(C41,TABLAS!$J$4:$M$26,2)</f>
        <v>20</v>
      </c>
      <c r="H41" s="72">
        <f>VLOOKUP(C41,TABLAS!$J$4:$M$27,3)</f>
        <v>20</v>
      </c>
      <c r="I41" s="72">
        <v>339</v>
      </c>
      <c r="J41" s="72">
        <v>230</v>
      </c>
      <c r="K41" s="79">
        <f>MAX(INDEX('PIER-FORCES'!$A$3:$G$146,A41+3,4),INDEX('PIER-FORCES'!$A$3:$G$146,A41+4,4),INDEX('PIER-FORCES'!$A$3:$G$146,A41+5,4))</f>
        <v>67.085099999999997</v>
      </c>
      <c r="L41" s="79">
        <f>INDEX('PIER-FORCES'!$A$3:$G$146,A41+3,5)</f>
        <v>2.1448</v>
      </c>
      <c r="M41" s="79">
        <f>INDEX('PIER-FORCES'!$A$3:$G$146,A41+4,5)</f>
        <v>9.0800000000000006E-2</v>
      </c>
      <c r="N41" s="79">
        <f>INDEX('PIER-FORCES'!$A$3:$G$146,A41+5,5)</f>
        <v>14.882999999999999</v>
      </c>
      <c r="O41" s="72" t="s">
        <v>150</v>
      </c>
      <c r="P41" s="72" t="str">
        <f>VLOOKUP(H41,TABLAS!$R$17:$S$19,2)</f>
        <v>$\phi$8@20</v>
      </c>
      <c r="Q41" s="72" t="str">
        <f>AW41&amp;"$\phi$"&amp;AU41</f>
        <v>2$\phi$16</v>
      </c>
      <c r="S41" s="80" t="str">
        <f t="shared" si="46"/>
        <v>EJE 15.G-L | PIER F33X | PISO 18</v>
      </c>
      <c r="T41" s="72">
        <f>'PLANILLAS EJE 15'!F61</f>
        <v>0</v>
      </c>
      <c r="U41" s="72">
        <f>'PLANILLAS EJE 15'!F62</f>
        <v>0</v>
      </c>
      <c r="V41" s="78">
        <f t="shared" si="47"/>
        <v>6780</v>
      </c>
      <c r="W41" s="81">
        <v>4.4879895051282755E-3</v>
      </c>
      <c r="X41" s="81">
        <v>0.01</v>
      </c>
      <c r="Y41" s="78">
        <f t="shared" si="48"/>
        <v>33.9</v>
      </c>
      <c r="Z41" s="78">
        <f t="shared" si="49"/>
        <v>6.78</v>
      </c>
      <c r="AA41" s="78" t="str">
        <f>"$\phi$"&amp;VLOOKUP(AO41,TABLAS!$O$4:$P$13,2)</f>
        <v>$\phi$32</v>
      </c>
      <c r="AC41" s="78">
        <f>VLOOKUP(Z41,TABLAS!$O$4:$P$13,1)</f>
        <v>6.16</v>
      </c>
      <c r="AD41" s="78">
        <f t="shared" si="50"/>
        <v>-0.62000000000000011</v>
      </c>
      <c r="AE41" s="78">
        <f t="shared" si="51"/>
        <v>7.4</v>
      </c>
      <c r="AF41" s="78">
        <f>IF(AD41&lt;0,VLOOKUP(AE41,TABLAS!$O$4:$P$13,1),AC41)</f>
        <v>6.16</v>
      </c>
      <c r="AG41" s="78">
        <f>AF41-$Z41</f>
        <v>-0.62000000000000011</v>
      </c>
      <c r="AH41" s="82">
        <f>IF(AG41&lt;0,IF(AG41=AD41,AE41-$AD$2*AG41,AF41-AG41),AE41-$AD$2*AG41/2)</f>
        <v>8.33</v>
      </c>
      <c r="AI41" s="78">
        <f>IF(AG41&lt;0,VLOOKUP(AH41,TABLAS!$O$4:$P$13,1),AF41)</f>
        <v>8.0399999999999991</v>
      </c>
      <c r="AJ41" s="78">
        <f>AI41-$Z41</f>
        <v>1.2599999999999989</v>
      </c>
      <c r="AK41" s="82">
        <f>IF(AJ41&lt;0,IF(AJ41=AG41,AH41-$AD$2*AJ41,AI41-AJ41),AH41-$AD$2*AJ41/2)</f>
        <v>7.3850000000000007</v>
      </c>
      <c r="AL41" s="78">
        <f>IF(AJ41&lt;0,VLOOKUP(AK41,TABLAS!$O$4:$P$13,1),AI41)</f>
        <v>8.0399999999999991</v>
      </c>
      <c r="AM41" s="78">
        <f>AL41-$Z41</f>
        <v>1.2599999999999989</v>
      </c>
      <c r="AN41" s="82">
        <f>IF(AM41&lt;0,IF(AM41=AJ41,AK41-$AD$2*AM41,AL41-AM41),AK41-$AD$2*AM41/2)</f>
        <v>6.4400000000000013</v>
      </c>
      <c r="AO41" s="78">
        <f>IF(AM41&lt;0,VLOOKUP(AN41,TABLAS!$O$4:$P$13,1),AL41)</f>
        <v>8.0399999999999991</v>
      </c>
      <c r="AP41" s="78">
        <f>AO41-$Z41</f>
        <v>1.2599999999999989</v>
      </c>
      <c r="AQ41" s="82">
        <f>IF(AP41&lt;0,IF(AP41=AM41,AN41-$AD$2*AP41,AO41-AP41),AN41-$AD$2*AP41/2)</f>
        <v>5.4950000000000019</v>
      </c>
      <c r="AR41" s="78">
        <f>IF(AP41&lt;0,VLOOKUP(AQ41,TABLAS!$O$4:$P$13,1),AO41)</f>
        <v>8.0399999999999991</v>
      </c>
      <c r="AT41" s="82">
        <v>16</v>
      </c>
      <c r="AU41" s="78">
        <f>VLOOKUP(AT41,TABLAS!$R$4:$S$13,1,TRUE)</f>
        <v>16</v>
      </c>
      <c r="AV41" s="78">
        <f>VLOOKUP(AU41,TABLAS!$R$4:$S$13,2,TRUE)</f>
        <v>2.0099999999999998</v>
      </c>
      <c r="AW41" s="26">
        <f t="shared" si="18"/>
        <v>2</v>
      </c>
    </row>
    <row r="42" spans="1:49" x14ac:dyDescent="0.3">
      <c r="A42" s="78">
        <f>VLOOKUP(C42,'PIER-FORCES'!$A$3:$G$146,7,FALSE)</f>
        <v>25</v>
      </c>
      <c r="C42" s="24">
        <v>19</v>
      </c>
      <c r="D42" s="24" t="s">
        <v>146</v>
      </c>
      <c r="E42" s="24" t="s">
        <v>140</v>
      </c>
      <c r="F42" s="24" t="s">
        <v>87</v>
      </c>
      <c r="G42" s="24">
        <f>VLOOKUP(C42,TABLAS!$J$4:$M$26,2)</f>
        <v>20</v>
      </c>
      <c r="H42" s="24">
        <f>VLOOKUP(C42,TABLAS!$J$4:$M$27,3)</f>
        <v>20</v>
      </c>
      <c r="I42" s="24">
        <v>192</v>
      </c>
      <c r="J42" s="24">
        <v>230</v>
      </c>
      <c r="K42" s="73">
        <f>MAX(INDEX('PIER-FORCES'!$A$3:$G$146,A42,4),INDEX('PIER-FORCES'!$A$3:$G$146,A42+1,4),INDEX('PIER-FORCES'!$A$3:$G$146,A42+2,4))</f>
        <v>36.128100000000003</v>
      </c>
      <c r="L42" s="73">
        <f>INDEX('PIER-FORCES'!$A$3:$G$146,A43,5)</f>
        <v>0.1203</v>
      </c>
      <c r="M42" s="73">
        <f>INDEX('PIER-FORCES'!$A$3:$G$146,A43+1,5)</f>
        <v>0.24510000000000001</v>
      </c>
      <c r="N42" s="73">
        <f>INDEX('PIER-FORCES'!$A$3:$G$146,A43+2,5)</f>
        <v>5.7096</v>
      </c>
      <c r="O42" s="67" t="s">
        <v>150</v>
      </c>
      <c r="P42" s="67" t="str">
        <f>VLOOKUP(H42,TABLAS!$R$17:$S$19,2)</f>
        <v>$\phi$8@20</v>
      </c>
      <c r="Q42" s="67" t="str">
        <f>AW42&amp;"$\phi$"&amp;AU42</f>
        <v>2$\phi$12</v>
      </c>
      <c r="R42" s="87"/>
      <c r="S42" s="65" t="str">
        <f t="shared" si="46"/>
        <v>EJE 15.C-C1 | PIER F31X | PISO 19</v>
      </c>
      <c r="T42" s="24">
        <f>'PLANILLAS EJE 15'!F62</f>
        <v>0</v>
      </c>
      <c r="U42" s="24">
        <f>'PLANILLAS EJE 15'!F63</f>
        <v>0</v>
      </c>
      <c r="V42" s="26">
        <f t="shared" si="47"/>
        <v>3840</v>
      </c>
      <c r="W42" s="66">
        <v>4.4879895051282755E-3</v>
      </c>
      <c r="X42" s="66">
        <v>0.01</v>
      </c>
      <c r="Y42" s="26">
        <f t="shared" si="48"/>
        <v>19.200000000000003</v>
      </c>
      <c r="Z42" s="26">
        <f t="shared" si="49"/>
        <v>3.8400000000000007</v>
      </c>
      <c r="AA42" s="26" t="str">
        <f>"$\phi$"&amp;VLOOKUP(AO42,TABLAS!$O$4:$P$13,2)</f>
        <v>$\phi$22</v>
      </c>
      <c r="AC42" s="47">
        <f>VLOOKUP(Z42,TABLAS!$O$4:$P$13,1)</f>
        <v>3.8</v>
      </c>
      <c r="AD42" s="26">
        <f t="shared" si="50"/>
        <v>-4.0000000000000924E-2</v>
      </c>
      <c r="AE42" s="26">
        <f t="shared" si="51"/>
        <v>3.8800000000000017</v>
      </c>
      <c r="AF42" s="47">
        <f>IF(AD42&lt;0,VLOOKUP(AE42,TABLAS!$O$4:$P$13,1),AC42)</f>
        <v>3.8</v>
      </c>
      <c r="AG42" s="26">
        <f>AF42-$Z42</f>
        <v>-4.0000000000000924E-2</v>
      </c>
      <c r="AH42" s="69">
        <f>IF(AG42&lt;0,IF(AG42=AD42,AE42-$AD$2*AG42,AF42-AG42),AE42-$AD$2*AG42/2)</f>
        <v>3.9400000000000031</v>
      </c>
      <c r="AI42" s="47">
        <f>IF(AG42&lt;0,VLOOKUP(AH42,TABLAS!$O$4:$P$13,1),AF42)</f>
        <v>3.8</v>
      </c>
      <c r="AJ42" s="26">
        <f>AI42-$Z42</f>
        <v>-4.0000000000000924E-2</v>
      </c>
      <c r="AK42" s="69">
        <f>IF(AJ42&lt;0,IF(AJ42=AG42,AH42-$AD$2*AJ42,AI42-AJ42),AH42-$AD$2*AJ42/2)</f>
        <v>4.0000000000000044</v>
      </c>
      <c r="AL42" s="47">
        <f>IF(AJ42&lt;0,VLOOKUP(AK42,TABLAS!$O$4:$P$13,1),AI42)</f>
        <v>3.8</v>
      </c>
      <c r="AM42" s="26">
        <f>AL42-$Z42</f>
        <v>-4.0000000000000924E-2</v>
      </c>
      <c r="AN42" s="69">
        <f>IF(AM42&lt;0,IF(AM42=AJ42,AK42-$AD$2*AM42,AL42-AM42),AK42-$AD$2*AM42/2)</f>
        <v>4.0600000000000058</v>
      </c>
      <c r="AO42" s="47">
        <f>IF(AM42&lt;0,VLOOKUP(AN42,TABLAS!$O$4:$P$13,1),AL42)</f>
        <v>3.8</v>
      </c>
      <c r="AP42" s="26">
        <f>AO42-$Z42</f>
        <v>-4.0000000000000924E-2</v>
      </c>
      <c r="AQ42" s="69">
        <f>IF(AP42&lt;0,IF(AP42=AM42,AN42-$AD$2*AP42,AO42-AP42),AN42-$AD$2*AP42/2)</f>
        <v>4.1200000000000072</v>
      </c>
      <c r="AR42" s="47">
        <f>IF(AP42&lt;0,VLOOKUP(AQ42,TABLAS!$O$4:$P$13,1),AO42)</f>
        <v>3.8</v>
      </c>
      <c r="AT42" s="90">
        <v>12</v>
      </c>
      <c r="AU42" s="26">
        <f>VLOOKUP(AT42,TABLAS!$R$4:$S$13,1,TRUE)</f>
        <v>12</v>
      </c>
      <c r="AV42" s="26">
        <f>VLOOKUP(AU42,TABLAS!$R$4:$S$13,2,TRUE)</f>
        <v>1.1299999999999999</v>
      </c>
      <c r="AW42" s="26">
        <f t="shared" si="18"/>
        <v>2</v>
      </c>
    </row>
    <row r="43" spans="1:49" x14ac:dyDescent="0.3">
      <c r="A43" s="78">
        <f>VLOOKUP(C43,'PIER-FORCES'!$A$3:$G$146,7,FALSE)</f>
        <v>25</v>
      </c>
      <c r="C43" s="24">
        <v>19</v>
      </c>
      <c r="D43" s="24" t="s">
        <v>147</v>
      </c>
      <c r="E43" s="24" t="s">
        <v>141</v>
      </c>
      <c r="F43" s="24" t="s">
        <v>87</v>
      </c>
      <c r="G43" s="24">
        <f>VLOOKUP(C43,TABLAS!$J$4:$M$26,2)</f>
        <v>20</v>
      </c>
      <c r="H43" s="24">
        <f>VLOOKUP(C43,TABLAS!$J$4:$M$27,3)</f>
        <v>20</v>
      </c>
      <c r="I43" s="24">
        <v>339</v>
      </c>
      <c r="J43" s="24">
        <v>230</v>
      </c>
      <c r="K43" s="73">
        <f>MAX(INDEX('PIER-FORCES'!$A$3:$G$146,A43+3,4),INDEX('PIER-FORCES'!$A$3:$G$146,A43+4,4),INDEX('PIER-FORCES'!$A$3:$G$146,A43+5,4))</f>
        <v>56.114100000000001</v>
      </c>
      <c r="L43" s="73">
        <f>INDEX('PIER-FORCES'!$A$3:$G$146,A43+3,5)</f>
        <v>2.1617999999999999</v>
      </c>
      <c r="M43" s="73">
        <f>INDEX('PIER-FORCES'!$A$3:$G$146,A43+4,5)</f>
        <v>0.1051</v>
      </c>
      <c r="N43" s="73">
        <f>INDEX('PIER-FORCES'!$A$3:$G$146,A43+5,5)</f>
        <v>14.140700000000001</v>
      </c>
      <c r="O43" s="67" t="s">
        <v>150</v>
      </c>
      <c r="P43" s="67" t="str">
        <f>VLOOKUP(H43,TABLAS!$R$17:$S$19,2)</f>
        <v>$\phi$8@20</v>
      </c>
      <c r="Q43" s="67" t="str">
        <f>AW43&amp;"$\phi$"&amp;AU43</f>
        <v>2$\phi$16</v>
      </c>
      <c r="R43" s="87"/>
      <c r="S43" s="65" t="str">
        <f t="shared" si="46"/>
        <v>EJE 15.G-L | PIER F33X | PISO 19</v>
      </c>
      <c r="T43" s="24">
        <f>'PLANILLAS EJE 15'!F63</f>
        <v>0</v>
      </c>
      <c r="U43" s="24">
        <f>'PLANILLAS EJE 15'!F64</f>
        <v>0</v>
      </c>
      <c r="V43" s="26">
        <f t="shared" si="47"/>
        <v>6780</v>
      </c>
      <c r="W43" s="66">
        <v>4.4879895051282755E-3</v>
      </c>
      <c r="X43" s="66">
        <v>0.01</v>
      </c>
      <c r="Y43" s="26">
        <f t="shared" si="48"/>
        <v>33.9</v>
      </c>
      <c r="Z43" s="26">
        <f t="shared" si="49"/>
        <v>6.78</v>
      </c>
      <c r="AA43" s="26" t="str">
        <f>"$\phi$"&amp;VLOOKUP(AO43,TABLAS!$O$4:$P$13,2)</f>
        <v>$\phi$32</v>
      </c>
      <c r="AC43" s="47">
        <f>VLOOKUP(Z43,TABLAS!$O$4:$P$13,1)</f>
        <v>6.16</v>
      </c>
      <c r="AD43" s="26">
        <f t="shared" si="50"/>
        <v>-0.62000000000000011</v>
      </c>
      <c r="AE43" s="26">
        <f t="shared" si="51"/>
        <v>7.4</v>
      </c>
      <c r="AF43" s="47">
        <f>IF(AD43&lt;0,VLOOKUP(AE43,TABLAS!$O$4:$P$13,1),AC43)</f>
        <v>6.16</v>
      </c>
      <c r="AG43" s="26">
        <f>AF43-$Z43</f>
        <v>-0.62000000000000011</v>
      </c>
      <c r="AH43" s="69">
        <f>IF(AG43&lt;0,IF(AG43=AD43,AE43-$AD$2*AG43,AF43-AG43),AE43-$AD$2*AG43/2)</f>
        <v>8.33</v>
      </c>
      <c r="AI43" s="47">
        <f>IF(AG43&lt;0,VLOOKUP(AH43,TABLAS!$O$4:$P$13,1),AF43)</f>
        <v>8.0399999999999991</v>
      </c>
      <c r="AJ43" s="26">
        <f>AI43-$Z43</f>
        <v>1.2599999999999989</v>
      </c>
      <c r="AK43" s="69">
        <f>IF(AJ43&lt;0,IF(AJ43=AG43,AH43-$AD$2*AJ43,AI43-AJ43),AH43-$AD$2*AJ43/2)</f>
        <v>7.3850000000000007</v>
      </c>
      <c r="AL43" s="47">
        <f>IF(AJ43&lt;0,VLOOKUP(AK43,TABLAS!$O$4:$P$13,1),AI43)</f>
        <v>8.0399999999999991</v>
      </c>
      <c r="AM43" s="26">
        <f>AL43-$Z43</f>
        <v>1.2599999999999989</v>
      </c>
      <c r="AN43" s="69">
        <f>IF(AM43&lt;0,IF(AM43=AJ43,AK43-$AD$2*AM43,AL43-AM43),AK43-$AD$2*AM43/2)</f>
        <v>6.4400000000000013</v>
      </c>
      <c r="AO43" s="47">
        <f>IF(AM43&lt;0,VLOOKUP(AN43,TABLAS!$O$4:$P$13,1),AL43)</f>
        <v>8.0399999999999991</v>
      </c>
      <c r="AP43" s="26">
        <f>AO43-$Z43</f>
        <v>1.2599999999999989</v>
      </c>
      <c r="AQ43" s="69">
        <f>IF(AP43&lt;0,IF(AP43=AM43,AN43-$AD$2*AP43,AO43-AP43),AN43-$AD$2*AP43/2)</f>
        <v>5.4950000000000019</v>
      </c>
      <c r="AR43" s="47">
        <f>IF(AP43&lt;0,VLOOKUP(AQ43,TABLAS!$O$4:$P$13,1),AO43)</f>
        <v>8.0399999999999991</v>
      </c>
      <c r="AT43" s="90">
        <v>16</v>
      </c>
      <c r="AU43" s="26">
        <f>VLOOKUP(AT43,TABLAS!$R$4:$S$13,1,TRUE)</f>
        <v>16</v>
      </c>
      <c r="AV43" s="26">
        <f>VLOOKUP(AU43,TABLAS!$R$4:$S$13,2,TRUE)</f>
        <v>2.0099999999999998</v>
      </c>
      <c r="AW43" s="26">
        <f t="shared" si="18"/>
        <v>2</v>
      </c>
    </row>
    <row r="44" spans="1:49" s="78" customFormat="1" x14ac:dyDescent="0.3">
      <c r="A44" s="78">
        <f>VLOOKUP(C44,'PIER-FORCES'!$A$3:$G$146,7,FALSE)</f>
        <v>19</v>
      </c>
      <c r="C44" s="72">
        <v>20</v>
      </c>
      <c r="D44" s="72" t="s">
        <v>146</v>
      </c>
      <c r="E44" s="72" t="s">
        <v>140</v>
      </c>
      <c r="F44" s="72" t="s">
        <v>87</v>
      </c>
      <c r="G44" s="72">
        <f>VLOOKUP(C44,TABLAS!$J$4:$M$26,2)</f>
        <v>20</v>
      </c>
      <c r="H44" s="72">
        <f>VLOOKUP(C44,TABLAS!$J$4:$M$27,3)</f>
        <v>20</v>
      </c>
      <c r="I44" s="72">
        <v>192</v>
      </c>
      <c r="J44" s="72">
        <v>230</v>
      </c>
      <c r="K44" s="79">
        <f>MAX(INDEX('PIER-FORCES'!$A$3:$G$146,A44,4),INDEX('PIER-FORCES'!$A$3:$G$146,A44+1,4),INDEX('PIER-FORCES'!$A$3:$G$146,A44+2,4))</f>
        <v>29.069400000000002</v>
      </c>
      <c r="L44" s="79">
        <f>INDEX('PIER-FORCES'!$A$3:$G$146,A45,5)</f>
        <v>0.1641</v>
      </c>
      <c r="M44" s="79">
        <f>INDEX('PIER-FORCES'!$A$3:$G$146,A45+1,5)</f>
        <v>0.2361</v>
      </c>
      <c r="N44" s="79">
        <f>INDEX('PIER-FORCES'!$A$3:$G$146,A45+2,5)</f>
        <v>5.4522000000000004</v>
      </c>
      <c r="O44" s="72" t="s">
        <v>150</v>
      </c>
      <c r="P44" s="72" t="str">
        <f>VLOOKUP(H44,TABLAS!$R$17:$S$19,2)</f>
        <v>$\phi$8@20</v>
      </c>
      <c r="Q44" s="72" t="str">
        <f>AW44&amp;"$\phi$"&amp;AU44</f>
        <v>2$\phi$12</v>
      </c>
      <c r="S44" s="80" t="str">
        <f t="shared" si="46"/>
        <v>EJE 15.C-C1 | PIER F31X | PISO 20</v>
      </c>
      <c r="T44" s="72">
        <f>'PLANILLAS EJE 15'!F64</f>
        <v>0</v>
      </c>
      <c r="U44" s="72">
        <f>'PLANILLAS EJE 15'!F65</f>
        <v>0</v>
      </c>
      <c r="V44" s="78">
        <f t="shared" si="47"/>
        <v>3840</v>
      </c>
      <c r="W44" s="81">
        <v>4.4879895051282755E-3</v>
      </c>
      <c r="X44" s="81">
        <v>0.01</v>
      </c>
      <c r="Y44" s="78">
        <f t="shared" si="48"/>
        <v>19.200000000000003</v>
      </c>
      <c r="Z44" s="78">
        <f t="shared" si="49"/>
        <v>3.8400000000000007</v>
      </c>
      <c r="AA44" s="78" t="str">
        <f>"$\phi$"&amp;VLOOKUP(AO44,TABLAS!$O$4:$P$13,2)</f>
        <v>$\phi$22</v>
      </c>
      <c r="AC44" s="78">
        <f>VLOOKUP(Z44,TABLAS!$O$4:$P$13,1)</f>
        <v>3.8</v>
      </c>
      <c r="AD44" s="78">
        <f t="shared" si="50"/>
        <v>-4.0000000000000924E-2</v>
      </c>
      <c r="AE44" s="78">
        <f t="shared" si="51"/>
        <v>3.8800000000000017</v>
      </c>
      <c r="AF44" s="78">
        <f>IF(AD44&lt;0,VLOOKUP(AE44,TABLAS!$O$4:$P$13,1),AC44)</f>
        <v>3.8</v>
      </c>
      <c r="AG44" s="78">
        <f>AF44-$Z44</f>
        <v>-4.0000000000000924E-2</v>
      </c>
      <c r="AH44" s="82">
        <f>IF(AG44&lt;0,IF(AG44=AD44,AE44-$AD$2*AG44,AF44-AG44),AE44-$AD$2*AG44/2)</f>
        <v>3.9400000000000031</v>
      </c>
      <c r="AI44" s="78">
        <f>IF(AG44&lt;0,VLOOKUP(AH44,TABLAS!$O$4:$P$13,1),AF44)</f>
        <v>3.8</v>
      </c>
      <c r="AJ44" s="78">
        <f>AI44-$Z44</f>
        <v>-4.0000000000000924E-2</v>
      </c>
      <c r="AK44" s="82">
        <f>IF(AJ44&lt;0,IF(AJ44=AG44,AH44-$AD$2*AJ44,AI44-AJ44),AH44-$AD$2*AJ44/2)</f>
        <v>4.0000000000000044</v>
      </c>
      <c r="AL44" s="78">
        <f>IF(AJ44&lt;0,VLOOKUP(AK44,TABLAS!$O$4:$P$13,1),AI44)</f>
        <v>3.8</v>
      </c>
      <c r="AM44" s="78">
        <f>AL44-$Z44</f>
        <v>-4.0000000000000924E-2</v>
      </c>
      <c r="AN44" s="82">
        <f>IF(AM44&lt;0,IF(AM44=AJ44,AK44-$AD$2*AM44,AL44-AM44),AK44-$AD$2*AM44/2)</f>
        <v>4.0600000000000058</v>
      </c>
      <c r="AO44" s="78">
        <f>IF(AM44&lt;0,VLOOKUP(AN44,TABLAS!$O$4:$P$13,1),AL44)</f>
        <v>3.8</v>
      </c>
      <c r="AP44" s="78">
        <f>AO44-$Z44</f>
        <v>-4.0000000000000924E-2</v>
      </c>
      <c r="AQ44" s="82">
        <f>IF(AP44&lt;0,IF(AP44=AM44,AN44-$AD$2*AP44,AO44-AP44),AN44-$AD$2*AP44/2)</f>
        <v>4.1200000000000072</v>
      </c>
      <c r="AR44" s="78">
        <f>IF(AP44&lt;0,VLOOKUP(AQ44,TABLAS!$O$4:$P$13,1),AO44)</f>
        <v>3.8</v>
      </c>
      <c r="AT44" s="82">
        <v>12</v>
      </c>
      <c r="AU44" s="78">
        <f>VLOOKUP(AT44,TABLAS!$R$4:$S$13,1,TRUE)</f>
        <v>12</v>
      </c>
      <c r="AV44" s="78">
        <f>VLOOKUP(AU44,TABLAS!$R$4:$S$13,2,TRUE)</f>
        <v>1.1299999999999999</v>
      </c>
      <c r="AW44" s="26">
        <f t="shared" si="18"/>
        <v>2</v>
      </c>
    </row>
    <row r="45" spans="1:49" s="78" customFormat="1" x14ac:dyDescent="0.3">
      <c r="A45" s="78">
        <f>VLOOKUP(C45,'PIER-FORCES'!$A$3:$G$146,7,FALSE)</f>
        <v>19</v>
      </c>
      <c r="C45" s="72">
        <v>20</v>
      </c>
      <c r="D45" s="72" t="s">
        <v>147</v>
      </c>
      <c r="E45" s="72" t="s">
        <v>141</v>
      </c>
      <c r="F45" s="72" t="s">
        <v>87</v>
      </c>
      <c r="G45" s="72">
        <f>VLOOKUP(C45,TABLAS!$J$4:$M$26,2)</f>
        <v>20</v>
      </c>
      <c r="H45" s="72">
        <f>VLOOKUP(C45,TABLAS!$J$4:$M$27,3)</f>
        <v>20</v>
      </c>
      <c r="I45" s="72">
        <v>339</v>
      </c>
      <c r="J45" s="72">
        <v>230</v>
      </c>
      <c r="K45" s="79">
        <f>MAX(INDEX('PIER-FORCES'!$A$3:$G$146,A45+3,4),INDEX('PIER-FORCES'!$A$3:$G$146,A45+4,4),INDEX('PIER-FORCES'!$A$3:$G$146,A45+5,4))</f>
        <v>45.105499999999999</v>
      </c>
      <c r="L45" s="79">
        <f>INDEX('PIER-FORCES'!$A$3:$G$146,A45+3,5)</f>
        <v>2.1467000000000001</v>
      </c>
      <c r="M45" s="79">
        <f>INDEX('PIER-FORCES'!$A$3:$G$146,A45+4,5)</f>
        <v>0.12609999999999999</v>
      </c>
      <c r="N45" s="79">
        <f>INDEX('PIER-FORCES'!$A$3:$G$146,A45+5,5)</f>
        <v>12.955</v>
      </c>
      <c r="O45" s="72" t="s">
        <v>150</v>
      </c>
      <c r="P45" s="72" t="str">
        <f>VLOOKUP(H45,TABLAS!$R$17:$S$19,2)</f>
        <v>$\phi$8@20</v>
      </c>
      <c r="Q45" s="72" t="str">
        <f>AW45&amp;"$\phi$"&amp;AU45</f>
        <v>2$\phi$16</v>
      </c>
      <c r="S45" s="80" t="str">
        <f t="shared" si="46"/>
        <v>EJE 15.G-L | PIER F33X | PISO 20</v>
      </c>
      <c r="T45" s="72">
        <f>'PLANILLAS EJE 15'!F65</f>
        <v>0</v>
      </c>
      <c r="U45" s="72">
        <f>'PLANILLAS EJE 15'!F66</f>
        <v>0</v>
      </c>
      <c r="V45" s="78">
        <f t="shared" si="47"/>
        <v>6780</v>
      </c>
      <c r="W45" s="81">
        <v>4.4879895051282755E-3</v>
      </c>
      <c r="X45" s="81">
        <v>0.01</v>
      </c>
      <c r="Y45" s="78">
        <f t="shared" si="48"/>
        <v>33.9</v>
      </c>
      <c r="Z45" s="78">
        <f t="shared" si="49"/>
        <v>6.78</v>
      </c>
      <c r="AA45" s="78" t="str">
        <f>"$\phi$"&amp;VLOOKUP(AO45,TABLAS!$O$4:$P$13,2)</f>
        <v>$\phi$32</v>
      </c>
      <c r="AC45" s="78">
        <f>VLOOKUP(Z45,TABLAS!$O$4:$P$13,1)</f>
        <v>6.16</v>
      </c>
      <c r="AD45" s="78">
        <f t="shared" si="50"/>
        <v>-0.62000000000000011</v>
      </c>
      <c r="AE45" s="78">
        <f t="shared" si="51"/>
        <v>7.4</v>
      </c>
      <c r="AF45" s="78">
        <f>IF(AD45&lt;0,VLOOKUP(AE45,TABLAS!$O$4:$P$13,1),AC45)</f>
        <v>6.16</v>
      </c>
      <c r="AG45" s="78">
        <f>AF45-$Z45</f>
        <v>-0.62000000000000011</v>
      </c>
      <c r="AH45" s="82">
        <f>IF(AG45&lt;0,IF(AG45=AD45,AE45-$AD$2*AG45,AF45-AG45),AE45-$AD$2*AG45/2)</f>
        <v>8.33</v>
      </c>
      <c r="AI45" s="78">
        <f>IF(AG45&lt;0,VLOOKUP(AH45,TABLAS!$O$4:$P$13,1),AF45)</f>
        <v>8.0399999999999991</v>
      </c>
      <c r="AJ45" s="78">
        <f>AI45-$Z45</f>
        <v>1.2599999999999989</v>
      </c>
      <c r="AK45" s="82">
        <f>IF(AJ45&lt;0,IF(AJ45=AG45,AH45-$AD$2*AJ45,AI45-AJ45),AH45-$AD$2*AJ45/2)</f>
        <v>7.3850000000000007</v>
      </c>
      <c r="AL45" s="78">
        <f>IF(AJ45&lt;0,VLOOKUP(AK45,TABLAS!$O$4:$P$13,1),AI45)</f>
        <v>8.0399999999999991</v>
      </c>
      <c r="AM45" s="78">
        <f>AL45-$Z45</f>
        <v>1.2599999999999989</v>
      </c>
      <c r="AN45" s="82">
        <f>IF(AM45&lt;0,IF(AM45=AJ45,AK45-$AD$2*AM45,AL45-AM45),AK45-$AD$2*AM45/2)</f>
        <v>6.4400000000000013</v>
      </c>
      <c r="AO45" s="78">
        <f>IF(AM45&lt;0,VLOOKUP(AN45,TABLAS!$O$4:$P$13,1),AL45)</f>
        <v>8.0399999999999991</v>
      </c>
      <c r="AP45" s="78">
        <f>AO45-$Z45</f>
        <v>1.2599999999999989</v>
      </c>
      <c r="AQ45" s="82">
        <f>IF(AP45&lt;0,IF(AP45=AM45,AN45-$AD$2*AP45,AO45-AP45),AN45-$AD$2*AP45/2)</f>
        <v>5.4950000000000019</v>
      </c>
      <c r="AR45" s="78">
        <f>IF(AP45&lt;0,VLOOKUP(AQ45,TABLAS!$O$4:$P$13,1),AO45)</f>
        <v>8.0399999999999991</v>
      </c>
      <c r="AT45" s="82">
        <v>16</v>
      </c>
      <c r="AU45" s="78">
        <f>VLOOKUP(AT45,TABLAS!$R$4:$S$13,1,TRUE)</f>
        <v>16</v>
      </c>
      <c r="AV45" s="78">
        <f>VLOOKUP(AU45,TABLAS!$R$4:$S$13,2,TRUE)</f>
        <v>2.0099999999999998</v>
      </c>
      <c r="AW45" s="26">
        <f t="shared" si="18"/>
        <v>2</v>
      </c>
    </row>
    <row r="46" spans="1:49" x14ac:dyDescent="0.3">
      <c r="A46" s="78">
        <f>VLOOKUP(C46,'PIER-FORCES'!$A$3:$G$146,7,FALSE)</f>
        <v>13</v>
      </c>
      <c r="C46" s="24">
        <v>21</v>
      </c>
      <c r="D46" s="24" t="s">
        <v>146</v>
      </c>
      <c r="E46" s="24" t="s">
        <v>140</v>
      </c>
      <c r="F46" s="24" t="s">
        <v>87</v>
      </c>
      <c r="G46" s="24">
        <f>VLOOKUP(C46,TABLAS!$J$4:$M$26,2)</f>
        <v>20</v>
      </c>
      <c r="H46" s="24">
        <f>VLOOKUP(C46,TABLAS!$J$4:$M$27,3)</f>
        <v>20</v>
      </c>
      <c r="I46" s="24">
        <v>192</v>
      </c>
      <c r="J46" s="24">
        <v>230</v>
      </c>
      <c r="K46" s="73">
        <f>MAX(INDEX('PIER-FORCES'!$A$3:$G$146,A46,4),INDEX('PIER-FORCES'!$A$3:$G$146,A46+1,4),INDEX('PIER-FORCES'!$A$3:$G$146,A46+2,4))</f>
        <v>21.971299999999999</v>
      </c>
      <c r="L46" s="73">
        <f>INDEX('PIER-FORCES'!$A$3:$G$146,A47,5)</f>
        <v>0.2177</v>
      </c>
      <c r="M46" s="73">
        <f>INDEX('PIER-FORCES'!$A$3:$G$146,A47+1,5)</f>
        <v>0.2238</v>
      </c>
      <c r="N46" s="73">
        <f>INDEX('PIER-FORCES'!$A$3:$G$146,A47+2,5)</f>
        <v>5.0326000000000004</v>
      </c>
      <c r="O46" s="67" t="s">
        <v>150</v>
      </c>
      <c r="P46" s="67" t="str">
        <f>VLOOKUP(H46,TABLAS!$R$17:$S$19,2)</f>
        <v>$\phi$8@20</v>
      </c>
      <c r="Q46" s="67" t="str">
        <f>AW46&amp;"$\phi$"&amp;AU46</f>
        <v>2$\phi$12</v>
      </c>
      <c r="S46" s="65" t="str">
        <f t="shared" si="46"/>
        <v>EJE 15.C-C1 | PIER F31X | PISO 21</v>
      </c>
      <c r="T46" s="24">
        <f>'PLANILLAS EJE 15'!F66</f>
        <v>0</v>
      </c>
      <c r="U46" s="24">
        <f>'PLANILLAS EJE 15'!F67</f>
        <v>0</v>
      </c>
      <c r="V46" s="26">
        <f t="shared" si="47"/>
        <v>3840</v>
      </c>
      <c r="W46" s="66">
        <v>4.4879895051282755E-3</v>
      </c>
      <c r="X46" s="66">
        <v>0.01</v>
      </c>
      <c r="Y46" s="26">
        <f t="shared" si="48"/>
        <v>19.200000000000003</v>
      </c>
      <c r="Z46" s="26">
        <f t="shared" si="49"/>
        <v>3.8400000000000007</v>
      </c>
      <c r="AA46" s="26" t="str">
        <f>"$\phi$"&amp;VLOOKUP(AO46,TABLAS!$O$4:$P$13,2)</f>
        <v>$\phi$22</v>
      </c>
      <c r="AC46" s="47">
        <f>VLOOKUP(Z46,TABLAS!$O$4:$P$13,1)</f>
        <v>3.8</v>
      </c>
      <c r="AD46" s="26">
        <f t="shared" si="50"/>
        <v>-4.0000000000000924E-2</v>
      </c>
      <c r="AE46" s="26">
        <f t="shared" si="51"/>
        <v>3.8800000000000017</v>
      </c>
      <c r="AF46" s="47">
        <f>IF(AD46&lt;0,VLOOKUP(AE46,TABLAS!$O$4:$P$13,1),AC46)</f>
        <v>3.8</v>
      </c>
      <c r="AG46" s="26">
        <f>AF46-$Z46</f>
        <v>-4.0000000000000924E-2</v>
      </c>
      <c r="AH46" s="69">
        <f>IF(AG46&lt;0,IF(AG46=AD46,AE46-$AD$2*AG46,AF46-AG46),AE46-$AD$2*AG46/2)</f>
        <v>3.9400000000000031</v>
      </c>
      <c r="AI46" s="47">
        <f>IF(AG46&lt;0,VLOOKUP(AH46,TABLAS!$O$4:$P$13,1),AF46)</f>
        <v>3.8</v>
      </c>
      <c r="AJ46" s="26">
        <f>AI46-$Z46</f>
        <v>-4.0000000000000924E-2</v>
      </c>
      <c r="AK46" s="69">
        <f>IF(AJ46&lt;0,IF(AJ46=AG46,AH46-$AD$2*AJ46,AI46-AJ46),AH46-$AD$2*AJ46/2)</f>
        <v>4.0000000000000044</v>
      </c>
      <c r="AL46" s="47">
        <f>IF(AJ46&lt;0,VLOOKUP(AK46,TABLAS!$O$4:$P$13,1),AI46)</f>
        <v>3.8</v>
      </c>
      <c r="AM46" s="26">
        <f>AL46-$Z46</f>
        <v>-4.0000000000000924E-2</v>
      </c>
      <c r="AN46" s="69">
        <f>IF(AM46&lt;0,IF(AM46=AJ46,AK46-$AD$2*AM46,AL46-AM46),AK46-$AD$2*AM46/2)</f>
        <v>4.0600000000000058</v>
      </c>
      <c r="AO46" s="47">
        <f>IF(AM46&lt;0,VLOOKUP(AN46,TABLAS!$O$4:$P$13,1),AL46)</f>
        <v>3.8</v>
      </c>
      <c r="AP46" s="26">
        <f>AO46-$Z46</f>
        <v>-4.0000000000000924E-2</v>
      </c>
      <c r="AQ46" s="69">
        <f>IF(AP46&lt;0,IF(AP46=AM46,AN46-$AD$2*AP46,AO46-AP46),AN46-$AD$2*AP46/2)</f>
        <v>4.1200000000000072</v>
      </c>
      <c r="AR46" s="47">
        <f>IF(AP46&lt;0,VLOOKUP(AQ46,TABLAS!$O$4:$P$13,1),AO46)</f>
        <v>3.8</v>
      </c>
      <c r="AT46" s="90">
        <v>12</v>
      </c>
      <c r="AU46" s="26">
        <f>VLOOKUP(AT46,TABLAS!$R$4:$S$13,1,TRUE)</f>
        <v>12</v>
      </c>
      <c r="AV46" s="26">
        <f>VLOOKUP(AU46,TABLAS!$R$4:$S$13,2,TRUE)</f>
        <v>1.1299999999999999</v>
      </c>
      <c r="AW46" s="26">
        <f t="shared" si="18"/>
        <v>2</v>
      </c>
    </row>
    <row r="47" spans="1:49" x14ac:dyDescent="0.3">
      <c r="A47" s="78">
        <f>VLOOKUP(C47,'PIER-FORCES'!$A$3:$G$146,7,FALSE)</f>
        <v>13</v>
      </c>
      <c r="C47" s="24">
        <v>21</v>
      </c>
      <c r="D47" s="24" t="s">
        <v>147</v>
      </c>
      <c r="E47" s="24" t="s">
        <v>141</v>
      </c>
      <c r="F47" s="24" t="s">
        <v>87</v>
      </c>
      <c r="G47" s="24">
        <f>VLOOKUP(C47,TABLAS!$J$4:$M$26,2)</f>
        <v>20</v>
      </c>
      <c r="H47" s="24">
        <f>VLOOKUP(C47,TABLAS!$J$4:$M$27,3)</f>
        <v>20</v>
      </c>
      <c r="I47" s="24">
        <v>339</v>
      </c>
      <c r="J47" s="24">
        <v>230</v>
      </c>
      <c r="K47" s="73">
        <f>MAX(INDEX('PIER-FORCES'!$A$3:$G$146,A47+3,4),INDEX('PIER-FORCES'!$A$3:$G$146,A47+4,4),INDEX('PIER-FORCES'!$A$3:$G$146,A47+5,4))</f>
        <v>34.034700000000001</v>
      </c>
      <c r="L47" s="73">
        <f>INDEX('PIER-FORCES'!$A$3:$G$146,A47+3,5)</f>
        <v>2.3083999999999998</v>
      </c>
      <c r="M47" s="73">
        <f>INDEX('PIER-FORCES'!$A$3:$G$146,A47+4,5)</f>
        <v>0.14069999999999999</v>
      </c>
      <c r="N47" s="73">
        <f>INDEX('PIER-FORCES'!$A$3:$G$146,A47+5,5)</f>
        <v>10.7913</v>
      </c>
      <c r="O47" s="67" t="s">
        <v>150</v>
      </c>
      <c r="P47" s="67" t="str">
        <f>VLOOKUP(H47,TABLAS!$R$17:$S$19,2)</f>
        <v>$\phi$8@20</v>
      </c>
      <c r="Q47" s="67" t="str">
        <f>AW47&amp;"$\phi$"&amp;AU47</f>
        <v>2$\phi$16</v>
      </c>
      <c r="S47" s="65" t="str">
        <f t="shared" si="46"/>
        <v>EJE 15.G-L | PIER F33X | PISO 21</v>
      </c>
      <c r="T47" s="24">
        <f>'PLANILLAS EJE 15'!F67</f>
        <v>0</v>
      </c>
      <c r="U47" s="24">
        <f>'PLANILLAS EJE 15'!F68</f>
        <v>0</v>
      </c>
      <c r="V47" s="26">
        <f t="shared" si="47"/>
        <v>6780</v>
      </c>
      <c r="W47" s="66">
        <v>4.4879895051282755E-3</v>
      </c>
      <c r="X47" s="66">
        <v>0.01</v>
      </c>
      <c r="Y47" s="26">
        <f t="shared" si="48"/>
        <v>33.9</v>
      </c>
      <c r="Z47" s="26">
        <f t="shared" si="49"/>
        <v>6.78</v>
      </c>
      <c r="AA47" s="26" t="str">
        <f>"$\phi$"&amp;VLOOKUP(AO47,TABLAS!$O$4:$P$13,2)</f>
        <v>$\phi$32</v>
      </c>
      <c r="AC47" s="47">
        <f>VLOOKUP(Z47,TABLAS!$O$4:$P$13,1)</f>
        <v>6.16</v>
      </c>
      <c r="AD47" s="26">
        <f t="shared" si="50"/>
        <v>-0.62000000000000011</v>
      </c>
      <c r="AE47" s="26">
        <f t="shared" si="51"/>
        <v>7.4</v>
      </c>
      <c r="AF47" s="47">
        <f>IF(AD47&lt;0,VLOOKUP(AE47,TABLAS!$O$4:$P$13,1),AC47)</f>
        <v>6.16</v>
      </c>
      <c r="AG47" s="26">
        <f>AF47-$Z47</f>
        <v>-0.62000000000000011</v>
      </c>
      <c r="AH47" s="69">
        <f>IF(AG47&lt;0,IF(AG47=AD47,AE47-$AD$2*AG47,AF47-AG47),AE47-$AD$2*AG47/2)</f>
        <v>8.33</v>
      </c>
      <c r="AI47" s="47">
        <f>IF(AG47&lt;0,VLOOKUP(AH47,TABLAS!$O$4:$P$13,1),AF47)</f>
        <v>8.0399999999999991</v>
      </c>
      <c r="AJ47" s="26">
        <f>AI47-$Z47</f>
        <v>1.2599999999999989</v>
      </c>
      <c r="AK47" s="69">
        <f>IF(AJ47&lt;0,IF(AJ47=AG47,AH47-$AD$2*AJ47,AI47-AJ47),AH47-$AD$2*AJ47/2)</f>
        <v>7.3850000000000007</v>
      </c>
      <c r="AL47" s="47">
        <f>IF(AJ47&lt;0,VLOOKUP(AK47,TABLAS!$O$4:$P$13,1),AI47)</f>
        <v>8.0399999999999991</v>
      </c>
      <c r="AM47" s="26">
        <f>AL47-$Z47</f>
        <v>1.2599999999999989</v>
      </c>
      <c r="AN47" s="69">
        <f>IF(AM47&lt;0,IF(AM47=AJ47,AK47-$AD$2*AM47,AL47-AM47),AK47-$AD$2*AM47/2)</f>
        <v>6.4400000000000013</v>
      </c>
      <c r="AO47" s="47">
        <f>IF(AM47&lt;0,VLOOKUP(AN47,TABLAS!$O$4:$P$13,1),AL47)</f>
        <v>8.0399999999999991</v>
      </c>
      <c r="AP47" s="26">
        <f>AO47-$Z47</f>
        <v>1.2599999999999989</v>
      </c>
      <c r="AQ47" s="69">
        <f>IF(AP47&lt;0,IF(AP47=AM47,AN47-$AD$2*AP47,AO47-AP47),AN47-$AD$2*AP47/2)</f>
        <v>5.4950000000000019</v>
      </c>
      <c r="AR47" s="47">
        <f>IF(AP47&lt;0,VLOOKUP(AQ47,TABLAS!$O$4:$P$13,1),AO47)</f>
        <v>8.0399999999999991</v>
      </c>
      <c r="AT47" s="90">
        <v>16</v>
      </c>
      <c r="AU47" s="26">
        <f>VLOOKUP(AT47,TABLAS!$R$4:$S$13,1,TRUE)</f>
        <v>16</v>
      </c>
      <c r="AV47" s="26">
        <f>VLOOKUP(AU47,TABLAS!$R$4:$S$13,2,TRUE)</f>
        <v>2.0099999999999998</v>
      </c>
      <c r="AW47" s="26">
        <f t="shared" si="18"/>
        <v>2</v>
      </c>
    </row>
    <row r="48" spans="1:49" s="78" customFormat="1" x14ac:dyDescent="0.3">
      <c r="A48" s="78">
        <f>VLOOKUP(C48,'PIER-FORCES'!$A$3:$G$146,7,FALSE)</f>
        <v>7</v>
      </c>
      <c r="C48" s="72">
        <v>22</v>
      </c>
      <c r="D48" s="72" t="s">
        <v>146</v>
      </c>
      <c r="E48" s="72" t="s">
        <v>140</v>
      </c>
      <c r="F48" s="72" t="s">
        <v>87</v>
      </c>
      <c r="G48" s="72">
        <f>VLOOKUP(C48,TABLAS!$J$4:$M$26,2)</f>
        <v>20</v>
      </c>
      <c r="H48" s="72">
        <f>VLOOKUP(C48,TABLAS!$J$4:$M$27,3)</f>
        <v>20</v>
      </c>
      <c r="I48" s="72">
        <v>192</v>
      </c>
      <c r="J48" s="72">
        <v>230</v>
      </c>
      <c r="K48" s="79">
        <f>MAX(INDEX('PIER-FORCES'!$A$3:$G$146,A48,4),INDEX('PIER-FORCES'!$A$3:$G$146,A48+1,4),INDEX('PIER-FORCES'!$A$3:$G$146,A48+2,4))</f>
        <v>14.606999999999999</v>
      </c>
      <c r="L48" s="79">
        <f>INDEX('PIER-FORCES'!$A$3:$G$146,A49,5)</f>
        <v>0.50309999999999999</v>
      </c>
      <c r="M48" s="79">
        <f>INDEX('PIER-FORCES'!$A$3:$G$146,A49+1,5)</f>
        <v>0.1699</v>
      </c>
      <c r="N48" s="79">
        <f>INDEX('PIER-FORCES'!$A$3:$G$146,A49+2,5)</f>
        <v>4.4038000000000004</v>
      </c>
      <c r="O48" s="72" t="s">
        <v>150</v>
      </c>
      <c r="P48" s="72" t="str">
        <f>VLOOKUP(H48,TABLAS!$R$17:$S$19,2)</f>
        <v>$\phi$8@20</v>
      </c>
      <c r="Q48" s="72" t="str">
        <f>AW48&amp;"$\phi$"&amp;AU48</f>
        <v>2$\phi$12</v>
      </c>
      <c r="S48" s="80" t="str">
        <f t="shared" si="46"/>
        <v>EJE 15.C-C1 | PIER F31X | PISO 22</v>
      </c>
      <c r="T48" s="72">
        <f>'PLANILLAS EJE 15'!F68</f>
        <v>0</v>
      </c>
      <c r="U48" s="72" t="str">
        <f>'PLANILLAS EJE 15'!F69</f>
        <v>[OK]</v>
      </c>
      <c r="V48" s="78">
        <f t="shared" si="47"/>
        <v>3840</v>
      </c>
      <c r="W48" s="81">
        <v>4.4879895051282755E-3</v>
      </c>
      <c r="X48" s="81">
        <v>0.01</v>
      </c>
      <c r="Y48" s="78">
        <f t="shared" si="48"/>
        <v>19.200000000000003</v>
      </c>
      <c r="Z48" s="78">
        <f t="shared" si="49"/>
        <v>3.8400000000000007</v>
      </c>
      <c r="AA48" s="78" t="str">
        <f>"$\phi$"&amp;VLOOKUP(AO48,TABLAS!$O$4:$P$13,2)</f>
        <v>$\phi$22</v>
      </c>
      <c r="AC48" s="78">
        <f>VLOOKUP(Z48,TABLAS!$O$4:$P$13,1)</f>
        <v>3.8</v>
      </c>
      <c r="AD48" s="78">
        <f t="shared" si="50"/>
        <v>-4.0000000000000924E-2</v>
      </c>
      <c r="AE48" s="78">
        <f t="shared" si="51"/>
        <v>3.8800000000000017</v>
      </c>
      <c r="AF48" s="78">
        <f>IF(AD48&lt;0,VLOOKUP(AE48,TABLAS!$O$4:$P$13,1),AC48)</f>
        <v>3.8</v>
      </c>
      <c r="AG48" s="78">
        <f>AF48-$Z48</f>
        <v>-4.0000000000000924E-2</v>
      </c>
      <c r="AH48" s="82">
        <f>IF(AG48&lt;0,IF(AG48=AD48,AE48-$AD$2*AG48,AF48-AG48),AE48-$AD$2*AG48/2)</f>
        <v>3.9400000000000031</v>
      </c>
      <c r="AI48" s="78">
        <f>IF(AG48&lt;0,VLOOKUP(AH48,TABLAS!$O$4:$P$13,1),AF48)</f>
        <v>3.8</v>
      </c>
      <c r="AJ48" s="78">
        <f>AI48-$Z48</f>
        <v>-4.0000000000000924E-2</v>
      </c>
      <c r="AK48" s="82">
        <f>IF(AJ48&lt;0,IF(AJ48=AG48,AH48-$AD$2*AJ48,AI48-AJ48),AH48-$AD$2*AJ48/2)</f>
        <v>4.0000000000000044</v>
      </c>
      <c r="AL48" s="78">
        <f>IF(AJ48&lt;0,VLOOKUP(AK48,TABLAS!$O$4:$P$13,1),AI48)</f>
        <v>3.8</v>
      </c>
      <c r="AM48" s="78">
        <f>AL48-$Z48</f>
        <v>-4.0000000000000924E-2</v>
      </c>
      <c r="AN48" s="82">
        <f>IF(AM48&lt;0,IF(AM48=AJ48,AK48-$AD$2*AM48,AL48-AM48),AK48-$AD$2*AM48/2)</f>
        <v>4.0600000000000058</v>
      </c>
      <c r="AO48" s="78">
        <f>IF(AM48&lt;0,VLOOKUP(AN48,TABLAS!$O$4:$P$13,1),AL48)</f>
        <v>3.8</v>
      </c>
      <c r="AP48" s="78">
        <f>AO48-$Z48</f>
        <v>-4.0000000000000924E-2</v>
      </c>
      <c r="AQ48" s="82">
        <f>IF(AP48&lt;0,IF(AP48=AM48,AN48-$AD$2*AP48,AO48-AP48),AN48-$AD$2*AP48/2)</f>
        <v>4.1200000000000072</v>
      </c>
      <c r="AR48" s="78">
        <f>IF(AP48&lt;0,VLOOKUP(AQ48,TABLAS!$O$4:$P$13,1),AO48)</f>
        <v>3.8</v>
      </c>
      <c r="AT48" s="82">
        <v>12</v>
      </c>
      <c r="AU48" s="78">
        <f>VLOOKUP(AT48,TABLAS!$R$4:$S$13,1,TRUE)</f>
        <v>12</v>
      </c>
      <c r="AV48" s="78">
        <f>VLOOKUP(AU48,TABLAS!$R$4:$S$13,2,TRUE)</f>
        <v>1.1299999999999999</v>
      </c>
      <c r="AW48" s="26">
        <f t="shared" si="18"/>
        <v>2</v>
      </c>
    </row>
    <row r="49" spans="1:49" s="78" customFormat="1" x14ac:dyDescent="0.3">
      <c r="A49" s="78">
        <f>VLOOKUP(C49,'PIER-FORCES'!$A$3:$G$146,7,FALSE)</f>
        <v>7</v>
      </c>
      <c r="C49" s="72">
        <v>22</v>
      </c>
      <c r="D49" s="72" t="s">
        <v>147</v>
      </c>
      <c r="E49" s="72" t="s">
        <v>141</v>
      </c>
      <c r="F49" s="72" t="s">
        <v>87</v>
      </c>
      <c r="G49" s="72">
        <f>VLOOKUP(C49,TABLAS!$J$4:$M$26,2)</f>
        <v>20</v>
      </c>
      <c r="H49" s="72">
        <f>VLOOKUP(C49,TABLAS!$J$4:$M$27,3)</f>
        <v>20</v>
      </c>
      <c r="I49" s="72">
        <v>339</v>
      </c>
      <c r="J49" s="72">
        <v>230</v>
      </c>
      <c r="K49" s="79">
        <f>MAX(INDEX('PIER-FORCES'!$A$3:$G$146,A49+3,4),INDEX('PIER-FORCES'!$A$3:$G$146,A49+4,4),INDEX('PIER-FORCES'!$A$3:$G$146,A49+5,4))</f>
        <v>22.536100000000001</v>
      </c>
      <c r="L49" s="79">
        <f>INDEX('PIER-FORCES'!$A$3:$G$146,A49+3,5)</f>
        <v>2.2667999999999999</v>
      </c>
      <c r="M49" s="79">
        <f>INDEX('PIER-FORCES'!$A$3:$G$146,A49+4,5)</f>
        <v>0.16439999999999999</v>
      </c>
      <c r="N49" s="79">
        <f>INDEX('PIER-FORCES'!$A$3:$G$146,A49+5,5)</f>
        <v>7.4040999999999997</v>
      </c>
      <c r="O49" s="72" t="s">
        <v>150</v>
      </c>
      <c r="P49" s="72" t="str">
        <f>VLOOKUP(H49,TABLAS!$R$17:$S$19,2)</f>
        <v>$\phi$8@20</v>
      </c>
      <c r="Q49" s="72" t="str">
        <f>AW49&amp;"$\phi$"&amp;AU49</f>
        <v>2$\phi$16</v>
      </c>
      <c r="S49" s="80" t="str">
        <f t="shared" si="46"/>
        <v>EJE 15.G-L | PIER F33X | PISO 22</v>
      </c>
      <c r="T49" s="72" t="str">
        <f>'PLANILLAS EJE 15'!F69</f>
        <v>[OK]</v>
      </c>
      <c r="U49" s="72" t="str">
        <f>'PLANILLAS EJE 15'!F70</f>
        <v>[ÁREA MINIMA]</v>
      </c>
      <c r="V49" s="78">
        <f t="shared" si="47"/>
        <v>6780</v>
      </c>
      <c r="W49" s="81">
        <v>4.4879895051282755E-3</v>
      </c>
      <c r="X49" s="81">
        <v>0.01</v>
      </c>
      <c r="Y49" s="78">
        <f t="shared" si="48"/>
        <v>33.9</v>
      </c>
      <c r="Z49" s="78">
        <f t="shared" si="49"/>
        <v>6.78</v>
      </c>
      <c r="AA49" s="78" t="str">
        <f>"$\phi$"&amp;VLOOKUP(AO49,TABLAS!$O$4:$P$13,2)</f>
        <v>$\phi$32</v>
      </c>
      <c r="AC49" s="78">
        <f>VLOOKUP(Z49,TABLAS!$O$4:$P$13,1)</f>
        <v>6.16</v>
      </c>
      <c r="AD49" s="78">
        <f t="shared" si="50"/>
        <v>-0.62000000000000011</v>
      </c>
      <c r="AE49" s="78">
        <f t="shared" si="51"/>
        <v>7.4</v>
      </c>
      <c r="AF49" s="78">
        <f>IF(AD49&lt;0,VLOOKUP(AE49,TABLAS!$O$4:$P$13,1),AC49)</f>
        <v>6.16</v>
      </c>
      <c r="AG49" s="78">
        <f>AF49-$Z49</f>
        <v>-0.62000000000000011</v>
      </c>
      <c r="AH49" s="82">
        <f>IF(AG49&lt;0,IF(AG49=AD49,AE49-$AD$2*AG49,AF49-AG49),AE49-$AD$2*AG49/2)</f>
        <v>8.33</v>
      </c>
      <c r="AI49" s="78">
        <f>IF(AG49&lt;0,VLOOKUP(AH49,TABLAS!$O$4:$P$13,1),AF49)</f>
        <v>8.0399999999999991</v>
      </c>
      <c r="AJ49" s="78">
        <f>AI49-$Z49</f>
        <v>1.2599999999999989</v>
      </c>
      <c r="AK49" s="82">
        <f>IF(AJ49&lt;0,IF(AJ49=AG49,AH49-$AD$2*AJ49,AI49-AJ49),AH49-$AD$2*AJ49/2)</f>
        <v>7.3850000000000007</v>
      </c>
      <c r="AL49" s="78">
        <f>IF(AJ49&lt;0,VLOOKUP(AK49,TABLAS!$O$4:$P$13,1),AI49)</f>
        <v>8.0399999999999991</v>
      </c>
      <c r="AM49" s="78">
        <f>AL49-$Z49</f>
        <v>1.2599999999999989</v>
      </c>
      <c r="AN49" s="82">
        <f>IF(AM49&lt;0,IF(AM49=AJ49,AK49-$AD$2*AM49,AL49-AM49),AK49-$AD$2*AM49/2)</f>
        <v>6.4400000000000013</v>
      </c>
      <c r="AO49" s="78">
        <f>IF(AM49&lt;0,VLOOKUP(AN49,TABLAS!$O$4:$P$13,1),AL49)</f>
        <v>8.0399999999999991</v>
      </c>
      <c r="AP49" s="78">
        <f>AO49-$Z49</f>
        <v>1.2599999999999989</v>
      </c>
      <c r="AQ49" s="82">
        <f>IF(AP49&lt;0,IF(AP49=AM49,AN49-$AD$2*AP49,AO49-AP49),AN49-$AD$2*AP49/2)</f>
        <v>5.4950000000000019</v>
      </c>
      <c r="AR49" s="78">
        <f>IF(AP49&lt;0,VLOOKUP(AQ49,TABLAS!$O$4:$P$13,1),AO49)</f>
        <v>8.0399999999999991</v>
      </c>
      <c r="AT49" s="82">
        <v>16</v>
      </c>
      <c r="AU49" s="78">
        <f>VLOOKUP(AT49,TABLAS!$R$4:$S$13,1,TRUE)</f>
        <v>16</v>
      </c>
      <c r="AV49" s="78">
        <f>VLOOKUP(AU49,TABLAS!$R$4:$S$13,2,TRUE)</f>
        <v>2.0099999999999998</v>
      </c>
      <c r="AW49" s="26">
        <f t="shared" si="18"/>
        <v>2</v>
      </c>
    </row>
    <row r="50" spans="1:49" x14ac:dyDescent="0.3">
      <c r="A50" s="78">
        <f>VLOOKUP(C50,'PIER-FORCES'!$A$3:$G$146,7,FALSE)</f>
        <v>1</v>
      </c>
      <c r="C50" s="24">
        <v>23</v>
      </c>
      <c r="D50" s="24" t="s">
        <v>146</v>
      </c>
      <c r="E50" s="24" t="s">
        <v>140</v>
      </c>
      <c r="F50" s="24" t="s">
        <v>87</v>
      </c>
      <c r="G50" s="24">
        <f>VLOOKUP(C50,TABLAS!$J$4:$M$26,2)</f>
        <v>20</v>
      </c>
      <c r="H50" s="24">
        <f>VLOOKUP(C50,TABLAS!$J$4:$M$27,3)</f>
        <v>20</v>
      </c>
      <c r="I50" s="24">
        <v>192</v>
      </c>
      <c r="J50" s="24">
        <v>230</v>
      </c>
      <c r="K50" s="73">
        <f>MAX(INDEX('PIER-FORCES'!$A$3:$G$146,A50,4),INDEX('PIER-FORCES'!$A$3:$G$146,A50+1,4),INDEX('PIER-FORCES'!$A$3:$G$146,A50+2,4))</f>
        <v>5.7553999999999998</v>
      </c>
      <c r="L50" s="73">
        <f>INDEX('PIER-FORCES'!$A$3:$G$146,A51,5)</f>
        <v>1.3968</v>
      </c>
      <c r="M50" s="73">
        <f>INDEX('PIER-FORCES'!$A$3:$G$146,A51+1,5)</f>
        <v>1.8100000000000002E-2</v>
      </c>
      <c r="N50" s="88">
        <f>INDEX('PIER-FORCES'!$A$3:$G$146,A51+2,5)</f>
        <v>4.6001000000000003</v>
      </c>
      <c r="O50" s="67" t="s">
        <v>150</v>
      </c>
      <c r="P50" s="67" t="str">
        <f>VLOOKUP(H50,TABLAS!$R$17:$S$19,2)</f>
        <v>$\phi$8@20</v>
      </c>
      <c r="Q50" s="67" t="str">
        <f>AW50&amp;"$\phi$"&amp;AU50</f>
        <v>2$\phi$12</v>
      </c>
      <c r="S50" s="65" t="str">
        <f t="shared" si="46"/>
        <v>EJE 15.C-C1 | PIER F31X | PISO 23</v>
      </c>
      <c r="T50" s="24" t="str">
        <f>'PLANILLAS EJE 15'!F70</f>
        <v>[ÁREA MINIMA]</v>
      </c>
      <c r="U50" s="24" t="str">
        <f>'PLANILLAS EJE 15'!F71</f>
        <v>[OK]</v>
      </c>
      <c r="V50" s="26">
        <f t="shared" si="47"/>
        <v>3840</v>
      </c>
      <c r="W50" s="66">
        <v>4.4879895051282755E-3</v>
      </c>
      <c r="X50" s="66">
        <v>0.01</v>
      </c>
      <c r="Y50" s="26">
        <f t="shared" si="48"/>
        <v>19.200000000000003</v>
      </c>
      <c r="Z50" s="26">
        <f t="shared" si="49"/>
        <v>3.8400000000000007</v>
      </c>
      <c r="AA50" s="26" t="str">
        <f>"$\phi$"&amp;VLOOKUP(AO50,TABLAS!$O$4:$P$13,2)</f>
        <v>$\phi$22</v>
      </c>
      <c r="AC50" s="47">
        <f>VLOOKUP(Z50,TABLAS!$O$4:$P$13,1)</f>
        <v>3.8</v>
      </c>
      <c r="AD50" s="26">
        <f t="shared" si="50"/>
        <v>-4.0000000000000924E-2</v>
      </c>
      <c r="AE50" s="26">
        <f t="shared" si="51"/>
        <v>3.8800000000000017</v>
      </c>
      <c r="AF50" s="47">
        <f>IF(AD50&lt;0,VLOOKUP(AE50,TABLAS!$O$4:$P$13,1),AC50)</f>
        <v>3.8</v>
      </c>
      <c r="AG50" s="26">
        <f>AF50-$Z50</f>
        <v>-4.0000000000000924E-2</v>
      </c>
      <c r="AH50" s="69">
        <f>IF(AG50&lt;0,IF(AG50=AD50,AE50-$AD$2*AG50,AF50-AG50),AE50-$AD$2*AG50/2)</f>
        <v>3.9400000000000031</v>
      </c>
      <c r="AI50" s="47">
        <f>IF(AG50&lt;0,VLOOKUP(AH50,TABLAS!$O$4:$P$13,1),AF50)</f>
        <v>3.8</v>
      </c>
      <c r="AJ50" s="26">
        <f>AI50-$Z50</f>
        <v>-4.0000000000000924E-2</v>
      </c>
      <c r="AK50" s="69">
        <f>IF(AJ50&lt;0,IF(AJ50=AG50,AH50-$AD$2*AJ50,AI50-AJ50),AH50-$AD$2*AJ50/2)</f>
        <v>4.0000000000000044</v>
      </c>
      <c r="AL50" s="47">
        <f>IF(AJ50&lt;0,VLOOKUP(AK50,TABLAS!$O$4:$P$13,1),AI50)</f>
        <v>3.8</v>
      </c>
      <c r="AM50" s="26">
        <f>AL50-$Z50</f>
        <v>-4.0000000000000924E-2</v>
      </c>
      <c r="AN50" s="69">
        <f>IF(AM50&lt;0,IF(AM50=AJ50,AK50-$AD$2*AM50,AL50-AM50),AK50-$AD$2*AM50/2)</f>
        <v>4.0600000000000058</v>
      </c>
      <c r="AO50" s="47">
        <f>IF(AM50&lt;0,VLOOKUP(AN50,TABLAS!$O$4:$P$13,1),AL50)</f>
        <v>3.8</v>
      </c>
      <c r="AP50" s="26">
        <f>AO50-$Z50</f>
        <v>-4.0000000000000924E-2</v>
      </c>
      <c r="AQ50" s="69">
        <f>IF(AP50&lt;0,IF(AP50=AM50,AN50-$AD$2*AP50,AO50-AP50),AN50-$AD$2*AP50/2)</f>
        <v>4.1200000000000072</v>
      </c>
      <c r="AR50" s="47">
        <f>IF(AP50&lt;0,VLOOKUP(AQ50,TABLAS!$O$4:$P$13,1),AO50)</f>
        <v>3.8</v>
      </c>
      <c r="AT50" s="90">
        <v>12</v>
      </c>
      <c r="AU50" s="87">
        <f>VLOOKUP(AT50,TABLAS!$R$4:$S$13,1,TRUE)</f>
        <v>12</v>
      </c>
      <c r="AV50" s="26">
        <f>VLOOKUP(AU50,TABLAS!$R$4:$S$13,2,TRUE)</f>
        <v>1.1299999999999999</v>
      </c>
      <c r="AW50" s="26">
        <f t="shared" si="18"/>
        <v>2</v>
      </c>
    </row>
    <row r="51" spans="1:49" x14ac:dyDescent="0.3">
      <c r="A51" s="78">
        <f>VLOOKUP(C51,'PIER-FORCES'!$A$3:$G$146,7,FALSE)</f>
        <v>1</v>
      </c>
      <c r="C51" s="24">
        <v>23</v>
      </c>
      <c r="D51" s="24" t="s">
        <v>147</v>
      </c>
      <c r="E51" s="24" t="s">
        <v>141</v>
      </c>
      <c r="F51" s="24" t="s">
        <v>87</v>
      </c>
      <c r="G51" s="24">
        <f>VLOOKUP(C51,TABLAS!$J$4:$M$26,2)</f>
        <v>20</v>
      </c>
      <c r="H51" s="24">
        <f>VLOOKUP(C51,TABLAS!$J$4:$M$27,3)</f>
        <v>20</v>
      </c>
      <c r="I51" s="24">
        <v>339</v>
      </c>
      <c r="J51" s="24">
        <v>230</v>
      </c>
      <c r="K51" s="73">
        <f>MAX(INDEX('PIER-FORCES'!$A$3:$G$146,A51+3,4),INDEX('PIER-FORCES'!$A$3:$G$146,A51+4,4),INDEX('PIER-FORCES'!$A$3:$G$146,A51+5,4))</f>
        <v>10.1228</v>
      </c>
      <c r="L51" s="73">
        <f>INDEX('PIER-FORCES'!$A$3:$G$146,A51+3,5)</f>
        <v>3.4916999999999998</v>
      </c>
      <c r="M51" s="73">
        <f>INDEX('PIER-FORCES'!$A$3:$G$146,A51+4,5)</f>
        <v>0.21529999999999999</v>
      </c>
      <c r="N51" s="88">
        <f>INDEX('PIER-FORCES'!$A$3:$G$146,A51+5,5)</f>
        <v>4.2042999999999999</v>
      </c>
      <c r="O51" s="67" t="s">
        <v>150</v>
      </c>
      <c r="P51" s="67" t="str">
        <f>VLOOKUP(H51,TABLAS!$R$17:$S$19,2)</f>
        <v>$\phi$8@20</v>
      </c>
      <c r="Q51" s="67" t="str">
        <f>AW51&amp;"$\phi$"&amp;AU51</f>
        <v>2$\phi$16</v>
      </c>
      <c r="S51" s="65" t="str">
        <f t="shared" si="46"/>
        <v>EJE 15.G-L | PIER F33X | PISO 23</v>
      </c>
      <c r="T51" s="24" t="str">
        <f>'PLANILLAS EJE 15'!F71</f>
        <v>[OK]</v>
      </c>
      <c r="U51" s="24">
        <f>'PLANILLAS EJE 15'!F72</f>
        <v>0</v>
      </c>
      <c r="V51" s="26">
        <f t="shared" si="47"/>
        <v>6780</v>
      </c>
      <c r="W51" s="66">
        <v>4.4879895051282755E-3</v>
      </c>
      <c r="X51" s="66">
        <v>0.01</v>
      </c>
      <c r="Y51" s="26">
        <f t="shared" si="48"/>
        <v>33.9</v>
      </c>
      <c r="Z51" s="26">
        <f t="shared" si="49"/>
        <v>6.78</v>
      </c>
      <c r="AA51" s="26" t="str">
        <f>"$\phi$"&amp;VLOOKUP(AO51,TABLAS!$O$4:$P$13,2)</f>
        <v>$\phi$32</v>
      </c>
      <c r="AC51" s="47">
        <f>VLOOKUP(Z51,TABLAS!$O$4:$P$13,1)</f>
        <v>6.16</v>
      </c>
      <c r="AD51" s="26">
        <f t="shared" si="50"/>
        <v>-0.62000000000000011</v>
      </c>
      <c r="AE51" s="26">
        <f t="shared" si="51"/>
        <v>7.4</v>
      </c>
      <c r="AF51" s="47">
        <f>IF(AD51&lt;0,VLOOKUP(AE51,TABLAS!$O$4:$P$13,1),AC51)</f>
        <v>6.16</v>
      </c>
      <c r="AG51" s="26">
        <f>AF51-$Z51</f>
        <v>-0.62000000000000011</v>
      </c>
      <c r="AH51" s="69">
        <f>IF(AG51&lt;0,IF(AG51=AD51,AE51-$AD$2*AG51,AF51-AG51),AE51-$AD$2*AG51/2)</f>
        <v>8.33</v>
      </c>
      <c r="AI51" s="47">
        <f>IF(AG51&lt;0,VLOOKUP(AH51,TABLAS!$O$4:$P$13,1),AF51)</f>
        <v>8.0399999999999991</v>
      </c>
      <c r="AJ51" s="26">
        <f>AI51-$Z51</f>
        <v>1.2599999999999989</v>
      </c>
      <c r="AK51" s="69">
        <f>IF(AJ51&lt;0,IF(AJ51=AG51,AH51-$AD$2*AJ51,AI51-AJ51),AH51-$AD$2*AJ51/2)</f>
        <v>7.3850000000000007</v>
      </c>
      <c r="AL51" s="47">
        <f>IF(AJ51&lt;0,VLOOKUP(AK51,TABLAS!$O$4:$P$13,1),AI51)</f>
        <v>8.0399999999999991</v>
      </c>
      <c r="AM51" s="26">
        <f>AL51-$Z51</f>
        <v>1.2599999999999989</v>
      </c>
      <c r="AN51" s="69">
        <f>IF(AM51&lt;0,IF(AM51=AJ51,AK51-$AD$2*AM51,AL51-AM51),AK51-$AD$2*AM51/2)</f>
        <v>6.4400000000000013</v>
      </c>
      <c r="AO51" s="47">
        <f>IF(AM51&lt;0,VLOOKUP(AN51,TABLAS!$O$4:$P$13,1),AL51)</f>
        <v>8.0399999999999991</v>
      </c>
      <c r="AP51" s="26">
        <f>AO51-$Z51</f>
        <v>1.2599999999999989</v>
      </c>
      <c r="AQ51" s="69">
        <f>IF(AP51&lt;0,IF(AP51=AM51,AN51-$AD$2*AP51,AO51-AP51),AN51-$AD$2*AP51/2)</f>
        <v>5.4950000000000019</v>
      </c>
      <c r="AR51" s="47">
        <f>IF(AP51&lt;0,VLOOKUP(AQ51,TABLAS!$O$4:$P$13,1),AO51)</f>
        <v>8.0399999999999991</v>
      </c>
      <c r="AT51" s="90">
        <v>16</v>
      </c>
      <c r="AU51" s="87">
        <f>VLOOKUP(AT51,TABLAS!$R$4:$S$13,1,TRUE)</f>
        <v>16</v>
      </c>
      <c r="AV51" s="26">
        <f>VLOOKUP(AU51,TABLAS!$R$4:$S$13,2,TRUE)</f>
        <v>2.0099999999999998</v>
      </c>
      <c r="AW51" s="26">
        <f t="shared" si="18"/>
        <v>2</v>
      </c>
    </row>
    <row r="52" spans="1:49" x14ac:dyDescent="0.3">
      <c r="AT52" s="87"/>
      <c r="AU52" s="87"/>
    </row>
    <row r="53" spans="1:49" x14ac:dyDescent="0.3">
      <c r="AT53" s="87"/>
      <c r="AU53" s="87"/>
    </row>
  </sheetData>
  <autoFilter ref="C3:Q51" xr:uid="{9BA38ADC-E8E8-4A69-AF05-2CBB52D93A8A}"/>
  <mergeCells count="1">
    <mergeCell ref="L2:N2"/>
  </mergeCells>
  <pageMargins left="0.7" right="0.7" top="0.75" bottom="0.75" header="0.3" footer="0.3"/>
  <pageSetup orientation="portrait" horizontalDpi="1200" verticalDpi="1200" r:id="rId1"/>
  <ignoredErrors>
    <ignoredError sqref="K4:N7" formulaRange="1"/>
    <ignoredError sqref="K8:N11" formula="1" formulaRange="1"/>
    <ignoredError sqref="K12:N5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E984-86FF-44A8-B73A-0D5BAE674562}">
  <sheetPr>
    <tabColor theme="0" tint="-0.249977111117893"/>
  </sheetPr>
  <dimension ref="A1:B37"/>
  <sheetViews>
    <sheetView tabSelected="1" topLeftCell="A16" workbookViewId="0">
      <selection activeCell="A5" sqref="A5"/>
    </sheetView>
  </sheetViews>
  <sheetFormatPr defaultRowHeight="14.4" x14ac:dyDescent="0.3"/>
  <sheetData>
    <row r="1" spans="1:2" x14ac:dyDescent="0.3">
      <c r="A1">
        <v>1.2</v>
      </c>
      <c r="B1">
        <v>1</v>
      </c>
    </row>
    <row r="2" spans="1:2" x14ac:dyDescent="0.3">
      <c r="A2">
        <f>A1+2.3+0.16</f>
        <v>3.66</v>
      </c>
      <c r="B2">
        <f>B1+1</f>
        <v>2</v>
      </c>
    </row>
    <row r="3" spans="1:2" x14ac:dyDescent="0.3">
      <c r="A3" s="75">
        <f t="shared" ref="A3:A37" si="0">A2+2.45</f>
        <v>6.11</v>
      </c>
      <c r="B3" s="75">
        <f t="shared" ref="B3:B37" si="1">B2+1</f>
        <v>3</v>
      </c>
    </row>
    <row r="4" spans="1:2" x14ac:dyDescent="0.3">
      <c r="A4" s="75">
        <f t="shared" si="0"/>
        <v>8.56</v>
      </c>
      <c r="B4" s="75">
        <f t="shared" si="1"/>
        <v>4</v>
      </c>
    </row>
    <row r="5" spans="1:2" x14ac:dyDescent="0.3">
      <c r="A5" s="75">
        <f t="shared" si="0"/>
        <v>11.010000000000002</v>
      </c>
      <c r="B5" s="75">
        <f t="shared" si="1"/>
        <v>5</v>
      </c>
    </row>
    <row r="6" spans="1:2" x14ac:dyDescent="0.3">
      <c r="A6" s="75">
        <f t="shared" si="0"/>
        <v>13.46</v>
      </c>
      <c r="B6" s="75">
        <f t="shared" si="1"/>
        <v>6</v>
      </c>
    </row>
    <row r="7" spans="1:2" x14ac:dyDescent="0.3">
      <c r="A7" s="75">
        <f t="shared" si="0"/>
        <v>15.91</v>
      </c>
      <c r="B7" s="75">
        <f t="shared" si="1"/>
        <v>7</v>
      </c>
    </row>
    <row r="8" spans="1:2" x14ac:dyDescent="0.3">
      <c r="A8" s="75">
        <f t="shared" si="0"/>
        <v>18.36</v>
      </c>
      <c r="B8" s="75">
        <f t="shared" si="1"/>
        <v>8</v>
      </c>
    </row>
    <row r="9" spans="1:2" x14ac:dyDescent="0.3">
      <c r="A9" s="75">
        <f t="shared" si="0"/>
        <v>20.81</v>
      </c>
      <c r="B9" s="75">
        <f t="shared" si="1"/>
        <v>9</v>
      </c>
    </row>
    <row r="10" spans="1:2" x14ac:dyDescent="0.3">
      <c r="A10" s="75">
        <f t="shared" si="0"/>
        <v>23.259999999999998</v>
      </c>
      <c r="B10" s="75">
        <f t="shared" si="1"/>
        <v>10</v>
      </c>
    </row>
    <row r="11" spans="1:2" x14ac:dyDescent="0.3">
      <c r="A11" s="75">
        <f t="shared" si="0"/>
        <v>25.709999999999997</v>
      </c>
      <c r="B11" s="75">
        <f t="shared" si="1"/>
        <v>11</v>
      </c>
    </row>
    <row r="12" spans="1:2" x14ac:dyDescent="0.3">
      <c r="A12" s="75">
        <f t="shared" si="0"/>
        <v>28.159999999999997</v>
      </c>
      <c r="B12" s="75">
        <f t="shared" si="1"/>
        <v>12</v>
      </c>
    </row>
    <row r="13" spans="1:2" x14ac:dyDescent="0.3">
      <c r="A13" s="75">
        <f t="shared" si="0"/>
        <v>30.609999999999996</v>
      </c>
      <c r="B13" s="75">
        <f t="shared" si="1"/>
        <v>13</v>
      </c>
    </row>
    <row r="14" spans="1:2" x14ac:dyDescent="0.3">
      <c r="A14" s="75">
        <f t="shared" si="0"/>
        <v>33.059999999999995</v>
      </c>
      <c r="B14" s="75">
        <f t="shared" si="1"/>
        <v>14</v>
      </c>
    </row>
    <row r="15" spans="1:2" x14ac:dyDescent="0.3">
      <c r="A15" s="75">
        <f t="shared" si="0"/>
        <v>35.51</v>
      </c>
      <c r="B15" s="75">
        <f t="shared" si="1"/>
        <v>15</v>
      </c>
    </row>
    <row r="16" spans="1:2" x14ac:dyDescent="0.3">
      <c r="A16" s="75">
        <f t="shared" si="0"/>
        <v>37.96</v>
      </c>
      <c r="B16" s="75">
        <f t="shared" si="1"/>
        <v>16</v>
      </c>
    </row>
    <row r="17" spans="1:2" x14ac:dyDescent="0.3">
      <c r="A17" s="75">
        <f t="shared" si="0"/>
        <v>40.410000000000004</v>
      </c>
      <c r="B17" s="75">
        <f t="shared" si="1"/>
        <v>17</v>
      </c>
    </row>
    <row r="18" spans="1:2" x14ac:dyDescent="0.3">
      <c r="A18" s="75">
        <f t="shared" si="0"/>
        <v>42.860000000000007</v>
      </c>
      <c r="B18" s="75">
        <f t="shared" si="1"/>
        <v>18</v>
      </c>
    </row>
    <row r="19" spans="1:2" x14ac:dyDescent="0.3">
      <c r="A19" s="75">
        <f t="shared" si="0"/>
        <v>45.310000000000009</v>
      </c>
      <c r="B19" s="75">
        <f t="shared" si="1"/>
        <v>19</v>
      </c>
    </row>
    <row r="20" spans="1:2" x14ac:dyDescent="0.3">
      <c r="A20" s="75">
        <f t="shared" si="0"/>
        <v>47.760000000000012</v>
      </c>
      <c r="B20" s="75">
        <f t="shared" si="1"/>
        <v>20</v>
      </c>
    </row>
    <row r="21" spans="1:2" x14ac:dyDescent="0.3">
      <c r="A21" s="75">
        <f t="shared" si="0"/>
        <v>50.210000000000015</v>
      </c>
      <c r="B21" s="75">
        <f t="shared" si="1"/>
        <v>21</v>
      </c>
    </row>
    <row r="22" spans="1:2" x14ac:dyDescent="0.3">
      <c r="A22" s="75">
        <f t="shared" si="0"/>
        <v>52.660000000000018</v>
      </c>
      <c r="B22" s="75">
        <f t="shared" si="1"/>
        <v>22</v>
      </c>
    </row>
    <row r="23" spans="1:2" x14ac:dyDescent="0.3">
      <c r="A23" s="75">
        <f t="shared" ref="A23:A24" si="2">A22+2.45</f>
        <v>55.110000000000021</v>
      </c>
      <c r="B23" s="75">
        <f t="shared" ref="B23:B24" si="3">B22+1</f>
        <v>23</v>
      </c>
    </row>
    <row r="24" spans="1:2" x14ac:dyDescent="0.3">
      <c r="A24" s="75">
        <f t="shared" si="2"/>
        <v>57.560000000000024</v>
      </c>
      <c r="B24" s="75">
        <f t="shared" si="3"/>
        <v>24</v>
      </c>
    </row>
    <row r="25" spans="1:2" x14ac:dyDescent="0.3">
      <c r="A25" s="75"/>
      <c r="B25" s="75"/>
    </row>
    <row r="26" spans="1:2" x14ac:dyDescent="0.3">
      <c r="A26" s="75"/>
      <c r="B26" s="75"/>
    </row>
    <row r="27" spans="1:2" x14ac:dyDescent="0.3">
      <c r="A27" s="75"/>
      <c r="B27" s="75"/>
    </row>
    <row r="28" spans="1:2" x14ac:dyDescent="0.3">
      <c r="A28" s="75"/>
      <c r="B28" s="75"/>
    </row>
    <row r="29" spans="1:2" x14ac:dyDescent="0.3">
      <c r="A29" s="75"/>
      <c r="B29" s="75"/>
    </row>
    <row r="30" spans="1:2" x14ac:dyDescent="0.3">
      <c r="A30" s="75"/>
      <c r="B30" s="75"/>
    </row>
    <row r="31" spans="1:2" x14ac:dyDescent="0.3">
      <c r="A31" s="75"/>
      <c r="B31" s="75"/>
    </row>
    <row r="32" spans="1:2" x14ac:dyDescent="0.3">
      <c r="A32" s="75"/>
      <c r="B32" s="75"/>
    </row>
    <row r="33" spans="1:2" x14ac:dyDescent="0.3">
      <c r="A33" s="75"/>
      <c r="B33" s="75"/>
    </row>
    <row r="34" spans="1:2" x14ac:dyDescent="0.3">
      <c r="A34" s="75"/>
      <c r="B34" s="75"/>
    </row>
    <row r="35" spans="1:2" x14ac:dyDescent="0.3">
      <c r="A35" s="75"/>
      <c r="B35" s="75"/>
    </row>
    <row r="36" spans="1:2" x14ac:dyDescent="0.3">
      <c r="A36" s="75"/>
      <c r="B36" s="75"/>
    </row>
    <row r="37" spans="1:2" x14ac:dyDescent="0.3">
      <c r="A37" s="75"/>
      <c r="B3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2146-0FB2-44C9-A4E3-57EC79EBBF59}">
  <sheetPr>
    <tabColor theme="0" tint="-0.249977111117893"/>
  </sheetPr>
  <dimension ref="B2:AG1979"/>
  <sheetViews>
    <sheetView showGridLines="0" topLeftCell="A784" zoomScale="70" zoomScaleNormal="70" workbookViewId="0">
      <selection activeCell="C804" sqref="C804"/>
    </sheetView>
  </sheetViews>
  <sheetFormatPr defaultColWidth="11.5546875" defaultRowHeight="14.4" x14ac:dyDescent="0.3"/>
  <cols>
    <col min="1" max="1" width="3.33203125" style="46" customWidth="1"/>
    <col min="2" max="2" width="36.88671875" style="46" bestFit="1" customWidth="1"/>
    <col min="3" max="3" width="13.33203125" style="46" bestFit="1" customWidth="1"/>
    <col min="4" max="4" width="11.88671875" style="46" bestFit="1" customWidth="1"/>
    <col min="5" max="5" width="2" style="46" customWidth="1"/>
    <col min="6" max="6" width="14.5546875" style="46" bestFit="1" customWidth="1"/>
    <col min="7" max="7" width="14.5546875" style="46" customWidth="1"/>
    <col min="8" max="8" width="3.6640625" style="46" customWidth="1"/>
    <col min="9" max="9" width="24.21875" style="15" customWidth="1"/>
    <col min="10" max="10" width="11.109375" style="46" customWidth="1"/>
    <col min="11" max="11" width="7.6640625" style="46" bestFit="1" customWidth="1"/>
    <col min="12" max="12" width="1.88671875" style="46" customWidth="1"/>
    <col min="13" max="13" width="14.5546875" style="46" bestFit="1" customWidth="1"/>
    <col min="14" max="14" width="13.109375" style="46" bestFit="1" customWidth="1"/>
    <col min="15" max="15" width="12" style="46" bestFit="1" customWidth="1"/>
    <col min="16" max="17" width="11.5546875" style="46"/>
    <col min="18" max="18" width="36.109375" style="46" bestFit="1" customWidth="1"/>
    <col min="19" max="16384" width="11.5546875" style="46"/>
  </cols>
  <sheetData>
    <row r="2" spans="2:15" ht="18" x14ac:dyDescent="0.35">
      <c r="B2" s="48" t="str">
        <f>'EJE 15'!$S$4</f>
        <v>EJE 15.C-C1 | PIER F28X | PISO -1</v>
      </c>
    </row>
    <row r="4" spans="2:15" x14ac:dyDescent="0.3">
      <c r="B4" s="17" t="s">
        <v>6</v>
      </c>
      <c r="I4" s="18" t="s">
        <v>25</v>
      </c>
    </row>
    <row r="5" spans="2:15" x14ac:dyDescent="0.3">
      <c r="B5" s="19" t="s">
        <v>99</v>
      </c>
      <c r="C5" s="61">
        <f>10.1971621297793*'EJE 15'!$G$4</f>
        <v>356.90067454227551</v>
      </c>
      <c r="D5" s="16" t="s">
        <v>8</v>
      </c>
      <c r="I5" s="19" t="s">
        <v>58</v>
      </c>
      <c r="J5" s="16">
        <f>C12/16</f>
        <v>14.375</v>
      </c>
      <c r="K5" s="16" t="s">
        <v>5</v>
      </c>
      <c r="L5" s="21"/>
      <c r="M5" s="39" t="str">
        <f>IF(J5&lt;C10,"[OK]","[REDISEÑAR]")</f>
        <v>[OK]</v>
      </c>
    </row>
    <row r="6" spans="2:15" x14ac:dyDescent="0.3">
      <c r="B6" s="19" t="s">
        <v>30</v>
      </c>
      <c r="C6" s="16">
        <v>4200</v>
      </c>
      <c r="D6" s="16" t="s">
        <v>8</v>
      </c>
      <c r="I6" s="19" t="s">
        <v>16</v>
      </c>
      <c r="J6" s="16">
        <f>C10*C11</f>
        <v>4800</v>
      </c>
      <c r="K6" s="16" t="s">
        <v>17</v>
      </c>
      <c r="L6" s="21"/>
    </row>
    <row r="7" spans="2:15" x14ac:dyDescent="0.3">
      <c r="B7" s="19" t="s">
        <v>31</v>
      </c>
      <c r="C7" s="16">
        <v>2800</v>
      </c>
      <c r="D7" s="16" t="s">
        <v>8</v>
      </c>
      <c r="I7" s="19" t="s">
        <v>51</v>
      </c>
      <c r="J7" s="16">
        <f>MIN(0.8*C11/5,3*C10,45)</f>
        <v>30.720000000000006</v>
      </c>
      <c r="K7" s="16" t="s">
        <v>5</v>
      </c>
      <c r="L7" s="21"/>
      <c r="M7" s="39" t="str">
        <f>IF(J7&gt;C23,"[OK]","[REDISEÑAR]")</f>
        <v>[OK]</v>
      </c>
    </row>
    <row r="8" spans="2:15" x14ac:dyDescent="0.3">
      <c r="I8" s="19" t="s">
        <v>56</v>
      </c>
      <c r="J8" s="16">
        <f>MIN(0.8*C12/3,3*C11,45)</f>
        <v>45</v>
      </c>
      <c r="K8" s="16" t="s">
        <v>5</v>
      </c>
      <c r="L8" s="21"/>
      <c r="M8" s="39" t="str">
        <f>IF(J8&gt;C23,"[OK]","[REDISEÑAR]")</f>
        <v>[OK]</v>
      </c>
    </row>
    <row r="9" spans="2:15" x14ac:dyDescent="0.3">
      <c r="B9" s="17" t="s">
        <v>3</v>
      </c>
      <c r="I9" s="19" t="s">
        <v>62</v>
      </c>
      <c r="J9" s="16">
        <f>0.8*C11</f>
        <v>153.60000000000002</v>
      </c>
      <c r="K9" s="29" t="s">
        <v>5</v>
      </c>
    </row>
    <row r="10" spans="2:15" x14ac:dyDescent="0.3">
      <c r="B10" s="19" t="str">
        <f>"Espesor del muro (h)"</f>
        <v>Espesor del muro (h)</v>
      </c>
      <c r="C10" s="49">
        <f>'EJE 15'!$H$4</f>
        <v>25</v>
      </c>
      <c r="D10" s="16" t="s">
        <v>5</v>
      </c>
    </row>
    <row r="11" spans="2:15" x14ac:dyDescent="0.3">
      <c r="B11" s="19" t="s">
        <v>63</v>
      </c>
      <c r="C11" s="49">
        <f>'EJE 15'!$I$4</f>
        <v>192</v>
      </c>
      <c r="D11" s="16" t="s">
        <v>5</v>
      </c>
      <c r="I11" s="18" t="s">
        <v>26</v>
      </c>
    </row>
    <row r="12" spans="2:15" x14ac:dyDescent="0.3">
      <c r="B12" s="19" t="s">
        <v>10</v>
      </c>
      <c r="C12" s="49">
        <f>'EJE 15'!$J$4</f>
        <v>230</v>
      </c>
      <c r="D12" s="16" t="s">
        <v>5</v>
      </c>
      <c r="I12" s="19" t="s">
        <v>28</v>
      </c>
      <c r="J12" s="16">
        <f>0.35*C5</f>
        <v>124.91523608979642</v>
      </c>
      <c r="K12" s="16" t="s">
        <v>8</v>
      </c>
      <c r="L12" s="21"/>
    </row>
    <row r="13" spans="2:15" x14ac:dyDescent="0.3">
      <c r="I13" s="19" t="s">
        <v>27</v>
      </c>
      <c r="J13" s="30">
        <f>C15*1000/J6</f>
        <v>63.415541666666677</v>
      </c>
      <c r="K13" s="16" t="s">
        <v>8</v>
      </c>
      <c r="L13" s="21"/>
      <c r="M13" s="39" t="str">
        <f>IF(J13&lt;J12,"[OK]","[REDISEÑAR]")</f>
        <v>[OK]</v>
      </c>
      <c r="N13" s="41" t="s">
        <v>112</v>
      </c>
      <c r="O13" s="59">
        <f>J13/J12</f>
        <v>0.50766858913095159</v>
      </c>
    </row>
    <row r="14" spans="2:15" x14ac:dyDescent="0.3">
      <c r="B14" s="17" t="s">
        <v>11</v>
      </c>
    </row>
    <row r="15" spans="2:15" x14ac:dyDescent="0.3">
      <c r="B15" s="19" t="str">
        <f>"$N_U$"</f>
        <v>$N_U$</v>
      </c>
      <c r="C15" s="49">
        <f>'EJE 15'!$K$4</f>
        <v>304.39460000000003</v>
      </c>
      <c r="D15" s="16" t="s">
        <v>12</v>
      </c>
      <c r="I15" s="18" t="s">
        <v>54</v>
      </c>
    </row>
    <row r="16" spans="2:15" x14ac:dyDescent="0.3">
      <c r="B16" s="19" t="s">
        <v>14</v>
      </c>
      <c r="C16" s="49">
        <f>'EJE 15'!$L$4</f>
        <v>5.1531000000000002</v>
      </c>
      <c r="D16" s="16" t="s">
        <v>12</v>
      </c>
      <c r="I16" s="19" t="s">
        <v>72</v>
      </c>
      <c r="J16" s="16">
        <f>1.2*C16+C17+1.4*C18</f>
        <v>21.321860000000001</v>
      </c>
      <c r="K16" s="16" t="s">
        <v>12</v>
      </c>
      <c r="M16" s="46" t="s">
        <v>68</v>
      </c>
    </row>
    <row r="17" spans="2:16" x14ac:dyDescent="0.3">
      <c r="B17" s="19" t="s">
        <v>13</v>
      </c>
      <c r="C17" s="49">
        <f>'EJE 15'!$M$4</f>
        <v>2.6031</v>
      </c>
      <c r="D17" s="16" t="s">
        <v>12</v>
      </c>
      <c r="I17" s="19" t="s">
        <v>69</v>
      </c>
      <c r="J17" s="16">
        <f>SUM(C16:C18)</f>
        <v>16.709800000000001</v>
      </c>
      <c r="K17" s="16" t="s">
        <v>12</v>
      </c>
      <c r="M17" s="46" t="s">
        <v>70</v>
      </c>
    </row>
    <row r="18" spans="2:16" x14ac:dyDescent="0.3">
      <c r="B18" s="19" t="s">
        <v>15</v>
      </c>
      <c r="C18" s="49">
        <f>'EJE 15'!$N$4</f>
        <v>8.9535999999999998</v>
      </c>
      <c r="D18" s="16" t="s">
        <v>12</v>
      </c>
      <c r="I18" s="19" t="s">
        <v>73</v>
      </c>
      <c r="J18" s="16">
        <f>IF(C19=0,J16,C19)</f>
        <v>21.321860000000001</v>
      </c>
      <c r="K18" s="16" t="s">
        <v>12</v>
      </c>
      <c r="M18" s="40" t="s">
        <v>74</v>
      </c>
    </row>
    <row r="19" spans="2:16" x14ac:dyDescent="0.3">
      <c r="B19" s="19" t="s">
        <v>55</v>
      </c>
      <c r="C19" s="16">
        <v>0</v>
      </c>
      <c r="D19" s="16" t="s">
        <v>12</v>
      </c>
      <c r="I19" s="19" t="s">
        <v>71</v>
      </c>
      <c r="J19" s="16">
        <f>IF(C19=0,J17,C19)</f>
        <v>16.709800000000001</v>
      </c>
      <c r="K19" s="16" t="s">
        <v>12</v>
      </c>
      <c r="M19" s="40" t="s">
        <v>75</v>
      </c>
    </row>
    <row r="21" spans="2:16" x14ac:dyDescent="0.3">
      <c r="B21" s="33" t="s">
        <v>42</v>
      </c>
      <c r="I21" s="27" t="s">
        <v>76</v>
      </c>
    </row>
    <row r="22" spans="2:16" x14ac:dyDescent="0.3">
      <c r="B22" s="31" t="s">
        <v>41</v>
      </c>
      <c r="C22" s="16">
        <v>12</v>
      </c>
      <c r="D22" s="29" t="s">
        <v>35</v>
      </c>
      <c r="I22" s="19" t="s">
        <v>29</v>
      </c>
      <c r="J22" s="30">
        <f>J19*1000/J6</f>
        <v>3.4812083333333339</v>
      </c>
      <c r="K22" s="29" t="s">
        <v>8</v>
      </c>
    </row>
    <row r="23" spans="2:16" x14ac:dyDescent="0.3">
      <c r="B23" s="31" t="s">
        <v>43</v>
      </c>
      <c r="C23" s="16">
        <v>14</v>
      </c>
      <c r="D23" s="29" t="s">
        <v>5</v>
      </c>
      <c r="F23" s="39" t="str">
        <f>IF(OR(C23&gt;25,C23&lt;10),"[REDISEÑAR]",IF(AND(C23&lt;=J24,C23&lt;=J38),"[OK]","[REDISEÑAR]"))</f>
        <v>[OK]</v>
      </c>
      <c r="I23" s="19" t="s">
        <v>61</v>
      </c>
      <c r="J23" s="37">
        <f>MAX(J22*100*C10/(2*C7),C27)</f>
        <v>3.125</v>
      </c>
      <c r="K23" s="29" t="s">
        <v>32</v>
      </c>
      <c r="M23" s="15"/>
      <c r="N23" s="15"/>
      <c r="O23" s="15"/>
    </row>
    <row r="24" spans="2:16" x14ac:dyDescent="0.3">
      <c r="C24" s="50" t="str">
        <f>"$\phi$"&amp;C22&amp;"@"&amp;C23</f>
        <v>$\phi$12@14</v>
      </c>
      <c r="F24" s="39" t="str">
        <f>IF(OR(J23=C27,J34=C27),"[ÁREA MINIMA]","[]")</f>
        <v>[ÁREA MINIMA]</v>
      </c>
      <c r="I24" s="63" t="s">
        <v>34</v>
      </c>
      <c r="J24" s="63">
        <f>ROUNDDOWN((1/J23)*C26*100,0)</f>
        <v>36</v>
      </c>
      <c r="K24" s="64" t="s">
        <v>5</v>
      </c>
      <c r="M24" s="39" t="str">
        <f>IF(OR(J24&lt;10,J24&gt;25),"[REDISEÑAR]","[OK")</f>
        <v>[REDISEÑAR]</v>
      </c>
      <c r="N24" s="41" t="s">
        <v>80</v>
      </c>
      <c r="O24" s="42">
        <f>1/J23*(C22/2)^2*PI()</f>
        <v>36.191147369354418</v>
      </c>
      <c r="P24" s="46" t="str">
        <f>"$\phi$"&amp;C22&amp;"@"&amp;J24</f>
        <v>$\phi$12@36</v>
      </c>
    </row>
    <row r="25" spans="2:16" x14ac:dyDescent="0.3">
      <c r="B25" s="18" t="s">
        <v>52</v>
      </c>
      <c r="F25" s="62" t="str">
        <f>IF(J13&lt;J12,IF(J41&gt;J30,"[OK]","[REDISEÑAR]"),"[REDISEÑAR]")</f>
        <v>[OK]</v>
      </c>
      <c r="I25" s="31" t="s">
        <v>48</v>
      </c>
      <c r="J25" s="30">
        <f>C26*2*IF(C11/C23&gt;=1,C11/C23,0)</f>
        <v>31.020983459446644</v>
      </c>
      <c r="K25" s="29" t="s">
        <v>17</v>
      </c>
      <c r="N25" s="15"/>
      <c r="O25" s="44"/>
    </row>
    <row r="26" spans="2:16" x14ac:dyDescent="0.3">
      <c r="B26" s="31" t="s">
        <v>66</v>
      </c>
      <c r="C26" s="30">
        <f>(C22/(2*10))^2*PI()</f>
        <v>1.1309733552923256</v>
      </c>
      <c r="D26" s="29" t="s">
        <v>17</v>
      </c>
      <c r="I26" s="19" t="s">
        <v>49</v>
      </c>
      <c r="J26" s="34">
        <f>C7*J25/1000</f>
        <v>86.858753686450598</v>
      </c>
      <c r="K26" s="16" t="s">
        <v>12</v>
      </c>
      <c r="M26" s="39" t="str">
        <f>IF(J26&gt;J19,"[OK]","[REDISEÑAR]")</f>
        <v>[OK]</v>
      </c>
      <c r="N26" s="41" t="str">
        <f>IF(O26&gt;0,"Sobrado","Faltan")</f>
        <v>Sobrado</v>
      </c>
      <c r="O26" s="43">
        <f>J26-J19</f>
        <v>70.148953686450596</v>
      </c>
    </row>
    <row r="27" spans="2:16" x14ac:dyDescent="0.3">
      <c r="B27" s="31" t="s">
        <v>78</v>
      </c>
      <c r="C27" s="37">
        <f>2.5/1000*100*C10/2</f>
        <v>3.125</v>
      </c>
      <c r="D27" s="16" t="s">
        <v>17</v>
      </c>
      <c r="O27" s="15"/>
    </row>
    <row r="28" spans="2:16" x14ac:dyDescent="0.3">
      <c r="B28" s="31" t="s">
        <v>114</v>
      </c>
      <c r="C28" s="37">
        <f>C26*100/C23</f>
        <v>8.0783811092308966</v>
      </c>
      <c r="D28" s="29" t="s">
        <v>32</v>
      </c>
      <c r="I28" s="18" t="s">
        <v>77</v>
      </c>
      <c r="M28" s="17" t="s">
        <v>67</v>
      </c>
    </row>
    <row r="29" spans="2:16" x14ac:dyDescent="0.3">
      <c r="I29" s="19" t="s">
        <v>33</v>
      </c>
      <c r="J29" s="16">
        <v>0.6</v>
      </c>
      <c r="K29" s="16" t="s">
        <v>50</v>
      </c>
      <c r="M29" s="19" t="s">
        <v>64</v>
      </c>
      <c r="N29" s="30">
        <f>SQRT(C5*0.0980665)*(1/0.0980665)/1000*J31*0.17</f>
        <v>31.250778100012241</v>
      </c>
      <c r="O29" s="16" t="s">
        <v>12</v>
      </c>
    </row>
    <row r="30" spans="2:16" x14ac:dyDescent="0.3">
      <c r="B30" s="17" t="s">
        <v>37</v>
      </c>
      <c r="I30" s="19" t="s">
        <v>46</v>
      </c>
      <c r="J30" s="34">
        <f>J18/J29</f>
        <v>35.536433333333335</v>
      </c>
      <c r="K30" s="16" t="s">
        <v>12</v>
      </c>
      <c r="M30" s="19" t="s">
        <v>57</v>
      </c>
      <c r="N30" s="16">
        <f>IF(C12/J9&lt;=1.5,0.25,IF(C12/J9&gt;=2,0.17,0.17+(0.25-0.17)/(C12/J9-1.5)*C12/J9))</f>
        <v>0.25</v>
      </c>
      <c r="O30" s="29" t="s">
        <v>50</v>
      </c>
    </row>
    <row r="31" spans="2:16" x14ac:dyDescent="0.3">
      <c r="B31" s="31" t="s">
        <v>115</v>
      </c>
      <c r="C31" s="37">
        <f>O26</f>
        <v>70.148953686450596</v>
      </c>
      <c r="D31" s="29" t="s">
        <v>12</v>
      </c>
      <c r="I31" s="19" t="s">
        <v>36</v>
      </c>
      <c r="J31" s="35">
        <f>J9*C10*0.8-J39</f>
        <v>3047.183213232443</v>
      </c>
      <c r="K31" s="16" t="s">
        <v>17</v>
      </c>
      <c r="M31" s="19" t="s">
        <v>59</v>
      </c>
      <c r="N31" s="30">
        <f>SQRT(C5*0.0980665)*(1/0.0980665)/1000*J31*N30</f>
        <v>45.957026617665058</v>
      </c>
      <c r="O31" s="29" t="s">
        <v>12</v>
      </c>
    </row>
    <row r="32" spans="2:16" x14ac:dyDescent="0.3">
      <c r="B32" s="31" t="s">
        <v>116</v>
      </c>
      <c r="C32" s="37">
        <f>O41</f>
        <v>99.944849190419674</v>
      </c>
      <c r="D32" s="29" t="s">
        <v>12</v>
      </c>
      <c r="I32" s="19" t="s">
        <v>60</v>
      </c>
      <c r="J32" s="34">
        <f>MIN(N31,N29)</f>
        <v>31.250778100012241</v>
      </c>
      <c r="K32" s="29" t="s">
        <v>12</v>
      </c>
    </row>
    <row r="33" spans="2:18" x14ac:dyDescent="0.3">
      <c r="B33" s="19" t="s">
        <v>117</v>
      </c>
      <c r="C33" s="36">
        <f>C26*2*C11/C23/J6</f>
        <v>6.4627048873847183E-3</v>
      </c>
      <c r="D33" s="16" t="s">
        <v>50</v>
      </c>
      <c r="I33" s="19" t="s">
        <v>39</v>
      </c>
      <c r="J33" s="34">
        <f>J30-J32</f>
        <v>4.2856552333210942</v>
      </c>
      <c r="K33" s="16" t="s">
        <v>12</v>
      </c>
    </row>
    <row r="34" spans="2:18" x14ac:dyDescent="0.3">
      <c r="I34" s="19" t="s">
        <v>61</v>
      </c>
      <c r="J34" s="37">
        <f>MAX(J33/(C6*J9/1000/100)/2,C27)</f>
        <v>3.125</v>
      </c>
      <c r="K34" s="29" t="s">
        <v>32</v>
      </c>
    </row>
    <row r="35" spans="2:18" x14ac:dyDescent="0.3">
      <c r="I35" s="19" t="s">
        <v>65</v>
      </c>
      <c r="J35" s="36">
        <f>J34/C10/100*2</f>
        <v>2.5000000000000001E-3</v>
      </c>
      <c r="K35" s="16" t="s">
        <v>50</v>
      </c>
    </row>
    <row r="36" spans="2:18" x14ac:dyDescent="0.3">
      <c r="I36" s="19" t="s">
        <v>53</v>
      </c>
      <c r="J36" s="16">
        <f>MAX(0.0025,0.0025*0.5*(2.5-C10/(C11*0.8))*(J35-0.0025))</f>
        <v>2.5000000000000001E-3</v>
      </c>
      <c r="K36" s="29" t="s">
        <v>50</v>
      </c>
      <c r="M36" s="39" t="str">
        <f>IF(OR(J35&gt;J36,ABS(J35-J36)&lt;0.0001),"[OK]","[REDISEÑAR]")</f>
        <v>[OK]</v>
      </c>
      <c r="Q36" s="32"/>
    </row>
    <row r="37" spans="2:18" x14ac:dyDescent="0.3">
      <c r="I37" s="19" t="s">
        <v>47</v>
      </c>
      <c r="J37" s="34">
        <f>SQRT(C5*0.0980665)*(1/0.0980665)/1000*0.66*0.8*C11*C10</f>
        <v>152.89331833284234</v>
      </c>
      <c r="K37" s="16" t="s">
        <v>12</v>
      </c>
      <c r="M37" s="40" t="s">
        <v>44</v>
      </c>
      <c r="O37" s="15"/>
    </row>
    <row r="38" spans="2:18" x14ac:dyDescent="0.3">
      <c r="I38" s="63" t="s">
        <v>34</v>
      </c>
      <c r="J38" s="63">
        <f>ROUNDDOWN(1/J34*C26*100,0)</f>
        <v>36</v>
      </c>
      <c r="K38" s="64" t="s">
        <v>5</v>
      </c>
      <c r="M38" s="39" t="str">
        <f>IF(OR(J38&lt;10,J38&gt;25),"[REDISEÑAR]","[OK")</f>
        <v>[REDISEÑAR]</v>
      </c>
      <c r="N38" s="41" t="s">
        <v>80</v>
      </c>
      <c r="O38" s="42">
        <f>1/J34*(C22/2)^2*PI()</f>
        <v>36.191147369354418</v>
      </c>
      <c r="P38" s="46" t="str">
        <f>"$\phi$"&amp;C22&amp;"@"&amp;J38</f>
        <v>$\phi$12@36</v>
      </c>
      <c r="R38" s="40"/>
    </row>
    <row r="39" spans="2:18" x14ac:dyDescent="0.3">
      <c r="I39" s="31" t="s">
        <v>48</v>
      </c>
      <c r="J39" s="30">
        <f>C26*2*IF(J9/C23&gt;=1,J9/C23,0)</f>
        <v>24.816786767557321</v>
      </c>
      <c r="K39" s="29" t="s">
        <v>17</v>
      </c>
      <c r="N39" s="15"/>
      <c r="O39" s="15"/>
    </row>
    <row r="40" spans="2:18" x14ac:dyDescent="0.3">
      <c r="I40" s="19" t="s">
        <v>81</v>
      </c>
      <c r="J40" s="34">
        <f>MIN(J39*C6/1000,J37)</f>
        <v>104.23050442374075</v>
      </c>
      <c r="K40" s="16" t="s">
        <v>12</v>
      </c>
      <c r="M40" s="40" t="s">
        <v>82</v>
      </c>
      <c r="N40" s="15"/>
      <c r="O40" s="15"/>
    </row>
    <row r="41" spans="2:18" x14ac:dyDescent="0.3">
      <c r="I41" s="19" t="s">
        <v>79</v>
      </c>
      <c r="J41" s="34">
        <f>J40+J32</f>
        <v>135.48128252375301</v>
      </c>
      <c r="K41" s="16" t="s">
        <v>12</v>
      </c>
      <c r="M41" s="39" t="str">
        <f>IF(J41&gt;J30,"[OK]","[REDISEÑAR]")</f>
        <v>[OK]</v>
      </c>
      <c r="N41" s="41" t="str">
        <f>IF(O41&gt;0,"Sobrado","Faltan")</f>
        <v>Sobrado</v>
      </c>
      <c r="O41" s="43">
        <f>J41-J30</f>
        <v>99.944849190419674</v>
      </c>
    </row>
    <row r="43" spans="2:18" x14ac:dyDescent="0.3">
      <c r="I43" s="18" t="s">
        <v>45</v>
      </c>
      <c r="O43" s="15"/>
    </row>
    <row r="44" spans="2:18" x14ac:dyDescent="0.3">
      <c r="I44" s="19" t="s">
        <v>40</v>
      </c>
      <c r="J44" s="16">
        <f>J18</f>
        <v>21.321860000000001</v>
      </c>
      <c r="K44" s="16" t="s">
        <v>12</v>
      </c>
      <c r="O44" s="26"/>
    </row>
    <row r="45" spans="2:18" x14ac:dyDescent="0.3">
      <c r="I45" s="19" t="s">
        <v>46</v>
      </c>
      <c r="J45" s="34">
        <f>J30</f>
        <v>35.536433333333335</v>
      </c>
      <c r="K45" s="16" t="s">
        <v>12</v>
      </c>
    </row>
    <row r="46" spans="2:18" x14ac:dyDescent="0.3">
      <c r="I46" s="19" t="s">
        <v>38</v>
      </c>
      <c r="J46" s="34">
        <f>2/3*J31*SQRT(C5*0.0980665)*(1/0.0980665)/1000</f>
        <v>122.55207098044013</v>
      </c>
      <c r="K46" s="16" t="s">
        <v>12</v>
      </c>
      <c r="M46" s="39" t="str">
        <f>IF(J46&gt;J45,"[OK]","[REDISEÑAR]")</f>
        <v>[OK]</v>
      </c>
      <c r="N46" s="41" t="str">
        <f>IF(O46&gt;0,"Sobrado","Faltan")</f>
        <v>Sobrado</v>
      </c>
      <c r="O46" s="43">
        <f>J46-J45</f>
        <v>87.0156376471068</v>
      </c>
    </row>
    <row r="48" spans="2:18" ht="18" x14ac:dyDescent="0.35">
      <c r="B48" s="48" t="str">
        <f>'EJE 15'!$S$5</f>
        <v>EJE 15.G-L | PIER F22X | PISO -1</v>
      </c>
      <c r="C48" s="75"/>
      <c r="D48" s="75"/>
      <c r="E48" s="75"/>
      <c r="F48" s="75"/>
      <c r="G48" s="75"/>
      <c r="H48" s="75"/>
      <c r="J48" s="75"/>
      <c r="K48" s="75"/>
      <c r="L48" s="75"/>
      <c r="M48" s="75"/>
      <c r="N48" s="75"/>
      <c r="O48" s="75"/>
      <c r="P48" s="75"/>
    </row>
    <row r="49" spans="2:16" x14ac:dyDescent="0.3">
      <c r="B49" s="75"/>
      <c r="C49" s="75"/>
      <c r="D49" s="75"/>
      <c r="E49" s="75"/>
      <c r="F49" s="75"/>
      <c r="G49" s="75"/>
      <c r="H49" s="75"/>
      <c r="J49" s="75"/>
      <c r="K49" s="75"/>
      <c r="L49" s="75"/>
      <c r="M49" s="75"/>
      <c r="N49" s="75"/>
      <c r="O49" s="75"/>
      <c r="P49" s="75"/>
    </row>
    <row r="50" spans="2:16" x14ac:dyDescent="0.3">
      <c r="B50" s="17" t="s">
        <v>6</v>
      </c>
      <c r="C50" s="75"/>
      <c r="D50" s="75"/>
      <c r="E50" s="75"/>
      <c r="F50" s="75"/>
      <c r="G50" s="75"/>
      <c r="H50" s="75"/>
      <c r="I50" s="18" t="s">
        <v>25</v>
      </c>
      <c r="J50" s="75"/>
      <c r="K50" s="75"/>
      <c r="L50" s="75"/>
      <c r="M50" s="75"/>
      <c r="N50" s="75"/>
      <c r="O50" s="75"/>
      <c r="P50" s="75"/>
    </row>
    <row r="51" spans="2:16" x14ac:dyDescent="0.3">
      <c r="B51" s="19" t="s">
        <v>99</v>
      </c>
      <c r="C51" s="61">
        <f>10.1971621297793*'EJE 15'!$G$5</f>
        <v>356.90067454227551</v>
      </c>
      <c r="D51" s="16" t="s">
        <v>8</v>
      </c>
      <c r="E51" s="75"/>
      <c r="F51" s="75"/>
      <c r="G51" s="75"/>
      <c r="H51" s="75"/>
      <c r="I51" s="19" t="s">
        <v>58</v>
      </c>
      <c r="J51" s="16">
        <f>C58/16</f>
        <v>14.375</v>
      </c>
      <c r="K51" s="16" t="s">
        <v>5</v>
      </c>
      <c r="L51" s="21"/>
      <c r="M51" s="39" t="str">
        <f>IF(J51&lt;C56,"[OK]","[REDISEÑAR]")</f>
        <v>[OK]</v>
      </c>
      <c r="N51" s="75"/>
      <c r="O51" s="75"/>
      <c r="P51" s="75"/>
    </row>
    <row r="52" spans="2:16" x14ac:dyDescent="0.3">
      <c r="B52" s="19" t="s">
        <v>30</v>
      </c>
      <c r="C52" s="16">
        <v>4200</v>
      </c>
      <c r="D52" s="16" t="s">
        <v>8</v>
      </c>
      <c r="E52" s="75"/>
      <c r="F52" s="75"/>
      <c r="G52" s="75"/>
      <c r="H52" s="75"/>
      <c r="I52" s="19" t="s">
        <v>16</v>
      </c>
      <c r="J52" s="16">
        <f>C56*C57</f>
        <v>12225</v>
      </c>
      <c r="K52" s="16" t="s">
        <v>17</v>
      </c>
      <c r="L52" s="21"/>
      <c r="M52" s="75"/>
      <c r="N52" s="75"/>
      <c r="O52" s="75"/>
      <c r="P52" s="75"/>
    </row>
    <row r="53" spans="2:16" x14ac:dyDescent="0.3">
      <c r="B53" s="19" t="s">
        <v>31</v>
      </c>
      <c r="C53" s="16">
        <v>2800</v>
      </c>
      <c r="D53" s="16" t="s">
        <v>8</v>
      </c>
      <c r="E53" s="75"/>
      <c r="F53" s="75"/>
      <c r="G53" s="75"/>
      <c r="H53" s="75"/>
      <c r="I53" s="19" t="s">
        <v>51</v>
      </c>
      <c r="J53" s="16">
        <f>MIN(0.8*C57/5,3*C56,45)</f>
        <v>45</v>
      </c>
      <c r="K53" s="16" t="s">
        <v>5</v>
      </c>
      <c r="L53" s="21"/>
      <c r="M53" s="39" t="str">
        <f>IF(J53&gt;C69,"[OK]","[REDISEÑAR]")</f>
        <v>[OK]</v>
      </c>
      <c r="N53" s="75"/>
      <c r="O53" s="75"/>
      <c r="P53" s="75"/>
    </row>
    <row r="54" spans="2:16" x14ac:dyDescent="0.3">
      <c r="B54" s="75"/>
      <c r="C54" s="75"/>
      <c r="D54" s="75"/>
      <c r="E54" s="75"/>
      <c r="F54" s="75"/>
      <c r="G54" s="75"/>
      <c r="H54" s="75"/>
      <c r="I54" s="19" t="s">
        <v>56</v>
      </c>
      <c r="J54" s="16">
        <f>MIN(0.8*C58/3,3*C57,45)</f>
        <v>45</v>
      </c>
      <c r="K54" s="16" t="s">
        <v>5</v>
      </c>
      <c r="L54" s="21"/>
      <c r="M54" s="39" t="str">
        <f>IF(J54&gt;C69,"[OK]","[REDISEÑAR]")</f>
        <v>[OK]</v>
      </c>
      <c r="N54" s="75"/>
      <c r="O54" s="75"/>
      <c r="P54" s="75"/>
    </row>
    <row r="55" spans="2:16" x14ac:dyDescent="0.3">
      <c r="B55" s="17" t="s">
        <v>3</v>
      </c>
      <c r="C55" s="75"/>
      <c r="D55" s="75"/>
      <c r="E55" s="75"/>
      <c r="F55" s="75"/>
      <c r="G55" s="75"/>
      <c r="H55" s="75"/>
      <c r="I55" s="19" t="s">
        <v>62</v>
      </c>
      <c r="J55" s="16">
        <f>0.8*C57</f>
        <v>391.20000000000005</v>
      </c>
      <c r="K55" s="29" t="s">
        <v>5</v>
      </c>
      <c r="L55" s="75"/>
      <c r="M55" s="75"/>
      <c r="N55" s="75"/>
      <c r="O55" s="75"/>
      <c r="P55" s="75"/>
    </row>
    <row r="56" spans="2:16" x14ac:dyDescent="0.3">
      <c r="B56" s="19" t="str">
        <f>"Espesor del muro (h)"</f>
        <v>Espesor del muro (h)</v>
      </c>
      <c r="C56" s="49">
        <f>'EJE 15'!$H$5</f>
        <v>25</v>
      </c>
      <c r="D56" s="16" t="s">
        <v>5</v>
      </c>
      <c r="E56" s="75"/>
      <c r="F56" s="75"/>
      <c r="G56" s="75"/>
      <c r="H56" s="75"/>
      <c r="J56" s="75"/>
      <c r="K56" s="75"/>
      <c r="L56" s="75"/>
      <c r="M56" s="75"/>
      <c r="N56" s="75"/>
      <c r="O56" s="75"/>
      <c r="P56" s="75"/>
    </row>
    <row r="57" spans="2:16" x14ac:dyDescent="0.3">
      <c r="B57" s="19" t="s">
        <v>63</v>
      </c>
      <c r="C57" s="49">
        <f>'EJE 15'!$I$5</f>
        <v>489</v>
      </c>
      <c r="D57" s="16" t="s">
        <v>5</v>
      </c>
      <c r="E57" s="75"/>
      <c r="F57" s="75"/>
      <c r="G57" s="75"/>
      <c r="H57" s="75"/>
      <c r="I57" s="18" t="s">
        <v>26</v>
      </c>
      <c r="J57" s="75"/>
      <c r="K57" s="75"/>
      <c r="L57" s="75"/>
      <c r="M57" s="75"/>
      <c r="N57" s="75"/>
      <c r="O57" s="75"/>
      <c r="P57" s="75"/>
    </row>
    <row r="58" spans="2:16" x14ac:dyDescent="0.3">
      <c r="B58" s="19" t="s">
        <v>10</v>
      </c>
      <c r="C58" s="49">
        <f>'EJE 15'!$J$5</f>
        <v>230</v>
      </c>
      <c r="D58" s="16" t="s">
        <v>5</v>
      </c>
      <c r="E58" s="75"/>
      <c r="F58" s="75"/>
      <c r="G58" s="75"/>
      <c r="H58" s="75"/>
      <c r="I58" s="19" t="s">
        <v>28</v>
      </c>
      <c r="J58" s="16">
        <f>0.35*C51</f>
        <v>124.91523608979642</v>
      </c>
      <c r="K58" s="16" t="s">
        <v>8</v>
      </c>
      <c r="L58" s="21"/>
      <c r="M58" s="75"/>
      <c r="N58" s="75"/>
      <c r="O58" s="75"/>
      <c r="P58" s="75"/>
    </row>
    <row r="59" spans="2:16" x14ac:dyDescent="0.3">
      <c r="B59" s="75"/>
      <c r="C59" s="75"/>
      <c r="D59" s="75"/>
      <c r="E59" s="75"/>
      <c r="F59" s="75"/>
      <c r="G59" s="75"/>
      <c r="H59" s="75"/>
      <c r="I59" s="19" t="s">
        <v>27</v>
      </c>
      <c r="J59" s="30">
        <f>C61*1000/J52</f>
        <v>30.021128834355832</v>
      </c>
      <c r="K59" s="16" t="s">
        <v>8</v>
      </c>
      <c r="L59" s="21"/>
      <c r="M59" s="39" t="str">
        <f>IF(J59&lt;J58,"[OK]","[REDISEÑAR]")</f>
        <v>[OK]</v>
      </c>
      <c r="N59" s="41" t="s">
        <v>112</v>
      </c>
      <c r="O59" s="59">
        <f>J59/J58</f>
        <v>0.24033200251708989</v>
      </c>
      <c r="P59" s="75"/>
    </row>
    <row r="60" spans="2:16" x14ac:dyDescent="0.3">
      <c r="B60" s="17" t="s">
        <v>11</v>
      </c>
      <c r="C60" s="75"/>
      <c r="D60" s="75"/>
      <c r="E60" s="75"/>
      <c r="F60" s="75"/>
      <c r="G60" s="75"/>
      <c r="H60" s="75"/>
      <c r="J60" s="75"/>
      <c r="K60" s="75"/>
      <c r="L60" s="75"/>
      <c r="M60" s="75"/>
      <c r="N60" s="75"/>
      <c r="O60" s="75"/>
      <c r="P60" s="75"/>
    </row>
    <row r="61" spans="2:16" x14ac:dyDescent="0.3">
      <c r="B61" s="19" t="str">
        <f>"$N_U$"</f>
        <v>$N_U$</v>
      </c>
      <c r="C61" s="60">
        <f>'EJE 15'!$K$5</f>
        <v>367.00830000000002</v>
      </c>
      <c r="D61" s="16" t="s">
        <v>12</v>
      </c>
      <c r="E61" s="75"/>
      <c r="F61" s="75"/>
      <c r="G61" s="75"/>
      <c r="H61" s="75"/>
      <c r="I61" s="18" t="s">
        <v>54</v>
      </c>
      <c r="J61" s="75"/>
      <c r="K61" s="75"/>
      <c r="L61" s="75"/>
      <c r="M61" s="75"/>
      <c r="N61" s="75"/>
      <c r="O61" s="75"/>
      <c r="P61" s="75"/>
    </row>
    <row r="62" spans="2:16" x14ac:dyDescent="0.3">
      <c r="B62" s="19" t="s">
        <v>14</v>
      </c>
      <c r="C62" s="60">
        <f>'EJE 15'!$L$5</f>
        <v>27.334099999999999</v>
      </c>
      <c r="D62" s="16" t="s">
        <v>12</v>
      </c>
      <c r="E62" s="75"/>
      <c r="F62" s="75"/>
      <c r="G62" s="75"/>
      <c r="H62" s="75"/>
      <c r="I62" s="19" t="s">
        <v>72</v>
      </c>
      <c r="J62" s="16">
        <f>1.2*C62+C63+1.4*C64</f>
        <v>70.403699999999986</v>
      </c>
      <c r="K62" s="16" t="s">
        <v>12</v>
      </c>
      <c r="L62" s="75"/>
      <c r="M62" s="75" t="s">
        <v>68</v>
      </c>
      <c r="N62" s="75"/>
      <c r="O62" s="75"/>
      <c r="P62" s="75"/>
    </row>
    <row r="63" spans="2:16" x14ac:dyDescent="0.3">
      <c r="B63" s="19" t="s">
        <v>13</v>
      </c>
      <c r="C63" s="60">
        <f>'EJE 15'!$M$5</f>
        <v>0.62009999999999998</v>
      </c>
      <c r="D63" s="16" t="s">
        <v>12</v>
      </c>
      <c r="E63" s="75"/>
      <c r="F63" s="75"/>
      <c r="G63" s="75"/>
      <c r="H63" s="75"/>
      <c r="I63" s="19" t="s">
        <v>69</v>
      </c>
      <c r="J63" s="16">
        <f>SUM(C62:C64)</f>
        <v>54.370400000000004</v>
      </c>
      <c r="K63" s="16" t="s">
        <v>12</v>
      </c>
      <c r="L63" s="75"/>
      <c r="M63" s="75" t="s">
        <v>70</v>
      </c>
      <c r="N63" s="75"/>
      <c r="O63" s="75"/>
      <c r="P63" s="75"/>
    </row>
    <row r="64" spans="2:16" x14ac:dyDescent="0.3">
      <c r="B64" s="19" t="s">
        <v>15</v>
      </c>
      <c r="C64" s="60">
        <f>'EJE 15'!$N$5</f>
        <v>26.4162</v>
      </c>
      <c r="D64" s="16" t="s">
        <v>12</v>
      </c>
      <c r="E64" s="75"/>
      <c r="F64" s="75"/>
      <c r="G64" s="75"/>
      <c r="H64" s="75"/>
      <c r="I64" s="19" t="s">
        <v>73</v>
      </c>
      <c r="J64" s="16">
        <f>IF(C65=0,J62,C65)</f>
        <v>70.403699999999986</v>
      </c>
      <c r="K64" s="16" t="s">
        <v>12</v>
      </c>
      <c r="L64" s="75"/>
      <c r="M64" s="40" t="s">
        <v>74</v>
      </c>
      <c r="N64" s="75"/>
      <c r="O64" s="75"/>
      <c r="P64" s="75"/>
    </row>
    <row r="65" spans="2:16" x14ac:dyDescent="0.3">
      <c r="B65" s="19" t="s">
        <v>55</v>
      </c>
      <c r="C65" s="16">
        <v>0</v>
      </c>
      <c r="D65" s="16" t="s">
        <v>12</v>
      </c>
      <c r="E65" s="75"/>
      <c r="F65" s="75"/>
      <c r="G65" s="75"/>
      <c r="H65" s="75"/>
      <c r="I65" s="19" t="s">
        <v>71</v>
      </c>
      <c r="J65" s="16">
        <f>IF(C65=0,J63,C65)</f>
        <v>54.370400000000004</v>
      </c>
      <c r="K65" s="16" t="s">
        <v>12</v>
      </c>
      <c r="L65" s="75"/>
      <c r="M65" s="40" t="s">
        <v>75</v>
      </c>
      <c r="N65" s="75"/>
      <c r="O65" s="75"/>
      <c r="P65" s="75"/>
    </row>
    <row r="66" spans="2:16" x14ac:dyDescent="0.3">
      <c r="B66" s="75"/>
      <c r="C66" s="75"/>
      <c r="D66" s="75"/>
      <c r="E66" s="75"/>
      <c r="F66" s="75"/>
      <c r="G66" s="75"/>
      <c r="H66" s="75"/>
      <c r="J66" s="75"/>
      <c r="K66" s="75"/>
      <c r="L66" s="75"/>
      <c r="M66" s="75"/>
      <c r="N66" s="75"/>
      <c r="O66" s="75"/>
      <c r="P66" s="75"/>
    </row>
    <row r="67" spans="2:16" x14ac:dyDescent="0.3">
      <c r="B67" s="33" t="s">
        <v>42</v>
      </c>
      <c r="C67" s="75"/>
      <c r="D67" s="75"/>
      <c r="E67" s="75"/>
      <c r="F67" s="75"/>
      <c r="G67" s="75"/>
      <c r="H67" s="75"/>
      <c r="I67" s="27" t="s">
        <v>76</v>
      </c>
      <c r="J67" s="75"/>
      <c r="K67" s="75"/>
      <c r="L67" s="75"/>
      <c r="M67" s="75"/>
      <c r="N67" s="75"/>
      <c r="O67" s="75"/>
      <c r="P67" s="75"/>
    </row>
    <row r="68" spans="2:16" x14ac:dyDescent="0.3">
      <c r="B68" s="31" t="s">
        <v>41</v>
      </c>
      <c r="C68" s="16">
        <v>12</v>
      </c>
      <c r="D68" s="29" t="s">
        <v>35</v>
      </c>
      <c r="E68" s="75"/>
      <c r="F68" s="75"/>
      <c r="G68" s="75"/>
      <c r="H68" s="75"/>
      <c r="I68" s="19" t="s">
        <v>29</v>
      </c>
      <c r="J68" s="30">
        <f>J65*1000/J52</f>
        <v>4.4474764826175868</v>
      </c>
      <c r="K68" s="29" t="s">
        <v>8</v>
      </c>
      <c r="L68" s="75"/>
      <c r="M68" s="75"/>
      <c r="N68" s="75"/>
      <c r="O68" s="75"/>
      <c r="P68" s="75"/>
    </row>
    <row r="69" spans="2:16" x14ac:dyDescent="0.3">
      <c r="B69" s="31" t="s">
        <v>43</v>
      </c>
      <c r="C69" s="16">
        <v>14</v>
      </c>
      <c r="D69" s="29" t="s">
        <v>5</v>
      </c>
      <c r="E69" s="75"/>
      <c r="F69" s="39" t="str">
        <f>IF(OR(C69&gt;25,C69&lt;10),"[REDISEÑAR]",IF(AND(C69&lt;=J70,C69&lt;=J84),"[OK]","[REDISEÑAR]"))</f>
        <v>[OK]</v>
      </c>
      <c r="G69" s="75"/>
      <c r="H69" s="75"/>
      <c r="I69" s="19" t="s">
        <v>61</v>
      </c>
      <c r="J69" s="37">
        <f>MAX(J68*100*C56/(2*C53),C73)</f>
        <v>3.125</v>
      </c>
      <c r="K69" s="29" t="s">
        <v>32</v>
      </c>
      <c r="L69" s="75"/>
      <c r="M69" s="15"/>
      <c r="N69" s="15"/>
      <c r="O69" s="15"/>
      <c r="P69" s="75"/>
    </row>
    <row r="70" spans="2:16" x14ac:dyDescent="0.3">
      <c r="B70" s="75"/>
      <c r="C70" s="50" t="str">
        <f>"$\phi$"&amp;C68&amp;"@"&amp;C69</f>
        <v>$\phi$12@14</v>
      </c>
      <c r="D70" s="75"/>
      <c r="E70" s="75"/>
      <c r="F70" s="39" t="str">
        <f>IF(OR(J69=C73,J80=C73),"[ÁREA MINIMA]","[]")</f>
        <v>[ÁREA MINIMA]</v>
      </c>
      <c r="G70" s="75"/>
      <c r="H70" s="75"/>
      <c r="I70" s="63" t="s">
        <v>34</v>
      </c>
      <c r="J70" s="63">
        <f>ROUNDDOWN((1/J69)*C72*100,0)</f>
        <v>36</v>
      </c>
      <c r="K70" s="64" t="s">
        <v>5</v>
      </c>
      <c r="L70" s="75"/>
      <c r="M70" s="39" t="str">
        <f>IF(OR(J70&lt;10,J70&gt;25),"[REDISEÑAR]","[OK")</f>
        <v>[REDISEÑAR]</v>
      </c>
      <c r="N70" s="41" t="s">
        <v>80</v>
      </c>
      <c r="O70" s="42">
        <f>1/J69*(C68/2)^2*PI()</f>
        <v>36.191147369354418</v>
      </c>
      <c r="P70" s="75" t="str">
        <f>"$\phi$"&amp;C68&amp;"@"&amp;J70</f>
        <v>$\phi$12@36</v>
      </c>
    </row>
    <row r="71" spans="2:16" x14ac:dyDescent="0.3">
      <c r="B71" s="18" t="s">
        <v>52</v>
      </c>
      <c r="C71" s="75"/>
      <c r="D71" s="75"/>
      <c r="E71" s="75"/>
      <c r="F71" s="62" t="str">
        <f>IF(J59&lt;J58,IF(J87&gt;J76,"[OK]","[REDISEÑAR]"),"[REDISEÑAR]")</f>
        <v>[OK]</v>
      </c>
      <c r="G71" s="75"/>
      <c r="H71" s="75"/>
      <c r="I71" s="31" t="s">
        <v>48</v>
      </c>
      <c r="J71" s="30">
        <f>C72*2*IF(C57/C69&gt;=1,C57/C69,0)</f>
        <v>79.006567248278174</v>
      </c>
      <c r="K71" s="29" t="s">
        <v>17</v>
      </c>
      <c r="L71" s="75"/>
      <c r="M71" s="75"/>
      <c r="N71" s="15"/>
      <c r="O71" s="44"/>
      <c r="P71" s="75"/>
    </row>
    <row r="72" spans="2:16" x14ac:dyDescent="0.3">
      <c r="B72" s="31" t="s">
        <v>66</v>
      </c>
      <c r="C72" s="30">
        <f>(C68/(2*10))^2*PI()</f>
        <v>1.1309733552923256</v>
      </c>
      <c r="D72" s="29" t="s">
        <v>17</v>
      </c>
      <c r="E72" s="75"/>
      <c r="F72" s="75"/>
      <c r="G72" s="75"/>
      <c r="H72" s="75"/>
      <c r="I72" s="19" t="s">
        <v>49</v>
      </c>
      <c r="J72" s="34">
        <f>C53*J71/1000</f>
        <v>221.2183882951789</v>
      </c>
      <c r="K72" s="16" t="s">
        <v>12</v>
      </c>
      <c r="L72" s="75"/>
      <c r="M72" s="39" t="str">
        <f>IF(J72&gt;J65,"[OK]","[REDISEÑAR]")</f>
        <v>[OK]</v>
      </c>
      <c r="N72" s="41" t="str">
        <f>IF(O72&gt;0,"Sobrado","Faltan")</f>
        <v>Sobrado</v>
      </c>
      <c r="O72" s="43">
        <f>J72-J65</f>
        <v>166.84798829517888</v>
      </c>
      <c r="P72" s="75"/>
    </row>
    <row r="73" spans="2:16" x14ac:dyDescent="0.3">
      <c r="B73" s="31" t="s">
        <v>78</v>
      </c>
      <c r="C73" s="37">
        <f>2.5/1000*100*C56/2</f>
        <v>3.125</v>
      </c>
      <c r="D73" s="16" t="s">
        <v>17</v>
      </c>
      <c r="E73" s="75"/>
      <c r="F73" s="75"/>
      <c r="G73" s="75"/>
      <c r="H73" s="75"/>
      <c r="J73" s="75"/>
      <c r="K73" s="75"/>
      <c r="L73" s="75"/>
      <c r="M73" s="75"/>
      <c r="N73" s="75"/>
      <c r="O73" s="15"/>
      <c r="P73" s="75"/>
    </row>
    <row r="74" spans="2:16" x14ac:dyDescent="0.3">
      <c r="B74" s="31" t="s">
        <v>114</v>
      </c>
      <c r="C74" s="37">
        <f>C72*100/C69</f>
        <v>8.0783811092308966</v>
      </c>
      <c r="D74" s="29" t="s">
        <v>32</v>
      </c>
      <c r="E74" s="75"/>
      <c r="F74" s="75"/>
      <c r="G74" s="75"/>
      <c r="H74" s="75"/>
      <c r="I74" s="18" t="s">
        <v>77</v>
      </c>
      <c r="J74" s="75"/>
      <c r="K74" s="75"/>
      <c r="L74" s="75"/>
      <c r="M74" s="17" t="s">
        <v>67</v>
      </c>
      <c r="N74" s="75"/>
      <c r="O74" s="75"/>
      <c r="P74" s="75"/>
    </row>
    <row r="75" spans="2:16" x14ac:dyDescent="0.3">
      <c r="B75" s="75"/>
      <c r="C75" s="75"/>
      <c r="D75" s="75"/>
      <c r="E75" s="75"/>
      <c r="F75" s="75"/>
      <c r="G75" s="75"/>
      <c r="H75" s="75"/>
      <c r="I75" s="19" t="s">
        <v>33</v>
      </c>
      <c r="J75" s="16">
        <v>0.6</v>
      </c>
      <c r="K75" s="16" t="s">
        <v>50</v>
      </c>
      <c r="L75" s="75"/>
      <c r="M75" s="19" t="s">
        <v>64</v>
      </c>
      <c r="N75" s="30">
        <f>SQRT(C51*0.0980665)*(1/0.0980665)/1000*J77*0.17</f>
        <v>79.591825473468688</v>
      </c>
      <c r="O75" s="16" t="s">
        <v>12</v>
      </c>
      <c r="P75" s="75"/>
    </row>
    <row r="76" spans="2:16" x14ac:dyDescent="0.3">
      <c r="B76" s="17" t="s">
        <v>37</v>
      </c>
      <c r="C76" s="75"/>
      <c r="D76" s="75"/>
      <c r="E76" s="75"/>
      <c r="F76" s="75"/>
      <c r="G76" s="75"/>
      <c r="H76" s="75"/>
      <c r="I76" s="19" t="s">
        <v>46</v>
      </c>
      <c r="J76" s="34">
        <f>J64/J75</f>
        <v>117.33949999999999</v>
      </c>
      <c r="K76" s="16" t="s">
        <v>12</v>
      </c>
      <c r="L76" s="75"/>
      <c r="M76" s="19" t="s">
        <v>57</v>
      </c>
      <c r="N76" s="16">
        <f>IF(C58/J55&lt;=1.5,0.25,IF(C58/J55&gt;=2,0.17,0.17+(0.25-0.17)/(C58/J55-1.5)*C58/J55))</f>
        <v>0.25</v>
      </c>
      <c r="O76" s="29" t="s">
        <v>50</v>
      </c>
      <c r="P76" s="75"/>
    </row>
    <row r="77" spans="2:16" x14ac:dyDescent="0.3">
      <c r="B77" s="31" t="s">
        <v>115</v>
      </c>
      <c r="C77" s="37">
        <f>O72</f>
        <v>166.84798829517888</v>
      </c>
      <c r="D77" s="29" t="s">
        <v>12</v>
      </c>
      <c r="E77" s="75"/>
      <c r="F77" s="75"/>
      <c r="G77" s="75"/>
      <c r="H77" s="75"/>
      <c r="I77" s="19" t="s">
        <v>36</v>
      </c>
      <c r="J77" s="35">
        <f>J55*C56*0.8-J85</f>
        <v>7760.794746201379</v>
      </c>
      <c r="K77" s="16" t="s">
        <v>17</v>
      </c>
      <c r="L77" s="75"/>
      <c r="M77" s="19" t="s">
        <v>59</v>
      </c>
      <c r="N77" s="30">
        <f>SQRT(C51*0.0980665)*(1/0.0980665)/1000*J77*N76</f>
        <v>117.0468021668657</v>
      </c>
      <c r="O77" s="29" t="s">
        <v>12</v>
      </c>
      <c r="P77" s="75"/>
    </row>
    <row r="78" spans="2:16" x14ac:dyDescent="0.3">
      <c r="B78" s="31" t="s">
        <v>116</v>
      </c>
      <c r="C78" s="37">
        <f>O87</f>
        <v>227.71439142768338</v>
      </c>
      <c r="D78" s="29" t="s">
        <v>12</v>
      </c>
      <c r="E78" s="75"/>
      <c r="F78" s="75"/>
      <c r="G78" s="75"/>
      <c r="H78" s="75"/>
      <c r="I78" s="19" t="s">
        <v>60</v>
      </c>
      <c r="J78" s="34">
        <f>MIN(N77,N75)</f>
        <v>79.591825473468688</v>
      </c>
      <c r="K78" s="29" t="s">
        <v>12</v>
      </c>
      <c r="L78" s="75"/>
      <c r="M78" s="75"/>
      <c r="N78" s="75"/>
      <c r="O78" s="75"/>
      <c r="P78" s="75"/>
    </row>
    <row r="79" spans="2:16" x14ac:dyDescent="0.3">
      <c r="B79" s="19" t="s">
        <v>117</v>
      </c>
      <c r="C79" s="36">
        <f>C72*2*C57/C69/J52</f>
        <v>6.4627048873847175E-3</v>
      </c>
      <c r="D79" s="16" t="s">
        <v>50</v>
      </c>
      <c r="E79" s="75"/>
      <c r="F79" s="75"/>
      <c r="G79" s="75"/>
      <c r="H79" s="75"/>
      <c r="I79" s="19" t="s">
        <v>39</v>
      </c>
      <c r="J79" s="34">
        <f>J76-J78</f>
        <v>37.747674526531299</v>
      </c>
      <c r="K79" s="16" t="s">
        <v>12</v>
      </c>
      <c r="L79" s="75"/>
      <c r="M79" s="75"/>
      <c r="N79" s="75"/>
      <c r="O79" s="75"/>
      <c r="P79" s="75"/>
    </row>
    <row r="80" spans="2:16" x14ac:dyDescent="0.3">
      <c r="B80" s="75"/>
      <c r="C80" s="75"/>
      <c r="D80" s="75"/>
      <c r="E80" s="75"/>
      <c r="F80" s="75"/>
      <c r="G80" s="75"/>
      <c r="H80" s="75"/>
      <c r="I80" s="19" t="s">
        <v>61</v>
      </c>
      <c r="J80" s="37">
        <f>MAX(J79/(C52*J55/1000/100)/2,C73)</f>
        <v>3.125</v>
      </c>
      <c r="K80" s="29" t="s">
        <v>32</v>
      </c>
      <c r="L80" s="75"/>
      <c r="M80" s="75"/>
      <c r="N80" s="75"/>
      <c r="O80" s="75"/>
      <c r="P80" s="75"/>
    </row>
    <row r="81" spans="2:16" x14ac:dyDescent="0.3">
      <c r="B81" s="75"/>
      <c r="C81" s="75"/>
      <c r="D81" s="75"/>
      <c r="E81" s="75"/>
      <c r="F81" s="75"/>
      <c r="G81" s="75"/>
      <c r="H81" s="75"/>
      <c r="I81" s="19" t="s">
        <v>65</v>
      </c>
      <c r="J81" s="36">
        <f>J80/C56/100*2</f>
        <v>2.5000000000000001E-3</v>
      </c>
      <c r="K81" s="16" t="s">
        <v>50</v>
      </c>
      <c r="L81" s="75"/>
      <c r="M81" s="75"/>
      <c r="N81" s="75"/>
      <c r="O81" s="75"/>
      <c r="P81" s="75"/>
    </row>
    <row r="82" spans="2:16" x14ac:dyDescent="0.3">
      <c r="B82" s="75"/>
      <c r="C82" s="75"/>
      <c r="D82" s="75"/>
      <c r="E82" s="75"/>
      <c r="F82" s="75"/>
      <c r="G82" s="75"/>
      <c r="H82" s="75"/>
      <c r="I82" s="19" t="s">
        <v>53</v>
      </c>
      <c r="J82" s="16">
        <f>MAX(0.0025,0.0025*0.5*(2.5-C56/(C57*0.8))*(J81-0.0025))</f>
        <v>2.5000000000000001E-3</v>
      </c>
      <c r="K82" s="29" t="s">
        <v>50</v>
      </c>
      <c r="L82" s="75"/>
      <c r="M82" s="39" t="str">
        <f>IF(OR(J81&gt;J82,ABS(J81-J82)&lt;0.0001),"[OK]","[REDISEÑAR]")</f>
        <v>[OK]</v>
      </c>
      <c r="N82" s="75"/>
      <c r="O82" s="75"/>
      <c r="P82" s="75"/>
    </row>
    <row r="83" spans="2:16" x14ac:dyDescent="0.3">
      <c r="B83" s="75"/>
      <c r="C83" s="75"/>
      <c r="D83" s="75"/>
      <c r="E83" s="75"/>
      <c r="F83" s="75"/>
      <c r="G83" s="75"/>
      <c r="H83" s="75"/>
      <c r="I83" s="19" t="s">
        <v>47</v>
      </c>
      <c r="J83" s="34">
        <f>SQRT(C51*0.0980665)*(1/0.0980665)/1000*0.66*0.8*C57*C56</f>
        <v>389.40017012895788</v>
      </c>
      <c r="K83" s="16" t="s">
        <v>12</v>
      </c>
      <c r="L83" s="75"/>
      <c r="M83" s="40" t="s">
        <v>44</v>
      </c>
      <c r="N83" s="75"/>
      <c r="O83" s="15"/>
      <c r="P83" s="75"/>
    </row>
    <row r="84" spans="2:16" x14ac:dyDescent="0.3">
      <c r="B84" s="75"/>
      <c r="C84" s="75"/>
      <c r="D84" s="75"/>
      <c r="E84" s="75"/>
      <c r="F84" s="75"/>
      <c r="G84" s="75"/>
      <c r="H84" s="75"/>
      <c r="I84" s="63" t="s">
        <v>34</v>
      </c>
      <c r="J84" s="63">
        <f>ROUNDDOWN(1/J80*C72*100,0)</f>
        <v>36</v>
      </c>
      <c r="K84" s="64" t="s">
        <v>5</v>
      </c>
      <c r="L84" s="75"/>
      <c r="M84" s="39" t="str">
        <f>IF(OR(J84&lt;10,J84&gt;25),"[REDISEÑAR]","[OK")</f>
        <v>[REDISEÑAR]</v>
      </c>
      <c r="N84" s="41" t="s">
        <v>80</v>
      </c>
      <c r="O84" s="42">
        <f>1/J80*(C68/2)^2*PI()</f>
        <v>36.191147369354418</v>
      </c>
      <c r="P84" s="75" t="str">
        <f>"$\phi$"&amp;C68&amp;"@"&amp;J84</f>
        <v>$\phi$12@36</v>
      </c>
    </row>
    <row r="85" spans="2:16" x14ac:dyDescent="0.3">
      <c r="B85" s="75"/>
      <c r="C85" s="75"/>
      <c r="D85" s="75"/>
      <c r="E85" s="75"/>
      <c r="F85" s="75"/>
      <c r="G85" s="75"/>
      <c r="H85" s="75"/>
      <c r="I85" s="31" t="s">
        <v>48</v>
      </c>
      <c r="J85" s="30">
        <f>C72*2*IF(J55/C69&gt;=1,J55/C69,0)</f>
        <v>63.205253798622543</v>
      </c>
      <c r="K85" s="29" t="s">
        <v>17</v>
      </c>
      <c r="L85" s="75"/>
      <c r="M85" s="75"/>
      <c r="N85" s="15"/>
      <c r="O85" s="15"/>
      <c r="P85" s="75"/>
    </row>
    <row r="86" spans="2:16" x14ac:dyDescent="0.3">
      <c r="B86" s="75"/>
      <c r="C86" s="75"/>
      <c r="D86" s="75"/>
      <c r="E86" s="75"/>
      <c r="F86" s="75"/>
      <c r="G86" s="75"/>
      <c r="H86" s="75"/>
      <c r="I86" s="19" t="s">
        <v>81</v>
      </c>
      <c r="J86" s="34">
        <f>MIN(J85*C52/1000,J83)</f>
        <v>265.46206595421467</v>
      </c>
      <c r="K86" s="16" t="s">
        <v>12</v>
      </c>
      <c r="L86" s="75"/>
      <c r="M86" s="40" t="s">
        <v>82</v>
      </c>
      <c r="N86" s="15"/>
      <c r="O86" s="15"/>
      <c r="P86" s="75"/>
    </row>
    <row r="87" spans="2:16" x14ac:dyDescent="0.3">
      <c r="B87" s="75"/>
      <c r="C87" s="75"/>
      <c r="D87" s="75"/>
      <c r="E87" s="75"/>
      <c r="F87" s="75"/>
      <c r="G87" s="75"/>
      <c r="H87" s="75"/>
      <c r="I87" s="19" t="s">
        <v>79</v>
      </c>
      <c r="J87" s="34">
        <f>J86+J78</f>
        <v>345.05389142768337</v>
      </c>
      <c r="K87" s="16" t="s">
        <v>12</v>
      </c>
      <c r="L87" s="75"/>
      <c r="M87" s="39" t="str">
        <f>IF(J87&gt;J76,"[OK]","[REDISEÑAR]")</f>
        <v>[OK]</v>
      </c>
      <c r="N87" s="41" t="str">
        <f>IF(O87&gt;0,"Sobrado","Faltan")</f>
        <v>Sobrado</v>
      </c>
      <c r="O87" s="43">
        <f>J87-J76</f>
        <v>227.71439142768338</v>
      </c>
      <c r="P87" s="75"/>
    </row>
    <row r="88" spans="2:16" x14ac:dyDescent="0.3">
      <c r="B88" s="75"/>
      <c r="C88" s="75"/>
      <c r="D88" s="75"/>
      <c r="E88" s="75"/>
      <c r="F88" s="75"/>
      <c r="G88" s="75"/>
      <c r="H88" s="75"/>
      <c r="J88" s="75"/>
      <c r="K88" s="75"/>
      <c r="L88" s="75"/>
      <c r="M88" s="75"/>
      <c r="N88" s="75"/>
      <c r="O88" s="75"/>
      <c r="P88" s="75"/>
    </row>
    <row r="89" spans="2:16" x14ac:dyDescent="0.3">
      <c r="B89" s="75"/>
      <c r="C89" s="75"/>
      <c r="D89" s="75"/>
      <c r="E89" s="75"/>
      <c r="F89" s="75"/>
      <c r="G89" s="75"/>
      <c r="H89" s="75"/>
      <c r="I89" s="18" t="s">
        <v>45</v>
      </c>
      <c r="J89" s="75"/>
      <c r="K89" s="75"/>
      <c r="L89" s="75"/>
      <c r="M89" s="75"/>
      <c r="N89" s="75"/>
      <c r="O89" s="15"/>
      <c r="P89" s="75"/>
    </row>
    <row r="90" spans="2:16" x14ac:dyDescent="0.3">
      <c r="B90" s="75"/>
      <c r="C90" s="75"/>
      <c r="D90" s="75"/>
      <c r="E90" s="75"/>
      <c r="F90" s="75"/>
      <c r="G90" s="75"/>
      <c r="H90" s="75"/>
      <c r="I90" s="19" t="s">
        <v>40</v>
      </c>
      <c r="J90" s="16">
        <f>J64</f>
        <v>70.403699999999986</v>
      </c>
      <c r="K90" s="16" t="s">
        <v>12</v>
      </c>
      <c r="L90" s="75"/>
      <c r="M90" s="75"/>
      <c r="N90" s="75"/>
      <c r="O90" s="26"/>
      <c r="P90" s="75"/>
    </row>
    <row r="91" spans="2:16" x14ac:dyDescent="0.3">
      <c r="B91" s="75"/>
      <c r="C91" s="75"/>
      <c r="D91" s="75"/>
      <c r="E91" s="75"/>
      <c r="F91" s="75"/>
      <c r="G91" s="75"/>
      <c r="H91" s="75"/>
      <c r="I91" s="19" t="s">
        <v>46</v>
      </c>
      <c r="J91" s="34">
        <f>J76</f>
        <v>117.33949999999999</v>
      </c>
      <c r="K91" s="16" t="s">
        <v>12</v>
      </c>
      <c r="L91" s="75"/>
      <c r="M91" s="75"/>
      <c r="N91" s="75"/>
      <c r="O91" s="75"/>
      <c r="P91" s="75"/>
    </row>
    <row r="92" spans="2:16" x14ac:dyDescent="0.3">
      <c r="B92" s="75"/>
      <c r="C92" s="75"/>
      <c r="D92" s="75"/>
      <c r="E92" s="75"/>
      <c r="F92" s="75"/>
      <c r="G92" s="75"/>
      <c r="H92" s="75"/>
      <c r="I92" s="19" t="s">
        <v>38</v>
      </c>
      <c r="J92" s="34">
        <f>2/3*J77*SQRT(C51*0.0980665)*(1/0.0980665)/1000</f>
        <v>312.12480577830854</v>
      </c>
      <c r="K92" s="16" t="s">
        <v>12</v>
      </c>
      <c r="L92" s="75"/>
      <c r="M92" s="39" t="str">
        <f>IF(J92&gt;J91,"[OK]","[REDISEÑAR]")</f>
        <v>[OK]</v>
      </c>
      <c r="N92" s="41" t="str">
        <f>IF(O92&gt;0,"Sobrado","Faltan")</f>
        <v>Sobrado</v>
      </c>
      <c r="O92" s="43">
        <f>J92-J91</f>
        <v>194.78530577830855</v>
      </c>
      <c r="P92" s="75"/>
    </row>
    <row r="94" spans="2:16" ht="18" x14ac:dyDescent="0.35">
      <c r="B94" s="48" t="str">
        <f>'EJE 15'!$S$6</f>
        <v>EJE 15.C-C1 | PIER F28X | PISO 1</v>
      </c>
      <c r="C94" s="75"/>
      <c r="D94" s="75"/>
      <c r="E94" s="75"/>
      <c r="F94" s="75"/>
      <c r="G94" s="75"/>
      <c r="H94" s="75"/>
      <c r="J94" s="75"/>
      <c r="K94" s="75"/>
      <c r="L94" s="75"/>
      <c r="M94" s="75"/>
      <c r="N94" s="75"/>
      <c r="O94" s="75"/>
      <c r="P94" s="75"/>
    </row>
    <row r="95" spans="2:16" x14ac:dyDescent="0.3">
      <c r="B95" s="75"/>
      <c r="C95" s="75"/>
      <c r="D95" s="75"/>
      <c r="E95" s="75"/>
      <c r="F95" s="75"/>
      <c r="G95" s="75"/>
      <c r="H95" s="75"/>
      <c r="J95" s="75"/>
      <c r="K95" s="75"/>
      <c r="L95" s="75"/>
      <c r="M95" s="75"/>
      <c r="N95" s="75"/>
      <c r="O95" s="75"/>
      <c r="P95" s="75"/>
    </row>
    <row r="96" spans="2:16" x14ac:dyDescent="0.3">
      <c r="B96" s="17" t="s">
        <v>6</v>
      </c>
      <c r="C96" s="75"/>
      <c r="D96" s="75"/>
      <c r="E96" s="75"/>
      <c r="F96" s="75"/>
      <c r="G96" s="75"/>
      <c r="H96" s="75"/>
      <c r="I96" s="18" t="s">
        <v>25</v>
      </c>
      <c r="J96" s="75"/>
      <c r="K96" s="75"/>
      <c r="L96" s="75"/>
      <c r="M96" s="75"/>
      <c r="N96" s="75"/>
      <c r="O96" s="75"/>
      <c r="P96" s="75"/>
    </row>
    <row r="97" spans="2:16" x14ac:dyDescent="0.3">
      <c r="B97" s="19" t="s">
        <v>99</v>
      </c>
      <c r="C97" s="61">
        <f>10.1971621297793*'EJE 15'!$G$6</f>
        <v>356.90067454227551</v>
      </c>
      <c r="D97" s="16" t="s">
        <v>8</v>
      </c>
      <c r="E97" s="75"/>
      <c r="F97" s="75"/>
      <c r="G97" s="75"/>
      <c r="H97" s="75"/>
      <c r="I97" s="19" t="s">
        <v>58</v>
      </c>
      <c r="J97" s="16">
        <f>C104/16</f>
        <v>14.375</v>
      </c>
      <c r="K97" s="16" t="s">
        <v>5</v>
      </c>
      <c r="L97" s="21"/>
      <c r="M97" s="39" t="str">
        <f>IF(J97&lt;C102,"[OK]","[REDISEÑAR]")</f>
        <v>[OK]</v>
      </c>
      <c r="N97" s="75"/>
      <c r="O97" s="75"/>
      <c r="P97" s="75"/>
    </row>
    <row r="98" spans="2:16" x14ac:dyDescent="0.3">
      <c r="B98" s="19" t="s">
        <v>30</v>
      </c>
      <c r="C98" s="16">
        <v>4200</v>
      </c>
      <c r="D98" s="16" t="s">
        <v>8</v>
      </c>
      <c r="E98" s="75"/>
      <c r="F98" s="75"/>
      <c r="G98" s="75"/>
      <c r="H98" s="75"/>
      <c r="I98" s="19" t="s">
        <v>16</v>
      </c>
      <c r="J98" s="16">
        <f>C102*C103</f>
        <v>4800</v>
      </c>
      <c r="K98" s="16" t="s">
        <v>17</v>
      </c>
      <c r="L98" s="21"/>
      <c r="M98" s="75"/>
      <c r="N98" s="75"/>
      <c r="O98" s="75"/>
      <c r="P98" s="75"/>
    </row>
    <row r="99" spans="2:16" x14ac:dyDescent="0.3">
      <c r="B99" s="19" t="s">
        <v>31</v>
      </c>
      <c r="C99" s="16">
        <v>2800</v>
      </c>
      <c r="D99" s="16" t="s">
        <v>8</v>
      </c>
      <c r="E99" s="75"/>
      <c r="F99" s="75"/>
      <c r="G99" s="75"/>
      <c r="H99" s="75"/>
      <c r="I99" s="19" t="s">
        <v>51</v>
      </c>
      <c r="J99" s="16">
        <f>MIN(0.8*C103/5,3*C102,45)</f>
        <v>30.720000000000006</v>
      </c>
      <c r="K99" s="16" t="s">
        <v>5</v>
      </c>
      <c r="L99" s="21"/>
      <c r="M99" s="39" t="str">
        <f>IF(J99&gt;C115,"[OK]","[REDISEÑAR]")</f>
        <v>[OK]</v>
      </c>
      <c r="N99" s="75"/>
      <c r="O99" s="75"/>
      <c r="P99" s="75"/>
    </row>
    <row r="100" spans="2:16" x14ac:dyDescent="0.3">
      <c r="B100" s="75"/>
      <c r="C100" s="75"/>
      <c r="D100" s="75"/>
      <c r="E100" s="75"/>
      <c r="F100" s="75"/>
      <c r="G100" s="75"/>
      <c r="H100" s="75"/>
      <c r="I100" s="19" t="s">
        <v>56</v>
      </c>
      <c r="J100" s="16">
        <f>MIN(0.8*C104/3,3*C103,45)</f>
        <v>45</v>
      </c>
      <c r="K100" s="16" t="s">
        <v>5</v>
      </c>
      <c r="L100" s="21"/>
      <c r="M100" s="39" t="str">
        <f>IF(J100&gt;C115,"[OK]","[REDISEÑAR]")</f>
        <v>[OK]</v>
      </c>
      <c r="N100" s="75"/>
      <c r="O100" s="75"/>
      <c r="P100" s="75"/>
    </row>
    <row r="101" spans="2:16" x14ac:dyDescent="0.3">
      <c r="B101" s="17" t="s">
        <v>3</v>
      </c>
      <c r="C101" s="75"/>
      <c r="D101" s="75"/>
      <c r="E101" s="75"/>
      <c r="F101" s="75"/>
      <c r="G101" s="75"/>
      <c r="H101" s="75"/>
      <c r="I101" s="19" t="s">
        <v>62</v>
      </c>
      <c r="J101" s="16">
        <f>0.8*C103</f>
        <v>153.60000000000002</v>
      </c>
      <c r="K101" s="29" t="s">
        <v>5</v>
      </c>
      <c r="L101" s="75"/>
      <c r="M101" s="75"/>
      <c r="N101" s="75"/>
      <c r="O101" s="75"/>
      <c r="P101" s="75"/>
    </row>
    <row r="102" spans="2:16" x14ac:dyDescent="0.3">
      <c r="B102" s="19" t="str">
        <f>"Espesor del muro (h)"</f>
        <v>Espesor del muro (h)</v>
      </c>
      <c r="C102" s="49">
        <f>'EJE 15'!$H$6</f>
        <v>25</v>
      </c>
      <c r="D102" s="16" t="s">
        <v>5</v>
      </c>
      <c r="E102" s="75"/>
      <c r="F102" s="75"/>
      <c r="G102" s="75"/>
      <c r="H102" s="75"/>
      <c r="J102" s="75"/>
      <c r="K102" s="75"/>
      <c r="L102" s="75"/>
      <c r="M102" s="75"/>
      <c r="N102" s="75"/>
      <c r="O102" s="75"/>
      <c r="P102" s="75"/>
    </row>
    <row r="103" spans="2:16" x14ac:dyDescent="0.3">
      <c r="B103" s="19" t="s">
        <v>63</v>
      </c>
      <c r="C103" s="49">
        <f>'EJE 15'!$I$6</f>
        <v>192</v>
      </c>
      <c r="D103" s="16" t="s">
        <v>5</v>
      </c>
      <c r="E103" s="75"/>
      <c r="F103" s="75"/>
      <c r="G103" s="75"/>
      <c r="H103" s="75"/>
      <c r="I103" s="18" t="s">
        <v>26</v>
      </c>
      <c r="J103" s="75"/>
      <c r="K103" s="75"/>
      <c r="L103" s="75"/>
      <c r="M103" s="75"/>
      <c r="N103" s="75"/>
      <c r="O103" s="75"/>
      <c r="P103" s="75"/>
    </row>
    <row r="104" spans="2:16" x14ac:dyDescent="0.3">
      <c r="B104" s="19" t="s">
        <v>10</v>
      </c>
      <c r="C104" s="49">
        <f>'EJE 15'!$J$6</f>
        <v>230</v>
      </c>
      <c r="D104" s="16" t="s">
        <v>5</v>
      </c>
      <c r="E104" s="75"/>
      <c r="F104" s="75"/>
      <c r="G104" s="75"/>
      <c r="H104" s="75"/>
      <c r="I104" s="19" t="s">
        <v>28</v>
      </c>
      <c r="J104" s="16">
        <f>0.35*C97</f>
        <v>124.91523608979642</v>
      </c>
      <c r="K104" s="16" t="s">
        <v>8</v>
      </c>
      <c r="L104" s="21"/>
      <c r="M104" s="75"/>
      <c r="N104" s="75"/>
      <c r="O104" s="75"/>
      <c r="P104" s="75"/>
    </row>
    <row r="105" spans="2:16" x14ac:dyDescent="0.3">
      <c r="B105" s="75"/>
      <c r="C105" s="75"/>
      <c r="D105" s="75"/>
      <c r="E105" s="75"/>
      <c r="F105" s="75"/>
      <c r="G105" s="75"/>
      <c r="H105" s="75"/>
      <c r="I105" s="19" t="s">
        <v>27</v>
      </c>
      <c r="J105" s="30">
        <f>C107*1000/J98</f>
        <v>59.7593125</v>
      </c>
      <c r="K105" s="16" t="s">
        <v>8</v>
      </c>
      <c r="L105" s="21"/>
      <c r="M105" s="39" t="str">
        <f>IF(J105&lt;J104,"[OK]","[REDISEÑAR]")</f>
        <v>[OK]</v>
      </c>
      <c r="N105" s="41" t="s">
        <v>112</v>
      </c>
      <c r="O105" s="59">
        <f>J105/J104</f>
        <v>0.47839890769642773</v>
      </c>
      <c r="P105" s="75"/>
    </row>
    <row r="106" spans="2:16" x14ac:dyDescent="0.3">
      <c r="B106" s="17" t="s">
        <v>11</v>
      </c>
      <c r="C106" s="75"/>
      <c r="D106" s="75"/>
      <c r="E106" s="75"/>
      <c r="F106" s="75"/>
      <c r="G106" s="75"/>
      <c r="H106" s="75"/>
      <c r="J106" s="75"/>
      <c r="K106" s="75"/>
      <c r="L106" s="75"/>
      <c r="M106" s="75"/>
      <c r="N106" s="75"/>
      <c r="O106" s="75"/>
      <c r="P106" s="75"/>
    </row>
    <row r="107" spans="2:16" x14ac:dyDescent="0.3">
      <c r="B107" s="19" t="str">
        <f>"$N_U$"</f>
        <v>$N_U$</v>
      </c>
      <c r="C107" s="60">
        <f>'EJE 15'!$K$6</f>
        <v>286.84469999999999</v>
      </c>
      <c r="D107" s="16" t="s">
        <v>12</v>
      </c>
      <c r="E107" s="75"/>
      <c r="F107" s="75"/>
      <c r="G107" s="75"/>
      <c r="H107" s="75"/>
      <c r="I107" s="18" t="s">
        <v>54</v>
      </c>
      <c r="J107" s="75"/>
      <c r="K107" s="75"/>
      <c r="L107" s="75"/>
      <c r="M107" s="75"/>
      <c r="N107" s="75"/>
      <c r="O107" s="75"/>
      <c r="P107" s="75"/>
    </row>
    <row r="108" spans="2:16" x14ac:dyDescent="0.3">
      <c r="B108" s="19" t="s">
        <v>14</v>
      </c>
      <c r="C108" s="60">
        <f>'EJE 15'!$L$6</f>
        <v>3.9618000000000002</v>
      </c>
      <c r="D108" s="16" t="s">
        <v>12</v>
      </c>
      <c r="E108" s="75"/>
      <c r="F108" s="75"/>
      <c r="G108" s="75"/>
      <c r="H108" s="75"/>
      <c r="I108" s="19" t="s">
        <v>72</v>
      </c>
      <c r="J108" s="16">
        <f>1.2*C108+C109+1.4*C110</f>
        <v>23.521259999999998</v>
      </c>
      <c r="K108" s="16" t="s">
        <v>12</v>
      </c>
      <c r="L108" s="75"/>
      <c r="M108" s="75" t="s">
        <v>68</v>
      </c>
      <c r="N108" s="75"/>
      <c r="O108" s="75"/>
      <c r="P108" s="75"/>
    </row>
    <row r="109" spans="2:16" x14ac:dyDescent="0.3">
      <c r="B109" s="19" t="s">
        <v>13</v>
      </c>
      <c r="C109" s="60">
        <f>'EJE 15'!$M$6</f>
        <v>5.3270999999999997</v>
      </c>
      <c r="D109" s="16" t="s">
        <v>12</v>
      </c>
      <c r="E109" s="75"/>
      <c r="F109" s="75"/>
      <c r="G109" s="75"/>
      <c r="H109" s="75"/>
      <c r="I109" s="19" t="s">
        <v>69</v>
      </c>
      <c r="J109" s="16">
        <f>SUM(C108:C110)</f>
        <v>18.8889</v>
      </c>
      <c r="K109" s="16" t="s">
        <v>12</v>
      </c>
      <c r="L109" s="75"/>
      <c r="M109" s="75" t="s">
        <v>70</v>
      </c>
      <c r="N109" s="75"/>
      <c r="O109" s="75"/>
      <c r="P109" s="75"/>
    </row>
    <row r="110" spans="2:16" x14ac:dyDescent="0.3">
      <c r="B110" s="19" t="s">
        <v>15</v>
      </c>
      <c r="C110" s="60">
        <f>'EJE 15'!$N$6</f>
        <v>9.6</v>
      </c>
      <c r="D110" s="16" t="s">
        <v>12</v>
      </c>
      <c r="E110" s="75"/>
      <c r="F110" s="75"/>
      <c r="G110" s="75"/>
      <c r="H110" s="75"/>
      <c r="I110" s="19" t="s">
        <v>73</v>
      </c>
      <c r="J110" s="16">
        <f>IF(C111=0,J108,C111)</f>
        <v>23.521259999999998</v>
      </c>
      <c r="K110" s="16" t="s">
        <v>12</v>
      </c>
      <c r="L110" s="75"/>
      <c r="M110" s="40" t="s">
        <v>74</v>
      </c>
      <c r="N110" s="75"/>
      <c r="O110" s="75"/>
      <c r="P110" s="75"/>
    </row>
    <row r="111" spans="2:16" x14ac:dyDescent="0.3">
      <c r="B111" s="19" t="s">
        <v>55</v>
      </c>
      <c r="C111" s="16">
        <v>0</v>
      </c>
      <c r="D111" s="16" t="s">
        <v>12</v>
      </c>
      <c r="E111" s="75"/>
      <c r="F111" s="75"/>
      <c r="G111" s="75"/>
      <c r="H111" s="75"/>
      <c r="I111" s="19" t="s">
        <v>71</v>
      </c>
      <c r="J111" s="16">
        <f>IF(C111=0,J109,C111)</f>
        <v>18.8889</v>
      </c>
      <c r="K111" s="16" t="s">
        <v>12</v>
      </c>
      <c r="L111" s="75"/>
      <c r="M111" s="40" t="s">
        <v>75</v>
      </c>
      <c r="N111" s="75"/>
      <c r="O111" s="75"/>
      <c r="P111" s="75"/>
    </row>
    <row r="112" spans="2:16" x14ac:dyDescent="0.3">
      <c r="B112" s="75"/>
      <c r="C112" s="75"/>
      <c r="D112" s="75"/>
      <c r="E112" s="75"/>
      <c r="F112" s="75"/>
      <c r="G112" s="75"/>
      <c r="H112" s="75"/>
      <c r="J112" s="75"/>
      <c r="K112" s="75"/>
      <c r="L112" s="75"/>
      <c r="M112" s="75"/>
      <c r="N112" s="75"/>
      <c r="O112" s="75"/>
      <c r="P112" s="75"/>
    </row>
    <row r="113" spans="2:16" x14ac:dyDescent="0.3">
      <c r="B113" s="33" t="s">
        <v>42</v>
      </c>
      <c r="C113" s="75"/>
      <c r="D113" s="75"/>
      <c r="E113" s="75"/>
      <c r="F113" s="75"/>
      <c r="G113" s="75"/>
      <c r="H113" s="75"/>
      <c r="I113" s="27" t="s">
        <v>76</v>
      </c>
      <c r="J113" s="75"/>
      <c r="K113" s="75"/>
      <c r="L113" s="75"/>
      <c r="M113" s="75"/>
      <c r="N113" s="75"/>
      <c r="O113" s="75"/>
      <c r="P113" s="75"/>
    </row>
    <row r="114" spans="2:16" x14ac:dyDescent="0.3">
      <c r="B114" s="31" t="s">
        <v>41</v>
      </c>
      <c r="C114" s="16">
        <v>12</v>
      </c>
      <c r="D114" s="29" t="s">
        <v>35</v>
      </c>
      <c r="E114" s="75"/>
      <c r="F114" s="75"/>
      <c r="G114" s="75"/>
      <c r="H114" s="75"/>
      <c r="I114" s="19" t="s">
        <v>29</v>
      </c>
      <c r="J114" s="30">
        <f>J111*1000/J98</f>
        <v>3.9351874999999996</v>
      </c>
      <c r="K114" s="29" t="s">
        <v>8</v>
      </c>
      <c r="L114" s="75"/>
      <c r="M114" s="75"/>
      <c r="N114" s="75"/>
      <c r="O114" s="75"/>
      <c r="P114" s="75"/>
    </row>
    <row r="115" spans="2:16" x14ac:dyDescent="0.3">
      <c r="B115" s="31" t="s">
        <v>43</v>
      </c>
      <c r="C115" s="16">
        <v>14</v>
      </c>
      <c r="D115" s="29" t="s">
        <v>5</v>
      </c>
      <c r="E115" s="75"/>
      <c r="F115" s="39" t="str">
        <f>IF(OR(C115&gt;25,C115&lt;10),"[REDISEÑAR]",IF(AND(C115&lt;=J116,C115&lt;=J130),"[OK]","[REDISEÑAR]"))</f>
        <v>[OK]</v>
      </c>
      <c r="G115" s="75"/>
      <c r="H115" s="75"/>
      <c r="I115" s="19" t="s">
        <v>61</v>
      </c>
      <c r="J115" s="37">
        <f>MAX(J114*100*C102/(2*C99),C119)</f>
        <v>3.125</v>
      </c>
      <c r="K115" s="29" t="s">
        <v>32</v>
      </c>
      <c r="L115" s="75"/>
      <c r="M115" s="15"/>
      <c r="N115" s="15"/>
      <c r="O115" s="15"/>
      <c r="P115" s="75"/>
    </row>
    <row r="116" spans="2:16" x14ac:dyDescent="0.3">
      <c r="B116" s="75"/>
      <c r="C116" s="50" t="str">
        <f>"$\phi$"&amp;C114&amp;"@"&amp;C115</f>
        <v>$\phi$12@14</v>
      </c>
      <c r="D116" s="75"/>
      <c r="E116" s="75"/>
      <c r="F116" s="39" t="str">
        <f>IF(OR(J115=C119,J126=C119),"[ÁREA MINIMA]","[]")</f>
        <v>[ÁREA MINIMA]</v>
      </c>
      <c r="G116" s="75"/>
      <c r="H116" s="75"/>
      <c r="I116" s="63" t="s">
        <v>34</v>
      </c>
      <c r="J116" s="63">
        <f>ROUNDDOWN((1/J115)*C118*100,0)</f>
        <v>36</v>
      </c>
      <c r="K116" s="64" t="s">
        <v>5</v>
      </c>
      <c r="L116" s="75"/>
      <c r="M116" s="39" t="str">
        <f>IF(OR(J116&lt;10,J116&gt;25),"[REDISEÑAR]","[OK")</f>
        <v>[REDISEÑAR]</v>
      </c>
      <c r="N116" s="41" t="s">
        <v>80</v>
      </c>
      <c r="O116" s="42">
        <f>1/J115*(C114/2)^2*PI()</f>
        <v>36.191147369354418</v>
      </c>
      <c r="P116" s="75" t="str">
        <f>"$\phi$"&amp;C114&amp;"@"&amp;J116</f>
        <v>$\phi$12@36</v>
      </c>
    </row>
    <row r="117" spans="2:16" x14ac:dyDescent="0.3">
      <c r="B117" s="18" t="s">
        <v>52</v>
      </c>
      <c r="C117" s="75"/>
      <c r="D117" s="75"/>
      <c r="E117" s="75"/>
      <c r="F117" s="62" t="str">
        <f>IF(J105&lt;J104,IF(J133&gt;J122,"[OK]","[REDISEÑAR]"),"[REDISEÑAR]")</f>
        <v>[OK]</v>
      </c>
      <c r="G117" s="75"/>
      <c r="H117" s="75"/>
      <c r="I117" s="31" t="s">
        <v>48</v>
      </c>
      <c r="J117" s="30">
        <f>C118*2*IF(C103/C115&gt;=1,C103/C115,0)</f>
        <v>31.020983459446644</v>
      </c>
      <c r="K117" s="29" t="s">
        <v>17</v>
      </c>
      <c r="L117" s="75"/>
      <c r="M117" s="75"/>
      <c r="N117" s="15"/>
      <c r="O117" s="44"/>
      <c r="P117" s="75"/>
    </row>
    <row r="118" spans="2:16" x14ac:dyDescent="0.3">
      <c r="B118" s="31" t="s">
        <v>66</v>
      </c>
      <c r="C118" s="30">
        <f>(C114/(2*10))^2*PI()</f>
        <v>1.1309733552923256</v>
      </c>
      <c r="D118" s="29" t="s">
        <v>17</v>
      </c>
      <c r="E118" s="75"/>
      <c r="F118" s="75"/>
      <c r="G118" s="75"/>
      <c r="H118" s="75"/>
      <c r="I118" s="19" t="s">
        <v>49</v>
      </c>
      <c r="J118" s="34">
        <f>C99*J117/1000</f>
        <v>86.858753686450598</v>
      </c>
      <c r="K118" s="16" t="s">
        <v>12</v>
      </c>
      <c r="L118" s="75"/>
      <c r="M118" s="39" t="str">
        <f>IF(J118&gt;J111,"[OK]","[REDISEÑAR]")</f>
        <v>[OK]</v>
      </c>
      <c r="N118" s="41" t="str">
        <f>IF(O118&gt;0,"Sobrado","Faltan")</f>
        <v>Sobrado</v>
      </c>
      <c r="O118" s="43">
        <f>J118-J111</f>
        <v>67.969853686450591</v>
      </c>
      <c r="P118" s="75"/>
    </row>
    <row r="119" spans="2:16" x14ac:dyDescent="0.3">
      <c r="B119" s="31" t="s">
        <v>78</v>
      </c>
      <c r="C119" s="37">
        <f>2.5/1000*100*C102/2</f>
        <v>3.125</v>
      </c>
      <c r="D119" s="16" t="s">
        <v>17</v>
      </c>
      <c r="E119" s="75"/>
      <c r="F119" s="75"/>
      <c r="G119" s="75"/>
      <c r="H119" s="75"/>
      <c r="J119" s="75"/>
      <c r="K119" s="75"/>
      <c r="L119" s="75"/>
      <c r="M119" s="75"/>
      <c r="N119" s="75"/>
      <c r="O119" s="15"/>
      <c r="P119" s="75"/>
    </row>
    <row r="120" spans="2:16" x14ac:dyDescent="0.3">
      <c r="B120" s="31" t="s">
        <v>114</v>
      </c>
      <c r="C120" s="37">
        <f>C118*100/C115</f>
        <v>8.0783811092308966</v>
      </c>
      <c r="D120" s="29" t="s">
        <v>32</v>
      </c>
      <c r="E120" s="75"/>
      <c r="F120" s="75"/>
      <c r="G120" s="75"/>
      <c r="H120" s="75"/>
      <c r="I120" s="18" t="s">
        <v>77</v>
      </c>
      <c r="J120" s="75"/>
      <c r="K120" s="75"/>
      <c r="L120" s="75"/>
      <c r="M120" s="17" t="s">
        <v>67</v>
      </c>
      <c r="N120" s="75"/>
      <c r="O120" s="75"/>
      <c r="P120" s="75"/>
    </row>
    <row r="121" spans="2:16" x14ac:dyDescent="0.3">
      <c r="B121" s="75"/>
      <c r="C121" s="75"/>
      <c r="D121" s="75"/>
      <c r="E121" s="75"/>
      <c r="F121" s="75"/>
      <c r="G121" s="75"/>
      <c r="H121" s="75"/>
      <c r="I121" s="19" t="s">
        <v>33</v>
      </c>
      <c r="J121" s="16">
        <v>0.6</v>
      </c>
      <c r="K121" s="16" t="s">
        <v>50</v>
      </c>
      <c r="L121" s="75"/>
      <c r="M121" s="19" t="s">
        <v>64</v>
      </c>
      <c r="N121" s="30">
        <f>SQRT(C97*0.0980665)*(1/0.0980665)/1000*J123*0.17</f>
        <v>31.250778100012241</v>
      </c>
      <c r="O121" s="16" t="s">
        <v>12</v>
      </c>
      <c r="P121" s="75"/>
    </row>
    <row r="122" spans="2:16" x14ac:dyDescent="0.3">
      <c r="B122" s="17" t="s">
        <v>37</v>
      </c>
      <c r="C122" s="75"/>
      <c r="D122" s="75"/>
      <c r="E122" s="75"/>
      <c r="F122" s="75"/>
      <c r="G122" s="75"/>
      <c r="H122" s="75"/>
      <c r="I122" s="19" t="s">
        <v>46</v>
      </c>
      <c r="J122" s="34">
        <f>J110/J121</f>
        <v>39.202100000000002</v>
      </c>
      <c r="K122" s="16" t="s">
        <v>12</v>
      </c>
      <c r="L122" s="75"/>
      <c r="M122" s="19" t="s">
        <v>57</v>
      </c>
      <c r="N122" s="16">
        <f>IF(C104/J101&lt;=1.5,0.25,IF(C104/J101&gt;=2,0.17,0.17+(0.25-0.17)/(C104/J101-1.5)*C104/J101))</f>
        <v>0.25</v>
      </c>
      <c r="O122" s="29" t="s">
        <v>50</v>
      </c>
      <c r="P122" s="75"/>
    </row>
    <row r="123" spans="2:16" x14ac:dyDescent="0.3">
      <c r="B123" s="31" t="s">
        <v>115</v>
      </c>
      <c r="C123" s="37">
        <f>O118</f>
        <v>67.969853686450591</v>
      </c>
      <c r="D123" s="29" t="s">
        <v>12</v>
      </c>
      <c r="E123" s="75"/>
      <c r="F123" s="75"/>
      <c r="G123" s="75"/>
      <c r="H123" s="75"/>
      <c r="I123" s="19" t="s">
        <v>36</v>
      </c>
      <c r="J123" s="35">
        <f>J101*C102*0.8-J131</f>
        <v>3047.183213232443</v>
      </c>
      <c r="K123" s="16" t="s">
        <v>17</v>
      </c>
      <c r="L123" s="75"/>
      <c r="M123" s="19" t="s">
        <v>59</v>
      </c>
      <c r="N123" s="30">
        <f>SQRT(C97*0.0980665)*(1/0.0980665)/1000*J123*N122</f>
        <v>45.957026617665058</v>
      </c>
      <c r="O123" s="29" t="s">
        <v>12</v>
      </c>
      <c r="P123" s="75"/>
    </row>
    <row r="124" spans="2:16" x14ac:dyDescent="0.3">
      <c r="B124" s="31" t="s">
        <v>116</v>
      </c>
      <c r="C124" s="37">
        <f>O133</f>
        <v>96.279182523753008</v>
      </c>
      <c r="D124" s="29" t="s">
        <v>12</v>
      </c>
      <c r="E124" s="75"/>
      <c r="F124" s="75"/>
      <c r="G124" s="75"/>
      <c r="H124" s="75"/>
      <c r="I124" s="19" t="s">
        <v>60</v>
      </c>
      <c r="J124" s="34">
        <f>MIN(N123,N121)</f>
        <v>31.250778100012241</v>
      </c>
      <c r="K124" s="29" t="s">
        <v>12</v>
      </c>
      <c r="L124" s="75"/>
      <c r="M124" s="75"/>
      <c r="N124" s="75"/>
      <c r="O124" s="75"/>
      <c r="P124" s="75"/>
    </row>
    <row r="125" spans="2:16" x14ac:dyDescent="0.3">
      <c r="B125" s="19" t="s">
        <v>117</v>
      </c>
      <c r="C125" s="36">
        <f>C118*2*C103/C115/J98</f>
        <v>6.4627048873847183E-3</v>
      </c>
      <c r="D125" s="16" t="s">
        <v>50</v>
      </c>
      <c r="E125" s="75"/>
      <c r="F125" s="75"/>
      <c r="G125" s="75"/>
      <c r="H125" s="75"/>
      <c r="I125" s="19" t="s">
        <v>39</v>
      </c>
      <c r="J125" s="34">
        <f>J122-J124</f>
        <v>7.9513218999877608</v>
      </c>
      <c r="K125" s="16" t="s">
        <v>12</v>
      </c>
      <c r="L125" s="75"/>
      <c r="M125" s="75"/>
      <c r="N125" s="75"/>
      <c r="O125" s="75"/>
      <c r="P125" s="75"/>
    </row>
    <row r="126" spans="2:16" x14ac:dyDescent="0.3">
      <c r="B126" s="75"/>
      <c r="C126" s="75"/>
      <c r="D126" s="75"/>
      <c r="E126" s="75"/>
      <c r="F126" s="75"/>
      <c r="G126" s="75"/>
      <c r="H126" s="75"/>
      <c r="I126" s="19" t="s">
        <v>61</v>
      </c>
      <c r="J126" s="37">
        <f>MAX(J125/(C98*J101/1000/100)/2,C119)</f>
        <v>3.125</v>
      </c>
      <c r="K126" s="29" t="s">
        <v>32</v>
      </c>
      <c r="L126" s="75"/>
      <c r="M126" s="75"/>
      <c r="N126" s="75"/>
      <c r="O126" s="75"/>
      <c r="P126" s="75"/>
    </row>
    <row r="127" spans="2:16" x14ac:dyDescent="0.3">
      <c r="B127" s="75"/>
      <c r="C127" s="75"/>
      <c r="D127" s="75"/>
      <c r="E127" s="75"/>
      <c r="F127" s="75"/>
      <c r="G127" s="75"/>
      <c r="H127" s="75"/>
      <c r="I127" s="19" t="s">
        <v>65</v>
      </c>
      <c r="J127" s="36">
        <f>J126/C102/100*2</f>
        <v>2.5000000000000001E-3</v>
      </c>
      <c r="K127" s="16" t="s">
        <v>50</v>
      </c>
      <c r="L127" s="75"/>
      <c r="M127" s="75"/>
      <c r="N127" s="75"/>
      <c r="O127" s="75"/>
      <c r="P127" s="75"/>
    </row>
    <row r="128" spans="2:16" x14ac:dyDescent="0.3">
      <c r="B128" s="75"/>
      <c r="C128" s="75"/>
      <c r="D128" s="75"/>
      <c r="E128" s="75"/>
      <c r="F128" s="75"/>
      <c r="G128" s="75"/>
      <c r="H128" s="75"/>
      <c r="I128" s="19" t="s">
        <v>53</v>
      </c>
      <c r="J128" s="16">
        <f>MAX(0.0025,0.0025*0.5*(2.5-C102/(C103*0.8))*(J127-0.0025))</f>
        <v>2.5000000000000001E-3</v>
      </c>
      <c r="K128" s="29" t="s">
        <v>50</v>
      </c>
      <c r="L128" s="75"/>
      <c r="M128" s="39" t="str">
        <f>IF(OR(J127&gt;J128,ABS(J127-J128)&lt;0.0001),"[OK]","[REDISEÑAR]")</f>
        <v>[OK]</v>
      </c>
      <c r="N128" s="75"/>
      <c r="O128" s="75"/>
      <c r="P128" s="75"/>
    </row>
    <row r="129" spans="2:16" x14ac:dyDescent="0.3">
      <c r="B129" s="75"/>
      <c r="C129" s="75"/>
      <c r="D129" s="75"/>
      <c r="E129" s="75"/>
      <c r="F129" s="75"/>
      <c r="G129" s="75"/>
      <c r="H129" s="75"/>
      <c r="I129" s="19" t="s">
        <v>47</v>
      </c>
      <c r="J129" s="34">
        <f>SQRT(C97*0.0980665)*(1/0.0980665)/1000*0.66*0.8*C103*C102</f>
        <v>152.89331833284234</v>
      </c>
      <c r="K129" s="16" t="s">
        <v>12</v>
      </c>
      <c r="L129" s="75"/>
      <c r="M129" s="40" t="s">
        <v>44</v>
      </c>
      <c r="N129" s="75"/>
      <c r="O129" s="15"/>
      <c r="P129" s="75"/>
    </row>
    <row r="130" spans="2:16" x14ac:dyDescent="0.3">
      <c r="B130" s="75"/>
      <c r="C130" s="75"/>
      <c r="D130" s="75"/>
      <c r="E130" s="75"/>
      <c r="F130" s="75"/>
      <c r="G130" s="75"/>
      <c r="H130" s="75"/>
      <c r="I130" s="63" t="s">
        <v>34</v>
      </c>
      <c r="J130" s="63">
        <f>ROUNDDOWN(1/J126*C118*100,0)</f>
        <v>36</v>
      </c>
      <c r="K130" s="64" t="s">
        <v>5</v>
      </c>
      <c r="L130" s="75"/>
      <c r="M130" s="39" t="str">
        <f>IF(OR(J130&lt;10,J130&gt;25),"[REDISEÑAR]","[OK")</f>
        <v>[REDISEÑAR]</v>
      </c>
      <c r="N130" s="41" t="s">
        <v>80</v>
      </c>
      <c r="O130" s="42">
        <f>1/J126*(C114/2)^2*PI()</f>
        <v>36.191147369354418</v>
      </c>
      <c r="P130" s="75" t="str">
        <f>"$\phi$"&amp;C114&amp;"@"&amp;J130</f>
        <v>$\phi$12@36</v>
      </c>
    </row>
    <row r="131" spans="2:16" x14ac:dyDescent="0.3">
      <c r="B131" s="75"/>
      <c r="C131" s="75"/>
      <c r="D131" s="75"/>
      <c r="E131" s="75"/>
      <c r="F131" s="75"/>
      <c r="G131" s="75"/>
      <c r="H131" s="75"/>
      <c r="I131" s="31" t="s">
        <v>48</v>
      </c>
      <c r="J131" s="30">
        <f>C118*2*IF(J101/C115&gt;=1,J101/C115,0)</f>
        <v>24.816786767557321</v>
      </c>
      <c r="K131" s="29" t="s">
        <v>17</v>
      </c>
      <c r="L131" s="75"/>
      <c r="M131" s="75"/>
      <c r="N131" s="15"/>
      <c r="O131" s="15"/>
      <c r="P131" s="75"/>
    </row>
    <row r="132" spans="2:16" x14ac:dyDescent="0.3">
      <c r="B132" s="75"/>
      <c r="C132" s="75"/>
      <c r="D132" s="75"/>
      <c r="E132" s="75"/>
      <c r="F132" s="75"/>
      <c r="G132" s="75"/>
      <c r="H132" s="75"/>
      <c r="I132" s="19" t="s">
        <v>81</v>
      </c>
      <c r="J132" s="34">
        <f>MIN(J131*C98/1000,J129)</f>
        <v>104.23050442374075</v>
      </c>
      <c r="K132" s="16" t="s">
        <v>12</v>
      </c>
      <c r="L132" s="75"/>
      <c r="M132" s="40" t="s">
        <v>82</v>
      </c>
      <c r="N132" s="15"/>
      <c r="O132" s="15"/>
      <c r="P132" s="75"/>
    </row>
    <row r="133" spans="2:16" x14ac:dyDescent="0.3">
      <c r="B133" s="75"/>
      <c r="C133" s="75"/>
      <c r="D133" s="75"/>
      <c r="E133" s="75"/>
      <c r="F133" s="75"/>
      <c r="G133" s="75"/>
      <c r="H133" s="75"/>
      <c r="I133" s="19" t="s">
        <v>79</v>
      </c>
      <c r="J133" s="34">
        <f>J132+J124</f>
        <v>135.48128252375301</v>
      </c>
      <c r="K133" s="16" t="s">
        <v>12</v>
      </c>
      <c r="L133" s="75"/>
      <c r="M133" s="39" t="str">
        <f>IF(J133&gt;J122,"[OK]","[REDISEÑAR]")</f>
        <v>[OK]</v>
      </c>
      <c r="N133" s="41" t="str">
        <f>IF(O133&gt;0,"Sobrado","Faltan")</f>
        <v>Sobrado</v>
      </c>
      <c r="O133" s="43">
        <f>J133-J122</f>
        <v>96.279182523753008</v>
      </c>
      <c r="P133" s="75"/>
    </row>
    <row r="134" spans="2:16" x14ac:dyDescent="0.3">
      <c r="B134" s="75"/>
      <c r="C134" s="75"/>
      <c r="D134" s="75"/>
      <c r="E134" s="75"/>
      <c r="F134" s="75"/>
      <c r="G134" s="75"/>
      <c r="H134" s="75"/>
      <c r="J134" s="75"/>
      <c r="K134" s="75"/>
      <c r="L134" s="75"/>
      <c r="M134" s="75"/>
      <c r="N134" s="75"/>
      <c r="O134" s="75"/>
      <c r="P134" s="75"/>
    </row>
    <row r="135" spans="2:16" x14ac:dyDescent="0.3">
      <c r="B135" s="75"/>
      <c r="C135" s="75"/>
      <c r="D135" s="75"/>
      <c r="E135" s="75"/>
      <c r="F135" s="75"/>
      <c r="G135" s="75"/>
      <c r="H135" s="75"/>
      <c r="I135" s="18" t="s">
        <v>45</v>
      </c>
      <c r="J135" s="75"/>
      <c r="K135" s="75"/>
      <c r="L135" s="75"/>
      <c r="M135" s="75"/>
      <c r="N135" s="75"/>
      <c r="O135" s="15"/>
      <c r="P135" s="75"/>
    </row>
    <row r="136" spans="2:16" x14ac:dyDescent="0.3">
      <c r="B136" s="75"/>
      <c r="C136" s="75"/>
      <c r="D136" s="75"/>
      <c r="E136" s="75"/>
      <c r="F136" s="75"/>
      <c r="G136" s="75"/>
      <c r="H136" s="75"/>
      <c r="I136" s="19" t="s">
        <v>40</v>
      </c>
      <c r="J136" s="16">
        <f>J110</f>
        <v>23.521259999999998</v>
      </c>
      <c r="K136" s="16" t="s">
        <v>12</v>
      </c>
      <c r="L136" s="75"/>
      <c r="M136" s="75"/>
      <c r="N136" s="75"/>
      <c r="O136" s="26"/>
      <c r="P136" s="75"/>
    </row>
    <row r="137" spans="2:16" x14ac:dyDescent="0.3">
      <c r="B137" s="75"/>
      <c r="C137" s="75"/>
      <c r="D137" s="75"/>
      <c r="E137" s="75"/>
      <c r="F137" s="75"/>
      <c r="G137" s="75"/>
      <c r="H137" s="75"/>
      <c r="I137" s="19" t="s">
        <v>46</v>
      </c>
      <c r="J137" s="34">
        <f>J122</f>
        <v>39.202100000000002</v>
      </c>
      <c r="K137" s="16" t="s">
        <v>12</v>
      </c>
      <c r="L137" s="75"/>
      <c r="M137" s="75"/>
      <c r="N137" s="75"/>
      <c r="O137" s="75"/>
      <c r="P137" s="75"/>
    </row>
    <row r="138" spans="2:16" x14ac:dyDescent="0.3">
      <c r="B138" s="75"/>
      <c r="C138" s="75"/>
      <c r="D138" s="75"/>
      <c r="E138" s="75"/>
      <c r="F138" s="75"/>
      <c r="G138" s="75"/>
      <c r="H138" s="75"/>
      <c r="I138" s="19" t="s">
        <v>38</v>
      </c>
      <c r="J138" s="34">
        <f>2/3*J123*SQRT(C97*0.0980665)*(1/0.0980665)/1000</f>
        <v>122.55207098044013</v>
      </c>
      <c r="K138" s="16" t="s">
        <v>12</v>
      </c>
      <c r="L138" s="75"/>
      <c r="M138" s="39" t="str">
        <f>IF(J138&gt;J137,"[OK]","[REDISEÑAR]")</f>
        <v>[OK]</v>
      </c>
      <c r="N138" s="41" t="str">
        <f>IF(O138&gt;0,"Sobrado","Faltan")</f>
        <v>Sobrado</v>
      </c>
      <c r="O138" s="43">
        <f>J138-J137</f>
        <v>83.349970980440133</v>
      </c>
      <c r="P138" s="75"/>
    </row>
    <row r="140" spans="2:16" ht="18" x14ac:dyDescent="0.35">
      <c r="B140" s="48" t="str">
        <f>'EJE 15'!$S$7</f>
        <v>EJE 15.G-L | PIER F32X | PISO 1</v>
      </c>
      <c r="C140" s="75"/>
      <c r="D140" s="75"/>
      <c r="E140" s="75"/>
      <c r="F140" s="75"/>
      <c r="G140" s="75"/>
      <c r="H140" s="75"/>
      <c r="J140" s="75"/>
      <c r="K140" s="75"/>
      <c r="L140" s="75"/>
      <c r="M140" s="75"/>
      <c r="N140" s="75"/>
      <c r="O140" s="75"/>
      <c r="P140" s="75"/>
    </row>
    <row r="141" spans="2:16" x14ac:dyDescent="0.3">
      <c r="B141" s="75"/>
      <c r="C141" s="75"/>
      <c r="D141" s="75"/>
      <c r="E141" s="75"/>
      <c r="F141" s="75"/>
      <c r="G141" s="75"/>
      <c r="H141" s="75"/>
      <c r="J141" s="75"/>
      <c r="K141" s="75"/>
      <c r="L141" s="75"/>
      <c r="M141" s="75"/>
      <c r="N141" s="75"/>
      <c r="O141" s="75"/>
      <c r="P141" s="75"/>
    </row>
    <row r="142" spans="2:16" x14ac:dyDescent="0.3">
      <c r="B142" s="17" t="s">
        <v>6</v>
      </c>
      <c r="C142" s="75"/>
      <c r="D142" s="75"/>
      <c r="E142" s="75"/>
      <c r="F142" s="75"/>
      <c r="G142" s="75"/>
      <c r="H142" s="75"/>
      <c r="I142" s="18" t="s">
        <v>25</v>
      </c>
      <c r="J142" s="75"/>
      <c r="K142" s="75"/>
      <c r="L142" s="75"/>
      <c r="M142" s="75"/>
      <c r="N142" s="75"/>
      <c r="O142" s="75"/>
      <c r="P142" s="75"/>
    </row>
    <row r="143" spans="2:16" x14ac:dyDescent="0.3">
      <c r="B143" s="19" t="s">
        <v>99</v>
      </c>
      <c r="C143" s="61">
        <f>10.1971621297793*'EJE 15'!$G$7</f>
        <v>356.90067454227551</v>
      </c>
      <c r="D143" s="16" t="s">
        <v>8</v>
      </c>
      <c r="E143" s="75"/>
      <c r="F143" s="75"/>
      <c r="G143" s="75"/>
      <c r="H143" s="75"/>
      <c r="I143" s="19" t="s">
        <v>58</v>
      </c>
      <c r="J143" s="16">
        <f>C150/16</f>
        <v>14.375</v>
      </c>
      <c r="K143" s="16" t="s">
        <v>5</v>
      </c>
      <c r="L143" s="21"/>
      <c r="M143" s="39" t="str">
        <f>IF(J143&lt;C148,"[OK]","[REDISEÑAR]")</f>
        <v>[OK]</v>
      </c>
      <c r="N143" s="75"/>
      <c r="O143" s="75"/>
      <c r="P143" s="75"/>
    </row>
    <row r="144" spans="2:16" x14ac:dyDescent="0.3">
      <c r="B144" s="19" t="s">
        <v>30</v>
      </c>
      <c r="C144" s="16">
        <v>4200</v>
      </c>
      <c r="D144" s="16" t="s">
        <v>8</v>
      </c>
      <c r="E144" s="75"/>
      <c r="F144" s="75"/>
      <c r="G144" s="75"/>
      <c r="H144" s="75"/>
      <c r="I144" s="19" t="s">
        <v>16</v>
      </c>
      <c r="J144" s="16">
        <f>C148*C149</f>
        <v>8475</v>
      </c>
      <c r="K144" s="16" t="s">
        <v>17</v>
      </c>
      <c r="L144" s="21"/>
      <c r="M144" s="75"/>
      <c r="N144" s="75"/>
      <c r="O144" s="75"/>
      <c r="P144" s="75"/>
    </row>
    <row r="145" spans="2:16" x14ac:dyDescent="0.3">
      <c r="B145" s="19" t="s">
        <v>31</v>
      </c>
      <c r="C145" s="16">
        <v>2800</v>
      </c>
      <c r="D145" s="16" t="s">
        <v>8</v>
      </c>
      <c r="E145" s="75"/>
      <c r="F145" s="75"/>
      <c r="G145" s="75"/>
      <c r="H145" s="75"/>
      <c r="I145" s="19" t="s">
        <v>51</v>
      </c>
      <c r="J145" s="16">
        <f>MIN(0.8*C149/5,3*C148,45)</f>
        <v>45</v>
      </c>
      <c r="K145" s="16" t="s">
        <v>5</v>
      </c>
      <c r="L145" s="21"/>
      <c r="M145" s="39" t="str">
        <f>IF(J145&gt;C161,"[OK]","[REDISEÑAR]")</f>
        <v>[OK]</v>
      </c>
      <c r="N145" s="75"/>
      <c r="O145" s="75"/>
      <c r="P145" s="75"/>
    </row>
    <row r="146" spans="2:16" x14ac:dyDescent="0.3">
      <c r="B146" s="75"/>
      <c r="C146" s="75"/>
      <c r="D146" s="75"/>
      <c r="E146" s="75"/>
      <c r="F146" s="75"/>
      <c r="G146" s="75"/>
      <c r="H146" s="75"/>
      <c r="I146" s="19" t="s">
        <v>56</v>
      </c>
      <c r="J146" s="16">
        <f>MIN(0.8*C150/3,3*C149,45)</f>
        <v>45</v>
      </c>
      <c r="K146" s="16" t="s">
        <v>5</v>
      </c>
      <c r="L146" s="21"/>
      <c r="M146" s="39" t="str">
        <f>IF(J146&gt;C161,"[OK]","[REDISEÑAR]")</f>
        <v>[OK]</v>
      </c>
      <c r="N146" s="75"/>
      <c r="O146" s="75"/>
      <c r="P146" s="75"/>
    </row>
    <row r="147" spans="2:16" x14ac:dyDescent="0.3">
      <c r="B147" s="17" t="s">
        <v>3</v>
      </c>
      <c r="C147" s="75"/>
      <c r="D147" s="75"/>
      <c r="E147" s="75"/>
      <c r="F147" s="75"/>
      <c r="G147" s="75"/>
      <c r="H147" s="75"/>
      <c r="I147" s="19" t="s">
        <v>62</v>
      </c>
      <c r="J147" s="16">
        <f>0.8*C149</f>
        <v>271.2</v>
      </c>
      <c r="K147" s="29" t="s">
        <v>5</v>
      </c>
      <c r="L147" s="75"/>
      <c r="M147" s="75"/>
      <c r="N147" s="75"/>
      <c r="O147" s="75"/>
      <c r="P147" s="75"/>
    </row>
    <row r="148" spans="2:16" x14ac:dyDescent="0.3">
      <c r="B148" s="19" t="str">
        <f>"Espesor del muro (h)"</f>
        <v>Espesor del muro (h)</v>
      </c>
      <c r="C148" s="49">
        <f>'EJE 15'!$H$7</f>
        <v>25</v>
      </c>
      <c r="D148" s="16" t="s">
        <v>5</v>
      </c>
      <c r="E148" s="75"/>
      <c r="F148" s="75"/>
      <c r="G148" s="75"/>
      <c r="H148" s="75"/>
      <c r="J148" s="75"/>
      <c r="K148" s="75"/>
      <c r="L148" s="75"/>
      <c r="M148" s="75"/>
      <c r="N148" s="75"/>
      <c r="O148" s="75"/>
      <c r="P148" s="75"/>
    </row>
    <row r="149" spans="2:16" x14ac:dyDescent="0.3">
      <c r="B149" s="19" t="s">
        <v>63</v>
      </c>
      <c r="C149" s="49">
        <f>'EJE 15'!$I$7</f>
        <v>339</v>
      </c>
      <c r="D149" s="16" t="s">
        <v>5</v>
      </c>
      <c r="E149" s="75"/>
      <c r="F149" s="75"/>
      <c r="G149" s="75"/>
      <c r="H149" s="75"/>
      <c r="I149" s="18" t="s">
        <v>26</v>
      </c>
      <c r="J149" s="75"/>
      <c r="K149" s="75"/>
      <c r="L149" s="75"/>
      <c r="M149" s="75"/>
      <c r="N149" s="75"/>
      <c r="O149" s="75"/>
      <c r="P149" s="75"/>
    </row>
    <row r="150" spans="2:16" x14ac:dyDescent="0.3">
      <c r="B150" s="19" t="s">
        <v>10</v>
      </c>
      <c r="C150" s="49">
        <f>'EJE 15'!$J$7</f>
        <v>230</v>
      </c>
      <c r="D150" s="16" t="s">
        <v>5</v>
      </c>
      <c r="E150" s="75"/>
      <c r="F150" s="75"/>
      <c r="G150" s="75"/>
      <c r="H150" s="75"/>
      <c r="I150" s="19" t="s">
        <v>28</v>
      </c>
      <c r="J150" s="16">
        <f>0.35*C143</f>
        <v>124.91523608979642</v>
      </c>
      <c r="K150" s="16" t="s">
        <v>8</v>
      </c>
      <c r="L150" s="21"/>
      <c r="M150" s="75"/>
      <c r="N150" s="75"/>
      <c r="O150" s="75"/>
      <c r="P150" s="75"/>
    </row>
    <row r="151" spans="2:16" x14ac:dyDescent="0.3">
      <c r="B151" s="75"/>
      <c r="C151" s="75"/>
      <c r="D151" s="75"/>
      <c r="E151" s="75"/>
      <c r="F151" s="75"/>
      <c r="G151" s="75"/>
      <c r="H151" s="75"/>
      <c r="I151" s="19" t="s">
        <v>27</v>
      </c>
      <c r="J151" s="30">
        <f>C153*1000/J144</f>
        <v>34.386997050147492</v>
      </c>
      <c r="K151" s="16" t="s">
        <v>8</v>
      </c>
      <c r="L151" s="21"/>
      <c r="M151" s="39" t="str">
        <f>IF(J151&lt;J150,"[OK]","[REDISEÑAR]")</f>
        <v>[OK]</v>
      </c>
      <c r="N151" s="41" t="s">
        <v>112</v>
      </c>
      <c r="O151" s="59">
        <f>J151/J150</f>
        <v>0.27528264867088026</v>
      </c>
      <c r="P151" s="75"/>
    </row>
    <row r="152" spans="2:16" x14ac:dyDescent="0.3">
      <c r="B152" s="17" t="s">
        <v>11</v>
      </c>
      <c r="C152" s="75"/>
      <c r="D152" s="75"/>
      <c r="E152" s="75"/>
      <c r="F152" s="75"/>
      <c r="G152" s="75"/>
      <c r="H152" s="75"/>
      <c r="J152" s="75"/>
      <c r="K152" s="75"/>
      <c r="L152" s="75"/>
      <c r="M152" s="75"/>
      <c r="N152" s="75"/>
      <c r="O152" s="75"/>
      <c r="P152" s="75"/>
    </row>
    <row r="153" spans="2:16" x14ac:dyDescent="0.3">
      <c r="B153" s="19" t="str">
        <f>"$N_U$"</f>
        <v>$N_U$</v>
      </c>
      <c r="C153" s="60">
        <f>'EJE 15'!$K$7</f>
        <v>291.4298</v>
      </c>
      <c r="D153" s="16" t="s">
        <v>12</v>
      </c>
      <c r="E153" s="75"/>
      <c r="F153" s="75"/>
      <c r="G153" s="75"/>
      <c r="H153" s="75"/>
      <c r="I153" s="18" t="s">
        <v>54</v>
      </c>
      <c r="J153" s="75"/>
      <c r="K153" s="75"/>
      <c r="L153" s="75"/>
      <c r="M153" s="75"/>
      <c r="N153" s="75"/>
      <c r="O153" s="75"/>
      <c r="P153" s="75"/>
    </row>
    <row r="154" spans="2:16" x14ac:dyDescent="0.3">
      <c r="B154" s="19" t="s">
        <v>14</v>
      </c>
      <c r="C154" s="60">
        <f>'EJE 15'!$L$7</f>
        <v>2.4918999999999998</v>
      </c>
      <c r="D154" s="16" t="s">
        <v>12</v>
      </c>
      <c r="E154" s="75"/>
      <c r="F154" s="75"/>
      <c r="G154" s="75"/>
      <c r="H154" s="75"/>
      <c r="I154" s="19" t="s">
        <v>72</v>
      </c>
      <c r="J154" s="16">
        <f>1.2*C154+C155+1.4*C156</f>
        <v>44.856519999999996</v>
      </c>
      <c r="K154" s="16" t="s">
        <v>12</v>
      </c>
      <c r="L154" s="75"/>
      <c r="M154" s="75" t="s">
        <v>68</v>
      </c>
      <c r="N154" s="75"/>
      <c r="O154" s="75"/>
      <c r="P154" s="75"/>
    </row>
    <row r="155" spans="2:16" x14ac:dyDescent="0.3">
      <c r="B155" s="19" t="s">
        <v>13</v>
      </c>
      <c r="C155" s="60">
        <f>'EJE 15'!$M$7</f>
        <v>1.5005999999999999</v>
      </c>
      <c r="D155" s="16" t="s">
        <v>12</v>
      </c>
      <c r="E155" s="75"/>
      <c r="F155" s="75"/>
      <c r="G155" s="75"/>
      <c r="H155" s="75"/>
      <c r="I155" s="19" t="s">
        <v>69</v>
      </c>
      <c r="J155" s="16">
        <f>SUM(C154:C156)</f>
        <v>32.825099999999999</v>
      </c>
      <c r="K155" s="16" t="s">
        <v>12</v>
      </c>
      <c r="L155" s="75"/>
      <c r="M155" s="75" t="s">
        <v>70</v>
      </c>
      <c r="N155" s="75"/>
      <c r="O155" s="75"/>
      <c r="P155" s="75"/>
    </row>
    <row r="156" spans="2:16" x14ac:dyDescent="0.3">
      <c r="B156" s="19" t="s">
        <v>15</v>
      </c>
      <c r="C156" s="60">
        <f>'EJE 15'!$N$7</f>
        <v>28.832599999999999</v>
      </c>
      <c r="D156" s="16" t="s">
        <v>12</v>
      </c>
      <c r="E156" s="75"/>
      <c r="F156" s="75"/>
      <c r="G156" s="75"/>
      <c r="H156" s="75"/>
      <c r="I156" s="19" t="s">
        <v>73</v>
      </c>
      <c r="J156" s="16">
        <f>IF(C157=0,J154,C157)</f>
        <v>44.856519999999996</v>
      </c>
      <c r="K156" s="16" t="s">
        <v>12</v>
      </c>
      <c r="L156" s="75"/>
      <c r="M156" s="40" t="s">
        <v>74</v>
      </c>
      <c r="N156" s="75"/>
      <c r="O156" s="75"/>
      <c r="P156" s="75"/>
    </row>
    <row r="157" spans="2:16" x14ac:dyDescent="0.3">
      <c r="B157" s="19" t="s">
        <v>55</v>
      </c>
      <c r="C157" s="16">
        <v>0</v>
      </c>
      <c r="D157" s="16" t="s">
        <v>12</v>
      </c>
      <c r="E157" s="75"/>
      <c r="F157" s="75"/>
      <c r="G157" s="75"/>
      <c r="H157" s="75"/>
      <c r="I157" s="19" t="s">
        <v>71</v>
      </c>
      <c r="J157" s="16">
        <f>IF(C157=0,J155,C157)</f>
        <v>32.825099999999999</v>
      </c>
      <c r="K157" s="16" t="s">
        <v>12</v>
      </c>
      <c r="L157" s="75"/>
      <c r="M157" s="40" t="s">
        <v>75</v>
      </c>
      <c r="N157" s="75"/>
      <c r="O157" s="75"/>
      <c r="P157" s="75"/>
    </row>
    <row r="158" spans="2:16" x14ac:dyDescent="0.3">
      <c r="B158" s="75"/>
      <c r="C158" s="75"/>
      <c r="D158" s="75"/>
      <c r="E158" s="75"/>
      <c r="F158" s="75"/>
      <c r="G158" s="75"/>
      <c r="H158" s="75"/>
      <c r="J158" s="75"/>
      <c r="K158" s="75"/>
      <c r="L158" s="75"/>
      <c r="M158" s="75"/>
      <c r="N158" s="75"/>
      <c r="O158" s="75"/>
      <c r="P158" s="75"/>
    </row>
    <row r="159" spans="2:16" x14ac:dyDescent="0.3">
      <c r="B159" s="33" t="s">
        <v>42</v>
      </c>
      <c r="C159" s="75"/>
      <c r="D159" s="75"/>
      <c r="E159" s="75"/>
      <c r="F159" s="75"/>
      <c r="G159" s="75"/>
      <c r="H159" s="75"/>
      <c r="I159" s="27" t="s">
        <v>76</v>
      </c>
      <c r="J159" s="75"/>
      <c r="K159" s="75"/>
      <c r="L159" s="75"/>
      <c r="M159" s="75"/>
      <c r="N159" s="75"/>
      <c r="O159" s="75"/>
      <c r="P159" s="75"/>
    </row>
    <row r="160" spans="2:16" x14ac:dyDescent="0.3">
      <c r="B160" s="31" t="s">
        <v>41</v>
      </c>
      <c r="C160" s="16">
        <v>12</v>
      </c>
      <c r="D160" s="29" t="s">
        <v>35</v>
      </c>
      <c r="E160" s="75"/>
      <c r="F160" s="75"/>
      <c r="G160" s="75"/>
      <c r="H160" s="75"/>
      <c r="I160" s="19" t="s">
        <v>29</v>
      </c>
      <c r="J160" s="30">
        <f>J157*1000/J144</f>
        <v>3.8731681415929202</v>
      </c>
      <c r="K160" s="29" t="s">
        <v>8</v>
      </c>
      <c r="L160" s="75"/>
      <c r="M160" s="75"/>
      <c r="N160" s="75"/>
      <c r="O160" s="75"/>
      <c r="P160" s="75"/>
    </row>
    <row r="161" spans="2:16" x14ac:dyDescent="0.3">
      <c r="B161" s="31" t="s">
        <v>43</v>
      </c>
      <c r="C161" s="16">
        <v>14</v>
      </c>
      <c r="D161" s="29" t="s">
        <v>5</v>
      </c>
      <c r="E161" s="75"/>
      <c r="F161" s="39" t="str">
        <f>IF(OR(C161&gt;25,C161&lt;10),"[REDISEÑAR]",IF(AND(C161&lt;=J162,C161&lt;=J176),"[OK]","[REDISEÑAR]"))</f>
        <v>[OK]</v>
      </c>
      <c r="G161" s="75"/>
      <c r="H161" s="75"/>
      <c r="I161" s="19" t="s">
        <v>61</v>
      </c>
      <c r="J161" s="37">
        <f>MAX(J160*100*C148/(2*C145),C165)</f>
        <v>3.125</v>
      </c>
      <c r="K161" s="29" t="s">
        <v>32</v>
      </c>
      <c r="L161" s="75"/>
      <c r="M161" s="15"/>
      <c r="N161" s="15"/>
      <c r="O161" s="15"/>
      <c r="P161" s="75"/>
    </row>
    <row r="162" spans="2:16" x14ac:dyDescent="0.3">
      <c r="B162" s="75"/>
      <c r="C162" s="50" t="str">
        <f>"$\phi$"&amp;C160&amp;"@"&amp;C161</f>
        <v>$\phi$12@14</v>
      </c>
      <c r="D162" s="75"/>
      <c r="E162" s="75"/>
      <c r="F162" s="39" t="str">
        <f>IF(OR(J161=C165,J172=C165),"[ÁREA MINIMA]","[]")</f>
        <v>[ÁREA MINIMA]</v>
      </c>
      <c r="G162" s="75"/>
      <c r="H162" s="75"/>
      <c r="I162" s="63" t="s">
        <v>34</v>
      </c>
      <c r="J162" s="63">
        <f>ROUNDDOWN((1/J161)*C164*100,0)</f>
        <v>36</v>
      </c>
      <c r="K162" s="64" t="s">
        <v>5</v>
      </c>
      <c r="L162" s="75"/>
      <c r="M162" s="39" t="str">
        <f>IF(OR(J162&lt;10,J162&gt;25),"[REDISEÑAR]","[OK")</f>
        <v>[REDISEÑAR]</v>
      </c>
      <c r="N162" s="41" t="s">
        <v>80</v>
      </c>
      <c r="O162" s="42">
        <f>1/J161*(C160/2)^2*PI()</f>
        <v>36.191147369354418</v>
      </c>
      <c r="P162" s="75" t="str">
        <f>"$\phi$"&amp;C160&amp;"@"&amp;J162</f>
        <v>$\phi$12@36</v>
      </c>
    </row>
    <row r="163" spans="2:16" x14ac:dyDescent="0.3">
      <c r="B163" s="18" t="s">
        <v>52</v>
      </c>
      <c r="C163" s="75"/>
      <c r="D163" s="75"/>
      <c r="E163" s="75"/>
      <c r="F163" s="62" t="str">
        <f>IF(J151&lt;J150,IF(J179&gt;J168,"[OK]","[REDISEÑAR]"),"[REDISEÑAR]")</f>
        <v>[OK]</v>
      </c>
      <c r="G163" s="75"/>
      <c r="H163" s="75"/>
      <c r="I163" s="31" t="s">
        <v>48</v>
      </c>
      <c r="J163" s="30">
        <f>C164*2*IF(C149/C161&gt;=1,C149/C161,0)</f>
        <v>54.771423920585484</v>
      </c>
      <c r="K163" s="29" t="s">
        <v>17</v>
      </c>
      <c r="L163" s="75"/>
      <c r="M163" s="75"/>
      <c r="N163" s="15"/>
      <c r="O163" s="44"/>
      <c r="P163" s="75"/>
    </row>
    <row r="164" spans="2:16" x14ac:dyDescent="0.3">
      <c r="B164" s="31" t="s">
        <v>66</v>
      </c>
      <c r="C164" s="30">
        <f>(C160/(2*10))^2*PI()</f>
        <v>1.1309733552923256</v>
      </c>
      <c r="D164" s="29" t="s">
        <v>17</v>
      </c>
      <c r="E164" s="75"/>
      <c r="F164" s="75"/>
      <c r="G164" s="75"/>
      <c r="H164" s="75"/>
      <c r="I164" s="19" t="s">
        <v>49</v>
      </c>
      <c r="J164" s="34">
        <f>C145*J163/1000</f>
        <v>153.35998697763935</v>
      </c>
      <c r="K164" s="16" t="s">
        <v>12</v>
      </c>
      <c r="L164" s="75"/>
      <c r="M164" s="39" t="str">
        <f>IF(J164&gt;J157,"[OK]","[REDISEÑAR]")</f>
        <v>[OK]</v>
      </c>
      <c r="N164" s="41" t="str">
        <f>IF(O164&gt;0,"Sobrado","Faltan")</f>
        <v>Sobrado</v>
      </c>
      <c r="O164" s="43">
        <f>J164-J157</f>
        <v>120.53488697763936</v>
      </c>
      <c r="P164" s="75"/>
    </row>
    <row r="165" spans="2:16" x14ac:dyDescent="0.3">
      <c r="B165" s="31" t="s">
        <v>78</v>
      </c>
      <c r="C165" s="37">
        <f>2.5/1000*100*C148/2</f>
        <v>3.125</v>
      </c>
      <c r="D165" s="16" t="s">
        <v>17</v>
      </c>
      <c r="E165" s="75"/>
      <c r="F165" s="75"/>
      <c r="G165" s="75"/>
      <c r="H165" s="75"/>
      <c r="J165" s="75"/>
      <c r="K165" s="75"/>
      <c r="L165" s="75"/>
      <c r="M165" s="75"/>
      <c r="N165" s="75"/>
      <c r="O165" s="15"/>
      <c r="P165" s="75"/>
    </row>
    <row r="166" spans="2:16" x14ac:dyDescent="0.3">
      <c r="B166" s="31" t="s">
        <v>114</v>
      </c>
      <c r="C166" s="37">
        <f>C164*100/C161</f>
        <v>8.0783811092308966</v>
      </c>
      <c r="D166" s="29" t="s">
        <v>32</v>
      </c>
      <c r="E166" s="75"/>
      <c r="F166" s="75"/>
      <c r="G166" s="75"/>
      <c r="H166" s="75"/>
      <c r="I166" s="18" t="s">
        <v>77</v>
      </c>
      <c r="J166" s="75"/>
      <c r="K166" s="75"/>
      <c r="L166" s="75"/>
      <c r="M166" s="17" t="s">
        <v>67</v>
      </c>
      <c r="N166" s="75"/>
      <c r="O166" s="75"/>
      <c r="P166" s="75"/>
    </row>
    <row r="167" spans="2:16" x14ac:dyDescent="0.3">
      <c r="B167" s="75"/>
      <c r="C167" s="75"/>
      <c r="D167" s="75"/>
      <c r="E167" s="75"/>
      <c r="F167" s="75"/>
      <c r="G167" s="75"/>
      <c r="H167" s="75"/>
      <c r="I167" s="19" t="s">
        <v>33</v>
      </c>
      <c r="J167" s="16">
        <v>0.6</v>
      </c>
      <c r="K167" s="16" t="s">
        <v>50</v>
      </c>
      <c r="L167" s="75"/>
      <c r="M167" s="19" t="s">
        <v>64</v>
      </c>
      <c r="N167" s="30">
        <f>SQRT(C143*0.0980665)*(1/0.0980665)/1000*J169*0.17</f>
        <v>55.177155082834105</v>
      </c>
      <c r="O167" s="16" t="s">
        <v>12</v>
      </c>
      <c r="P167" s="75"/>
    </row>
    <row r="168" spans="2:16" x14ac:dyDescent="0.3">
      <c r="B168" s="17" t="s">
        <v>37</v>
      </c>
      <c r="C168" s="75"/>
      <c r="D168" s="75"/>
      <c r="E168" s="75"/>
      <c r="F168" s="75"/>
      <c r="G168" s="75"/>
      <c r="H168" s="75"/>
      <c r="I168" s="19" t="s">
        <v>46</v>
      </c>
      <c r="J168" s="34">
        <f>J156/J167</f>
        <v>74.760866666666658</v>
      </c>
      <c r="K168" s="16" t="s">
        <v>12</v>
      </c>
      <c r="L168" s="75"/>
      <c r="M168" s="19" t="s">
        <v>57</v>
      </c>
      <c r="N168" s="16">
        <f>IF(C150/J147&lt;=1.5,0.25,IF(C150/J147&gt;=2,0.17,0.17+(0.25-0.17)/(C150/J147-1.5)*C150/J147))</f>
        <v>0.25</v>
      </c>
      <c r="O168" s="29" t="s">
        <v>50</v>
      </c>
      <c r="P168" s="75"/>
    </row>
    <row r="169" spans="2:16" x14ac:dyDescent="0.3">
      <c r="B169" s="31" t="s">
        <v>115</v>
      </c>
      <c r="C169" s="37">
        <f>O164</f>
        <v>120.53488697763936</v>
      </c>
      <c r="D169" s="29" t="s">
        <v>12</v>
      </c>
      <c r="E169" s="75"/>
      <c r="F169" s="75"/>
      <c r="G169" s="75"/>
      <c r="H169" s="75"/>
      <c r="I169" s="19" t="s">
        <v>36</v>
      </c>
      <c r="J169" s="35">
        <f>J147*C148*0.8-J177</f>
        <v>5380.1828608635315</v>
      </c>
      <c r="K169" s="16" t="s">
        <v>17</v>
      </c>
      <c r="L169" s="75"/>
      <c r="M169" s="19" t="s">
        <v>59</v>
      </c>
      <c r="N169" s="30">
        <f>SQRT(C143*0.0980665)*(1/0.0980665)/1000*J169*N168</f>
        <v>81.142875121814853</v>
      </c>
      <c r="O169" s="29" t="s">
        <v>12</v>
      </c>
      <c r="P169" s="75"/>
    </row>
    <row r="170" spans="2:16" x14ac:dyDescent="0.3">
      <c r="B170" s="31" t="s">
        <v>116</v>
      </c>
      <c r="C170" s="37">
        <f>O179</f>
        <v>164.44827278933465</v>
      </c>
      <c r="D170" s="29" t="s">
        <v>12</v>
      </c>
      <c r="E170" s="75"/>
      <c r="F170" s="75"/>
      <c r="G170" s="75"/>
      <c r="H170" s="75"/>
      <c r="I170" s="19" t="s">
        <v>60</v>
      </c>
      <c r="J170" s="34">
        <f>MIN(N169,N167)</f>
        <v>55.177155082834105</v>
      </c>
      <c r="K170" s="29" t="s">
        <v>12</v>
      </c>
      <c r="L170" s="75"/>
      <c r="M170" s="75"/>
      <c r="N170" s="75"/>
      <c r="O170" s="75"/>
      <c r="P170" s="75"/>
    </row>
    <row r="171" spans="2:16" x14ac:dyDescent="0.3">
      <c r="B171" s="19" t="s">
        <v>117</v>
      </c>
      <c r="C171" s="36">
        <f>C164*2*C149/C161/J144</f>
        <v>6.4627048873847175E-3</v>
      </c>
      <c r="D171" s="16" t="s">
        <v>50</v>
      </c>
      <c r="E171" s="75"/>
      <c r="F171" s="75"/>
      <c r="G171" s="75"/>
      <c r="H171" s="75"/>
      <c r="I171" s="19" t="s">
        <v>39</v>
      </c>
      <c r="J171" s="34">
        <f>J168-J170</f>
        <v>19.583711583832553</v>
      </c>
      <c r="K171" s="16" t="s">
        <v>12</v>
      </c>
      <c r="L171" s="75"/>
      <c r="M171" s="75"/>
      <c r="N171" s="75"/>
      <c r="O171" s="75"/>
      <c r="P171" s="75"/>
    </row>
    <row r="172" spans="2:16" x14ac:dyDescent="0.3">
      <c r="B172" s="75"/>
      <c r="C172" s="75"/>
      <c r="D172" s="75"/>
      <c r="E172" s="75"/>
      <c r="F172" s="75"/>
      <c r="G172" s="75"/>
      <c r="H172" s="75"/>
      <c r="I172" s="19" t="s">
        <v>61</v>
      </c>
      <c r="J172" s="37">
        <f>MAX(J171/(C144*J147/1000/100)/2,C165)</f>
        <v>3.125</v>
      </c>
      <c r="K172" s="29" t="s">
        <v>32</v>
      </c>
      <c r="L172" s="75"/>
      <c r="M172" s="75"/>
      <c r="N172" s="75"/>
      <c r="O172" s="75"/>
      <c r="P172" s="75"/>
    </row>
    <row r="173" spans="2:16" x14ac:dyDescent="0.3">
      <c r="B173" s="75"/>
      <c r="C173" s="75"/>
      <c r="D173" s="75"/>
      <c r="E173" s="75"/>
      <c r="F173" s="75"/>
      <c r="G173" s="75"/>
      <c r="H173" s="75"/>
      <c r="I173" s="19" t="s">
        <v>65</v>
      </c>
      <c r="J173" s="36">
        <f>J172/C148/100*2</f>
        <v>2.5000000000000001E-3</v>
      </c>
      <c r="K173" s="16" t="s">
        <v>50</v>
      </c>
      <c r="L173" s="75"/>
      <c r="M173" s="75"/>
      <c r="N173" s="75"/>
      <c r="O173" s="75"/>
      <c r="P173" s="75"/>
    </row>
    <row r="174" spans="2:16" x14ac:dyDescent="0.3">
      <c r="B174" s="75"/>
      <c r="C174" s="75"/>
      <c r="D174" s="75"/>
      <c r="E174" s="75"/>
      <c r="F174" s="75"/>
      <c r="G174" s="75"/>
      <c r="H174" s="75"/>
      <c r="I174" s="19" t="s">
        <v>53</v>
      </c>
      <c r="J174" s="16">
        <f>MAX(0.0025,0.0025*0.5*(2.5-C148/(C149*0.8))*(J173-0.0025))</f>
        <v>2.5000000000000001E-3</v>
      </c>
      <c r="K174" s="29" t="s">
        <v>50</v>
      </c>
      <c r="L174" s="75"/>
      <c r="M174" s="39" t="str">
        <f>IF(OR(J173&gt;J174,ABS(J173-J174)&lt;0.0001),"[OK]","[REDISEÑAR]")</f>
        <v>[OK]</v>
      </c>
      <c r="N174" s="75"/>
      <c r="O174" s="75"/>
      <c r="P174" s="75"/>
    </row>
    <row r="175" spans="2:16" x14ac:dyDescent="0.3">
      <c r="B175" s="75"/>
      <c r="C175" s="75"/>
      <c r="D175" s="75"/>
      <c r="E175" s="75"/>
      <c r="F175" s="75"/>
      <c r="G175" s="75"/>
      <c r="H175" s="75"/>
      <c r="I175" s="19" t="s">
        <v>47</v>
      </c>
      <c r="J175" s="34">
        <f>SQRT(C143*0.0980665)*(1/0.0980665)/1000*0.66*0.8*C149*C148</f>
        <v>269.95226518142476</v>
      </c>
      <c r="K175" s="16" t="s">
        <v>12</v>
      </c>
      <c r="L175" s="75"/>
      <c r="M175" s="40" t="s">
        <v>44</v>
      </c>
      <c r="N175" s="75"/>
      <c r="O175" s="15"/>
      <c r="P175" s="75"/>
    </row>
    <row r="176" spans="2:16" x14ac:dyDescent="0.3">
      <c r="B176" s="75"/>
      <c r="C176" s="75"/>
      <c r="D176" s="75"/>
      <c r="E176" s="75"/>
      <c r="F176" s="75"/>
      <c r="G176" s="75"/>
      <c r="H176" s="75"/>
      <c r="I176" s="63" t="s">
        <v>34</v>
      </c>
      <c r="J176" s="63">
        <f>ROUNDDOWN(1/J172*C164*100,0)</f>
        <v>36</v>
      </c>
      <c r="K176" s="64" t="s">
        <v>5</v>
      </c>
      <c r="L176" s="75"/>
      <c r="M176" s="39" t="str">
        <f>IF(OR(J176&lt;10,J176&gt;25),"[REDISEÑAR]","[OK")</f>
        <v>[REDISEÑAR]</v>
      </c>
      <c r="N176" s="41" t="s">
        <v>80</v>
      </c>
      <c r="O176" s="42">
        <f>1/J172*(C160/2)^2*PI()</f>
        <v>36.191147369354418</v>
      </c>
      <c r="P176" s="75" t="str">
        <f>"$\phi$"&amp;C160&amp;"@"&amp;J176</f>
        <v>$\phi$12@36</v>
      </c>
    </row>
    <row r="177" spans="2:16" x14ac:dyDescent="0.3">
      <c r="B177" s="75"/>
      <c r="C177" s="75"/>
      <c r="D177" s="75"/>
      <c r="E177" s="75"/>
      <c r="F177" s="75"/>
      <c r="G177" s="75"/>
      <c r="H177" s="75"/>
      <c r="I177" s="31" t="s">
        <v>48</v>
      </c>
      <c r="J177" s="30">
        <f>C164*2*IF(J147/C161&gt;=1,J147/C161,0)</f>
        <v>43.817139136468384</v>
      </c>
      <c r="K177" s="29" t="s">
        <v>17</v>
      </c>
      <c r="L177" s="75"/>
      <c r="M177" s="75"/>
      <c r="N177" s="15"/>
      <c r="O177" s="15"/>
      <c r="P177" s="75"/>
    </row>
    <row r="178" spans="2:16" x14ac:dyDescent="0.3">
      <c r="B178" s="75"/>
      <c r="C178" s="75"/>
      <c r="D178" s="75"/>
      <c r="E178" s="75"/>
      <c r="F178" s="75"/>
      <c r="G178" s="75"/>
      <c r="H178" s="75"/>
      <c r="I178" s="19" t="s">
        <v>81</v>
      </c>
      <c r="J178" s="34">
        <f>MIN(J177*C144/1000,J175)</f>
        <v>184.03198437316721</v>
      </c>
      <c r="K178" s="16" t="s">
        <v>12</v>
      </c>
      <c r="L178" s="75"/>
      <c r="M178" s="40" t="s">
        <v>82</v>
      </c>
      <c r="N178" s="15"/>
      <c r="O178" s="15"/>
      <c r="P178" s="75"/>
    </row>
    <row r="179" spans="2:16" x14ac:dyDescent="0.3">
      <c r="B179" s="75"/>
      <c r="C179" s="75"/>
      <c r="D179" s="75"/>
      <c r="E179" s="75"/>
      <c r="F179" s="75"/>
      <c r="G179" s="75"/>
      <c r="H179" s="75"/>
      <c r="I179" s="19" t="s">
        <v>79</v>
      </c>
      <c r="J179" s="34">
        <f>J178+J170</f>
        <v>239.20913945600131</v>
      </c>
      <c r="K179" s="16" t="s">
        <v>12</v>
      </c>
      <c r="L179" s="75"/>
      <c r="M179" s="39" t="str">
        <f>IF(J179&gt;J168,"[OK]","[REDISEÑAR]")</f>
        <v>[OK]</v>
      </c>
      <c r="N179" s="41" t="str">
        <f>IF(O179&gt;0,"Sobrado","Faltan")</f>
        <v>Sobrado</v>
      </c>
      <c r="O179" s="43">
        <f>J179-J168</f>
        <v>164.44827278933465</v>
      </c>
      <c r="P179" s="75"/>
    </row>
    <row r="180" spans="2:16" x14ac:dyDescent="0.3">
      <c r="B180" s="75"/>
      <c r="C180" s="75"/>
      <c r="D180" s="75"/>
      <c r="E180" s="75"/>
      <c r="F180" s="75"/>
      <c r="G180" s="75"/>
      <c r="H180" s="75"/>
      <c r="J180" s="75"/>
      <c r="K180" s="75"/>
      <c r="L180" s="75"/>
      <c r="M180" s="75"/>
      <c r="N180" s="75"/>
      <c r="O180" s="75"/>
      <c r="P180" s="75"/>
    </row>
    <row r="181" spans="2:16" x14ac:dyDescent="0.3">
      <c r="B181" s="75"/>
      <c r="C181" s="75"/>
      <c r="D181" s="75"/>
      <c r="E181" s="75"/>
      <c r="F181" s="75"/>
      <c r="G181" s="75"/>
      <c r="H181" s="75"/>
      <c r="I181" s="18" t="s">
        <v>45</v>
      </c>
      <c r="J181" s="75"/>
      <c r="K181" s="75"/>
      <c r="L181" s="75"/>
      <c r="M181" s="75"/>
      <c r="N181" s="75"/>
      <c r="O181" s="15"/>
      <c r="P181" s="75"/>
    </row>
    <row r="182" spans="2:16" x14ac:dyDescent="0.3">
      <c r="B182" s="75"/>
      <c r="C182" s="75"/>
      <c r="D182" s="75"/>
      <c r="E182" s="75"/>
      <c r="F182" s="75"/>
      <c r="G182" s="75"/>
      <c r="H182" s="75"/>
      <c r="I182" s="19" t="s">
        <v>40</v>
      </c>
      <c r="J182" s="16">
        <f>J156</f>
        <v>44.856519999999996</v>
      </c>
      <c r="K182" s="16" t="s">
        <v>12</v>
      </c>
      <c r="L182" s="75"/>
      <c r="M182" s="75"/>
      <c r="N182" s="75"/>
      <c r="O182" s="26"/>
      <c r="P182" s="75"/>
    </row>
    <row r="183" spans="2:16" x14ac:dyDescent="0.3">
      <c r="B183" s="75"/>
      <c r="C183" s="75"/>
      <c r="D183" s="75"/>
      <c r="E183" s="75"/>
      <c r="F183" s="75"/>
      <c r="G183" s="75"/>
      <c r="H183" s="75"/>
      <c r="I183" s="19" t="s">
        <v>46</v>
      </c>
      <c r="J183" s="34">
        <f>J168</f>
        <v>74.760866666666658</v>
      </c>
      <c r="K183" s="16" t="s">
        <v>12</v>
      </c>
      <c r="L183" s="75"/>
      <c r="M183" s="75"/>
      <c r="N183" s="75"/>
      <c r="O183" s="75"/>
      <c r="P183" s="75"/>
    </row>
    <row r="184" spans="2:16" x14ac:dyDescent="0.3">
      <c r="B184" s="75"/>
      <c r="C184" s="75"/>
      <c r="D184" s="75"/>
      <c r="E184" s="75"/>
      <c r="F184" s="75"/>
      <c r="G184" s="75"/>
      <c r="H184" s="75"/>
      <c r="I184" s="19" t="s">
        <v>38</v>
      </c>
      <c r="J184" s="34">
        <f>2/3*J169*SQRT(C143*0.0980665)*(1/0.0980665)/1000</f>
        <v>216.38100032483956</v>
      </c>
      <c r="K184" s="16" t="s">
        <v>12</v>
      </c>
      <c r="L184" s="75"/>
      <c r="M184" s="39" t="str">
        <f>IF(J184&gt;J183,"[OK]","[REDISEÑAR]")</f>
        <v>[OK]</v>
      </c>
      <c r="N184" s="41" t="str">
        <f>IF(O184&gt;0,"Sobrado","Faltan")</f>
        <v>Sobrado</v>
      </c>
      <c r="O184" s="43">
        <f>J184-J183</f>
        <v>141.6201336581729</v>
      </c>
      <c r="P184" s="75"/>
    </row>
    <row r="186" spans="2:16" ht="18" x14ac:dyDescent="0.35">
      <c r="B186" s="48" t="str">
        <f>'EJE 15'!$S$8</f>
        <v>EJE 15.C-C1 | PIER F31X | PISO 2</v>
      </c>
      <c r="C186" s="75"/>
      <c r="D186" s="75"/>
      <c r="E186" s="75"/>
      <c r="F186" s="75"/>
      <c r="G186" s="75"/>
      <c r="H186" s="75"/>
      <c r="J186" s="75"/>
      <c r="K186" s="75"/>
      <c r="L186" s="75"/>
      <c r="M186" s="75"/>
      <c r="N186" s="75"/>
      <c r="O186" s="75"/>
      <c r="P186" s="75"/>
    </row>
    <row r="187" spans="2:16" x14ac:dyDescent="0.3">
      <c r="B187" s="75"/>
      <c r="C187" s="75"/>
      <c r="D187" s="75"/>
      <c r="E187" s="75"/>
      <c r="F187" s="75"/>
      <c r="G187" s="75"/>
      <c r="H187" s="75"/>
      <c r="J187" s="75"/>
      <c r="K187" s="75"/>
      <c r="L187" s="75"/>
      <c r="M187" s="75"/>
      <c r="N187" s="75"/>
      <c r="O187" s="75"/>
      <c r="P187" s="75"/>
    </row>
    <row r="188" spans="2:16" x14ac:dyDescent="0.3">
      <c r="B188" s="17" t="s">
        <v>6</v>
      </c>
      <c r="C188" s="75"/>
      <c r="D188" s="75"/>
      <c r="E188" s="75"/>
      <c r="F188" s="75"/>
      <c r="G188" s="75"/>
      <c r="H188" s="75"/>
      <c r="I188" s="18" t="s">
        <v>25</v>
      </c>
      <c r="J188" s="75"/>
      <c r="K188" s="75"/>
      <c r="L188" s="75"/>
      <c r="M188" s="75"/>
      <c r="N188" s="75"/>
      <c r="O188" s="75"/>
      <c r="P188" s="75"/>
    </row>
    <row r="189" spans="2:16" x14ac:dyDescent="0.3">
      <c r="B189" s="19" t="s">
        <v>99</v>
      </c>
      <c r="C189" s="61">
        <f>10.1971621297793*'EJE 15'!$G$8</f>
        <v>356.90067454227551</v>
      </c>
      <c r="D189" s="16" t="s">
        <v>8</v>
      </c>
      <c r="E189" s="75"/>
      <c r="F189" s="75"/>
      <c r="G189" s="75"/>
      <c r="H189" s="75"/>
      <c r="I189" s="19" t="s">
        <v>58</v>
      </c>
      <c r="J189" s="16">
        <f>C196/16</f>
        <v>14.375</v>
      </c>
      <c r="K189" s="16" t="s">
        <v>5</v>
      </c>
      <c r="L189" s="21"/>
      <c r="M189" s="39" t="str">
        <f>IF(J189&lt;C194,"[OK]","[REDISEÑAR]")</f>
        <v>[OK]</v>
      </c>
      <c r="N189" s="75"/>
      <c r="O189" s="75"/>
      <c r="P189" s="75"/>
    </row>
    <row r="190" spans="2:16" x14ac:dyDescent="0.3">
      <c r="B190" s="19" t="s">
        <v>30</v>
      </c>
      <c r="C190" s="16">
        <v>4200</v>
      </c>
      <c r="D190" s="16" t="s">
        <v>8</v>
      </c>
      <c r="E190" s="75"/>
      <c r="F190" s="75"/>
      <c r="G190" s="75"/>
      <c r="H190" s="75"/>
      <c r="I190" s="19" t="s">
        <v>16</v>
      </c>
      <c r="J190" s="16">
        <f>C194*C195</f>
        <v>4800</v>
      </c>
      <c r="K190" s="16" t="s">
        <v>17</v>
      </c>
      <c r="L190" s="21"/>
      <c r="M190" s="75"/>
      <c r="N190" s="75"/>
      <c r="O190" s="75"/>
      <c r="P190" s="75"/>
    </row>
    <row r="191" spans="2:16" x14ac:dyDescent="0.3">
      <c r="B191" s="19" t="s">
        <v>31</v>
      </c>
      <c r="C191" s="16">
        <v>2800</v>
      </c>
      <c r="D191" s="16" t="s">
        <v>8</v>
      </c>
      <c r="E191" s="75"/>
      <c r="F191" s="75"/>
      <c r="G191" s="75"/>
      <c r="H191" s="75"/>
      <c r="I191" s="19" t="s">
        <v>51</v>
      </c>
      <c r="J191" s="16">
        <f>MIN(0.8*C195/5,3*C194,45)</f>
        <v>30.720000000000006</v>
      </c>
      <c r="K191" s="16" t="s">
        <v>5</v>
      </c>
      <c r="L191" s="21"/>
      <c r="M191" s="39" t="str">
        <f>IF(J191&gt;C207,"[OK]","[REDISEÑAR]")</f>
        <v>[OK]</v>
      </c>
      <c r="N191" s="75"/>
      <c r="O191" s="75"/>
      <c r="P191" s="75"/>
    </row>
    <row r="192" spans="2:16" x14ac:dyDescent="0.3">
      <c r="B192" s="75"/>
      <c r="C192" s="75"/>
      <c r="D192" s="75"/>
      <c r="E192" s="75"/>
      <c r="F192" s="75"/>
      <c r="G192" s="75"/>
      <c r="H192" s="75"/>
      <c r="I192" s="19" t="s">
        <v>56</v>
      </c>
      <c r="J192" s="16">
        <f>MIN(0.8*C196/3,3*C195,45)</f>
        <v>45</v>
      </c>
      <c r="K192" s="16" t="s">
        <v>5</v>
      </c>
      <c r="L192" s="21"/>
      <c r="M192" s="39" t="str">
        <f>IF(J192&gt;C207,"[OK]","[REDISEÑAR]")</f>
        <v>[OK]</v>
      </c>
      <c r="N192" s="75"/>
      <c r="O192" s="75"/>
      <c r="P192" s="75"/>
    </row>
    <row r="193" spans="2:16" x14ac:dyDescent="0.3">
      <c r="B193" s="17" t="s">
        <v>3</v>
      </c>
      <c r="C193" s="75"/>
      <c r="D193" s="75"/>
      <c r="E193" s="75"/>
      <c r="F193" s="75"/>
      <c r="G193" s="75"/>
      <c r="H193" s="75"/>
      <c r="I193" s="19" t="s">
        <v>62</v>
      </c>
      <c r="J193" s="16">
        <f>0.8*C195</f>
        <v>153.60000000000002</v>
      </c>
      <c r="K193" s="29" t="s">
        <v>5</v>
      </c>
      <c r="L193" s="75"/>
      <c r="M193" s="75"/>
      <c r="N193" s="75"/>
      <c r="O193" s="75"/>
      <c r="P193" s="75"/>
    </row>
    <row r="194" spans="2:16" x14ac:dyDescent="0.3">
      <c r="B194" s="19" t="str">
        <f>"Espesor del muro (h)"</f>
        <v>Espesor del muro (h)</v>
      </c>
      <c r="C194" s="49">
        <f>'EJE 15'!$H$8</f>
        <v>25</v>
      </c>
      <c r="D194" s="16" t="s">
        <v>5</v>
      </c>
      <c r="E194" s="75"/>
      <c r="F194" s="75"/>
      <c r="G194" s="75"/>
      <c r="H194" s="75"/>
      <c r="J194" s="75"/>
      <c r="K194" s="75"/>
      <c r="L194" s="75"/>
      <c r="M194" s="75"/>
      <c r="N194" s="75"/>
      <c r="O194" s="75"/>
      <c r="P194" s="75"/>
    </row>
    <row r="195" spans="2:16" x14ac:dyDescent="0.3">
      <c r="B195" s="19" t="s">
        <v>63</v>
      </c>
      <c r="C195" s="49">
        <f>'EJE 15'!$I$8</f>
        <v>192</v>
      </c>
      <c r="D195" s="16" t="s">
        <v>5</v>
      </c>
      <c r="E195" s="75"/>
      <c r="F195" s="75"/>
      <c r="G195" s="75"/>
      <c r="H195" s="75"/>
      <c r="I195" s="18" t="s">
        <v>26</v>
      </c>
      <c r="J195" s="75"/>
      <c r="K195" s="75"/>
      <c r="L195" s="75"/>
      <c r="M195" s="75"/>
      <c r="N195" s="75"/>
      <c r="O195" s="75"/>
      <c r="P195" s="75"/>
    </row>
    <row r="196" spans="2:16" x14ac:dyDescent="0.3">
      <c r="B196" s="19" t="s">
        <v>10</v>
      </c>
      <c r="C196" s="49">
        <f>'EJE 15'!$J$8</f>
        <v>230</v>
      </c>
      <c r="D196" s="16" t="s">
        <v>5</v>
      </c>
      <c r="E196" s="75"/>
      <c r="F196" s="75"/>
      <c r="G196" s="75"/>
      <c r="H196" s="75"/>
      <c r="I196" s="19" t="s">
        <v>28</v>
      </c>
      <c r="J196" s="16">
        <f>0.35*C189</f>
        <v>124.91523608979642</v>
      </c>
      <c r="K196" s="16" t="s">
        <v>8</v>
      </c>
      <c r="L196" s="21"/>
      <c r="M196" s="75"/>
      <c r="N196" s="75"/>
      <c r="O196" s="75"/>
      <c r="P196" s="75"/>
    </row>
    <row r="197" spans="2:16" x14ac:dyDescent="0.3">
      <c r="B197" s="75"/>
      <c r="C197" s="75"/>
      <c r="D197" s="75"/>
      <c r="E197" s="75"/>
      <c r="F197" s="75"/>
      <c r="G197" s="75"/>
      <c r="H197" s="75"/>
      <c r="I197" s="19" t="s">
        <v>27</v>
      </c>
      <c r="J197" s="30">
        <f>C199*1000/J190</f>
        <v>56.872041666666661</v>
      </c>
      <c r="K197" s="16" t="s">
        <v>8</v>
      </c>
      <c r="L197" s="21"/>
      <c r="M197" s="39" t="str">
        <f>IF(J197&lt;J196,"[OK]","[REDISEÑAR]")</f>
        <v>[OK]</v>
      </c>
      <c r="N197" s="41" t="s">
        <v>112</v>
      </c>
      <c r="O197" s="59">
        <f>J197/J196</f>
        <v>0.45528506727380869</v>
      </c>
      <c r="P197" s="75"/>
    </row>
    <row r="198" spans="2:16" x14ac:dyDescent="0.3">
      <c r="B198" s="17" t="s">
        <v>11</v>
      </c>
      <c r="C198" s="75"/>
      <c r="D198" s="75"/>
      <c r="E198" s="75"/>
      <c r="F198" s="75"/>
      <c r="G198" s="75"/>
      <c r="H198" s="75"/>
      <c r="J198" s="75"/>
      <c r="K198" s="75"/>
      <c r="L198" s="75"/>
      <c r="M198" s="75"/>
      <c r="N198" s="75"/>
      <c r="O198" s="75"/>
      <c r="P198" s="75"/>
    </row>
    <row r="199" spans="2:16" x14ac:dyDescent="0.3">
      <c r="B199" s="19" t="str">
        <f>"$N_U$"</f>
        <v>$N_U$</v>
      </c>
      <c r="C199" s="60">
        <f>'EJE 15'!$K$8</f>
        <v>272.98579999999998</v>
      </c>
      <c r="D199" s="16" t="s">
        <v>12</v>
      </c>
      <c r="E199" s="75"/>
      <c r="F199" s="75"/>
      <c r="G199" s="75"/>
      <c r="H199" s="75"/>
      <c r="I199" s="18" t="s">
        <v>54</v>
      </c>
      <c r="J199" s="75"/>
      <c r="K199" s="75"/>
      <c r="L199" s="75"/>
      <c r="M199" s="75"/>
      <c r="N199" s="75"/>
      <c r="O199" s="75"/>
      <c r="P199" s="75"/>
    </row>
    <row r="200" spans="2:16" x14ac:dyDescent="0.3">
      <c r="B200" s="19" t="s">
        <v>14</v>
      </c>
      <c r="C200" s="60">
        <f>'EJE 15'!$L$8</f>
        <v>25.0868</v>
      </c>
      <c r="D200" s="16" t="s">
        <v>12</v>
      </c>
      <c r="E200" s="75"/>
      <c r="F200" s="75"/>
      <c r="G200" s="75"/>
      <c r="H200" s="75"/>
      <c r="I200" s="19" t="s">
        <v>72</v>
      </c>
      <c r="J200" s="16">
        <f>1.2*C200+C201+1.4*C202</f>
        <v>77.666879999999992</v>
      </c>
      <c r="K200" s="16" t="s">
        <v>12</v>
      </c>
      <c r="L200" s="75"/>
      <c r="M200" s="75" t="s">
        <v>68</v>
      </c>
      <c r="N200" s="75"/>
      <c r="O200" s="75"/>
      <c r="P200" s="75"/>
    </row>
    <row r="201" spans="2:16" x14ac:dyDescent="0.3">
      <c r="B201" s="19" t="s">
        <v>13</v>
      </c>
      <c r="C201" s="60">
        <f>'EJE 15'!$M$8</f>
        <v>6.41</v>
      </c>
      <c r="D201" s="16" t="s">
        <v>12</v>
      </c>
      <c r="E201" s="75"/>
      <c r="F201" s="75"/>
      <c r="G201" s="75"/>
      <c r="H201" s="75"/>
      <c r="I201" s="19" t="s">
        <v>69</v>
      </c>
      <c r="J201" s="16">
        <f>SUM(C200:C202)</f>
        <v>60.891599999999997</v>
      </c>
      <c r="K201" s="16" t="s">
        <v>12</v>
      </c>
      <c r="L201" s="75"/>
      <c r="M201" s="75" t="s">
        <v>70</v>
      </c>
      <c r="N201" s="75"/>
      <c r="O201" s="75"/>
      <c r="P201" s="75"/>
    </row>
    <row r="202" spans="2:16" x14ac:dyDescent="0.3">
      <c r="B202" s="19" t="s">
        <v>15</v>
      </c>
      <c r="C202" s="60">
        <f>'EJE 15'!$N$8</f>
        <v>29.3948</v>
      </c>
      <c r="D202" s="16" t="s">
        <v>12</v>
      </c>
      <c r="E202" s="75"/>
      <c r="F202" s="75"/>
      <c r="G202" s="75"/>
      <c r="H202" s="75"/>
      <c r="I202" s="19" t="s">
        <v>73</v>
      </c>
      <c r="J202" s="16">
        <f>IF(C203=0,J200,C203)</f>
        <v>77.666879999999992</v>
      </c>
      <c r="K202" s="16" t="s">
        <v>12</v>
      </c>
      <c r="L202" s="75"/>
      <c r="M202" s="40" t="s">
        <v>74</v>
      </c>
      <c r="N202" s="75"/>
      <c r="O202" s="75"/>
      <c r="P202" s="75"/>
    </row>
    <row r="203" spans="2:16" x14ac:dyDescent="0.3">
      <c r="B203" s="19" t="s">
        <v>55</v>
      </c>
      <c r="C203" s="16">
        <v>0</v>
      </c>
      <c r="D203" s="16" t="s">
        <v>12</v>
      </c>
      <c r="E203" s="75"/>
      <c r="F203" s="75"/>
      <c r="G203" s="75"/>
      <c r="H203" s="75"/>
      <c r="I203" s="19" t="s">
        <v>71</v>
      </c>
      <c r="J203" s="16">
        <f>IF(C203=0,J201,C203)</f>
        <v>60.891599999999997</v>
      </c>
      <c r="K203" s="16" t="s">
        <v>12</v>
      </c>
      <c r="L203" s="75"/>
      <c r="M203" s="40" t="s">
        <v>75</v>
      </c>
      <c r="N203" s="75"/>
      <c r="O203" s="75"/>
      <c r="P203" s="75"/>
    </row>
    <row r="204" spans="2:16" x14ac:dyDescent="0.3">
      <c r="B204" s="75"/>
      <c r="C204" s="75"/>
      <c r="D204" s="75"/>
      <c r="E204" s="75"/>
      <c r="F204" s="75"/>
      <c r="G204" s="75"/>
      <c r="H204" s="75"/>
      <c r="J204" s="75"/>
      <c r="K204" s="75"/>
      <c r="L204" s="75"/>
      <c r="M204" s="75"/>
      <c r="N204" s="75"/>
      <c r="O204" s="75"/>
      <c r="P204" s="75"/>
    </row>
    <row r="205" spans="2:16" x14ac:dyDescent="0.3">
      <c r="B205" s="33" t="s">
        <v>42</v>
      </c>
      <c r="C205" s="75"/>
      <c r="D205" s="75"/>
      <c r="E205" s="75"/>
      <c r="F205" s="75"/>
      <c r="G205" s="75"/>
      <c r="H205" s="75"/>
      <c r="I205" s="27" t="s">
        <v>76</v>
      </c>
      <c r="J205" s="75"/>
      <c r="K205" s="75"/>
      <c r="L205" s="75"/>
      <c r="M205" s="75"/>
      <c r="N205" s="75"/>
      <c r="O205" s="75"/>
      <c r="P205" s="75"/>
    </row>
    <row r="206" spans="2:16" x14ac:dyDescent="0.3">
      <c r="B206" s="31" t="s">
        <v>41</v>
      </c>
      <c r="C206" s="16">
        <v>12</v>
      </c>
      <c r="D206" s="29" t="s">
        <v>35</v>
      </c>
      <c r="E206" s="75"/>
      <c r="F206" s="75"/>
      <c r="G206" s="75"/>
      <c r="H206" s="75"/>
      <c r="I206" s="19" t="s">
        <v>29</v>
      </c>
      <c r="J206" s="30">
        <f>J203*1000/J190</f>
        <v>12.685750000000001</v>
      </c>
      <c r="K206" s="29" t="s">
        <v>8</v>
      </c>
      <c r="L206" s="75"/>
      <c r="M206" s="75"/>
      <c r="N206" s="75"/>
      <c r="O206" s="75"/>
      <c r="P206" s="75"/>
    </row>
    <row r="207" spans="2:16" x14ac:dyDescent="0.3">
      <c r="B207" s="31" t="s">
        <v>43</v>
      </c>
      <c r="C207" s="16">
        <v>14</v>
      </c>
      <c r="D207" s="29" t="s">
        <v>5</v>
      </c>
      <c r="E207" s="75"/>
      <c r="F207" s="39" t="str">
        <f>IF(OR(C207&gt;25,C207&lt;10),"[REDISEÑAR]",IF(AND(C207&lt;=J208,C207&lt;=J222),"[OK]","[REDISEÑAR]"))</f>
        <v>[OK]</v>
      </c>
      <c r="G207" s="75"/>
      <c r="H207" s="75"/>
      <c r="I207" s="19" t="s">
        <v>61</v>
      </c>
      <c r="J207" s="37">
        <f>MAX(J206*100*C194/(2*C191),C211)</f>
        <v>5.6632812499999998</v>
      </c>
      <c r="K207" s="29" t="s">
        <v>32</v>
      </c>
      <c r="L207" s="75"/>
      <c r="M207" s="15"/>
      <c r="N207" s="15"/>
      <c r="O207" s="15"/>
      <c r="P207" s="75"/>
    </row>
    <row r="208" spans="2:16" x14ac:dyDescent="0.3">
      <c r="B208" s="75"/>
      <c r="C208" s="50" t="str">
        <f>"$\phi$"&amp;C206&amp;"@"&amp;C207</f>
        <v>$\phi$12@14</v>
      </c>
      <c r="D208" s="75"/>
      <c r="E208" s="75"/>
      <c r="F208" s="39" t="str">
        <f>IF(OR(J207=C211,J218=C211),"[ÁREA MINIMA]","[]")</f>
        <v>[]</v>
      </c>
      <c r="G208" s="75"/>
      <c r="H208" s="75"/>
      <c r="I208" s="63" t="s">
        <v>34</v>
      </c>
      <c r="J208" s="63">
        <f>ROUNDDOWN((1/J207)*C210*100,0)</f>
        <v>19</v>
      </c>
      <c r="K208" s="64" t="s">
        <v>5</v>
      </c>
      <c r="L208" s="75"/>
      <c r="M208" s="39" t="str">
        <f>IF(OR(J208&lt;10,J208&gt;25),"[REDISEÑAR]","[OK")</f>
        <v>[OK</v>
      </c>
      <c r="N208" s="41" t="s">
        <v>80</v>
      </c>
      <c r="O208" s="42">
        <f>1/J207*(C206/2)^2*PI()</f>
        <v>19.970284105037614</v>
      </c>
      <c r="P208" s="75" t="str">
        <f>"$\phi$"&amp;C206&amp;"@"&amp;J208</f>
        <v>$\phi$12@19</v>
      </c>
    </row>
    <row r="209" spans="2:16" x14ac:dyDescent="0.3">
      <c r="B209" s="18" t="s">
        <v>52</v>
      </c>
      <c r="C209" s="75"/>
      <c r="D209" s="75"/>
      <c r="E209" s="75"/>
      <c r="F209" s="62" t="str">
        <f>IF(J197&lt;J196,IF(J225&gt;J214,"[OK]","[REDISEÑAR]"),"[REDISEÑAR]")</f>
        <v>[OK]</v>
      </c>
      <c r="G209" s="75"/>
      <c r="H209" s="75"/>
      <c r="I209" s="31" t="s">
        <v>48</v>
      </c>
      <c r="J209" s="30">
        <f>C210*2*IF(C195/C207&gt;=1,C195/C207,0)</f>
        <v>31.020983459446644</v>
      </c>
      <c r="K209" s="29" t="s">
        <v>17</v>
      </c>
      <c r="L209" s="75"/>
      <c r="M209" s="75"/>
      <c r="N209" s="15"/>
      <c r="O209" s="44"/>
      <c r="P209" s="75"/>
    </row>
    <row r="210" spans="2:16" x14ac:dyDescent="0.3">
      <c r="B210" s="31" t="s">
        <v>66</v>
      </c>
      <c r="C210" s="30">
        <f>(C206/(2*10))^2*PI()</f>
        <v>1.1309733552923256</v>
      </c>
      <c r="D210" s="29" t="s">
        <v>17</v>
      </c>
      <c r="E210" s="75"/>
      <c r="F210" s="75"/>
      <c r="G210" s="75"/>
      <c r="H210" s="75"/>
      <c r="I210" s="19" t="s">
        <v>49</v>
      </c>
      <c r="J210" s="34">
        <f>C191*J209/1000</f>
        <v>86.858753686450598</v>
      </c>
      <c r="K210" s="16" t="s">
        <v>12</v>
      </c>
      <c r="L210" s="75"/>
      <c r="M210" s="39" t="str">
        <f>IF(J210&gt;J203,"[OK]","[REDISEÑAR]")</f>
        <v>[OK]</v>
      </c>
      <c r="N210" s="41" t="str">
        <f>IF(O210&gt;0,"Sobrado","Faltan")</f>
        <v>Sobrado</v>
      </c>
      <c r="O210" s="43">
        <f>J210-J203</f>
        <v>25.967153686450601</v>
      </c>
      <c r="P210" s="75"/>
    </row>
    <row r="211" spans="2:16" x14ac:dyDescent="0.3">
      <c r="B211" s="31" t="s">
        <v>78</v>
      </c>
      <c r="C211" s="37">
        <f>2.5/1000*100*C194/2</f>
        <v>3.125</v>
      </c>
      <c r="D211" s="16" t="s">
        <v>17</v>
      </c>
      <c r="E211" s="75"/>
      <c r="F211" s="75"/>
      <c r="G211" s="75"/>
      <c r="H211" s="75"/>
      <c r="J211" s="75"/>
      <c r="K211" s="75"/>
      <c r="L211" s="75"/>
      <c r="M211" s="75"/>
      <c r="N211" s="75"/>
      <c r="O211" s="15"/>
      <c r="P211" s="75"/>
    </row>
    <row r="212" spans="2:16" x14ac:dyDescent="0.3">
      <c r="B212" s="31" t="s">
        <v>114</v>
      </c>
      <c r="C212" s="37">
        <f>C210*100/C207</f>
        <v>8.0783811092308966</v>
      </c>
      <c r="D212" s="29" t="s">
        <v>32</v>
      </c>
      <c r="E212" s="75"/>
      <c r="F212" s="75"/>
      <c r="G212" s="75"/>
      <c r="H212" s="75"/>
      <c r="I212" s="18" t="s">
        <v>77</v>
      </c>
      <c r="J212" s="75"/>
      <c r="K212" s="75"/>
      <c r="L212" s="75"/>
      <c r="M212" s="17" t="s">
        <v>67</v>
      </c>
      <c r="N212" s="75"/>
      <c r="O212" s="75"/>
      <c r="P212" s="75"/>
    </row>
    <row r="213" spans="2:16" x14ac:dyDescent="0.3">
      <c r="B213" s="75"/>
      <c r="C213" s="75"/>
      <c r="D213" s="75"/>
      <c r="E213" s="75"/>
      <c r="F213" s="75"/>
      <c r="G213" s="75"/>
      <c r="H213" s="75"/>
      <c r="I213" s="19" t="s">
        <v>33</v>
      </c>
      <c r="J213" s="16">
        <v>0.6</v>
      </c>
      <c r="K213" s="16" t="s">
        <v>50</v>
      </c>
      <c r="L213" s="75"/>
      <c r="M213" s="19" t="s">
        <v>64</v>
      </c>
      <c r="N213" s="30">
        <f>SQRT(C189*0.0980665)*(1/0.0980665)/1000*J215*0.17</f>
        <v>31.250778100012241</v>
      </c>
      <c r="O213" s="16" t="s">
        <v>12</v>
      </c>
      <c r="P213" s="75"/>
    </row>
    <row r="214" spans="2:16" x14ac:dyDescent="0.3">
      <c r="B214" s="17" t="s">
        <v>37</v>
      </c>
      <c r="C214" s="75"/>
      <c r="D214" s="75"/>
      <c r="E214" s="75"/>
      <c r="F214" s="75"/>
      <c r="G214" s="75"/>
      <c r="H214" s="75"/>
      <c r="I214" s="19" t="s">
        <v>46</v>
      </c>
      <c r="J214" s="34">
        <f>J202/J213</f>
        <v>129.44479999999999</v>
      </c>
      <c r="K214" s="16" t="s">
        <v>12</v>
      </c>
      <c r="L214" s="75"/>
      <c r="M214" s="19" t="s">
        <v>57</v>
      </c>
      <c r="N214" s="16">
        <f>IF(C196/J193&lt;=1.5,0.25,IF(C196/J193&gt;=2,0.17,0.17+(0.25-0.17)/(C196/J193-1.5)*C196/J193))</f>
        <v>0.25</v>
      </c>
      <c r="O214" s="29" t="s">
        <v>50</v>
      </c>
      <c r="P214" s="75"/>
    </row>
    <row r="215" spans="2:16" x14ac:dyDescent="0.3">
      <c r="B215" s="31" t="s">
        <v>115</v>
      </c>
      <c r="C215" s="37">
        <f>O210</f>
        <v>25.967153686450601</v>
      </c>
      <c r="D215" s="29" t="s">
        <v>12</v>
      </c>
      <c r="E215" s="75"/>
      <c r="F215" s="75"/>
      <c r="G215" s="75"/>
      <c r="H215" s="75"/>
      <c r="I215" s="19" t="s">
        <v>36</v>
      </c>
      <c r="J215" s="35">
        <f>J193*C194*0.8-J223</f>
        <v>3047.183213232443</v>
      </c>
      <c r="K215" s="16" t="s">
        <v>17</v>
      </c>
      <c r="L215" s="75"/>
      <c r="M215" s="19" t="s">
        <v>59</v>
      </c>
      <c r="N215" s="30">
        <f>SQRT(C189*0.0980665)*(1/0.0980665)/1000*J215*N214</f>
        <v>45.957026617665058</v>
      </c>
      <c r="O215" s="29" t="s">
        <v>12</v>
      </c>
      <c r="P215" s="75"/>
    </row>
    <row r="216" spans="2:16" x14ac:dyDescent="0.3">
      <c r="B216" s="31" t="s">
        <v>116</v>
      </c>
      <c r="C216" s="37">
        <f>O225</f>
        <v>6.0364825237530226</v>
      </c>
      <c r="D216" s="29" t="s">
        <v>12</v>
      </c>
      <c r="E216" s="75"/>
      <c r="F216" s="75"/>
      <c r="G216" s="75"/>
      <c r="H216" s="75"/>
      <c r="I216" s="19" t="s">
        <v>60</v>
      </c>
      <c r="J216" s="34">
        <f>MIN(N215,N213)</f>
        <v>31.250778100012241</v>
      </c>
      <c r="K216" s="29" t="s">
        <v>12</v>
      </c>
      <c r="L216" s="75"/>
      <c r="M216" s="75"/>
      <c r="N216" s="75"/>
      <c r="O216" s="75"/>
      <c r="P216" s="75"/>
    </row>
    <row r="217" spans="2:16" x14ac:dyDescent="0.3">
      <c r="B217" s="19" t="s">
        <v>117</v>
      </c>
      <c r="C217" s="36">
        <f>C210*2*C195/C207/J190</f>
        <v>6.4627048873847183E-3</v>
      </c>
      <c r="D217" s="16" t="s">
        <v>50</v>
      </c>
      <c r="E217" s="75"/>
      <c r="F217" s="75"/>
      <c r="G217" s="75"/>
      <c r="H217" s="75"/>
      <c r="I217" s="19" t="s">
        <v>39</v>
      </c>
      <c r="J217" s="34">
        <f>J214-J216</f>
        <v>98.194021899987746</v>
      </c>
      <c r="K217" s="16" t="s">
        <v>12</v>
      </c>
      <c r="L217" s="75"/>
      <c r="M217" s="75"/>
      <c r="N217" s="75"/>
      <c r="O217" s="75"/>
      <c r="P217" s="75"/>
    </row>
    <row r="218" spans="2:16" x14ac:dyDescent="0.3">
      <c r="B218" s="75"/>
      <c r="C218" s="75"/>
      <c r="D218" s="75"/>
      <c r="E218" s="75"/>
      <c r="F218" s="75"/>
      <c r="G218" s="75"/>
      <c r="H218" s="75"/>
      <c r="I218" s="19" t="s">
        <v>61</v>
      </c>
      <c r="J218" s="37">
        <f>MAX(J217/(C190*J193/1000/100)/2,C211)</f>
        <v>7.6105237707703788</v>
      </c>
      <c r="K218" s="29" t="s">
        <v>32</v>
      </c>
      <c r="L218" s="75"/>
      <c r="M218" s="75"/>
      <c r="N218" s="75"/>
      <c r="O218" s="75"/>
      <c r="P218" s="75"/>
    </row>
    <row r="219" spans="2:16" x14ac:dyDescent="0.3">
      <c r="B219" s="75"/>
      <c r="C219" s="75"/>
      <c r="D219" s="75"/>
      <c r="E219" s="75"/>
      <c r="F219" s="75"/>
      <c r="G219" s="75"/>
      <c r="H219" s="75"/>
      <c r="I219" s="19" t="s">
        <v>65</v>
      </c>
      <c r="J219" s="36">
        <f>J218/C194/100*2</f>
        <v>6.0884190166163032E-3</v>
      </c>
      <c r="K219" s="16" t="s">
        <v>50</v>
      </c>
      <c r="L219" s="75"/>
      <c r="M219" s="75"/>
      <c r="N219" s="75"/>
      <c r="O219" s="75"/>
      <c r="P219" s="75"/>
    </row>
    <row r="220" spans="2:16" x14ac:dyDescent="0.3">
      <c r="B220" s="75"/>
      <c r="C220" s="75"/>
      <c r="D220" s="75"/>
      <c r="E220" s="75"/>
      <c r="F220" s="75"/>
      <c r="G220" s="75"/>
      <c r="H220" s="75"/>
      <c r="I220" s="19" t="s">
        <v>53</v>
      </c>
      <c r="J220" s="16">
        <f>MAX(0.0025,0.0025*0.5*(2.5-C194/(C195*0.8))*(J219-0.0025))</f>
        <v>2.5000000000000001E-3</v>
      </c>
      <c r="K220" s="29" t="s">
        <v>50</v>
      </c>
      <c r="L220" s="75"/>
      <c r="M220" s="39" t="str">
        <f>IF(OR(J219&gt;J220,ABS(J219-J220)&lt;0.0001),"[OK]","[REDISEÑAR]")</f>
        <v>[OK]</v>
      </c>
      <c r="N220" s="75"/>
      <c r="O220" s="75"/>
      <c r="P220" s="75"/>
    </row>
    <row r="221" spans="2:16" x14ac:dyDescent="0.3">
      <c r="B221" s="75"/>
      <c r="C221" s="75"/>
      <c r="D221" s="75"/>
      <c r="E221" s="75"/>
      <c r="F221" s="75"/>
      <c r="G221" s="75"/>
      <c r="H221" s="75"/>
      <c r="I221" s="19" t="s">
        <v>47</v>
      </c>
      <c r="J221" s="34">
        <f>SQRT(C189*0.0980665)*(1/0.0980665)/1000*0.66*0.8*C195*C194</f>
        <v>152.89331833284234</v>
      </c>
      <c r="K221" s="16" t="s">
        <v>12</v>
      </c>
      <c r="L221" s="75"/>
      <c r="M221" s="40" t="s">
        <v>44</v>
      </c>
      <c r="N221" s="75"/>
      <c r="O221" s="15"/>
      <c r="P221" s="75"/>
    </row>
    <row r="222" spans="2:16" x14ac:dyDescent="0.3">
      <c r="B222" s="75"/>
      <c r="C222" s="75"/>
      <c r="D222" s="75"/>
      <c r="E222" s="75"/>
      <c r="F222" s="75"/>
      <c r="G222" s="75"/>
      <c r="H222" s="75"/>
      <c r="I222" s="63" t="s">
        <v>34</v>
      </c>
      <c r="J222" s="63">
        <f>ROUNDDOWN(1/J218*C210*100,0)</f>
        <v>14</v>
      </c>
      <c r="K222" s="64" t="s">
        <v>5</v>
      </c>
      <c r="L222" s="75"/>
      <c r="M222" s="39" t="str">
        <f>IF(OR(J222&lt;10,J222&gt;25),"[REDISEÑAR]","[OK")</f>
        <v>[OK</v>
      </c>
      <c r="N222" s="41" t="s">
        <v>80</v>
      </c>
      <c r="O222" s="42">
        <f>1/J218*(C206/2)^2*PI()</f>
        <v>14.860650716788212</v>
      </c>
      <c r="P222" s="75" t="str">
        <f>"$\phi$"&amp;C206&amp;"@"&amp;J222</f>
        <v>$\phi$12@14</v>
      </c>
    </row>
    <row r="223" spans="2:16" x14ac:dyDescent="0.3">
      <c r="B223" s="75"/>
      <c r="C223" s="75"/>
      <c r="D223" s="75"/>
      <c r="E223" s="75"/>
      <c r="F223" s="75"/>
      <c r="G223" s="75"/>
      <c r="H223" s="75"/>
      <c r="I223" s="31" t="s">
        <v>48</v>
      </c>
      <c r="J223" s="30">
        <f>C210*2*IF(J193/C207&gt;=1,J193/C207,0)</f>
        <v>24.816786767557321</v>
      </c>
      <c r="K223" s="29" t="s">
        <v>17</v>
      </c>
      <c r="L223" s="75"/>
      <c r="M223" s="75"/>
      <c r="N223" s="15"/>
      <c r="O223" s="15"/>
      <c r="P223" s="75"/>
    </row>
    <row r="224" spans="2:16" x14ac:dyDescent="0.3">
      <c r="B224" s="75"/>
      <c r="C224" s="75"/>
      <c r="D224" s="75"/>
      <c r="E224" s="75"/>
      <c r="F224" s="75"/>
      <c r="G224" s="75"/>
      <c r="H224" s="75"/>
      <c r="I224" s="19" t="s">
        <v>81</v>
      </c>
      <c r="J224" s="34">
        <f>MIN(J223*C190/1000,J221)</f>
        <v>104.23050442374075</v>
      </c>
      <c r="K224" s="16" t="s">
        <v>12</v>
      </c>
      <c r="L224" s="75"/>
      <c r="M224" s="40" t="s">
        <v>82</v>
      </c>
      <c r="N224" s="15"/>
      <c r="O224" s="15"/>
      <c r="P224" s="75"/>
    </row>
    <row r="225" spans="2:16" x14ac:dyDescent="0.3">
      <c r="B225" s="75"/>
      <c r="C225" s="75"/>
      <c r="D225" s="75"/>
      <c r="E225" s="75"/>
      <c r="F225" s="75"/>
      <c r="G225" s="75"/>
      <c r="H225" s="75"/>
      <c r="I225" s="19" t="s">
        <v>79</v>
      </c>
      <c r="J225" s="34">
        <f>J224+J216</f>
        <v>135.48128252375301</v>
      </c>
      <c r="K225" s="16" t="s">
        <v>12</v>
      </c>
      <c r="L225" s="75"/>
      <c r="M225" s="39" t="str">
        <f>IF(J225&gt;J214,"[OK]","[REDISEÑAR]")</f>
        <v>[OK]</v>
      </c>
      <c r="N225" s="41" t="str">
        <f>IF(O225&gt;0,"Sobrado","Faltan")</f>
        <v>Sobrado</v>
      </c>
      <c r="O225" s="43">
        <f>J225-J214</f>
        <v>6.0364825237530226</v>
      </c>
      <c r="P225" s="75"/>
    </row>
    <row r="226" spans="2:16" x14ac:dyDescent="0.3">
      <c r="B226" s="75"/>
      <c r="C226" s="75"/>
      <c r="D226" s="75"/>
      <c r="E226" s="75"/>
      <c r="F226" s="75"/>
      <c r="G226" s="75"/>
      <c r="H226" s="75"/>
      <c r="J226" s="75"/>
      <c r="K226" s="75"/>
      <c r="L226" s="75"/>
      <c r="M226" s="75"/>
      <c r="N226" s="75"/>
      <c r="O226" s="75"/>
      <c r="P226" s="75"/>
    </row>
    <row r="227" spans="2:16" x14ac:dyDescent="0.3">
      <c r="B227" s="75"/>
      <c r="C227" s="75"/>
      <c r="D227" s="75"/>
      <c r="E227" s="75"/>
      <c r="F227" s="75"/>
      <c r="G227" s="75"/>
      <c r="H227" s="75"/>
      <c r="I227" s="18" t="s">
        <v>45</v>
      </c>
      <c r="J227" s="75"/>
      <c r="K227" s="75"/>
      <c r="L227" s="75"/>
      <c r="M227" s="75"/>
      <c r="N227" s="75"/>
      <c r="O227" s="15"/>
      <c r="P227" s="75"/>
    </row>
    <row r="228" spans="2:16" x14ac:dyDescent="0.3">
      <c r="B228" s="75"/>
      <c r="C228" s="75"/>
      <c r="D228" s="75"/>
      <c r="E228" s="75"/>
      <c r="F228" s="75"/>
      <c r="G228" s="75"/>
      <c r="H228" s="75"/>
      <c r="I228" s="19" t="s">
        <v>40</v>
      </c>
      <c r="J228" s="16">
        <f>J202</f>
        <v>77.666879999999992</v>
      </c>
      <c r="K228" s="16" t="s">
        <v>12</v>
      </c>
      <c r="L228" s="75"/>
      <c r="M228" s="75"/>
      <c r="N228" s="75"/>
      <c r="O228" s="26"/>
      <c r="P228" s="75"/>
    </row>
    <row r="229" spans="2:16" x14ac:dyDescent="0.3">
      <c r="B229" s="75"/>
      <c r="C229" s="75"/>
      <c r="D229" s="75"/>
      <c r="E229" s="75"/>
      <c r="F229" s="75"/>
      <c r="G229" s="75"/>
      <c r="H229" s="75"/>
      <c r="I229" s="19" t="s">
        <v>46</v>
      </c>
      <c r="J229" s="34">
        <f>J214</f>
        <v>129.44479999999999</v>
      </c>
      <c r="K229" s="16" t="s">
        <v>12</v>
      </c>
      <c r="L229" s="75"/>
      <c r="M229" s="75"/>
      <c r="N229" s="75"/>
      <c r="O229" s="75"/>
      <c r="P229" s="75"/>
    </row>
    <row r="230" spans="2:16" x14ac:dyDescent="0.3">
      <c r="B230" s="75"/>
      <c r="C230" s="75"/>
      <c r="D230" s="75"/>
      <c r="E230" s="75"/>
      <c r="F230" s="75"/>
      <c r="G230" s="75"/>
      <c r="H230" s="75"/>
      <c r="I230" s="19" t="s">
        <v>38</v>
      </c>
      <c r="J230" s="34">
        <f>2/3*J215*SQRT(C189*0.0980665)*(1/0.0980665)/1000</f>
        <v>122.55207098044013</v>
      </c>
      <c r="K230" s="16" t="s">
        <v>12</v>
      </c>
      <c r="L230" s="75"/>
      <c r="M230" s="39" t="str">
        <f>IF(J230&gt;J229,"[OK]","[REDISEÑAR]")</f>
        <v>[REDISEÑAR]</v>
      </c>
      <c r="N230" s="41" t="str">
        <f>IF(O230&gt;0,"Sobrado","Faltan")</f>
        <v>Faltan</v>
      </c>
      <c r="O230" s="43">
        <f>J230-J229</f>
        <v>-6.8927290195598516</v>
      </c>
      <c r="P230" s="75"/>
    </row>
    <row r="232" spans="2:16" ht="18" x14ac:dyDescent="0.35">
      <c r="B232" s="48" t="str">
        <f>'EJE 15'!$S$9</f>
        <v>EJE 15.G-L | PIER F32X | PISO 2</v>
      </c>
      <c r="C232" s="75"/>
      <c r="D232" s="75"/>
      <c r="E232" s="75"/>
      <c r="F232" s="75"/>
      <c r="G232" s="75"/>
      <c r="H232" s="75"/>
      <c r="J232" s="75"/>
      <c r="K232" s="75"/>
      <c r="L232" s="75"/>
      <c r="M232" s="75"/>
      <c r="N232" s="75"/>
      <c r="O232" s="75"/>
      <c r="P232" s="75"/>
    </row>
    <row r="233" spans="2:16" x14ac:dyDescent="0.3">
      <c r="B233" s="75"/>
      <c r="C233" s="75"/>
      <c r="D233" s="75"/>
      <c r="E233" s="75"/>
      <c r="F233" s="75"/>
      <c r="G233" s="75"/>
      <c r="H233" s="75"/>
      <c r="J233" s="75"/>
      <c r="K233" s="75"/>
      <c r="L233" s="75"/>
      <c r="M233" s="75"/>
      <c r="N233" s="75"/>
      <c r="O233" s="75"/>
      <c r="P233" s="75"/>
    </row>
    <row r="234" spans="2:16" x14ac:dyDescent="0.3">
      <c r="B234" s="17" t="s">
        <v>6</v>
      </c>
      <c r="C234" s="75"/>
      <c r="D234" s="75"/>
      <c r="E234" s="75"/>
      <c r="F234" s="75"/>
      <c r="G234" s="75"/>
      <c r="H234" s="75"/>
      <c r="I234" s="18" t="s">
        <v>25</v>
      </c>
      <c r="J234" s="75"/>
      <c r="K234" s="75"/>
      <c r="L234" s="75"/>
      <c r="M234" s="75"/>
      <c r="N234" s="75"/>
      <c r="O234" s="75"/>
      <c r="P234" s="75"/>
    </row>
    <row r="235" spans="2:16" x14ac:dyDescent="0.3">
      <c r="B235" s="19" t="s">
        <v>99</v>
      </c>
      <c r="C235" s="61">
        <f>10.1971621297793*'EJE 15'!$G$9</f>
        <v>356.90067454227551</v>
      </c>
      <c r="D235" s="16" t="s">
        <v>8</v>
      </c>
      <c r="E235" s="75"/>
      <c r="F235" s="75"/>
      <c r="G235" s="75"/>
      <c r="H235" s="75"/>
      <c r="I235" s="19" t="s">
        <v>58</v>
      </c>
      <c r="J235" s="16">
        <f>C242/16</f>
        <v>14.375</v>
      </c>
      <c r="K235" s="16" t="s">
        <v>5</v>
      </c>
      <c r="L235" s="21"/>
      <c r="M235" s="39" t="str">
        <f>IF(J235&lt;C240,"[OK]","[REDISEÑAR]")</f>
        <v>[OK]</v>
      </c>
      <c r="N235" s="75"/>
      <c r="O235" s="75"/>
      <c r="P235" s="75"/>
    </row>
    <row r="236" spans="2:16" x14ac:dyDescent="0.3">
      <c r="B236" s="19" t="s">
        <v>30</v>
      </c>
      <c r="C236" s="16">
        <v>4200</v>
      </c>
      <c r="D236" s="16" t="s">
        <v>8</v>
      </c>
      <c r="E236" s="75"/>
      <c r="F236" s="75"/>
      <c r="G236" s="75"/>
      <c r="H236" s="75"/>
      <c r="I236" s="19" t="s">
        <v>16</v>
      </c>
      <c r="J236" s="16">
        <f>C240*C241</f>
        <v>8475</v>
      </c>
      <c r="K236" s="16" t="s">
        <v>17</v>
      </c>
      <c r="L236" s="21"/>
      <c r="M236" s="75"/>
      <c r="N236" s="75"/>
      <c r="O236" s="75"/>
      <c r="P236" s="75"/>
    </row>
    <row r="237" spans="2:16" x14ac:dyDescent="0.3">
      <c r="B237" s="19" t="s">
        <v>31</v>
      </c>
      <c r="C237" s="16">
        <v>2800</v>
      </c>
      <c r="D237" s="16" t="s">
        <v>8</v>
      </c>
      <c r="E237" s="75"/>
      <c r="F237" s="75"/>
      <c r="G237" s="75"/>
      <c r="H237" s="75"/>
      <c r="I237" s="19" t="s">
        <v>51</v>
      </c>
      <c r="J237" s="16">
        <f>MIN(0.8*C241/5,3*C240,45)</f>
        <v>45</v>
      </c>
      <c r="K237" s="16" t="s">
        <v>5</v>
      </c>
      <c r="L237" s="21"/>
      <c r="M237" s="39" t="str">
        <f>IF(J237&gt;C253,"[OK]","[REDISEÑAR]")</f>
        <v>[OK]</v>
      </c>
      <c r="N237" s="75"/>
      <c r="O237" s="75"/>
      <c r="P237" s="75"/>
    </row>
    <row r="238" spans="2:16" x14ac:dyDescent="0.3">
      <c r="B238" s="75"/>
      <c r="C238" s="75"/>
      <c r="D238" s="75"/>
      <c r="E238" s="75"/>
      <c r="F238" s="75"/>
      <c r="G238" s="75"/>
      <c r="H238" s="75"/>
      <c r="I238" s="19" t="s">
        <v>56</v>
      </c>
      <c r="J238" s="16">
        <f>MIN(0.8*C242/3,3*C241,45)</f>
        <v>45</v>
      </c>
      <c r="K238" s="16" t="s">
        <v>5</v>
      </c>
      <c r="L238" s="21"/>
      <c r="M238" s="39" t="str">
        <f>IF(J238&gt;C253,"[OK]","[REDISEÑAR]")</f>
        <v>[OK]</v>
      </c>
      <c r="N238" s="75"/>
      <c r="O238" s="75"/>
      <c r="P238" s="75"/>
    </row>
    <row r="239" spans="2:16" x14ac:dyDescent="0.3">
      <c r="B239" s="17" t="s">
        <v>3</v>
      </c>
      <c r="C239" s="75"/>
      <c r="D239" s="75"/>
      <c r="E239" s="75"/>
      <c r="F239" s="75"/>
      <c r="G239" s="75"/>
      <c r="H239" s="75"/>
      <c r="I239" s="19" t="s">
        <v>62</v>
      </c>
      <c r="J239" s="16">
        <f>0.8*C241</f>
        <v>271.2</v>
      </c>
      <c r="K239" s="29" t="s">
        <v>5</v>
      </c>
      <c r="L239" s="75"/>
      <c r="M239" s="75"/>
      <c r="N239" s="75"/>
      <c r="O239" s="75"/>
      <c r="P239" s="75"/>
    </row>
    <row r="240" spans="2:16" x14ac:dyDescent="0.3">
      <c r="B240" s="19" t="str">
        <f>"Espesor del muro (h)"</f>
        <v>Espesor del muro (h)</v>
      </c>
      <c r="C240" s="49">
        <f>'EJE 15'!$H$9</f>
        <v>25</v>
      </c>
      <c r="D240" s="16" t="s">
        <v>5</v>
      </c>
      <c r="E240" s="75"/>
      <c r="F240" s="75"/>
      <c r="G240" s="75"/>
      <c r="H240" s="75"/>
      <c r="J240" s="75"/>
      <c r="K240" s="75"/>
      <c r="L240" s="75"/>
      <c r="M240" s="75"/>
      <c r="N240" s="75"/>
      <c r="O240" s="75"/>
      <c r="P240" s="75"/>
    </row>
    <row r="241" spans="2:16" x14ac:dyDescent="0.3">
      <c r="B241" s="19" t="s">
        <v>63</v>
      </c>
      <c r="C241" s="49">
        <f>'EJE 15'!$I$9</f>
        <v>339</v>
      </c>
      <c r="D241" s="16" t="s">
        <v>5</v>
      </c>
      <c r="E241" s="75"/>
      <c r="F241" s="75"/>
      <c r="G241" s="75"/>
      <c r="H241" s="75"/>
      <c r="I241" s="18" t="s">
        <v>26</v>
      </c>
      <c r="J241" s="75"/>
      <c r="K241" s="75"/>
      <c r="L241" s="75"/>
      <c r="M241" s="75"/>
      <c r="N241" s="75"/>
      <c r="O241" s="75"/>
      <c r="P241" s="75"/>
    </row>
    <row r="242" spans="2:16" x14ac:dyDescent="0.3">
      <c r="B242" s="19" t="s">
        <v>10</v>
      </c>
      <c r="C242" s="49">
        <f>'EJE 15'!$J$9</f>
        <v>230</v>
      </c>
      <c r="D242" s="16" t="s">
        <v>5</v>
      </c>
      <c r="E242" s="75"/>
      <c r="F242" s="75"/>
      <c r="G242" s="75"/>
      <c r="H242" s="75"/>
      <c r="I242" s="19" t="s">
        <v>28</v>
      </c>
      <c r="J242" s="16">
        <f>0.35*C235</f>
        <v>124.91523608979642</v>
      </c>
      <c r="K242" s="16" t="s">
        <v>8</v>
      </c>
      <c r="L242" s="21"/>
      <c r="M242" s="75"/>
      <c r="N242" s="75"/>
      <c r="O242" s="75"/>
      <c r="P242" s="75"/>
    </row>
    <row r="243" spans="2:16" x14ac:dyDescent="0.3">
      <c r="B243" s="75"/>
      <c r="C243" s="75"/>
      <c r="D243" s="75"/>
      <c r="E243" s="75"/>
      <c r="F243" s="75"/>
      <c r="G243" s="75"/>
      <c r="H243" s="75"/>
      <c r="I243" s="19" t="s">
        <v>27</v>
      </c>
      <c r="J243" s="30">
        <f>C245*1000/J236</f>
        <v>34.386997050147492</v>
      </c>
      <c r="K243" s="16" t="s">
        <v>8</v>
      </c>
      <c r="L243" s="21"/>
      <c r="M243" s="39" t="str">
        <f>IF(J243&lt;J242,"[OK]","[REDISEÑAR]")</f>
        <v>[OK]</v>
      </c>
      <c r="N243" s="41" t="s">
        <v>112</v>
      </c>
      <c r="O243" s="59">
        <f>J243/J242</f>
        <v>0.27528264867088026</v>
      </c>
      <c r="P243" s="75"/>
    </row>
    <row r="244" spans="2:16" x14ac:dyDescent="0.3">
      <c r="B244" s="17" t="s">
        <v>11</v>
      </c>
      <c r="C244" s="75"/>
      <c r="D244" s="75"/>
      <c r="E244" s="75"/>
      <c r="F244" s="75"/>
      <c r="G244" s="75"/>
      <c r="H244" s="75"/>
      <c r="J244" s="75"/>
      <c r="K244" s="75"/>
      <c r="L244" s="75"/>
      <c r="M244" s="75"/>
      <c r="N244" s="75"/>
      <c r="O244" s="75"/>
      <c r="P244" s="75"/>
    </row>
    <row r="245" spans="2:16" x14ac:dyDescent="0.3">
      <c r="B245" s="19" t="str">
        <f>"$N_U$"</f>
        <v>$N_U$</v>
      </c>
      <c r="C245" s="60">
        <f>'EJE 15'!$K$9</f>
        <v>291.4298</v>
      </c>
      <c r="D245" s="16" t="s">
        <v>12</v>
      </c>
      <c r="E245" s="75"/>
      <c r="F245" s="75"/>
      <c r="G245" s="75"/>
      <c r="H245" s="75"/>
      <c r="I245" s="18" t="s">
        <v>54</v>
      </c>
      <c r="J245" s="75"/>
      <c r="K245" s="75"/>
      <c r="L245" s="75"/>
      <c r="M245" s="75"/>
      <c r="N245" s="75"/>
      <c r="O245" s="75"/>
      <c r="P245" s="75"/>
    </row>
    <row r="246" spans="2:16" x14ac:dyDescent="0.3">
      <c r="B246" s="19" t="s">
        <v>14</v>
      </c>
      <c r="C246" s="60">
        <f>'EJE 15'!$L$9</f>
        <v>21.577200000000001</v>
      </c>
      <c r="D246" s="16" t="s">
        <v>12</v>
      </c>
      <c r="E246" s="75"/>
      <c r="F246" s="75"/>
      <c r="G246" s="75"/>
      <c r="H246" s="75"/>
      <c r="I246" s="19" t="s">
        <v>72</v>
      </c>
      <c r="J246" s="16">
        <f>1.2*C246+C247+1.4*C248</f>
        <v>113.7278</v>
      </c>
      <c r="K246" s="16" t="s">
        <v>12</v>
      </c>
      <c r="L246" s="75"/>
      <c r="M246" s="75" t="s">
        <v>68</v>
      </c>
      <c r="N246" s="75"/>
      <c r="O246" s="75"/>
      <c r="P246" s="75"/>
    </row>
    <row r="247" spans="2:16" x14ac:dyDescent="0.3">
      <c r="B247" s="19" t="s">
        <v>13</v>
      </c>
      <c r="C247" s="60">
        <f>'EJE 15'!$M$9</f>
        <v>5.7099000000000002</v>
      </c>
      <c r="D247" s="16" t="s">
        <v>12</v>
      </c>
      <c r="E247" s="75"/>
      <c r="F247" s="75"/>
      <c r="G247" s="75"/>
      <c r="H247" s="75"/>
      <c r="I247" s="19" t="s">
        <v>69</v>
      </c>
      <c r="J247" s="16">
        <f>SUM(C246:C248)</f>
        <v>85.948000000000008</v>
      </c>
      <c r="K247" s="16" t="s">
        <v>12</v>
      </c>
      <c r="L247" s="75"/>
      <c r="M247" s="75" t="s">
        <v>70</v>
      </c>
      <c r="N247" s="75"/>
      <c r="O247" s="75"/>
      <c r="P247" s="75"/>
    </row>
    <row r="248" spans="2:16" x14ac:dyDescent="0.3">
      <c r="B248" s="19" t="s">
        <v>15</v>
      </c>
      <c r="C248" s="60">
        <f>'EJE 15'!$N$9</f>
        <v>58.660899999999998</v>
      </c>
      <c r="D248" s="16" t="s">
        <v>12</v>
      </c>
      <c r="E248" s="75"/>
      <c r="F248" s="75"/>
      <c r="G248" s="75"/>
      <c r="H248" s="75"/>
      <c r="I248" s="19" t="s">
        <v>73</v>
      </c>
      <c r="J248" s="16">
        <f>IF(C249=0,J246,C249)</f>
        <v>113.7278</v>
      </c>
      <c r="K248" s="16" t="s">
        <v>12</v>
      </c>
      <c r="L248" s="75"/>
      <c r="M248" s="40" t="s">
        <v>74</v>
      </c>
      <c r="N248" s="75"/>
      <c r="O248" s="75"/>
      <c r="P248" s="75"/>
    </row>
    <row r="249" spans="2:16" x14ac:dyDescent="0.3">
      <c r="B249" s="19" t="s">
        <v>55</v>
      </c>
      <c r="C249" s="16">
        <v>0</v>
      </c>
      <c r="D249" s="16" t="s">
        <v>12</v>
      </c>
      <c r="E249" s="75"/>
      <c r="F249" s="75"/>
      <c r="G249" s="75"/>
      <c r="H249" s="75"/>
      <c r="I249" s="19" t="s">
        <v>71</v>
      </c>
      <c r="J249" s="16">
        <f>IF(C249=0,J247,C249)</f>
        <v>85.948000000000008</v>
      </c>
      <c r="K249" s="16" t="s">
        <v>12</v>
      </c>
      <c r="L249" s="75"/>
      <c r="M249" s="40" t="s">
        <v>75</v>
      </c>
      <c r="N249" s="75"/>
      <c r="O249" s="75"/>
      <c r="P249" s="75"/>
    </row>
    <row r="250" spans="2:16" x14ac:dyDescent="0.3">
      <c r="B250" s="75"/>
      <c r="C250" s="75"/>
      <c r="D250" s="75"/>
      <c r="E250" s="75"/>
      <c r="F250" s="75"/>
      <c r="G250" s="75"/>
      <c r="H250" s="75"/>
      <c r="J250" s="75"/>
      <c r="K250" s="75"/>
      <c r="L250" s="75"/>
      <c r="M250" s="75"/>
      <c r="N250" s="75"/>
      <c r="O250" s="75"/>
      <c r="P250" s="75"/>
    </row>
    <row r="251" spans="2:16" x14ac:dyDescent="0.3">
      <c r="B251" s="33" t="s">
        <v>42</v>
      </c>
      <c r="C251" s="75"/>
      <c r="D251" s="75"/>
      <c r="E251" s="75"/>
      <c r="F251" s="75"/>
      <c r="G251" s="75"/>
      <c r="H251" s="75"/>
      <c r="I251" s="27" t="s">
        <v>76</v>
      </c>
      <c r="J251" s="75"/>
      <c r="K251" s="75"/>
      <c r="L251" s="75"/>
      <c r="M251" s="75"/>
      <c r="N251" s="75"/>
      <c r="O251" s="75"/>
      <c r="P251" s="75"/>
    </row>
    <row r="252" spans="2:16" x14ac:dyDescent="0.3">
      <c r="B252" s="31" t="s">
        <v>41</v>
      </c>
      <c r="C252" s="16">
        <v>12</v>
      </c>
      <c r="D252" s="29" t="s">
        <v>35</v>
      </c>
      <c r="E252" s="75"/>
      <c r="F252" s="75"/>
      <c r="G252" s="75"/>
      <c r="H252" s="75"/>
      <c r="I252" s="19" t="s">
        <v>29</v>
      </c>
      <c r="J252" s="30">
        <f>J249*1000/J236</f>
        <v>10.141356932153395</v>
      </c>
      <c r="K252" s="29" t="s">
        <v>8</v>
      </c>
      <c r="L252" s="75"/>
      <c r="M252" s="75"/>
      <c r="N252" s="75"/>
      <c r="O252" s="75"/>
      <c r="P252" s="75"/>
    </row>
    <row r="253" spans="2:16" x14ac:dyDescent="0.3">
      <c r="B253" s="31" t="s">
        <v>43</v>
      </c>
      <c r="C253" s="16">
        <v>14</v>
      </c>
      <c r="D253" s="29" t="s">
        <v>5</v>
      </c>
      <c r="E253" s="75"/>
      <c r="F253" s="39" t="str">
        <f>IF(OR(C253&gt;25,C253&lt;10),"[REDISEÑAR]",IF(AND(C253&lt;=J254,C253&lt;=J268),"[OK]","[REDISEÑAR]"))</f>
        <v>[OK]</v>
      </c>
      <c r="G253" s="75"/>
      <c r="H253" s="75"/>
      <c r="I253" s="19" t="s">
        <v>61</v>
      </c>
      <c r="J253" s="37">
        <f>MAX(J252*100*C240/(2*C237),C257)</f>
        <v>4.5273914875684795</v>
      </c>
      <c r="K253" s="29" t="s">
        <v>32</v>
      </c>
      <c r="L253" s="75"/>
      <c r="M253" s="15"/>
      <c r="N253" s="15"/>
      <c r="O253" s="15"/>
      <c r="P253" s="75"/>
    </row>
    <row r="254" spans="2:16" x14ac:dyDescent="0.3">
      <c r="B254" s="75"/>
      <c r="C254" s="50" t="str">
        <f>"$\phi$"&amp;C252&amp;"@"&amp;C253</f>
        <v>$\phi$12@14</v>
      </c>
      <c r="D254" s="75"/>
      <c r="E254" s="75"/>
      <c r="F254" s="39" t="str">
        <f>IF(OR(J253=C257,J264=C257),"[ÁREA MINIMA]","[]")</f>
        <v>[]</v>
      </c>
      <c r="G254" s="75"/>
      <c r="H254" s="75"/>
      <c r="I254" s="63" t="s">
        <v>34</v>
      </c>
      <c r="J254" s="63">
        <f>ROUNDDOWN((1/J253)*C256*100,0)</f>
        <v>24</v>
      </c>
      <c r="K254" s="64" t="s">
        <v>5</v>
      </c>
      <c r="L254" s="75"/>
      <c r="M254" s="39" t="str">
        <f>IF(OR(J254&lt;10,J254&gt;25),"[REDISEÑAR]","[OK")</f>
        <v>[OK</v>
      </c>
      <c r="N254" s="41" t="s">
        <v>80</v>
      </c>
      <c r="O254" s="42">
        <f>1/J253*(C252/2)^2*PI()</f>
        <v>24.98068387498197</v>
      </c>
      <c r="P254" s="75" t="str">
        <f>"$\phi$"&amp;C252&amp;"@"&amp;J254</f>
        <v>$\phi$12@24</v>
      </c>
    </row>
    <row r="255" spans="2:16" x14ac:dyDescent="0.3">
      <c r="B255" s="18" t="s">
        <v>52</v>
      </c>
      <c r="C255" s="75"/>
      <c r="D255" s="75"/>
      <c r="E255" s="75"/>
      <c r="F255" s="62" t="str">
        <f>IF(J243&lt;J242,IF(J271&gt;J260,"[OK]","[REDISEÑAR]"),"[REDISEÑAR]")</f>
        <v>[OK]</v>
      </c>
      <c r="G255" s="75"/>
      <c r="H255" s="75"/>
      <c r="I255" s="31" t="s">
        <v>48</v>
      </c>
      <c r="J255" s="30">
        <f>C256*2*IF(C241/C253&gt;=1,C241/C253,0)</f>
        <v>54.771423920585484</v>
      </c>
      <c r="K255" s="29" t="s">
        <v>17</v>
      </c>
      <c r="L255" s="75"/>
      <c r="M255" s="75"/>
      <c r="N255" s="15"/>
      <c r="O255" s="44"/>
      <c r="P255" s="75"/>
    </row>
    <row r="256" spans="2:16" x14ac:dyDescent="0.3">
      <c r="B256" s="31" t="s">
        <v>66</v>
      </c>
      <c r="C256" s="30">
        <f>(C252/(2*10))^2*PI()</f>
        <v>1.1309733552923256</v>
      </c>
      <c r="D256" s="29" t="s">
        <v>17</v>
      </c>
      <c r="E256" s="75"/>
      <c r="F256" s="75"/>
      <c r="G256" s="75"/>
      <c r="H256" s="75"/>
      <c r="I256" s="19" t="s">
        <v>49</v>
      </c>
      <c r="J256" s="34">
        <f>C237*J255/1000</f>
        <v>153.35998697763935</v>
      </c>
      <c r="K256" s="16" t="s">
        <v>12</v>
      </c>
      <c r="L256" s="75"/>
      <c r="M256" s="39" t="str">
        <f>IF(J256&gt;J249,"[OK]","[REDISEÑAR]")</f>
        <v>[OK]</v>
      </c>
      <c r="N256" s="41" t="str">
        <f>IF(O256&gt;0,"Sobrado","Faltan")</f>
        <v>Sobrado</v>
      </c>
      <c r="O256" s="43">
        <f>J256-J249</f>
        <v>67.411986977639344</v>
      </c>
      <c r="P256" s="75"/>
    </row>
    <row r="257" spans="2:16" x14ac:dyDescent="0.3">
      <c r="B257" s="31" t="s">
        <v>78</v>
      </c>
      <c r="C257" s="37">
        <f>2.5/1000*100*C240/2</f>
        <v>3.125</v>
      </c>
      <c r="D257" s="16" t="s">
        <v>17</v>
      </c>
      <c r="E257" s="75"/>
      <c r="F257" s="75"/>
      <c r="G257" s="75"/>
      <c r="H257" s="75"/>
      <c r="J257" s="75"/>
      <c r="K257" s="75"/>
      <c r="L257" s="75"/>
      <c r="M257" s="75"/>
      <c r="N257" s="75"/>
      <c r="O257" s="15"/>
      <c r="P257" s="75"/>
    </row>
    <row r="258" spans="2:16" x14ac:dyDescent="0.3">
      <c r="B258" s="31" t="s">
        <v>114</v>
      </c>
      <c r="C258" s="37">
        <f>C256*100/C253</f>
        <v>8.0783811092308966</v>
      </c>
      <c r="D258" s="29" t="s">
        <v>32</v>
      </c>
      <c r="E258" s="75"/>
      <c r="F258" s="75"/>
      <c r="G258" s="75"/>
      <c r="H258" s="75"/>
      <c r="I258" s="18" t="s">
        <v>77</v>
      </c>
      <c r="J258" s="75"/>
      <c r="K258" s="75"/>
      <c r="L258" s="75"/>
      <c r="M258" s="17" t="s">
        <v>67</v>
      </c>
      <c r="N258" s="75"/>
      <c r="O258" s="75"/>
      <c r="P258" s="75"/>
    </row>
    <row r="259" spans="2:16" x14ac:dyDescent="0.3">
      <c r="B259" s="75"/>
      <c r="C259" s="75"/>
      <c r="D259" s="75"/>
      <c r="E259" s="75"/>
      <c r="F259" s="75"/>
      <c r="G259" s="75"/>
      <c r="H259" s="75"/>
      <c r="I259" s="19" t="s">
        <v>33</v>
      </c>
      <c r="J259" s="16">
        <v>0.6</v>
      </c>
      <c r="K259" s="16" t="s">
        <v>50</v>
      </c>
      <c r="L259" s="75"/>
      <c r="M259" s="19" t="s">
        <v>64</v>
      </c>
      <c r="N259" s="30">
        <f>SQRT(C235*0.0980665)*(1/0.0980665)/1000*J261*0.17</f>
        <v>55.177155082834105</v>
      </c>
      <c r="O259" s="16" t="s">
        <v>12</v>
      </c>
      <c r="P259" s="75"/>
    </row>
    <row r="260" spans="2:16" x14ac:dyDescent="0.3">
      <c r="B260" s="17" t="s">
        <v>37</v>
      </c>
      <c r="C260" s="75"/>
      <c r="D260" s="75"/>
      <c r="E260" s="75"/>
      <c r="F260" s="75"/>
      <c r="G260" s="75"/>
      <c r="H260" s="75"/>
      <c r="I260" s="19" t="s">
        <v>46</v>
      </c>
      <c r="J260" s="34">
        <f>J248/J259</f>
        <v>189.54633333333334</v>
      </c>
      <c r="K260" s="16" t="s">
        <v>12</v>
      </c>
      <c r="L260" s="75"/>
      <c r="M260" s="19" t="s">
        <v>57</v>
      </c>
      <c r="N260" s="16">
        <f>IF(C242/J239&lt;=1.5,0.25,IF(C242/J239&gt;=2,0.17,0.17+(0.25-0.17)/(C242/J239-1.5)*C242/J239))</f>
        <v>0.25</v>
      </c>
      <c r="O260" s="29" t="s">
        <v>50</v>
      </c>
      <c r="P260" s="75"/>
    </row>
    <row r="261" spans="2:16" x14ac:dyDescent="0.3">
      <c r="B261" s="31" t="s">
        <v>115</v>
      </c>
      <c r="C261" s="37">
        <f>O256</f>
        <v>67.411986977639344</v>
      </c>
      <c r="D261" s="29" t="s">
        <v>12</v>
      </c>
      <c r="E261" s="75"/>
      <c r="F261" s="75"/>
      <c r="G261" s="75"/>
      <c r="H261" s="75"/>
      <c r="I261" s="19" t="s">
        <v>36</v>
      </c>
      <c r="J261" s="35">
        <f>J239*C240*0.8-J269</f>
        <v>5380.1828608635315</v>
      </c>
      <c r="K261" s="16" t="s">
        <v>17</v>
      </c>
      <c r="L261" s="75"/>
      <c r="M261" s="19" t="s">
        <v>59</v>
      </c>
      <c r="N261" s="30">
        <f>SQRT(C235*0.0980665)*(1/0.0980665)/1000*J261*N260</f>
        <v>81.142875121814853</v>
      </c>
      <c r="O261" s="29" t="s">
        <v>12</v>
      </c>
      <c r="P261" s="75"/>
    </row>
    <row r="262" spans="2:16" x14ac:dyDescent="0.3">
      <c r="B262" s="31" t="s">
        <v>116</v>
      </c>
      <c r="C262" s="37">
        <f>O271</f>
        <v>49.662806122667973</v>
      </c>
      <c r="D262" s="29" t="s">
        <v>12</v>
      </c>
      <c r="E262" s="75"/>
      <c r="F262" s="75"/>
      <c r="G262" s="75"/>
      <c r="H262" s="75"/>
      <c r="I262" s="19" t="s">
        <v>60</v>
      </c>
      <c r="J262" s="34">
        <f>MIN(N261,N259)</f>
        <v>55.177155082834105</v>
      </c>
      <c r="K262" s="29" t="s">
        <v>12</v>
      </c>
      <c r="L262" s="75"/>
      <c r="M262" s="75"/>
      <c r="N262" s="75"/>
      <c r="O262" s="75"/>
      <c r="P262" s="75"/>
    </row>
    <row r="263" spans="2:16" x14ac:dyDescent="0.3">
      <c r="B263" s="19" t="s">
        <v>117</v>
      </c>
      <c r="C263" s="36">
        <f>C256*2*C241/C253/J236</f>
        <v>6.4627048873847175E-3</v>
      </c>
      <c r="D263" s="16" t="s">
        <v>50</v>
      </c>
      <c r="E263" s="75"/>
      <c r="F263" s="75"/>
      <c r="G263" s="75"/>
      <c r="H263" s="75"/>
      <c r="I263" s="19" t="s">
        <v>39</v>
      </c>
      <c r="J263" s="34">
        <f>J260-J262</f>
        <v>134.36917825049923</v>
      </c>
      <c r="K263" s="16" t="s">
        <v>12</v>
      </c>
      <c r="L263" s="75"/>
      <c r="M263" s="75"/>
      <c r="N263" s="75"/>
      <c r="O263" s="75"/>
      <c r="P263" s="75"/>
    </row>
    <row r="264" spans="2:16" x14ac:dyDescent="0.3">
      <c r="B264" s="75"/>
      <c r="C264" s="75"/>
      <c r="D264" s="75"/>
      <c r="E264" s="75"/>
      <c r="F264" s="75"/>
      <c r="G264" s="75"/>
      <c r="H264" s="75"/>
      <c r="I264" s="19" t="s">
        <v>61</v>
      </c>
      <c r="J264" s="37">
        <f>MAX(J263/(C236*J239/1000/100)/2,C257)</f>
        <v>5.898352044287261</v>
      </c>
      <c r="K264" s="29" t="s">
        <v>32</v>
      </c>
      <c r="L264" s="75"/>
      <c r="M264" s="75"/>
      <c r="N264" s="75"/>
      <c r="O264" s="75"/>
      <c r="P264" s="75"/>
    </row>
    <row r="265" spans="2:16" x14ac:dyDescent="0.3">
      <c r="B265" s="75"/>
      <c r="C265" s="75"/>
      <c r="D265" s="75"/>
      <c r="E265" s="75"/>
      <c r="F265" s="75"/>
      <c r="G265" s="75"/>
      <c r="H265" s="75"/>
      <c r="I265" s="19" t="s">
        <v>65</v>
      </c>
      <c r="J265" s="36">
        <f>J264/C240/100*2</f>
        <v>4.7186816354298092E-3</v>
      </c>
      <c r="K265" s="16" t="s">
        <v>50</v>
      </c>
      <c r="L265" s="75"/>
      <c r="M265" s="75"/>
      <c r="N265" s="75"/>
      <c r="O265" s="75"/>
      <c r="P265" s="75"/>
    </row>
    <row r="266" spans="2:16" x14ac:dyDescent="0.3">
      <c r="B266" s="75"/>
      <c r="C266" s="75"/>
      <c r="D266" s="75"/>
      <c r="E266" s="75"/>
      <c r="F266" s="75"/>
      <c r="G266" s="75"/>
      <c r="H266" s="75"/>
      <c r="I266" s="19" t="s">
        <v>53</v>
      </c>
      <c r="J266" s="16">
        <f>MAX(0.0025,0.0025*0.5*(2.5-C240/(C241*0.8))*(J265-0.0025))</f>
        <v>2.5000000000000001E-3</v>
      </c>
      <c r="K266" s="29" t="s">
        <v>50</v>
      </c>
      <c r="L266" s="75"/>
      <c r="M266" s="39" t="str">
        <f>IF(OR(J265&gt;J266,ABS(J265-J266)&lt;0.0001),"[OK]","[REDISEÑAR]")</f>
        <v>[OK]</v>
      </c>
      <c r="N266" s="75"/>
      <c r="O266" s="75"/>
      <c r="P266" s="75"/>
    </row>
    <row r="267" spans="2:16" x14ac:dyDescent="0.3">
      <c r="B267" s="75"/>
      <c r="C267" s="75"/>
      <c r="D267" s="75"/>
      <c r="E267" s="75"/>
      <c r="F267" s="75"/>
      <c r="G267" s="75"/>
      <c r="H267" s="75"/>
      <c r="I267" s="19" t="s">
        <v>47</v>
      </c>
      <c r="J267" s="34">
        <f>SQRT(C235*0.0980665)*(1/0.0980665)/1000*0.66*0.8*C241*C240</f>
        <v>269.95226518142476</v>
      </c>
      <c r="K267" s="16" t="s">
        <v>12</v>
      </c>
      <c r="L267" s="75"/>
      <c r="M267" s="40" t="s">
        <v>44</v>
      </c>
      <c r="N267" s="75"/>
      <c r="O267" s="15"/>
      <c r="P267" s="75"/>
    </row>
    <row r="268" spans="2:16" x14ac:dyDescent="0.3">
      <c r="B268" s="75"/>
      <c r="C268" s="75"/>
      <c r="D268" s="75"/>
      <c r="E268" s="75"/>
      <c r="F268" s="75"/>
      <c r="G268" s="75"/>
      <c r="H268" s="75"/>
      <c r="I268" s="63" t="s">
        <v>34</v>
      </c>
      <c r="J268" s="63">
        <f>ROUNDDOWN(1/J264*C256*100,0)</f>
        <v>19</v>
      </c>
      <c r="K268" s="64" t="s">
        <v>5</v>
      </c>
      <c r="L268" s="75"/>
      <c r="M268" s="39" t="str">
        <f>IF(OR(J268&lt;10,J268&gt;25),"[REDISEÑAR]","[OK")</f>
        <v>[OK</v>
      </c>
      <c r="N268" s="41" t="s">
        <v>80</v>
      </c>
      <c r="O268" s="42">
        <f>1/J264*(C252/2)^2*PI()</f>
        <v>19.17439560745969</v>
      </c>
      <c r="P268" s="75" t="str">
        <f>"$\phi$"&amp;C252&amp;"@"&amp;J268</f>
        <v>$\phi$12@19</v>
      </c>
    </row>
    <row r="269" spans="2:16" x14ac:dyDescent="0.3">
      <c r="B269" s="75"/>
      <c r="C269" s="75"/>
      <c r="D269" s="75"/>
      <c r="E269" s="75"/>
      <c r="F269" s="75"/>
      <c r="G269" s="75"/>
      <c r="H269" s="75"/>
      <c r="I269" s="31" t="s">
        <v>48</v>
      </c>
      <c r="J269" s="30">
        <f>C256*2*IF(J239/C253&gt;=1,J239/C253,0)</f>
        <v>43.817139136468384</v>
      </c>
      <c r="K269" s="29" t="s">
        <v>17</v>
      </c>
      <c r="L269" s="75"/>
      <c r="M269" s="75"/>
      <c r="N269" s="15"/>
      <c r="O269" s="15"/>
      <c r="P269" s="75"/>
    </row>
    <row r="270" spans="2:16" x14ac:dyDescent="0.3">
      <c r="B270" s="75"/>
      <c r="C270" s="75"/>
      <c r="D270" s="75"/>
      <c r="E270" s="75"/>
      <c r="F270" s="75"/>
      <c r="G270" s="75"/>
      <c r="H270" s="75"/>
      <c r="I270" s="19" t="s">
        <v>81</v>
      </c>
      <c r="J270" s="34">
        <f>MIN(J269*C236/1000,J267)</f>
        <v>184.03198437316721</v>
      </c>
      <c r="K270" s="16" t="s">
        <v>12</v>
      </c>
      <c r="L270" s="75"/>
      <c r="M270" s="40" t="s">
        <v>82</v>
      </c>
      <c r="N270" s="15"/>
      <c r="O270" s="15"/>
      <c r="P270" s="75"/>
    </row>
    <row r="271" spans="2:16" x14ac:dyDescent="0.3">
      <c r="B271" s="75"/>
      <c r="C271" s="75"/>
      <c r="D271" s="75"/>
      <c r="E271" s="75"/>
      <c r="F271" s="75"/>
      <c r="G271" s="75"/>
      <c r="H271" s="75"/>
      <c r="I271" s="19" t="s">
        <v>79</v>
      </c>
      <c r="J271" s="34">
        <f>J270+J262</f>
        <v>239.20913945600131</v>
      </c>
      <c r="K271" s="16" t="s">
        <v>12</v>
      </c>
      <c r="L271" s="75"/>
      <c r="M271" s="39" t="str">
        <f>IF(J271&gt;J260,"[OK]","[REDISEÑAR]")</f>
        <v>[OK]</v>
      </c>
      <c r="N271" s="41" t="str">
        <f>IF(O271&gt;0,"Sobrado","Faltan")</f>
        <v>Sobrado</v>
      </c>
      <c r="O271" s="43">
        <f>J271-J260</f>
        <v>49.662806122667973</v>
      </c>
      <c r="P271" s="75"/>
    </row>
    <row r="272" spans="2:16" x14ac:dyDescent="0.3">
      <c r="B272" s="75"/>
      <c r="C272" s="75"/>
      <c r="D272" s="75"/>
      <c r="E272" s="75"/>
      <c r="F272" s="75"/>
      <c r="G272" s="75"/>
      <c r="H272" s="75"/>
      <c r="J272" s="75"/>
      <c r="K272" s="75"/>
      <c r="L272" s="75"/>
      <c r="M272" s="75"/>
      <c r="N272" s="75"/>
      <c r="O272" s="75"/>
      <c r="P272" s="75"/>
    </row>
    <row r="273" spans="2:16" x14ac:dyDescent="0.3">
      <c r="B273" s="75"/>
      <c r="C273" s="75"/>
      <c r="D273" s="75"/>
      <c r="E273" s="75"/>
      <c r="F273" s="75"/>
      <c r="G273" s="75"/>
      <c r="H273" s="75"/>
      <c r="I273" s="18" t="s">
        <v>45</v>
      </c>
      <c r="J273" s="75"/>
      <c r="K273" s="75"/>
      <c r="L273" s="75"/>
      <c r="M273" s="75"/>
      <c r="N273" s="75"/>
      <c r="O273" s="15"/>
      <c r="P273" s="75"/>
    </row>
    <row r="274" spans="2:16" x14ac:dyDescent="0.3">
      <c r="B274" s="75"/>
      <c r="C274" s="75"/>
      <c r="D274" s="75"/>
      <c r="E274" s="75"/>
      <c r="F274" s="75"/>
      <c r="G274" s="75"/>
      <c r="H274" s="75"/>
      <c r="I274" s="19" t="s">
        <v>40</v>
      </c>
      <c r="J274" s="16">
        <f>J248</f>
        <v>113.7278</v>
      </c>
      <c r="K274" s="16" t="s">
        <v>12</v>
      </c>
      <c r="L274" s="75"/>
      <c r="M274" s="75"/>
      <c r="N274" s="75"/>
      <c r="O274" s="26"/>
      <c r="P274" s="75"/>
    </row>
    <row r="275" spans="2:16" x14ac:dyDescent="0.3">
      <c r="B275" s="75"/>
      <c r="C275" s="75"/>
      <c r="D275" s="75"/>
      <c r="E275" s="75"/>
      <c r="F275" s="75"/>
      <c r="G275" s="75"/>
      <c r="H275" s="75"/>
      <c r="I275" s="19" t="s">
        <v>46</v>
      </c>
      <c r="J275" s="34">
        <f>J260</f>
        <v>189.54633333333334</v>
      </c>
      <c r="K275" s="16" t="s">
        <v>12</v>
      </c>
      <c r="L275" s="75"/>
      <c r="M275" s="75"/>
      <c r="N275" s="75"/>
      <c r="O275" s="75"/>
      <c r="P275" s="75"/>
    </row>
    <row r="276" spans="2:16" x14ac:dyDescent="0.3">
      <c r="B276" s="75"/>
      <c r="C276" s="75"/>
      <c r="D276" s="75"/>
      <c r="E276" s="75"/>
      <c r="F276" s="75"/>
      <c r="G276" s="75"/>
      <c r="H276" s="75"/>
      <c r="I276" s="19" t="s">
        <v>38</v>
      </c>
      <c r="J276" s="34">
        <f>2/3*J261*SQRT(C235*0.0980665)*(1/0.0980665)/1000</f>
        <v>216.38100032483956</v>
      </c>
      <c r="K276" s="16" t="s">
        <v>12</v>
      </c>
      <c r="L276" s="75"/>
      <c r="M276" s="39" t="str">
        <f>IF(J276&gt;J275,"[OK]","[REDISEÑAR]")</f>
        <v>[OK]</v>
      </c>
      <c r="N276" s="41" t="str">
        <f>IF(O276&gt;0,"Sobrado","Faltan")</f>
        <v>Sobrado</v>
      </c>
      <c r="O276" s="43">
        <f>J276-J275</f>
        <v>26.834666991506225</v>
      </c>
      <c r="P276" s="75"/>
    </row>
    <row r="278" spans="2:16" ht="18" x14ac:dyDescent="0.35">
      <c r="B278" s="48" t="str">
        <f>'EJE 15'!$S$10</f>
        <v>EJE 15.C-C1 | PIER F31X | PISO 3</v>
      </c>
      <c r="C278" s="75"/>
      <c r="D278" s="75"/>
      <c r="E278" s="75"/>
      <c r="F278" s="75"/>
      <c r="G278" s="75"/>
      <c r="H278" s="75"/>
      <c r="J278" s="75"/>
      <c r="K278" s="75"/>
      <c r="L278" s="75"/>
      <c r="M278" s="75"/>
      <c r="N278" s="75"/>
      <c r="O278" s="75"/>
      <c r="P278" s="75"/>
    </row>
    <row r="279" spans="2:16" x14ac:dyDescent="0.3">
      <c r="B279" s="75"/>
      <c r="C279" s="75"/>
      <c r="D279" s="75"/>
      <c r="E279" s="75"/>
      <c r="F279" s="75"/>
      <c r="G279" s="75"/>
      <c r="H279" s="75"/>
      <c r="J279" s="75"/>
      <c r="K279" s="75"/>
      <c r="L279" s="75"/>
      <c r="M279" s="75"/>
      <c r="N279" s="75"/>
      <c r="O279" s="75"/>
      <c r="P279" s="75"/>
    </row>
    <row r="280" spans="2:16" x14ac:dyDescent="0.3">
      <c r="B280" s="17" t="s">
        <v>6</v>
      </c>
      <c r="C280" s="75"/>
      <c r="D280" s="75"/>
      <c r="E280" s="75"/>
      <c r="F280" s="75"/>
      <c r="G280" s="75"/>
      <c r="H280" s="75"/>
      <c r="I280" s="18" t="s">
        <v>25</v>
      </c>
      <c r="J280" s="75"/>
      <c r="K280" s="75"/>
      <c r="L280" s="75"/>
      <c r="M280" s="75"/>
      <c r="N280" s="75"/>
      <c r="O280" s="75"/>
      <c r="P280" s="75"/>
    </row>
    <row r="281" spans="2:16" x14ac:dyDescent="0.3">
      <c r="B281" s="19" t="s">
        <v>99</v>
      </c>
      <c r="C281" s="61">
        <f>10.1971621297793*'EJE 15'!$G$10</f>
        <v>356.90067454227551</v>
      </c>
      <c r="D281" s="16" t="s">
        <v>8</v>
      </c>
      <c r="E281" s="75"/>
      <c r="F281" s="75"/>
      <c r="G281" s="75"/>
      <c r="H281" s="75"/>
      <c r="I281" s="19" t="s">
        <v>58</v>
      </c>
      <c r="J281" s="16">
        <f>C288/16</f>
        <v>14.375</v>
      </c>
      <c r="K281" s="16" t="s">
        <v>5</v>
      </c>
      <c r="L281" s="21"/>
      <c r="M281" s="39" t="str">
        <f>IF(J281&lt;C286,"[OK]","[REDISEÑAR]")</f>
        <v>[OK]</v>
      </c>
      <c r="N281" s="75"/>
      <c r="O281" s="75"/>
      <c r="P281" s="75"/>
    </row>
    <row r="282" spans="2:16" x14ac:dyDescent="0.3">
      <c r="B282" s="19" t="s">
        <v>30</v>
      </c>
      <c r="C282" s="16">
        <v>4200</v>
      </c>
      <c r="D282" s="16" t="s">
        <v>8</v>
      </c>
      <c r="E282" s="75"/>
      <c r="F282" s="75"/>
      <c r="G282" s="75"/>
      <c r="H282" s="75"/>
      <c r="I282" s="19" t="s">
        <v>16</v>
      </c>
      <c r="J282" s="16">
        <f>C286*C287</f>
        <v>4800</v>
      </c>
      <c r="K282" s="16" t="s">
        <v>17</v>
      </c>
      <c r="L282" s="21"/>
      <c r="M282" s="75"/>
      <c r="N282" s="75"/>
      <c r="O282" s="75"/>
      <c r="P282" s="75"/>
    </row>
    <row r="283" spans="2:16" x14ac:dyDescent="0.3">
      <c r="B283" s="19" t="s">
        <v>31</v>
      </c>
      <c r="C283" s="16">
        <v>2800</v>
      </c>
      <c r="D283" s="16" t="s">
        <v>8</v>
      </c>
      <c r="E283" s="75"/>
      <c r="F283" s="75"/>
      <c r="G283" s="75"/>
      <c r="H283" s="75"/>
      <c r="I283" s="19" t="s">
        <v>51</v>
      </c>
      <c r="J283" s="16">
        <f>MIN(0.8*C287/5,3*C286,45)</f>
        <v>30.720000000000006</v>
      </c>
      <c r="K283" s="16" t="s">
        <v>5</v>
      </c>
      <c r="L283" s="21"/>
      <c r="M283" s="39" t="str">
        <f>IF(J283&gt;C299,"[OK]","[REDISEÑAR]")</f>
        <v>[OK]</v>
      </c>
      <c r="N283" s="75"/>
      <c r="O283" s="75"/>
      <c r="P283" s="75"/>
    </row>
    <row r="284" spans="2:16" x14ac:dyDescent="0.3">
      <c r="B284" s="75"/>
      <c r="C284" s="75"/>
      <c r="D284" s="75"/>
      <c r="E284" s="75"/>
      <c r="F284" s="75"/>
      <c r="G284" s="75"/>
      <c r="H284" s="75"/>
      <c r="I284" s="19" t="s">
        <v>56</v>
      </c>
      <c r="J284" s="16">
        <f>MIN(0.8*C288/3,3*C287,45)</f>
        <v>45</v>
      </c>
      <c r="K284" s="16" t="s">
        <v>5</v>
      </c>
      <c r="L284" s="21"/>
      <c r="M284" s="39" t="str">
        <f>IF(J284&gt;C299,"[OK]","[REDISEÑAR]")</f>
        <v>[OK]</v>
      </c>
      <c r="N284" s="75"/>
      <c r="O284" s="75"/>
      <c r="P284" s="75"/>
    </row>
    <row r="285" spans="2:16" x14ac:dyDescent="0.3">
      <c r="B285" s="17" t="s">
        <v>3</v>
      </c>
      <c r="C285" s="75"/>
      <c r="D285" s="75"/>
      <c r="E285" s="75"/>
      <c r="F285" s="75"/>
      <c r="G285" s="75"/>
      <c r="H285" s="75"/>
      <c r="I285" s="19" t="s">
        <v>62</v>
      </c>
      <c r="J285" s="16">
        <f>0.8*C287</f>
        <v>153.60000000000002</v>
      </c>
      <c r="K285" s="29" t="s">
        <v>5</v>
      </c>
      <c r="L285" s="75"/>
      <c r="M285" s="75"/>
      <c r="N285" s="75"/>
      <c r="O285" s="75"/>
      <c r="P285" s="75"/>
    </row>
    <row r="286" spans="2:16" x14ac:dyDescent="0.3">
      <c r="B286" s="19" t="str">
        <f>"Espesor del muro (h)"</f>
        <v>Espesor del muro (h)</v>
      </c>
      <c r="C286" s="49">
        <f>'EJE 15'!$H$10</f>
        <v>25</v>
      </c>
      <c r="D286" s="16" t="s">
        <v>5</v>
      </c>
      <c r="E286" s="75"/>
      <c r="F286" s="75"/>
      <c r="G286" s="75"/>
      <c r="H286" s="75"/>
      <c r="J286" s="75"/>
      <c r="K286" s="75"/>
      <c r="L286" s="75"/>
      <c r="M286" s="75"/>
      <c r="N286" s="75"/>
      <c r="O286" s="75"/>
      <c r="P286" s="75"/>
    </row>
    <row r="287" spans="2:16" x14ac:dyDescent="0.3">
      <c r="B287" s="19" t="s">
        <v>63</v>
      </c>
      <c r="C287" s="49">
        <f>'EJE 15'!$I$10</f>
        <v>192</v>
      </c>
      <c r="D287" s="16" t="s">
        <v>5</v>
      </c>
      <c r="E287" s="75"/>
      <c r="F287" s="75"/>
      <c r="G287" s="75"/>
      <c r="H287" s="75"/>
      <c r="I287" s="18" t="s">
        <v>26</v>
      </c>
      <c r="J287" s="75"/>
      <c r="K287" s="75"/>
      <c r="L287" s="75"/>
      <c r="M287" s="75"/>
      <c r="N287" s="75"/>
      <c r="O287" s="75"/>
      <c r="P287" s="75"/>
    </row>
    <row r="288" spans="2:16" x14ac:dyDescent="0.3">
      <c r="B288" s="19" t="s">
        <v>10</v>
      </c>
      <c r="C288" s="49">
        <f>'EJE 15'!$J$10</f>
        <v>230</v>
      </c>
      <c r="D288" s="16" t="s">
        <v>5</v>
      </c>
      <c r="E288" s="75"/>
      <c r="F288" s="75"/>
      <c r="G288" s="75"/>
      <c r="H288" s="75"/>
      <c r="I288" s="19" t="s">
        <v>28</v>
      </c>
      <c r="J288" s="16">
        <f>0.35*C281</f>
        <v>124.91523608979642</v>
      </c>
      <c r="K288" s="16" t="s">
        <v>8</v>
      </c>
      <c r="L288" s="21"/>
      <c r="M288" s="75"/>
      <c r="N288" s="75"/>
      <c r="O288" s="75"/>
      <c r="P288" s="75"/>
    </row>
    <row r="289" spans="2:16" x14ac:dyDescent="0.3">
      <c r="B289" s="75"/>
      <c r="C289" s="75"/>
      <c r="D289" s="75"/>
      <c r="E289" s="75"/>
      <c r="F289" s="75"/>
      <c r="G289" s="75"/>
      <c r="H289" s="75"/>
      <c r="I289" s="19" t="s">
        <v>27</v>
      </c>
      <c r="J289" s="30">
        <f>C291*1000/J282</f>
        <v>34.782458333333338</v>
      </c>
      <c r="K289" s="16" t="s">
        <v>8</v>
      </c>
      <c r="L289" s="21"/>
      <c r="M289" s="39" t="str">
        <f>IF(J289&lt;J288,"[OK]","[REDISEÑAR]")</f>
        <v>[OK]</v>
      </c>
      <c r="N289" s="41" t="s">
        <v>112</v>
      </c>
      <c r="O289" s="59">
        <f>J289/J288</f>
        <v>0.27844848572619002</v>
      </c>
      <c r="P289" s="75"/>
    </row>
    <row r="290" spans="2:16" x14ac:dyDescent="0.3">
      <c r="B290" s="17" t="s">
        <v>11</v>
      </c>
      <c r="C290" s="75"/>
      <c r="D290" s="75"/>
      <c r="E290" s="75"/>
      <c r="F290" s="75"/>
      <c r="G290" s="75"/>
      <c r="H290" s="75"/>
      <c r="J290" s="75"/>
      <c r="K290" s="75"/>
      <c r="L290" s="75"/>
      <c r="M290" s="75"/>
      <c r="N290" s="75"/>
      <c r="O290" s="75"/>
      <c r="P290" s="75"/>
    </row>
    <row r="291" spans="2:16" x14ac:dyDescent="0.3">
      <c r="B291" s="19" t="str">
        <f>"$N_U$"</f>
        <v>$N_U$</v>
      </c>
      <c r="C291" s="60">
        <f>'EJE 15'!$K$10</f>
        <v>166.95580000000001</v>
      </c>
      <c r="D291" s="16" t="s">
        <v>12</v>
      </c>
      <c r="E291" s="75"/>
      <c r="F291" s="75"/>
      <c r="G291" s="75"/>
      <c r="H291" s="75"/>
      <c r="I291" s="18" t="s">
        <v>54</v>
      </c>
      <c r="J291" s="75"/>
      <c r="K291" s="75"/>
      <c r="L291" s="75"/>
      <c r="M291" s="75"/>
      <c r="N291" s="75"/>
      <c r="O291" s="75"/>
      <c r="P291" s="75"/>
    </row>
    <row r="292" spans="2:16" x14ac:dyDescent="0.3">
      <c r="B292" s="19" t="s">
        <v>14</v>
      </c>
      <c r="C292" s="60">
        <f>'EJE 15'!$L$10</f>
        <v>22.662299999999998</v>
      </c>
      <c r="D292" s="16" t="s">
        <v>12</v>
      </c>
      <c r="E292" s="75"/>
      <c r="F292" s="75"/>
      <c r="G292" s="75"/>
      <c r="H292" s="75"/>
      <c r="I292" s="19" t="s">
        <v>72</v>
      </c>
      <c r="J292" s="16">
        <f>1.2*C292+C293+1.4*C294</f>
        <v>40.514780000000002</v>
      </c>
      <c r="K292" s="16" t="s">
        <v>12</v>
      </c>
      <c r="L292" s="75"/>
      <c r="M292" s="75" t="s">
        <v>68</v>
      </c>
      <c r="N292" s="75"/>
      <c r="O292" s="75"/>
      <c r="P292" s="75"/>
    </row>
    <row r="293" spans="2:16" x14ac:dyDescent="0.3">
      <c r="B293" s="19" t="s">
        <v>13</v>
      </c>
      <c r="C293" s="60">
        <f>'EJE 15'!$M$10</f>
        <v>4.1965000000000003</v>
      </c>
      <c r="D293" s="16" t="s">
        <v>12</v>
      </c>
      <c r="E293" s="75"/>
      <c r="F293" s="75"/>
      <c r="G293" s="75"/>
      <c r="H293" s="75"/>
      <c r="I293" s="19" t="s">
        <v>69</v>
      </c>
      <c r="J293" s="16">
        <f>SUM(C292:C294)</f>
        <v>33.375599999999999</v>
      </c>
      <c r="K293" s="16" t="s">
        <v>12</v>
      </c>
      <c r="L293" s="75"/>
      <c r="M293" s="75" t="s">
        <v>70</v>
      </c>
      <c r="N293" s="75"/>
      <c r="O293" s="75"/>
      <c r="P293" s="75"/>
    </row>
    <row r="294" spans="2:16" x14ac:dyDescent="0.3">
      <c r="B294" s="19" t="s">
        <v>15</v>
      </c>
      <c r="C294" s="60">
        <f>'EJE 15'!$N$10</f>
        <v>6.5167999999999999</v>
      </c>
      <c r="D294" s="16" t="s">
        <v>12</v>
      </c>
      <c r="E294" s="75"/>
      <c r="F294" s="75"/>
      <c r="G294" s="75"/>
      <c r="H294" s="75"/>
      <c r="I294" s="19" t="s">
        <v>73</v>
      </c>
      <c r="J294" s="16">
        <f>IF(C295=0,J292,C295)</f>
        <v>40.514780000000002</v>
      </c>
      <c r="K294" s="16" t="s">
        <v>12</v>
      </c>
      <c r="L294" s="75"/>
      <c r="M294" s="40" t="s">
        <v>74</v>
      </c>
      <c r="N294" s="75"/>
      <c r="O294" s="75"/>
      <c r="P294" s="75"/>
    </row>
    <row r="295" spans="2:16" x14ac:dyDescent="0.3">
      <c r="B295" s="19" t="s">
        <v>55</v>
      </c>
      <c r="C295" s="16">
        <v>0</v>
      </c>
      <c r="D295" s="16" t="s">
        <v>12</v>
      </c>
      <c r="E295" s="75"/>
      <c r="F295" s="75"/>
      <c r="G295" s="75"/>
      <c r="H295" s="75"/>
      <c r="I295" s="19" t="s">
        <v>71</v>
      </c>
      <c r="J295" s="16">
        <f>IF(C295=0,J293,C295)</f>
        <v>33.375599999999999</v>
      </c>
      <c r="K295" s="16" t="s">
        <v>12</v>
      </c>
      <c r="L295" s="75"/>
      <c r="M295" s="40" t="s">
        <v>75</v>
      </c>
      <c r="N295" s="75"/>
      <c r="O295" s="75"/>
      <c r="P295" s="75"/>
    </row>
    <row r="296" spans="2:16" x14ac:dyDescent="0.3">
      <c r="B296" s="75"/>
      <c r="C296" s="75"/>
      <c r="D296" s="75"/>
      <c r="E296" s="75"/>
      <c r="F296" s="75"/>
      <c r="G296" s="75"/>
      <c r="H296" s="75"/>
      <c r="J296" s="75"/>
      <c r="K296" s="75"/>
      <c r="L296" s="75"/>
      <c r="M296" s="75"/>
      <c r="N296" s="75"/>
      <c r="O296" s="75"/>
      <c r="P296" s="75"/>
    </row>
    <row r="297" spans="2:16" x14ac:dyDescent="0.3">
      <c r="B297" s="33" t="s">
        <v>42</v>
      </c>
      <c r="C297" s="75"/>
      <c r="D297" s="75"/>
      <c r="E297" s="75"/>
      <c r="F297" s="75"/>
      <c r="G297" s="75"/>
      <c r="H297" s="75"/>
      <c r="I297" s="27" t="s">
        <v>76</v>
      </c>
      <c r="J297" s="75"/>
      <c r="K297" s="75"/>
      <c r="L297" s="75"/>
      <c r="M297" s="75"/>
      <c r="N297" s="75"/>
      <c r="O297" s="75"/>
      <c r="P297" s="75"/>
    </row>
    <row r="298" spans="2:16" x14ac:dyDescent="0.3">
      <c r="B298" s="31" t="s">
        <v>41</v>
      </c>
      <c r="C298" s="16">
        <v>12</v>
      </c>
      <c r="D298" s="29" t="s">
        <v>35</v>
      </c>
      <c r="E298" s="75"/>
      <c r="F298" s="75"/>
      <c r="G298" s="75"/>
      <c r="H298" s="75"/>
      <c r="I298" s="19" t="s">
        <v>29</v>
      </c>
      <c r="J298" s="30">
        <f>J295*1000/J282</f>
        <v>6.9532499999999997</v>
      </c>
      <c r="K298" s="29" t="s">
        <v>8</v>
      </c>
      <c r="L298" s="75"/>
      <c r="M298" s="75"/>
      <c r="N298" s="75"/>
      <c r="O298" s="75"/>
      <c r="P298" s="75"/>
    </row>
    <row r="299" spans="2:16" x14ac:dyDescent="0.3">
      <c r="B299" s="31" t="s">
        <v>43</v>
      </c>
      <c r="C299" s="16">
        <v>14</v>
      </c>
      <c r="D299" s="29" t="s">
        <v>5</v>
      </c>
      <c r="E299" s="75"/>
      <c r="F299" s="39" t="str">
        <f>IF(OR(C299&gt;25,C299&lt;10),"[REDISEÑAR]",IF(AND(C299&lt;=J300,C299&lt;=J314),"[OK]","[REDISEÑAR]"))</f>
        <v>[OK]</v>
      </c>
      <c r="G299" s="75"/>
      <c r="H299" s="75"/>
      <c r="I299" s="19" t="s">
        <v>61</v>
      </c>
      <c r="J299" s="37">
        <f>MAX(J298*100*C286/(2*C283),C303)</f>
        <v>3.125</v>
      </c>
      <c r="K299" s="29" t="s">
        <v>32</v>
      </c>
      <c r="L299" s="75"/>
      <c r="M299" s="15"/>
      <c r="N299" s="15"/>
      <c r="O299" s="15"/>
      <c r="P299" s="75"/>
    </row>
    <row r="300" spans="2:16" x14ac:dyDescent="0.3">
      <c r="B300" s="75"/>
      <c r="C300" s="50" t="str">
        <f>"$\phi$"&amp;C298&amp;"@"&amp;C299</f>
        <v>$\phi$12@14</v>
      </c>
      <c r="D300" s="75"/>
      <c r="E300" s="75"/>
      <c r="F300" s="39" t="str">
        <f>IF(OR(J299=C303,J310=C303),"[ÁREA MINIMA]","[]")</f>
        <v>[ÁREA MINIMA]</v>
      </c>
      <c r="G300" s="75"/>
      <c r="H300" s="75"/>
      <c r="I300" s="63" t="s">
        <v>34</v>
      </c>
      <c r="J300" s="63">
        <f>ROUNDDOWN((1/J299)*C302*100,0)</f>
        <v>36</v>
      </c>
      <c r="K300" s="64" t="s">
        <v>5</v>
      </c>
      <c r="L300" s="75"/>
      <c r="M300" s="39" t="str">
        <f>IF(OR(J300&lt;10,J300&gt;25),"[REDISEÑAR]","[OK")</f>
        <v>[REDISEÑAR]</v>
      </c>
      <c r="N300" s="41" t="s">
        <v>80</v>
      </c>
      <c r="O300" s="42">
        <f>1/J299*(C298/2)^2*PI()</f>
        <v>36.191147369354418</v>
      </c>
      <c r="P300" s="75" t="str">
        <f>"$\phi$"&amp;C298&amp;"@"&amp;J300</f>
        <v>$\phi$12@36</v>
      </c>
    </row>
    <row r="301" spans="2:16" x14ac:dyDescent="0.3">
      <c r="B301" s="18" t="s">
        <v>52</v>
      </c>
      <c r="C301" s="75"/>
      <c r="D301" s="75"/>
      <c r="E301" s="75"/>
      <c r="F301" s="62" t="str">
        <f>IF(J289&lt;J288,IF(J317&gt;J306,"[OK]","[REDISEÑAR]"),"[REDISEÑAR]")</f>
        <v>[OK]</v>
      </c>
      <c r="G301" s="75"/>
      <c r="H301" s="75"/>
      <c r="I301" s="31" t="s">
        <v>48</v>
      </c>
      <c r="J301" s="30">
        <f>C302*2*IF(C287/C299&gt;=1,C287/C299,0)</f>
        <v>31.020983459446644</v>
      </c>
      <c r="K301" s="29" t="s">
        <v>17</v>
      </c>
      <c r="L301" s="75"/>
      <c r="M301" s="75"/>
      <c r="N301" s="15"/>
      <c r="O301" s="44"/>
      <c r="P301" s="75"/>
    </row>
    <row r="302" spans="2:16" x14ac:dyDescent="0.3">
      <c r="B302" s="31" t="s">
        <v>66</v>
      </c>
      <c r="C302" s="30">
        <f>(C298/(2*10))^2*PI()</f>
        <v>1.1309733552923256</v>
      </c>
      <c r="D302" s="29" t="s">
        <v>17</v>
      </c>
      <c r="E302" s="75"/>
      <c r="F302" s="75"/>
      <c r="G302" s="75"/>
      <c r="H302" s="75"/>
      <c r="I302" s="19" t="s">
        <v>49</v>
      </c>
      <c r="J302" s="34">
        <f>C283*J301/1000</f>
        <v>86.858753686450598</v>
      </c>
      <c r="K302" s="16" t="s">
        <v>12</v>
      </c>
      <c r="L302" s="75"/>
      <c r="M302" s="39" t="str">
        <f>IF(J302&gt;J295,"[OK]","[REDISEÑAR]")</f>
        <v>[OK]</v>
      </c>
      <c r="N302" s="41" t="str">
        <f>IF(O302&gt;0,"Sobrado","Faltan")</f>
        <v>Sobrado</v>
      </c>
      <c r="O302" s="43">
        <f>J302-J295</f>
        <v>53.483153686450599</v>
      </c>
      <c r="P302" s="75"/>
    </row>
    <row r="303" spans="2:16" x14ac:dyDescent="0.3">
      <c r="B303" s="31" t="s">
        <v>78</v>
      </c>
      <c r="C303" s="37">
        <f>2.5/1000*100*C286/2</f>
        <v>3.125</v>
      </c>
      <c r="D303" s="16" t="s">
        <v>17</v>
      </c>
      <c r="E303" s="75"/>
      <c r="F303" s="75"/>
      <c r="G303" s="75"/>
      <c r="H303" s="75"/>
      <c r="J303" s="75"/>
      <c r="K303" s="75"/>
      <c r="L303" s="75"/>
      <c r="M303" s="75"/>
      <c r="N303" s="75"/>
      <c r="O303" s="15"/>
      <c r="P303" s="75"/>
    </row>
    <row r="304" spans="2:16" x14ac:dyDescent="0.3">
      <c r="B304" s="31" t="s">
        <v>114</v>
      </c>
      <c r="C304" s="37">
        <f>C302*100/C299</f>
        <v>8.0783811092308966</v>
      </c>
      <c r="D304" s="29" t="s">
        <v>32</v>
      </c>
      <c r="E304" s="75"/>
      <c r="F304" s="75"/>
      <c r="G304" s="75"/>
      <c r="H304" s="75"/>
      <c r="I304" s="18" t="s">
        <v>77</v>
      </c>
      <c r="J304" s="75"/>
      <c r="K304" s="75"/>
      <c r="L304" s="75"/>
      <c r="M304" s="17" t="s">
        <v>67</v>
      </c>
      <c r="N304" s="75"/>
      <c r="O304" s="75"/>
      <c r="P304" s="75"/>
    </row>
    <row r="305" spans="2:16" x14ac:dyDescent="0.3">
      <c r="B305" s="75"/>
      <c r="C305" s="75"/>
      <c r="D305" s="75"/>
      <c r="E305" s="75"/>
      <c r="F305" s="75"/>
      <c r="G305" s="75"/>
      <c r="H305" s="75"/>
      <c r="I305" s="19" t="s">
        <v>33</v>
      </c>
      <c r="J305" s="16">
        <v>0.6</v>
      </c>
      <c r="K305" s="16" t="s">
        <v>50</v>
      </c>
      <c r="L305" s="75"/>
      <c r="M305" s="19" t="s">
        <v>64</v>
      </c>
      <c r="N305" s="30">
        <f>SQRT(C281*0.0980665)*(1/0.0980665)/1000*J307*0.17</f>
        <v>31.250778100012241</v>
      </c>
      <c r="O305" s="16" t="s">
        <v>12</v>
      </c>
      <c r="P305" s="75"/>
    </row>
    <row r="306" spans="2:16" x14ac:dyDescent="0.3">
      <c r="B306" s="17" t="s">
        <v>37</v>
      </c>
      <c r="C306" s="75"/>
      <c r="D306" s="75"/>
      <c r="E306" s="75"/>
      <c r="F306" s="75"/>
      <c r="G306" s="75"/>
      <c r="H306" s="75"/>
      <c r="I306" s="19" t="s">
        <v>46</v>
      </c>
      <c r="J306" s="34">
        <f>J294/J305</f>
        <v>67.524633333333341</v>
      </c>
      <c r="K306" s="16" t="s">
        <v>12</v>
      </c>
      <c r="L306" s="75"/>
      <c r="M306" s="19" t="s">
        <v>57</v>
      </c>
      <c r="N306" s="16">
        <f>IF(C288/J285&lt;=1.5,0.25,IF(C288/J285&gt;=2,0.17,0.17+(0.25-0.17)/(C288/J285-1.5)*C288/J285))</f>
        <v>0.25</v>
      </c>
      <c r="O306" s="29" t="s">
        <v>50</v>
      </c>
      <c r="P306" s="75"/>
    </row>
    <row r="307" spans="2:16" x14ac:dyDescent="0.3">
      <c r="B307" s="31" t="s">
        <v>115</v>
      </c>
      <c r="C307" s="37">
        <f>O302</f>
        <v>53.483153686450599</v>
      </c>
      <c r="D307" s="29" t="s">
        <v>12</v>
      </c>
      <c r="E307" s="75"/>
      <c r="F307" s="75"/>
      <c r="G307" s="75"/>
      <c r="H307" s="75"/>
      <c r="I307" s="19" t="s">
        <v>36</v>
      </c>
      <c r="J307" s="35">
        <f>J285*C286*0.8-J315</f>
        <v>3047.183213232443</v>
      </c>
      <c r="K307" s="16" t="s">
        <v>17</v>
      </c>
      <c r="L307" s="75"/>
      <c r="M307" s="19" t="s">
        <v>59</v>
      </c>
      <c r="N307" s="30">
        <f>SQRT(C281*0.0980665)*(1/0.0980665)/1000*J307*N306</f>
        <v>45.957026617665058</v>
      </c>
      <c r="O307" s="29" t="s">
        <v>12</v>
      </c>
      <c r="P307" s="75"/>
    </row>
    <row r="308" spans="2:16" x14ac:dyDescent="0.3">
      <c r="B308" s="31" t="s">
        <v>116</v>
      </c>
      <c r="C308" s="37">
        <f>O317</f>
        <v>67.956649190419668</v>
      </c>
      <c r="D308" s="29" t="s">
        <v>12</v>
      </c>
      <c r="E308" s="75"/>
      <c r="F308" s="75"/>
      <c r="G308" s="75"/>
      <c r="H308" s="75"/>
      <c r="I308" s="19" t="s">
        <v>60</v>
      </c>
      <c r="J308" s="34">
        <f>MIN(N307,N305)</f>
        <v>31.250778100012241</v>
      </c>
      <c r="K308" s="29" t="s">
        <v>12</v>
      </c>
      <c r="L308" s="75"/>
      <c r="M308" s="75"/>
      <c r="N308" s="75"/>
      <c r="O308" s="75"/>
      <c r="P308" s="75"/>
    </row>
    <row r="309" spans="2:16" x14ac:dyDescent="0.3">
      <c r="B309" s="19" t="s">
        <v>117</v>
      </c>
      <c r="C309" s="36">
        <f>C302*2*C287/C299/J282</f>
        <v>6.4627048873847183E-3</v>
      </c>
      <c r="D309" s="16" t="s">
        <v>50</v>
      </c>
      <c r="E309" s="75"/>
      <c r="F309" s="75"/>
      <c r="G309" s="75"/>
      <c r="H309" s="75"/>
      <c r="I309" s="19" t="s">
        <v>39</v>
      </c>
      <c r="J309" s="34">
        <f>J306-J308</f>
        <v>36.2738552333211</v>
      </c>
      <c r="K309" s="16" t="s">
        <v>12</v>
      </c>
      <c r="L309" s="75"/>
      <c r="M309" s="75"/>
      <c r="N309" s="75"/>
      <c r="O309" s="75"/>
      <c r="P309" s="75"/>
    </row>
    <row r="310" spans="2:16" x14ac:dyDescent="0.3">
      <c r="B310" s="75"/>
      <c r="C310" s="75"/>
      <c r="D310" s="75"/>
      <c r="E310" s="75"/>
      <c r="F310" s="75"/>
      <c r="G310" s="75"/>
      <c r="H310" s="75"/>
      <c r="I310" s="19" t="s">
        <v>61</v>
      </c>
      <c r="J310" s="37">
        <f>MAX(J309/(C282*J285/1000/100)/2,C303)</f>
        <v>3.125</v>
      </c>
      <c r="K310" s="29" t="s">
        <v>32</v>
      </c>
      <c r="L310" s="75"/>
      <c r="M310" s="75"/>
      <c r="N310" s="75"/>
      <c r="O310" s="75"/>
      <c r="P310" s="75"/>
    </row>
    <row r="311" spans="2:16" x14ac:dyDescent="0.3">
      <c r="B311" s="75"/>
      <c r="C311" s="75"/>
      <c r="D311" s="75"/>
      <c r="E311" s="75"/>
      <c r="F311" s="75"/>
      <c r="G311" s="75"/>
      <c r="H311" s="75"/>
      <c r="I311" s="19" t="s">
        <v>65</v>
      </c>
      <c r="J311" s="36">
        <f>J310/C286/100*2</f>
        <v>2.5000000000000001E-3</v>
      </c>
      <c r="K311" s="16" t="s">
        <v>50</v>
      </c>
      <c r="L311" s="75"/>
      <c r="M311" s="75"/>
      <c r="N311" s="75"/>
      <c r="O311" s="75"/>
      <c r="P311" s="75"/>
    </row>
    <row r="312" spans="2:16" x14ac:dyDescent="0.3">
      <c r="B312" s="75"/>
      <c r="C312" s="75"/>
      <c r="D312" s="75"/>
      <c r="E312" s="75"/>
      <c r="F312" s="75"/>
      <c r="G312" s="75"/>
      <c r="H312" s="75"/>
      <c r="I312" s="19" t="s">
        <v>53</v>
      </c>
      <c r="J312" s="16">
        <f>MAX(0.0025,0.0025*0.5*(2.5-C286/(C287*0.8))*(J311-0.0025))</f>
        <v>2.5000000000000001E-3</v>
      </c>
      <c r="K312" s="29" t="s">
        <v>50</v>
      </c>
      <c r="L312" s="75"/>
      <c r="M312" s="39" t="str">
        <f>IF(OR(J311&gt;J312,ABS(J311-J312)&lt;0.0001),"[OK]","[REDISEÑAR]")</f>
        <v>[OK]</v>
      </c>
      <c r="N312" s="75"/>
      <c r="O312" s="75"/>
      <c r="P312" s="75"/>
    </row>
    <row r="313" spans="2:16" x14ac:dyDescent="0.3">
      <c r="B313" s="75"/>
      <c r="C313" s="75"/>
      <c r="D313" s="75"/>
      <c r="E313" s="75"/>
      <c r="F313" s="75"/>
      <c r="G313" s="75"/>
      <c r="H313" s="75"/>
      <c r="I313" s="19" t="s">
        <v>47</v>
      </c>
      <c r="J313" s="34">
        <f>SQRT(C281*0.0980665)*(1/0.0980665)/1000*0.66*0.8*C287*C286</f>
        <v>152.89331833284234</v>
      </c>
      <c r="K313" s="16" t="s">
        <v>12</v>
      </c>
      <c r="L313" s="75"/>
      <c r="M313" s="40" t="s">
        <v>44</v>
      </c>
      <c r="N313" s="75"/>
      <c r="O313" s="15"/>
      <c r="P313" s="75"/>
    </row>
    <row r="314" spans="2:16" x14ac:dyDescent="0.3">
      <c r="B314" s="75"/>
      <c r="C314" s="75"/>
      <c r="D314" s="75"/>
      <c r="E314" s="75"/>
      <c r="F314" s="75"/>
      <c r="G314" s="75"/>
      <c r="H314" s="75"/>
      <c r="I314" s="63" t="s">
        <v>34</v>
      </c>
      <c r="J314" s="63">
        <f>ROUNDDOWN(1/J310*C302*100,0)</f>
        <v>36</v>
      </c>
      <c r="K314" s="64" t="s">
        <v>5</v>
      </c>
      <c r="L314" s="75"/>
      <c r="M314" s="39" t="str">
        <f>IF(OR(J314&lt;10,J314&gt;25),"[REDISEÑAR]","[OK")</f>
        <v>[REDISEÑAR]</v>
      </c>
      <c r="N314" s="41" t="s">
        <v>80</v>
      </c>
      <c r="O314" s="42">
        <f>1/J310*(C298/2)^2*PI()</f>
        <v>36.191147369354418</v>
      </c>
      <c r="P314" s="75" t="str">
        <f>"$\phi$"&amp;C298&amp;"@"&amp;J314</f>
        <v>$\phi$12@36</v>
      </c>
    </row>
    <row r="315" spans="2:16" x14ac:dyDescent="0.3">
      <c r="B315" s="75"/>
      <c r="C315" s="75"/>
      <c r="D315" s="75"/>
      <c r="E315" s="75"/>
      <c r="F315" s="75"/>
      <c r="G315" s="75"/>
      <c r="H315" s="75"/>
      <c r="I315" s="31" t="s">
        <v>48</v>
      </c>
      <c r="J315" s="30">
        <f>C302*2*IF(J285/C299&gt;=1,J285/C299,0)</f>
        <v>24.816786767557321</v>
      </c>
      <c r="K315" s="29" t="s">
        <v>17</v>
      </c>
      <c r="L315" s="75"/>
      <c r="M315" s="75"/>
      <c r="N315" s="15"/>
      <c r="O315" s="15"/>
      <c r="P315" s="75"/>
    </row>
    <row r="316" spans="2:16" x14ac:dyDescent="0.3">
      <c r="B316" s="75"/>
      <c r="C316" s="75"/>
      <c r="D316" s="75"/>
      <c r="E316" s="75"/>
      <c r="F316" s="75"/>
      <c r="G316" s="75"/>
      <c r="H316" s="75"/>
      <c r="I316" s="19" t="s">
        <v>81</v>
      </c>
      <c r="J316" s="34">
        <f>MIN(J315*C282/1000,J313)</f>
        <v>104.23050442374075</v>
      </c>
      <c r="K316" s="16" t="s">
        <v>12</v>
      </c>
      <c r="L316" s="75"/>
      <c r="M316" s="40" t="s">
        <v>82</v>
      </c>
      <c r="N316" s="15"/>
      <c r="O316" s="15"/>
      <c r="P316" s="75"/>
    </row>
    <row r="317" spans="2:16" x14ac:dyDescent="0.3">
      <c r="B317" s="75"/>
      <c r="C317" s="75"/>
      <c r="D317" s="75"/>
      <c r="E317" s="75"/>
      <c r="F317" s="75"/>
      <c r="G317" s="75"/>
      <c r="H317" s="75"/>
      <c r="I317" s="19" t="s">
        <v>79</v>
      </c>
      <c r="J317" s="34">
        <f>J316+J308</f>
        <v>135.48128252375301</v>
      </c>
      <c r="K317" s="16" t="s">
        <v>12</v>
      </c>
      <c r="L317" s="75"/>
      <c r="M317" s="39" t="str">
        <f>IF(J317&gt;J306,"[OK]","[REDISEÑAR]")</f>
        <v>[OK]</v>
      </c>
      <c r="N317" s="41" t="str">
        <f>IF(O317&gt;0,"Sobrado","Faltan")</f>
        <v>Sobrado</v>
      </c>
      <c r="O317" s="43">
        <f>J317-J306</f>
        <v>67.956649190419668</v>
      </c>
      <c r="P317" s="75"/>
    </row>
    <row r="318" spans="2:16" x14ac:dyDescent="0.3">
      <c r="B318" s="75"/>
      <c r="C318" s="75"/>
      <c r="D318" s="75"/>
      <c r="E318" s="75"/>
      <c r="F318" s="75"/>
      <c r="G318" s="75"/>
      <c r="H318" s="75"/>
      <c r="J318" s="75"/>
      <c r="K318" s="75"/>
      <c r="L318" s="75"/>
      <c r="M318" s="75"/>
      <c r="N318" s="75"/>
      <c r="O318" s="75"/>
      <c r="P318" s="75"/>
    </row>
    <row r="319" spans="2:16" x14ac:dyDescent="0.3">
      <c r="B319" s="75"/>
      <c r="C319" s="75"/>
      <c r="D319" s="75"/>
      <c r="E319" s="75"/>
      <c r="F319" s="75"/>
      <c r="G319" s="75"/>
      <c r="H319" s="75"/>
      <c r="I319" s="18" t="s">
        <v>45</v>
      </c>
      <c r="J319" s="75"/>
      <c r="K319" s="75"/>
      <c r="L319" s="75"/>
      <c r="M319" s="75"/>
      <c r="N319" s="75"/>
      <c r="O319" s="15"/>
      <c r="P319" s="75"/>
    </row>
    <row r="320" spans="2:16" x14ac:dyDescent="0.3">
      <c r="B320" s="75"/>
      <c r="C320" s="75"/>
      <c r="D320" s="75"/>
      <c r="E320" s="75"/>
      <c r="F320" s="75"/>
      <c r="G320" s="75"/>
      <c r="H320" s="75"/>
      <c r="I320" s="19" t="s">
        <v>40</v>
      </c>
      <c r="J320" s="16">
        <f>J294</f>
        <v>40.514780000000002</v>
      </c>
      <c r="K320" s="16" t="s">
        <v>12</v>
      </c>
      <c r="L320" s="75"/>
      <c r="M320" s="75"/>
      <c r="N320" s="75"/>
      <c r="O320" s="26"/>
      <c r="P320" s="75"/>
    </row>
    <row r="321" spans="2:16" x14ac:dyDescent="0.3">
      <c r="B321" s="75"/>
      <c r="C321" s="75"/>
      <c r="D321" s="75"/>
      <c r="E321" s="75"/>
      <c r="F321" s="75"/>
      <c r="G321" s="75"/>
      <c r="H321" s="75"/>
      <c r="I321" s="19" t="s">
        <v>46</v>
      </c>
      <c r="J321" s="34">
        <f>J306</f>
        <v>67.524633333333341</v>
      </c>
      <c r="K321" s="16" t="s">
        <v>12</v>
      </c>
      <c r="L321" s="75"/>
      <c r="M321" s="75"/>
      <c r="N321" s="75"/>
      <c r="O321" s="75"/>
      <c r="P321" s="75"/>
    </row>
    <row r="322" spans="2:16" x14ac:dyDescent="0.3">
      <c r="B322" s="75"/>
      <c r="C322" s="75"/>
      <c r="D322" s="75"/>
      <c r="E322" s="75"/>
      <c r="F322" s="75"/>
      <c r="G322" s="75"/>
      <c r="H322" s="75"/>
      <c r="I322" s="19" t="s">
        <v>38</v>
      </c>
      <c r="J322" s="34">
        <f>2/3*J307*SQRT(C281*0.0980665)*(1/0.0980665)/1000</f>
        <v>122.55207098044013</v>
      </c>
      <c r="K322" s="16" t="s">
        <v>12</v>
      </c>
      <c r="L322" s="75"/>
      <c r="M322" s="39" t="str">
        <f>IF(J322&gt;J321,"[OK]","[REDISEÑAR]")</f>
        <v>[OK]</v>
      </c>
      <c r="N322" s="41" t="str">
        <f>IF(O322&gt;0,"Sobrado","Faltan")</f>
        <v>Sobrado</v>
      </c>
      <c r="O322" s="43">
        <f>J322-J321</f>
        <v>55.027437647106794</v>
      </c>
      <c r="P322" s="75"/>
    </row>
    <row r="324" spans="2:16" ht="18" x14ac:dyDescent="0.35">
      <c r="B324" s="48" t="str">
        <f>'EJE 15'!$S$11</f>
        <v>EJE 15.G-L | PIER F33X | PISO 3</v>
      </c>
      <c r="C324" s="75"/>
      <c r="D324" s="75"/>
      <c r="E324" s="75"/>
      <c r="F324" s="75"/>
      <c r="G324" s="75"/>
      <c r="H324" s="75"/>
      <c r="J324" s="75"/>
      <c r="K324" s="75"/>
      <c r="L324" s="75"/>
      <c r="M324" s="75"/>
      <c r="N324" s="75"/>
      <c r="O324" s="75"/>
      <c r="P324" s="75"/>
    </row>
    <row r="325" spans="2:16" x14ac:dyDescent="0.3">
      <c r="B325" s="75"/>
      <c r="C325" s="75"/>
      <c r="D325" s="75"/>
      <c r="E325" s="75"/>
      <c r="F325" s="75"/>
      <c r="G325" s="75"/>
      <c r="H325" s="75"/>
      <c r="J325" s="75"/>
      <c r="K325" s="75"/>
      <c r="L325" s="75"/>
      <c r="M325" s="75"/>
      <c r="N325" s="75"/>
      <c r="O325" s="75"/>
      <c r="P325" s="75"/>
    </row>
    <row r="326" spans="2:16" x14ac:dyDescent="0.3">
      <c r="B326" s="17" t="s">
        <v>6</v>
      </c>
      <c r="C326" s="75"/>
      <c r="D326" s="75"/>
      <c r="E326" s="75"/>
      <c r="F326" s="75"/>
      <c r="G326" s="75"/>
      <c r="H326" s="75"/>
      <c r="I326" s="18" t="s">
        <v>25</v>
      </c>
      <c r="J326" s="75"/>
      <c r="K326" s="75"/>
      <c r="L326" s="75"/>
      <c r="M326" s="75"/>
      <c r="N326" s="75"/>
      <c r="O326" s="75"/>
      <c r="P326" s="75"/>
    </row>
    <row r="327" spans="2:16" x14ac:dyDescent="0.3">
      <c r="B327" s="19" t="s">
        <v>99</v>
      </c>
      <c r="C327" s="61">
        <f>10.1971621297793*'EJE 15'!$G$11</f>
        <v>356.90067454227551</v>
      </c>
      <c r="D327" s="16" t="s">
        <v>8</v>
      </c>
      <c r="E327" s="75"/>
      <c r="F327" s="75"/>
      <c r="G327" s="75"/>
      <c r="H327" s="75"/>
      <c r="I327" s="19" t="s">
        <v>58</v>
      </c>
      <c r="J327" s="16">
        <f>C334/16</f>
        <v>14.375</v>
      </c>
      <c r="K327" s="16" t="s">
        <v>5</v>
      </c>
      <c r="L327" s="21"/>
      <c r="M327" s="39" t="str">
        <f>IF(J327&lt;C332,"[OK]","[REDISEÑAR]")</f>
        <v>[OK]</v>
      </c>
      <c r="N327" s="75"/>
      <c r="O327" s="75"/>
      <c r="P327" s="75"/>
    </row>
    <row r="328" spans="2:16" x14ac:dyDescent="0.3">
      <c r="B328" s="19" t="s">
        <v>30</v>
      </c>
      <c r="C328" s="16">
        <v>4200</v>
      </c>
      <c r="D328" s="16" t="s">
        <v>8</v>
      </c>
      <c r="E328" s="75"/>
      <c r="F328" s="75"/>
      <c r="G328" s="75"/>
      <c r="H328" s="75"/>
      <c r="I328" s="19" t="s">
        <v>16</v>
      </c>
      <c r="J328" s="16">
        <f>C332*C333</f>
        <v>8475</v>
      </c>
      <c r="K328" s="16" t="s">
        <v>17</v>
      </c>
      <c r="L328" s="21"/>
      <c r="M328" s="75"/>
      <c r="N328" s="75"/>
      <c r="O328" s="75"/>
      <c r="P328" s="75"/>
    </row>
    <row r="329" spans="2:16" x14ac:dyDescent="0.3">
      <c r="B329" s="19" t="s">
        <v>31</v>
      </c>
      <c r="C329" s="16">
        <v>2800</v>
      </c>
      <c r="D329" s="16" t="s">
        <v>8</v>
      </c>
      <c r="E329" s="75"/>
      <c r="F329" s="75"/>
      <c r="G329" s="75"/>
      <c r="H329" s="75"/>
      <c r="I329" s="19" t="s">
        <v>51</v>
      </c>
      <c r="J329" s="16">
        <f>MIN(0.8*C333/5,3*C332,45)</f>
        <v>45</v>
      </c>
      <c r="K329" s="16" t="s">
        <v>5</v>
      </c>
      <c r="L329" s="21"/>
      <c r="M329" s="39" t="str">
        <f>IF(J329&gt;C345,"[OK]","[REDISEÑAR]")</f>
        <v>[OK]</v>
      </c>
      <c r="N329" s="75"/>
      <c r="O329" s="75"/>
      <c r="P329" s="75"/>
    </row>
    <row r="330" spans="2:16" x14ac:dyDescent="0.3">
      <c r="B330" s="75"/>
      <c r="C330" s="75"/>
      <c r="D330" s="75"/>
      <c r="E330" s="75"/>
      <c r="F330" s="75"/>
      <c r="G330" s="75"/>
      <c r="H330" s="75"/>
      <c r="I330" s="19" t="s">
        <v>56</v>
      </c>
      <c r="J330" s="16">
        <f>MIN(0.8*C334/3,3*C333,45)</f>
        <v>45</v>
      </c>
      <c r="K330" s="16" t="s">
        <v>5</v>
      </c>
      <c r="L330" s="21"/>
      <c r="M330" s="39" t="str">
        <f>IF(J330&gt;C345,"[OK]","[REDISEÑAR]")</f>
        <v>[OK]</v>
      </c>
      <c r="N330" s="75"/>
      <c r="O330" s="75"/>
      <c r="P330" s="75"/>
    </row>
    <row r="331" spans="2:16" x14ac:dyDescent="0.3">
      <c r="B331" s="17" t="s">
        <v>3</v>
      </c>
      <c r="C331" s="75"/>
      <c r="D331" s="75"/>
      <c r="E331" s="75"/>
      <c r="F331" s="75"/>
      <c r="G331" s="75"/>
      <c r="H331" s="75"/>
      <c r="I331" s="19" t="s">
        <v>62</v>
      </c>
      <c r="J331" s="16">
        <f>0.8*C333</f>
        <v>271.2</v>
      </c>
      <c r="K331" s="29" t="s">
        <v>5</v>
      </c>
      <c r="L331" s="75"/>
      <c r="M331" s="75"/>
      <c r="N331" s="75"/>
      <c r="O331" s="75"/>
      <c r="P331" s="75"/>
    </row>
    <row r="332" spans="2:16" x14ac:dyDescent="0.3">
      <c r="B332" s="19" t="str">
        <f>"Espesor del muro (h)"</f>
        <v>Espesor del muro (h)</v>
      </c>
      <c r="C332" s="49">
        <f>'EJE 15'!$H$11</f>
        <v>25</v>
      </c>
      <c r="D332" s="16" t="s">
        <v>5</v>
      </c>
      <c r="E332" s="75"/>
      <c r="F332" s="75"/>
      <c r="G332" s="75"/>
      <c r="H332" s="75"/>
      <c r="J332" s="75"/>
      <c r="K332" s="75"/>
      <c r="L332" s="75"/>
      <c r="M332" s="75"/>
      <c r="N332" s="75"/>
      <c r="O332" s="75"/>
      <c r="P332" s="75"/>
    </row>
    <row r="333" spans="2:16" x14ac:dyDescent="0.3">
      <c r="B333" s="19" t="s">
        <v>63</v>
      </c>
      <c r="C333" s="49">
        <f>'EJE 15'!$I$11</f>
        <v>339</v>
      </c>
      <c r="D333" s="16" t="s">
        <v>5</v>
      </c>
      <c r="E333" s="75"/>
      <c r="F333" s="75"/>
      <c r="G333" s="75"/>
      <c r="H333" s="75"/>
      <c r="I333" s="18" t="s">
        <v>26</v>
      </c>
      <c r="J333" s="75"/>
      <c r="K333" s="75"/>
      <c r="L333" s="75"/>
      <c r="M333" s="75"/>
      <c r="N333" s="75"/>
      <c r="O333" s="75"/>
      <c r="P333" s="75"/>
    </row>
    <row r="334" spans="2:16" x14ac:dyDescent="0.3">
      <c r="B334" s="19" t="s">
        <v>10</v>
      </c>
      <c r="C334" s="49">
        <f>'EJE 15'!$J$11</f>
        <v>230</v>
      </c>
      <c r="D334" s="16" t="s">
        <v>5</v>
      </c>
      <c r="E334" s="75"/>
      <c r="F334" s="75"/>
      <c r="G334" s="75"/>
      <c r="H334" s="75"/>
      <c r="I334" s="19" t="s">
        <v>28</v>
      </c>
      <c r="J334" s="16">
        <f>0.35*C327</f>
        <v>124.91523608979642</v>
      </c>
      <c r="K334" s="16" t="s">
        <v>8</v>
      </c>
      <c r="L334" s="21"/>
      <c r="M334" s="75"/>
      <c r="N334" s="75"/>
      <c r="O334" s="75"/>
      <c r="P334" s="75"/>
    </row>
    <row r="335" spans="2:16" x14ac:dyDescent="0.3">
      <c r="B335" s="75"/>
      <c r="C335" s="75"/>
      <c r="D335" s="75"/>
      <c r="E335" s="75"/>
      <c r="F335" s="75"/>
      <c r="G335" s="75"/>
      <c r="H335" s="75"/>
      <c r="I335" s="19" t="s">
        <v>27</v>
      </c>
      <c r="J335" s="30">
        <f>C337*1000/J328</f>
        <v>28.792755162241889</v>
      </c>
      <c r="K335" s="16" t="s">
        <v>8</v>
      </c>
      <c r="L335" s="21"/>
      <c r="M335" s="39" t="str">
        <f>IF(J335&lt;J334,"[OK]","[REDISEÑAR]")</f>
        <v>[OK]</v>
      </c>
      <c r="N335" s="41" t="s">
        <v>112</v>
      </c>
      <c r="O335" s="59">
        <f>J335/J334</f>
        <v>0.23049834482595832</v>
      </c>
      <c r="P335" s="75"/>
    </row>
    <row r="336" spans="2:16" x14ac:dyDescent="0.3">
      <c r="B336" s="17" t="s">
        <v>11</v>
      </c>
      <c r="C336" s="75"/>
      <c r="D336" s="75"/>
      <c r="E336" s="75"/>
      <c r="F336" s="75"/>
      <c r="G336" s="75"/>
      <c r="H336" s="75"/>
      <c r="J336" s="75"/>
      <c r="K336" s="75"/>
      <c r="L336" s="75"/>
      <c r="M336" s="75"/>
      <c r="N336" s="75"/>
      <c r="O336" s="75"/>
      <c r="P336" s="75"/>
    </row>
    <row r="337" spans="2:16" x14ac:dyDescent="0.3">
      <c r="B337" s="19" t="str">
        <f>"$N_U$"</f>
        <v>$N_U$</v>
      </c>
      <c r="C337" s="60">
        <f>'EJE 15'!$K$11</f>
        <v>244.01859999999999</v>
      </c>
      <c r="D337" s="16" t="s">
        <v>12</v>
      </c>
      <c r="E337" s="75"/>
      <c r="F337" s="75"/>
      <c r="G337" s="75"/>
      <c r="H337" s="75"/>
      <c r="I337" s="18" t="s">
        <v>54</v>
      </c>
      <c r="J337" s="75"/>
      <c r="K337" s="75"/>
      <c r="L337" s="75"/>
      <c r="M337" s="75"/>
      <c r="N337" s="75"/>
      <c r="O337" s="75"/>
      <c r="P337" s="75"/>
    </row>
    <row r="338" spans="2:16" x14ac:dyDescent="0.3">
      <c r="B338" s="19" t="s">
        <v>14</v>
      </c>
      <c r="C338" s="60">
        <f>'EJE 15'!$L$11</f>
        <v>13.462899999999999</v>
      </c>
      <c r="D338" s="16" t="s">
        <v>12</v>
      </c>
      <c r="E338" s="75"/>
      <c r="F338" s="75"/>
      <c r="G338" s="75"/>
      <c r="H338" s="75"/>
      <c r="I338" s="19" t="s">
        <v>72</v>
      </c>
      <c r="J338" s="16">
        <f>1.2*C338+C339+1.4*C340</f>
        <v>52.581579999999995</v>
      </c>
      <c r="K338" s="16" t="s">
        <v>12</v>
      </c>
      <c r="L338" s="75"/>
      <c r="M338" s="75" t="s">
        <v>68</v>
      </c>
      <c r="N338" s="75"/>
      <c r="O338" s="75"/>
      <c r="P338" s="75"/>
    </row>
    <row r="339" spans="2:16" x14ac:dyDescent="0.3">
      <c r="B339" s="19" t="s">
        <v>13</v>
      </c>
      <c r="C339" s="60">
        <f>'EJE 15'!$M$11</f>
        <v>2.5657000000000001</v>
      </c>
      <c r="D339" s="16" t="s">
        <v>12</v>
      </c>
      <c r="E339" s="75"/>
      <c r="F339" s="75"/>
      <c r="G339" s="75"/>
      <c r="H339" s="75"/>
      <c r="I339" s="19" t="s">
        <v>69</v>
      </c>
      <c r="J339" s="16">
        <f>SUM(C338:C340)</f>
        <v>40.214600000000004</v>
      </c>
      <c r="K339" s="16" t="s">
        <v>12</v>
      </c>
      <c r="L339" s="75"/>
      <c r="M339" s="75" t="s">
        <v>70</v>
      </c>
      <c r="N339" s="75"/>
      <c r="O339" s="75"/>
      <c r="P339" s="75"/>
    </row>
    <row r="340" spans="2:16" x14ac:dyDescent="0.3">
      <c r="B340" s="19" t="s">
        <v>15</v>
      </c>
      <c r="C340" s="60">
        <f>'EJE 15'!$N$11</f>
        <v>24.186</v>
      </c>
      <c r="D340" s="16" t="s">
        <v>12</v>
      </c>
      <c r="E340" s="75"/>
      <c r="F340" s="75"/>
      <c r="G340" s="75"/>
      <c r="H340" s="75"/>
      <c r="I340" s="19" t="s">
        <v>73</v>
      </c>
      <c r="J340" s="16">
        <f>IF(C341=0,J338,C341)</f>
        <v>52.581579999999995</v>
      </c>
      <c r="K340" s="16" t="s">
        <v>12</v>
      </c>
      <c r="L340" s="75"/>
      <c r="M340" s="40" t="s">
        <v>74</v>
      </c>
      <c r="N340" s="75"/>
      <c r="O340" s="75"/>
      <c r="P340" s="75"/>
    </row>
    <row r="341" spans="2:16" x14ac:dyDescent="0.3">
      <c r="B341" s="19" t="s">
        <v>55</v>
      </c>
      <c r="C341" s="16">
        <v>0</v>
      </c>
      <c r="D341" s="16" t="s">
        <v>12</v>
      </c>
      <c r="E341" s="75"/>
      <c r="F341" s="75"/>
      <c r="G341" s="75"/>
      <c r="H341" s="75"/>
      <c r="I341" s="19" t="s">
        <v>71</v>
      </c>
      <c r="J341" s="16">
        <f>IF(C341=0,J339,C341)</f>
        <v>40.214600000000004</v>
      </c>
      <c r="K341" s="16" t="s">
        <v>12</v>
      </c>
      <c r="L341" s="75"/>
      <c r="M341" s="40" t="s">
        <v>75</v>
      </c>
      <c r="N341" s="75"/>
      <c r="O341" s="75"/>
      <c r="P341" s="75"/>
    </row>
    <row r="342" spans="2:16" x14ac:dyDescent="0.3">
      <c r="B342" s="75"/>
      <c r="C342" s="75"/>
      <c r="D342" s="75"/>
      <c r="E342" s="75"/>
      <c r="F342" s="75"/>
      <c r="G342" s="75"/>
      <c r="H342" s="75"/>
      <c r="J342" s="75"/>
      <c r="K342" s="75"/>
      <c r="L342" s="75"/>
      <c r="M342" s="75"/>
      <c r="N342" s="75"/>
      <c r="O342" s="75"/>
      <c r="P342" s="75"/>
    </row>
    <row r="343" spans="2:16" x14ac:dyDescent="0.3">
      <c r="B343" s="33" t="s">
        <v>42</v>
      </c>
      <c r="C343" s="75"/>
      <c r="D343" s="75"/>
      <c r="E343" s="75"/>
      <c r="F343" s="75"/>
      <c r="G343" s="75"/>
      <c r="H343" s="75"/>
      <c r="I343" s="27" t="s">
        <v>76</v>
      </c>
      <c r="J343" s="75"/>
      <c r="K343" s="75"/>
      <c r="L343" s="75"/>
      <c r="M343" s="75"/>
      <c r="N343" s="75"/>
      <c r="O343" s="75"/>
      <c r="P343" s="75"/>
    </row>
    <row r="344" spans="2:16" x14ac:dyDescent="0.3">
      <c r="B344" s="31" t="s">
        <v>41</v>
      </c>
      <c r="C344" s="16">
        <v>10</v>
      </c>
      <c r="D344" s="29" t="s">
        <v>35</v>
      </c>
      <c r="E344" s="75"/>
      <c r="F344" s="75"/>
      <c r="G344" s="75"/>
      <c r="H344" s="75"/>
      <c r="I344" s="19" t="s">
        <v>29</v>
      </c>
      <c r="J344" s="30">
        <f>J341*1000/J328</f>
        <v>4.7450855457227146</v>
      </c>
      <c r="K344" s="29" t="s">
        <v>8</v>
      </c>
      <c r="L344" s="75"/>
      <c r="M344" s="75"/>
      <c r="N344" s="75"/>
      <c r="O344" s="75"/>
      <c r="P344" s="75"/>
    </row>
    <row r="345" spans="2:16" x14ac:dyDescent="0.3">
      <c r="B345" s="31" t="s">
        <v>43</v>
      </c>
      <c r="C345" s="16">
        <v>14</v>
      </c>
      <c r="D345" s="29" t="s">
        <v>5</v>
      </c>
      <c r="E345" s="75"/>
      <c r="F345" s="39" t="str">
        <f>IF(OR(C345&gt;25,C345&lt;10),"[REDISEÑAR]",IF(AND(C345&lt;=J346,C345&lt;=J360),"[OK]","[REDISEÑAR]"))</f>
        <v>[OK]</v>
      </c>
      <c r="G345" s="75"/>
      <c r="H345" s="75"/>
      <c r="I345" s="19" t="s">
        <v>61</v>
      </c>
      <c r="J345" s="37">
        <f>MAX(J344*100*C332/(2*C329),C349)</f>
        <v>3.125</v>
      </c>
      <c r="K345" s="29" t="s">
        <v>32</v>
      </c>
      <c r="L345" s="75"/>
      <c r="M345" s="15"/>
      <c r="N345" s="15"/>
      <c r="O345" s="15"/>
      <c r="P345" s="75"/>
    </row>
    <row r="346" spans="2:16" x14ac:dyDescent="0.3">
      <c r="B346" s="75"/>
      <c r="C346" s="50" t="str">
        <f>"$\phi$"&amp;C344&amp;"@"&amp;C345</f>
        <v>$\phi$10@14</v>
      </c>
      <c r="D346" s="75"/>
      <c r="E346" s="75"/>
      <c r="F346" s="39" t="str">
        <f>IF(OR(J345=C349,J356=C349),"[ÁREA MINIMA]","[]")</f>
        <v>[ÁREA MINIMA]</v>
      </c>
      <c r="G346" s="75"/>
      <c r="H346" s="75"/>
      <c r="I346" s="63" t="s">
        <v>34</v>
      </c>
      <c r="J346" s="63">
        <f>ROUNDDOWN((1/J345)*C348*100,0)</f>
        <v>25</v>
      </c>
      <c r="K346" s="64" t="s">
        <v>5</v>
      </c>
      <c r="L346" s="75"/>
      <c r="M346" s="39" t="str">
        <f>IF(OR(J346&lt;10,J346&gt;25),"[REDISEÑAR]","[OK")</f>
        <v>[OK</v>
      </c>
      <c r="N346" s="41" t="s">
        <v>80</v>
      </c>
      <c r="O346" s="42">
        <f>1/J345*(C344/2)^2*PI()</f>
        <v>25.132741228718345</v>
      </c>
      <c r="P346" s="75" t="str">
        <f>"$\phi$"&amp;C344&amp;"@"&amp;J346</f>
        <v>$\phi$10@25</v>
      </c>
    </row>
    <row r="347" spans="2:16" x14ac:dyDescent="0.3">
      <c r="B347" s="18" t="s">
        <v>52</v>
      </c>
      <c r="C347" s="75"/>
      <c r="D347" s="75"/>
      <c r="E347" s="75"/>
      <c r="F347" s="62" t="str">
        <f>IF(J335&lt;J334,IF(J363&gt;J352,"[OK]","[REDISEÑAR]"),"[REDISEÑAR]")</f>
        <v>[OK]</v>
      </c>
      <c r="G347" s="75"/>
      <c r="H347" s="75"/>
      <c r="I347" s="31" t="s">
        <v>48</v>
      </c>
      <c r="J347" s="30">
        <f>C348*2*IF(C333/C345&gt;=1,C333/C345,0)</f>
        <v>38.035711055962139</v>
      </c>
      <c r="K347" s="29" t="s">
        <v>17</v>
      </c>
      <c r="L347" s="75"/>
      <c r="M347" s="75"/>
      <c r="N347" s="15"/>
      <c r="O347" s="44"/>
      <c r="P347" s="75"/>
    </row>
    <row r="348" spans="2:16" x14ac:dyDescent="0.3">
      <c r="B348" s="31" t="s">
        <v>66</v>
      </c>
      <c r="C348" s="30">
        <f>(C344/(2*10))^2*PI()</f>
        <v>0.78539816339744828</v>
      </c>
      <c r="D348" s="29" t="s">
        <v>17</v>
      </c>
      <c r="E348" s="75"/>
      <c r="F348" s="75"/>
      <c r="G348" s="75"/>
      <c r="H348" s="75"/>
      <c r="I348" s="19" t="s">
        <v>49</v>
      </c>
      <c r="J348" s="34">
        <f>C329*J347/1000</f>
        <v>106.49999095669399</v>
      </c>
      <c r="K348" s="16" t="s">
        <v>12</v>
      </c>
      <c r="L348" s="75"/>
      <c r="M348" s="39" t="str">
        <f>IF(J348&gt;J341,"[OK]","[REDISEÑAR]")</f>
        <v>[OK]</v>
      </c>
      <c r="N348" s="41" t="str">
        <f>IF(O348&gt;0,"Sobrado","Faltan")</f>
        <v>Sobrado</v>
      </c>
      <c r="O348" s="43">
        <f>J348-J341</f>
        <v>66.285390956693988</v>
      </c>
      <c r="P348" s="75"/>
    </row>
    <row r="349" spans="2:16" x14ac:dyDescent="0.3">
      <c r="B349" s="31" t="s">
        <v>78</v>
      </c>
      <c r="C349" s="37">
        <f>2.5/1000*100*C332/2</f>
        <v>3.125</v>
      </c>
      <c r="D349" s="16" t="s">
        <v>17</v>
      </c>
      <c r="E349" s="75"/>
      <c r="F349" s="75"/>
      <c r="G349" s="75"/>
      <c r="H349" s="75"/>
      <c r="J349" s="75"/>
      <c r="K349" s="75"/>
      <c r="L349" s="75"/>
      <c r="M349" s="75"/>
      <c r="N349" s="75"/>
      <c r="O349" s="15"/>
      <c r="P349" s="75"/>
    </row>
    <row r="350" spans="2:16" x14ac:dyDescent="0.3">
      <c r="B350" s="31" t="s">
        <v>114</v>
      </c>
      <c r="C350" s="37">
        <f>C348*100/C345</f>
        <v>5.6099868814103448</v>
      </c>
      <c r="D350" s="29" t="s">
        <v>32</v>
      </c>
      <c r="E350" s="75"/>
      <c r="F350" s="75"/>
      <c r="G350" s="75"/>
      <c r="H350" s="75"/>
      <c r="I350" s="18" t="s">
        <v>77</v>
      </c>
      <c r="J350" s="75"/>
      <c r="K350" s="75"/>
      <c r="L350" s="75"/>
      <c r="M350" s="17" t="s">
        <v>67</v>
      </c>
      <c r="N350" s="75"/>
      <c r="O350" s="75"/>
      <c r="P350" s="75"/>
    </row>
    <row r="351" spans="2:16" x14ac:dyDescent="0.3">
      <c r="B351" s="75"/>
      <c r="C351" s="75"/>
      <c r="D351" s="75"/>
      <c r="E351" s="75"/>
      <c r="F351" s="75"/>
      <c r="G351" s="75"/>
      <c r="H351" s="75"/>
      <c r="I351" s="19" t="s">
        <v>33</v>
      </c>
      <c r="J351" s="16">
        <v>0.6</v>
      </c>
      <c r="K351" s="16" t="s">
        <v>50</v>
      </c>
      <c r="L351" s="75"/>
      <c r="M351" s="19" t="s">
        <v>64</v>
      </c>
      <c r="N351" s="30">
        <f>SQRT(C327*0.0980665)*(1/0.0980665)/1000*J353*0.17</f>
        <v>55.314463281909688</v>
      </c>
      <c r="O351" s="16" t="s">
        <v>12</v>
      </c>
      <c r="P351" s="75"/>
    </row>
    <row r="352" spans="2:16" x14ac:dyDescent="0.3">
      <c r="B352" s="17" t="s">
        <v>37</v>
      </c>
      <c r="C352" s="75"/>
      <c r="D352" s="75"/>
      <c r="E352" s="75"/>
      <c r="F352" s="75"/>
      <c r="G352" s="75"/>
      <c r="H352" s="75"/>
      <c r="I352" s="19" t="s">
        <v>46</v>
      </c>
      <c r="J352" s="34">
        <f>J340/J351</f>
        <v>87.635966666666661</v>
      </c>
      <c r="K352" s="16" t="s">
        <v>12</v>
      </c>
      <c r="L352" s="75"/>
      <c r="M352" s="19" t="s">
        <v>57</v>
      </c>
      <c r="N352" s="16">
        <f>IF(C334/J331&lt;=1.5,0.25,IF(C334/J331&gt;=2,0.17,0.17+(0.25-0.17)/(C334/J331-1.5)*C334/J331))</f>
        <v>0.25</v>
      </c>
      <c r="O352" s="29" t="s">
        <v>50</v>
      </c>
      <c r="P352" s="75"/>
    </row>
    <row r="353" spans="2:16" x14ac:dyDescent="0.3">
      <c r="B353" s="31" t="s">
        <v>115</v>
      </c>
      <c r="C353" s="37">
        <f>O348</f>
        <v>66.285390956693988</v>
      </c>
      <c r="D353" s="29" t="s">
        <v>12</v>
      </c>
      <c r="E353" s="75"/>
      <c r="F353" s="75"/>
      <c r="G353" s="75"/>
      <c r="H353" s="75"/>
      <c r="I353" s="19" t="s">
        <v>36</v>
      </c>
      <c r="J353" s="35">
        <f>J331*C332*0.8-J361</f>
        <v>5393.5714311552301</v>
      </c>
      <c r="K353" s="16" t="s">
        <v>17</v>
      </c>
      <c r="L353" s="75"/>
      <c r="M353" s="19" t="s">
        <v>59</v>
      </c>
      <c r="N353" s="30">
        <f>SQRT(C327*0.0980665)*(1/0.0980665)/1000*J353*N352</f>
        <v>81.344798943984827</v>
      </c>
      <c r="O353" s="29" t="s">
        <v>12</v>
      </c>
      <c r="P353" s="75"/>
    </row>
    <row r="354" spans="2:16" x14ac:dyDescent="0.3">
      <c r="B354" s="31" t="s">
        <v>116</v>
      </c>
      <c r="C354" s="37">
        <f>O363</f>
        <v>95.478485763275785</v>
      </c>
      <c r="D354" s="29" t="s">
        <v>12</v>
      </c>
      <c r="E354" s="75"/>
      <c r="F354" s="75"/>
      <c r="G354" s="75"/>
      <c r="H354" s="75"/>
      <c r="I354" s="19" t="s">
        <v>60</v>
      </c>
      <c r="J354" s="34">
        <f>MIN(N353,N351)</f>
        <v>55.314463281909688</v>
      </c>
      <c r="K354" s="29" t="s">
        <v>12</v>
      </c>
      <c r="L354" s="75"/>
      <c r="M354" s="75"/>
      <c r="N354" s="75"/>
      <c r="O354" s="75"/>
      <c r="P354" s="75"/>
    </row>
    <row r="355" spans="2:16" x14ac:dyDescent="0.3">
      <c r="B355" s="19" t="s">
        <v>117</v>
      </c>
      <c r="C355" s="36">
        <f>C348*2*C333/C345/J328</f>
        <v>4.4879895051282755E-3</v>
      </c>
      <c r="D355" s="16" t="s">
        <v>50</v>
      </c>
      <c r="E355" s="75"/>
      <c r="F355" s="75"/>
      <c r="G355" s="75"/>
      <c r="H355" s="75"/>
      <c r="I355" s="19" t="s">
        <v>39</v>
      </c>
      <c r="J355" s="34">
        <f>J352-J354</f>
        <v>32.321503384756973</v>
      </c>
      <c r="K355" s="16" t="s">
        <v>12</v>
      </c>
      <c r="L355" s="75"/>
      <c r="M355" s="75"/>
      <c r="N355" s="75"/>
      <c r="O355" s="75"/>
      <c r="P355" s="75"/>
    </row>
    <row r="356" spans="2:16" x14ac:dyDescent="0.3">
      <c r="B356" s="75"/>
      <c r="C356" s="75"/>
      <c r="D356" s="75"/>
      <c r="E356" s="75"/>
      <c r="F356" s="75"/>
      <c r="G356" s="75"/>
      <c r="H356" s="75"/>
      <c r="I356" s="19" t="s">
        <v>61</v>
      </c>
      <c r="J356" s="37">
        <f>MAX(J355/(C328*J331/1000/100)/2,C349)</f>
        <v>3.125</v>
      </c>
      <c r="K356" s="29" t="s">
        <v>32</v>
      </c>
      <c r="L356" s="75"/>
      <c r="M356" s="75"/>
      <c r="N356" s="75"/>
      <c r="O356" s="75"/>
      <c r="P356" s="75"/>
    </row>
    <row r="357" spans="2:16" x14ac:dyDescent="0.3">
      <c r="B357" s="75"/>
      <c r="C357" s="75"/>
      <c r="D357" s="75"/>
      <c r="E357" s="75"/>
      <c r="F357" s="75"/>
      <c r="G357" s="75"/>
      <c r="H357" s="75"/>
      <c r="I357" s="19" t="s">
        <v>65</v>
      </c>
      <c r="J357" s="36">
        <f>J356/C332/100*2</f>
        <v>2.5000000000000001E-3</v>
      </c>
      <c r="K357" s="16" t="s">
        <v>50</v>
      </c>
      <c r="L357" s="75"/>
      <c r="M357" s="75"/>
      <c r="N357" s="75"/>
      <c r="O357" s="75"/>
      <c r="P357" s="75"/>
    </row>
    <row r="358" spans="2:16" x14ac:dyDescent="0.3">
      <c r="B358" s="75"/>
      <c r="C358" s="75"/>
      <c r="D358" s="75"/>
      <c r="E358" s="75"/>
      <c r="F358" s="75"/>
      <c r="G358" s="75"/>
      <c r="H358" s="75"/>
      <c r="I358" s="19" t="s">
        <v>53</v>
      </c>
      <c r="J358" s="16">
        <f>MAX(0.0025,0.0025*0.5*(2.5-C332/(C333*0.8))*(J357-0.0025))</f>
        <v>2.5000000000000001E-3</v>
      </c>
      <c r="K358" s="29" t="s">
        <v>50</v>
      </c>
      <c r="L358" s="75"/>
      <c r="M358" s="39" t="str">
        <f>IF(OR(J357&gt;J358,ABS(J357-J358)&lt;0.0001),"[OK]","[REDISEÑAR]")</f>
        <v>[OK]</v>
      </c>
      <c r="N358" s="75"/>
      <c r="O358" s="75"/>
      <c r="P358" s="75"/>
    </row>
    <row r="359" spans="2:16" x14ac:dyDescent="0.3">
      <c r="B359" s="75"/>
      <c r="C359" s="75"/>
      <c r="D359" s="75"/>
      <c r="E359" s="75"/>
      <c r="F359" s="75"/>
      <c r="G359" s="75"/>
      <c r="H359" s="75"/>
      <c r="I359" s="19" t="s">
        <v>47</v>
      </c>
      <c r="J359" s="34">
        <f>SQRT(C327*0.0980665)*(1/0.0980665)/1000*0.66*0.8*C333*C332</f>
        <v>269.95226518142476</v>
      </c>
      <c r="K359" s="16" t="s">
        <v>12</v>
      </c>
      <c r="L359" s="75"/>
      <c r="M359" s="40" t="s">
        <v>44</v>
      </c>
      <c r="N359" s="75"/>
      <c r="O359" s="15"/>
      <c r="P359" s="75"/>
    </row>
    <row r="360" spans="2:16" x14ac:dyDescent="0.3">
      <c r="B360" s="75"/>
      <c r="C360" s="75"/>
      <c r="D360" s="75"/>
      <c r="E360" s="75"/>
      <c r="F360" s="75"/>
      <c r="G360" s="75"/>
      <c r="H360" s="75"/>
      <c r="I360" s="63" t="s">
        <v>34</v>
      </c>
      <c r="J360" s="63">
        <f>ROUNDDOWN(1/J356*C348*100,0)</f>
        <v>25</v>
      </c>
      <c r="K360" s="64" t="s">
        <v>5</v>
      </c>
      <c r="L360" s="75"/>
      <c r="M360" s="39" t="str">
        <f>IF(OR(J360&lt;10,J360&gt;25),"[REDISEÑAR]","[OK")</f>
        <v>[OK</v>
      </c>
      <c r="N360" s="41" t="s">
        <v>80</v>
      </c>
      <c r="O360" s="42">
        <f>1/J356*(C344/2)^2*PI()</f>
        <v>25.132741228718345</v>
      </c>
      <c r="P360" s="75" t="str">
        <f>"$\phi$"&amp;C344&amp;"@"&amp;J360</f>
        <v>$\phi$10@25</v>
      </c>
    </row>
    <row r="361" spans="2:16" x14ac:dyDescent="0.3">
      <c r="B361" s="75"/>
      <c r="C361" s="75"/>
      <c r="D361" s="75"/>
      <c r="E361" s="75"/>
      <c r="F361" s="75"/>
      <c r="G361" s="75"/>
      <c r="H361" s="75"/>
      <c r="I361" s="31" t="s">
        <v>48</v>
      </c>
      <c r="J361" s="30">
        <f>C348*2*IF(J331/C345&gt;=1,J331/C345,0)</f>
        <v>30.428568844769707</v>
      </c>
      <c r="K361" s="29" t="s">
        <v>17</v>
      </c>
      <c r="L361" s="75"/>
      <c r="M361" s="75"/>
      <c r="N361" s="15"/>
      <c r="O361" s="15"/>
      <c r="P361" s="75"/>
    </row>
    <row r="362" spans="2:16" x14ac:dyDescent="0.3">
      <c r="B362" s="75"/>
      <c r="C362" s="75"/>
      <c r="D362" s="75"/>
      <c r="E362" s="75"/>
      <c r="F362" s="75"/>
      <c r="G362" s="75"/>
      <c r="H362" s="75"/>
      <c r="I362" s="19" t="s">
        <v>81</v>
      </c>
      <c r="J362" s="34">
        <f>MIN(J361*C328/1000,J359)</f>
        <v>127.79998914803276</v>
      </c>
      <c r="K362" s="16" t="s">
        <v>12</v>
      </c>
      <c r="L362" s="75"/>
      <c r="M362" s="40" t="s">
        <v>82</v>
      </c>
      <c r="N362" s="15"/>
      <c r="O362" s="15"/>
      <c r="P362" s="75"/>
    </row>
    <row r="363" spans="2:16" x14ac:dyDescent="0.3">
      <c r="B363" s="75"/>
      <c r="C363" s="75"/>
      <c r="D363" s="75"/>
      <c r="E363" s="75"/>
      <c r="F363" s="75"/>
      <c r="G363" s="75"/>
      <c r="H363" s="75"/>
      <c r="I363" s="19" t="s">
        <v>79</v>
      </c>
      <c r="J363" s="34">
        <f>J362+J354</f>
        <v>183.11445242994245</v>
      </c>
      <c r="K363" s="16" t="s">
        <v>12</v>
      </c>
      <c r="L363" s="75"/>
      <c r="M363" s="39" t="str">
        <f>IF(J363&gt;J352,"[OK]","[REDISEÑAR]")</f>
        <v>[OK]</v>
      </c>
      <c r="N363" s="41" t="str">
        <f>IF(O363&gt;0,"Sobrado","Faltan")</f>
        <v>Sobrado</v>
      </c>
      <c r="O363" s="43">
        <f>J363-J352</f>
        <v>95.478485763275785</v>
      </c>
      <c r="P363" s="75"/>
    </row>
    <row r="364" spans="2:16" x14ac:dyDescent="0.3">
      <c r="B364" s="75"/>
      <c r="C364" s="75"/>
      <c r="D364" s="75"/>
      <c r="E364" s="75"/>
      <c r="F364" s="75"/>
      <c r="G364" s="75"/>
      <c r="H364" s="75"/>
      <c r="J364" s="75"/>
      <c r="K364" s="75"/>
      <c r="L364" s="75"/>
      <c r="M364" s="75"/>
      <c r="N364" s="75"/>
      <c r="O364" s="75"/>
      <c r="P364" s="75"/>
    </row>
    <row r="365" spans="2:16" x14ac:dyDescent="0.3">
      <c r="B365" s="75"/>
      <c r="C365" s="75"/>
      <c r="D365" s="75"/>
      <c r="E365" s="75"/>
      <c r="F365" s="75"/>
      <c r="G365" s="75"/>
      <c r="H365" s="75"/>
      <c r="I365" s="18" t="s">
        <v>45</v>
      </c>
      <c r="J365" s="75"/>
      <c r="K365" s="75"/>
      <c r="L365" s="75"/>
      <c r="M365" s="75"/>
      <c r="N365" s="75"/>
      <c r="O365" s="15"/>
      <c r="P365" s="75"/>
    </row>
    <row r="366" spans="2:16" x14ac:dyDescent="0.3">
      <c r="B366" s="75"/>
      <c r="C366" s="75"/>
      <c r="D366" s="75"/>
      <c r="E366" s="75"/>
      <c r="F366" s="75"/>
      <c r="G366" s="75"/>
      <c r="H366" s="75"/>
      <c r="I366" s="19" t="s">
        <v>40</v>
      </c>
      <c r="J366" s="16">
        <f>J340</f>
        <v>52.581579999999995</v>
      </c>
      <c r="K366" s="16" t="s">
        <v>12</v>
      </c>
      <c r="L366" s="75"/>
      <c r="M366" s="75"/>
      <c r="N366" s="75"/>
      <c r="O366" s="26"/>
      <c r="P366" s="75"/>
    </row>
    <row r="367" spans="2:16" x14ac:dyDescent="0.3">
      <c r="B367" s="75"/>
      <c r="C367" s="75"/>
      <c r="D367" s="75"/>
      <c r="E367" s="75"/>
      <c r="F367" s="75"/>
      <c r="G367" s="75"/>
      <c r="H367" s="75"/>
      <c r="I367" s="19" t="s">
        <v>46</v>
      </c>
      <c r="J367" s="34">
        <f>J352</f>
        <v>87.635966666666661</v>
      </c>
      <c r="K367" s="16" t="s">
        <v>12</v>
      </c>
      <c r="L367" s="75"/>
      <c r="M367" s="75"/>
      <c r="N367" s="75"/>
      <c r="O367" s="75"/>
      <c r="P367" s="75"/>
    </row>
    <row r="368" spans="2:16" x14ac:dyDescent="0.3">
      <c r="B368" s="75"/>
      <c r="C368" s="75"/>
      <c r="D368" s="75"/>
      <c r="E368" s="75"/>
      <c r="F368" s="75"/>
      <c r="G368" s="75"/>
      <c r="H368" s="75"/>
      <c r="I368" s="19" t="s">
        <v>38</v>
      </c>
      <c r="J368" s="34">
        <f>2/3*J353*SQRT(C327*0.0980665)*(1/0.0980665)/1000</f>
        <v>216.91946385062619</v>
      </c>
      <c r="K368" s="16" t="s">
        <v>12</v>
      </c>
      <c r="L368" s="75"/>
      <c r="M368" s="39" t="str">
        <f>IF(J368&gt;J367,"[OK]","[REDISEÑAR]")</f>
        <v>[OK]</v>
      </c>
      <c r="N368" s="41" t="str">
        <f>IF(O368&gt;0,"Sobrado","Faltan")</f>
        <v>Sobrado</v>
      </c>
      <c r="O368" s="43">
        <f>J368-J367</f>
        <v>129.28349718395953</v>
      </c>
      <c r="P368" s="75"/>
    </row>
    <row r="370" spans="2:16" ht="18" x14ac:dyDescent="0.35">
      <c r="B370" s="48" t="str">
        <f>'EJE 15'!$S$12</f>
        <v>EJE 15.C-C1 | PIER F31X | PISO 4</v>
      </c>
      <c r="C370" s="75"/>
      <c r="D370" s="75"/>
      <c r="E370" s="75"/>
      <c r="F370" s="75"/>
      <c r="G370" s="75"/>
      <c r="H370" s="75"/>
      <c r="J370" s="75"/>
      <c r="K370" s="75"/>
      <c r="L370" s="75"/>
      <c r="M370" s="75"/>
      <c r="N370" s="75"/>
      <c r="O370" s="75"/>
      <c r="P370" s="75"/>
    </row>
    <row r="371" spans="2:16" x14ac:dyDescent="0.3">
      <c r="B371" s="75"/>
      <c r="C371" s="75"/>
      <c r="D371" s="75"/>
      <c r="E371" s="75"/>
      <c r="F371" s="75"/>
      <c r="G371" s="75"/>
      <c r="H371" s="75"/>
      <c r="J371" s="75"/>
      <c r="K371" s="75"/>
      <c r="L371" s="75"/>
      <c r="M371" s="75"/>
      <c r="N371" s="75"/>
      <c r="O371" s="75"/>
      <c r="P371" s="75"/>
    </row>
    <row r="372" spans="2:16" x14ac:dyDescent="0.3">
      <c r="B372" s="17" t="s">
        <v>6</v>
      </c>
      <c r="C372" s="75"/>
      <c r="D372" s="75"/>
      <c r="E372" s="75"/>
      <c r="F372" s="75"/>
      <c r="G372" s="75"/>
      <c r="H372" s="75"/>
      <c r="I372" s="18" t="s">
        <v>25</v>
      </c>
      <c r="J372" s="75"/>
      <c r="K372" s="75"/>
      <c r="L372" s="75"/>
      <c r="M372" s="75"/>
      <c r="N372" s="75"/>
      <c r="O372" s="75"/>
      <c r="P372" s="75"/>
    </row>
    <row r="373" spans="2:16" x14ac:dyDescent="0.3">
      <c r="B373" s="19" t="s">
        <v>99</v>
      </c>
      <c r="C373" s="61">
        <f>10.1971621297793*'EJE 15'!$G$12</f>
        <v>356.90067454227551</v>
      </c>
      <c r="D373" s="16" t="s">
        <v>8</v>
      </c>
      <c r="E373" s="75"/>
      <c r="F373" s="75"/>
      <c r="G373" s="75"/>
      <c r="H373" s="75"/>
      <c r="I373" s="19" t="s">
        <v>58</v>
      </c>
      <c r="J373" s="16">
        <f>C380/16</f>
        <v>14.375</v>
      </c>
      <c r="K373" s="16" t="s">
        <v>5</v>
      </c>
      <c r="L373" s="21"/>
      <c r="M373" s="39" t="str">
        <f>IF(J373&lt;C378,"[OK]","[REDISEÑAR]")</f>
        <v>[OK]</v>
      </c>
      <c r="N373" s="75"/>
      <c r="O373" s="75"/>
      <c r="P373" s="75"/>
    </row>
    <row r="374" spans="2:16" x14ac:dyDescent="0.3">
      <c r="B374" s="19" t="s">
        <v>30</v>
      </c>
      <c r="C374" s="16">
        <v>4200</v>
      </c>
      <c r="D374" s="16" t="s">
        <v>8</v>
      </c>
      <c r="E374" s="75"/>
      <c r="F374" s="75"/>
      <c r="G374" s="75"/>
      <c r="H374" s="75"/>
      <c r="I374" s="19" t="s">
        <v>16</v>
      </c>
      <c r="J374" s="16">
        <f>C378*C379</f>
        <v>4800</v>
      </c>
      <c r="K374" s="16" t="s">
        <v>17</v>
      </c>
      <c r="L374" s="21"/>
      <c r="M374" s="75"/>
      <c r="N374" s="75"/>
      <c r="O374" s="75"/>
      <c r="P374" s="75"/>
    </row>
    <row r="375" spans="2:16" x14ac:dyDescent="0.3">
      <c r="B375" s="19" t="s">
        <v>31</v>
      </c>
      <c r="C375" s="16">
        <v>2800</v>
      </c>
      <c r="D375" s="16" t="s">
        <v>8</v>
      </c>
      <c r="E375" s="75"/>
      <c r="F375" s="75"/>
      <c r="G375" s="75"/>
      <c r="H375" s="75"/>
      <c r="I375" s="19" t="s">
        <v>51</v>
      </c>
      <c r="J375" s="16">
        <f>MIN(0.8*C379/5,3*C378,45)</f>
        <v>30.720000000000006</v>
      </c>
      <c r="K375" s="16" t="s">
        <v>5</v>
      </c>
      <c r="L375" s="21"/>
      <c r="M375" s="39" t="str">
        <f>IF(J375&gt;C391,"[OK]","[REDISEÑAR]")</f>
        <v>[OK]</v>
      </c>
      <c r="N375" s="75"/>
      <c r="O375" s="75"/>
      <c r="P375" s="75"/>
    </row>
    <row r="376" spans="2:16" x14ac:dyDescent="0.3">
      <c r="B376" s="75"/>
      <c r="C376" s="75"/>
      <c r="D376" s="75"/>
      <c r="E376" s="75"/>
      <c r="F376" s="75"/>
      <c r="G376" s="75"/>
      <c r="H376" s="75"/>
      <c r="I376" s="19" t="s">
        <v>56</v>
      </c>
      <c r="J376" s="16">
        <f>MIN(0.8*C380/3,3*C379,45)</f>
        <v>45</v>
      </c>
      <c r="K376" s="16" t="s">
        <v>5</v>
      </c>
      <c r="L376" s="21"/>
      <c r="M376" s="39" t="str">
        <f>IF(J376&gt;C391,"[OK]","[REDISEÑAR]")</f>
        <v>[OK]</v>
      </c>
      <c r="N376" s="75"/>
      <c r="O376" s="75"/>
      <c r="P376" s="75"/>
    </row>
    <row r="377" spans="2:16" x14ac:dyDescent="0.3">
      <c r="B377" s="17" t="s">
        <v>3</v>
      </c>
      <c r="C377" s="75"/>
      <c r="D377" s="75"/>
      <c r="E377" s="75"/>
      <c r="F377" s="75"/>
      <c r="G377" s="75"/>
      <c r="H377" s="75"/>
      <c r="I377" s="19" t="s">
        <v>62</v>
      </c>
      <c r="J377" s="16">
        <f>0.8*C379</f>
        <v>153.60000000000002</v>
      </c>
      <c r="K377" s="29" t="s">
        <v>5</v>
      </c>
      <c r="L377" s="75"/>
      <c r="M377" s="75"/>
      <c r="N377" s="75"/>
      <c r="O377" s="75"/>
      <c r="P377" s="75"/>
    </row>
    <row r="378" spans="2:16" x14ac:dyDescent="0.3">
      <c r="B378" s="19" t="str">
        <f>"Espesor del muro (h)"</f>
        <v>Espesor del muro (h)</v>
      </c>
      <c r="C378" s="49">
        <f>'EJE 15'!$H$12</f>
        <v>25</v>
      </c>
      <c r="D378" s="16" t="s">
        <v>5</v>
      </c>
      <c r="E378" s="75"/>
      <c r="F378" s="75"/>
      <c r="G378" s="75"/>
      <c r="H378" s="75"/>
      <c r="J378" s="75"/>
      <c r="K378" s="75"/>
      <c r="L378" s="75"/>
      <c r="M378" s="75"/>
      <c r="N378" s="75"/>
      <c r="O378" s="75"/>
      <c r="P378" s="75"/>
    </row>
    <row r="379" spans="2:16" x14ac:dyDescent="0.3">
      <c r="B379" s="19" t="s">
        <v>63</v>
      </c>
      <c r="C379" s="49">
        <f>'EJE 15'!$I$12</f>
        <v>192</v>
      </c>
      <c r="D379" s="16" t="s">
        <v>5</v>
      </c>
      <c r="E379" s="75"/>
      <c r="F379" s="75"/>
      <c r="G379" s="75"/>
      <c r="H379" s="75"/>
      <c r="I379" s="18" t="s">
        <v>26</v>
      </c>
      <c r="J379" s="75"/>
      <c r="K379" s="75"/>
      <c r="L379" s="75"/>
      <c r="M379" s="75"/>
      <c r="N379" s="75"/>
      <c r="O379" s="75"/>
      <c r="P379" s="75"/>
    </row>
    <row r="380" spans="2:16" x14ac:dyDescent="0.3">
      <c r="B380" s="19" t="s">
        <v>10</v>
      </c>
      <c r="C380" s="49">
        <f>'EJE 15'!$J$12</f>
        <v>230</v>
      </c>
      <c r="D380" s="16" t="s">
        <v>5</v>
      </c>
      <c r="E380" s="75"/>
      <c r="F380" s="75"/>
      <c r="G380" s="75"/>
      <c r="H380" s="75"/>
      <c r="I380" s="19" t="s">
        <v>28</v>
      </c>
      <c r="J380" s="16">
        <f>0.35*C373</f>
        <v>124.91523608979642</v>
      </c>
      <c r="K380" s="16" t="s">
        <v>8</v>
      </c>
      <c r="L380" s="21"/>
      <c r="M380" s="75"/>
      <c r="N380" s="75"/>
      <c r="O380" s="75"/>
      <c r="P380" s="75"/>
    </row>
    <row r="381" spans="2:16" x14ac:dyDescent="0.3">
      <c r="B381" s="75"/>
      <c r="C381" s="75"/>
      <c r="D381" s="75"/>
      <c r="E381" s="75"/>
      <c r="F381" s="75"/>
      <c r="G381" s="75"/>
      <c r="H381" s="75"/>
      <c r="I381" s="19" t="s">
        <v>27</v>
      </c>
      <c r="J381" s="30">
        <f>C383*1000/J374</f>
        <v>31.234437499999999</v>
      </c>
      <c r="K381" s="16" t="s">
        <v>8</v>
      </c>
      <c r="L381" s="21"/>
      <c r="M381" s="39" t="str">
        <f>IF(J381&lt;J380,"[OK]","[REDISEÑAR]")</f>
        <v>[OK]</v>
      </c>
      <c r="N381" s="41" t="s">
        <v>112</v>
      </c>
      <c r="O381" s="59">
        <f>J381/J380</f>
        <v>0.25004505837499957</v>
      </c>
      <c r="P381" s="75"/>
    </row>
    <row r="382" spans="2:16" x14ac:dyDescent="0.3">
      <c r="B382" s="17" t="s">
        <v>11</v>
      </c>
      <c r="C382" s="75"/>
      <c r="D382" s="75"/>
      <c r="E382" s="75"/>
      <c r="F382" s="75"/>
      <c r="G382" s="75"/>
      <c r="H382" s="75"/>
      <c r="J382" s="75"/>
      <c r="K382" s="75"/>
      <c r="L382" s="75"/>
      <c r="M382" s="75"/>
      <c r="N382" s="75"/>
      <c r="O382" s="75"/>
      <c r="P382" s="75"/>
    </row>
    <row r="383" spans="2:16" x14ac:dyDescent="0.3">
      <c r="B383" s="19" t="str">
        <f>"$N_U$"</f>
        <v>$N_U$</v>
      </c>
      <c r="C383" s="60">
        <f>'EJE 15'!$K$12</f>
        <v>149.92529999999999</v>
      </c>
      <c r="D383" s="16" t="s">
        <v>12</v>
      </c>
      <c r="E383" s="75"/>
      <c r="F383" s="75"/>
      <c r="G383" s="75"/>
      <c r="H383" s="75"/>
      <c r="I383" s="18" t="s">
        <v>54</v>
      </c>
      <c r="J383" s="75"/>
      <c r="K383" s="75"/>
      <c r="L383" s="75"/>
      <c r="M383" s="75"/>
      <c r="N383" s="75"/>
      <c r="O383" s="75"/>
      <c r="P383" s="75"/>
    </row>
    <row r="384" spans="2:16" x14ac:dyDescent="0.3">
      <c r="B384" s="19" t="s">
        <v>14</v>
      </c>
      <c r="C384" s="60">
        <f>'EJE 15'!$L$12</f>
        <v>1.7707999999999999</v>
      </c>
      <c r="D384" s="16" t="s">
        <v>12</v>
      </c>
      <c r="E384" s="75"/>
      <c r="F384" s="75"/>
      <c r="G384" s="75"/>
      <c r="H384" s="75"/>
      <c r="I384" s="19" t="s">
        <v>72</v>
      </c>
      <c r="J384" s="16">
        <f>1.2*C384+C385+1.4*C386</f>
        <v>7.4965599999999997</v>
      </c>
      <c r="K384" s="16" t="s">
        <v>12</v>
      </c>
      <c r="L384" s="75"/>
      <c r="M384" s="75" t="s">
        <v>68</v>
      </c>
      <c r="N384" s="75"/>
      <c r="O384" s="75"/>
      <c r="P384" s="75"/>
    </row>
    <row r="385" spans="2:16" x14ac:dyDescent="0.3">
      <c r="B385" s="19" t="s">
        <v>13</v>
      </c>
      <c r="C385" s="60">
        <f>'EJE 15'!$M$12</f>
        <v>0.82930000000000004</v>
      </c>
      <c r="D385" s="16" t="s">
        <v>12</v>
      </c>
      <c r="E385" s="75"/>
      <c r="F385" s="75"/>
      <c r="G385" s="75"/>
      <c r="H385" s="75"/>
      <c r="I385" s="19" t="s">
        <v>69</v>
      </c>
      <c r="J385" s="16">
        <f>SUM(C384:C386)</f>
        <v>5.8445999999999998</v>
      </c>
      <c r="K385" s="16" t="s">
        <v>12</v>
      </c>
      <c r="L385" s="75"/>
      <c r="M385" s="75" t="s">
        <v>70</v>
      </c>
      <c r="N385" s="75"/>
      <c r="O385" s="75"/>
      <c r="P385" s="75"/>
    </row>
    <row r="386" spans="2:16" x14ac:dyDescent="0.3">
      <c r="B386" s="19" t="s">
        <v>15</v>
      </c>
      <c r="C386" s="60">
        <f>'EJE 15'!$N$12</f>
        <v>3.2444999999999999</v>
      </c>
      <c r="D386" s="16" t="s">
        <v>12</v>
      </c>
      <c r="E386" s="75"/>
      <c r="F386" s="75"/>
      <c r="G386" s="75"/>
      <c r="H386" s="75"/>
      <c r="I386" s="19" t="s">
        <v>73</v>
      </c>
      <c r="J386" s="16">
        <f>IF(C387=0,J384,C387)</f>
        <v>7.4965599999999997</v>
      </c>
      <c r="K386" s="16" t="s">
        <v>12</v>
      </c>
      <c r="L386" s="75"/>
      <c r="M386" s="40" t="s">
        <v>74</v>
      </c>
      <c r="N386" s="75"/>
      <c r="O386" s="75"/>
      <c r="P386" s="75"/>
    </row>
    <row r="387" spans="2:16" x14ac:dyDescent="0.3">
      <c r="B387" s="19" t="s">
        <v>55</v>
      </c>
      <c r="C387" s="16">
        <v>0</v>
      </c>
      <c r="D387" s="16" t="s">
        <v>12</v>
      </c>
      <c r="E387" s="75"/>
      <c r="F387" s="75"/>
      <c r="G387" s="75"/>
      <c r="H387" s="75"/>
      <c r="I387" s="19" t="s">
        <v>71</v>
      </c>
      <c r="J387" s="16">
        <f>IF(C387=0,J385,C387)</f>
        <v>5.8445999999999998</v>
      </c>
      <c r="K387" s="16" t="s">
        <v>12</v>
      </c>
      <c r="L387" s="75"/>
      <c r="M387" s="40" t="s">
        <v>75</v>
      </c>
      <c r="N387" s="75"/>
      <c r="O387" s="75"/>
      <c r="P387" s="75"/>
    </row>
    <row r="388" spans="2:16" x14ac:dyDescent="0.3">
      <c r="B388" s="75"/>
      <c r="C388" s="75"/>
      <c r="D388" s="75"/>
      <c r="E388" s="75"/>
      <c r="F388" s="75"/>
      <c r="G388" s="75"/>
      <c r="H388" s="75"/>
      <c r="J388" s="75"/>
      <c r="K388" s="75"/>
      <c r="L388" s="75"/>
      <c r="M388" s="75"/>
      <c r="N388" s="75"/>
      <c r="O388" s="75"/>
      <c r="P388" s="75"/>
    </row>
    <row r="389" spans="2:16" x14ac:dyDescent="0.3">
      <c r="B389" s="33" t="s">
        <v>42</v>
      </c>
      <c r="C389" s="75"/>
      <c r="D389" s="75"/>
      <c r="E389" s="75"/>
      <c r="F389" s="75"/>
      <c r="G389" s="75"/>
      <c r="H389" s="75"/>
      <c r="I389" s="27" t="s">
        <v>76</v>
      </c>
      <c r="J389" s="75"/>
      <c r="K389" s="75"/>
      <c r="L389" s="75"/>
      <c r="M389" s="75"/>
      <c r="N389" s="75"/>
      <c r="O389" s="75"/>
      <c r="P389" s="75"/>
    </row>
    <row r="390" spans="2:16" x14ac:dyDescent="0.3">
      <c r="B390" s="31" t="s">
        <v>41</v>
      </c>
      <c r="C390" s="16">
        <v>12</v>
      </c>
      <c r="D390" s="29" t="s">
        <v>35</v>
      </c>
      <c r="E390" s="75"/>
      <c r="F390" s="75"/>
      <c r="G390" s="75"/>
      <c r="H390" s="75"/>
      <c r="I390" s="19" t="s">
        <v>29</v>
      </c>
      <c r="J390" s="30">
        <f>J387*1000/J374</f>
        <v>1.217625</v>
      </c>
      <c r="K390" s="29" t="s">
        <v>8</v>
      </c>
      <c r="L390" s="75"/>
      <c r="M390" s="75"/>
      <c r="N390" s="75"/>
      <c r="O390" s="75"/>
      <c r="P390" s="75"/>
    </row>
    <row r="391" spans="2:16" x14ac:dyDescent="0.3">
      <c r="B391" s="31" t="s">
        <v>43</v>
      </c>
      <c r="C391" s="16">
        <v>14</v>
      </c>
      <c r="D391" s="29" t="s">
        <v>5</v>
      </c>
      <c r="E391" s="75"/>
      <c r="F391" s="39" t="str">
        <f>IF(OR(C391&gt;25,C391&lt;10),"[REDISEÑAR]",IF(AND(C391&lt;=J392,C391&lt;=J406),"[OK]","[REDISEÑAR]"))</f>
        <v>[OK]</v>
      </c>
      <c r="G391" s="75"/>
      <c r="H391" s="75"/>
      <c r="I391" s="19" t="s">
        <v>61</v>
      </c>
      <c r="J391" s="37">
        <f>MAX(J390*100*C378/(2*C375),C395)</f>
        <v>3.125</v>
      </c>
      <c r="K391" s="29" t="s">
        <v>32</v>
      </c>
      <c r="L391" s="75"/>
      <c r="M391" s="15"/>
      <c r="N391" s="15"/>
      <c r="O391" s="15"/>
      <c r="P391" s="75"/>
    </row>
    <row r="392" spans="2:16" x14ac:dyDescent="0.3">
      <c r="B392" s="75"/>
      <c r="C392" s="50" t="str">
        <f>"$\phi$"&amp;C390&amp;"@"&amp;C391</f>
        <v>$\phi$12@14</v>
      </c>
      <c r="D392" s="75"/>
      <c r="E392" s="75"/>
      <c r="F392" s="39" t="str">
        <f>IF(OR(J391=C395,J402=C395),"[ÁREA MINIMA]","[]")</f>
        <v>[ÁREA MINIMA]</v>
      </c>
      <c r="G392" s="75"/>
      <c r="H392" s="75"/>
      <c r="I392" s="63" t="s">
        <v>34</v>
      </c>
      <c r="J392" s="63">
        <f>ROUNDDOWN((1/J391)*C394*100,0)</f>
        <v>36</v>
      </c>
      <c r="K392" s="64" t="s">
        <v>5</v>
      </c>
      <c r="L392" s="75"/>
      <c r="M392" s="39" t="str">
        <f>IF(OR(J392&lt;10,J392&gt;25),"[REDISEÑAR]","[OK")</f>
        <v>[REDISEÑAR]</v>
      </c>
      <c r="N392" s="41" t="s">
        <v>80</v>
      </c>
      <c r="O392" s="42">
        <f>1/J391*(C390/2)^2*PI()</f>
        <v>36.191147369354418</v>
      </c>
      <c r="P392" s="75" t="str">
        <f>"$\phi$"&amp;C390&amp;"@"&amp;J392</f>
        <v>$\phi$12@36</v>
      </c>
    </row>
    <row r="393" spans="2:16" x14ac:dyDescent="0.3">
      <c r="B393" s="18" t="s">
        <v>52</v>
      </c>
      <c r="C393" s="75"/>
      <c r="D393" s="75"/>
      <c r="E393" s="75"/>
      <c r="F393" s="62" t="str">
        <f>IF(J381&lt;J380,IF(J409&gt;J398,"[OK]","[REDISEÑAR]"),"[REDISEÑAR]")</f>
        <v>[OK]</v>
      </c>
      <c r="G393" s="75"/>
      <c r="H393" s="75"/>
      <c r="I393" s="31" t="s">
        <v>48</v>
      </c>
      <c r="J393" s="30">
        <f>C394*2*IF(C379/C391&gt;=1,C379/C391,0)</f>
        <v>31.020983459446644</v>
      </c>
      <c r="K393" s="29" t="s">
        <v>17</v>
      </c>
      <c r="L393" s="75"/>
      <c r="M393" s="75"/>
      <c r="N393" s="15"/>
      <c r="O393" s="44"/>
      <c r="P393" s="75"/>
    </row>
    <row r="394" spans="2:16" x14ac:dyDescent="0.3">
      <c r="B394" s="31" t="s">
        <v>66</v>
      </c>
      <c r="C394" s="30">
        <f>(C390/(2*10))^2*PI()</f>
        <v>1.1309733552923256</v>
      </c>
      <c r="D394" s="29" t="s">
        <v>17</v>
      </c>
      <c r="E394" s="75"/>
      <c r="F394" s="75"/>
      <c r="G394" s="75"/>
      <c r="H394" s="75"/>
      <c r="I394" s="19" t="s">
        <v>49</v>
      </c>
      <c r="J394" s="34">
        <f>C375*J393/1000</f>
        <v>86.858753686450598</v>
      </c>
      <c r="K394" s="16" t="s">
        <v>12</v>
      </c>
      <c r="L394" s="75"/>
      <c r="M394" s="39" t="str">
        <f>IF(J394&gt;J387,"[OK]","[REDISEÑAR]")</f>
        <v>[OK]</v>
      </c>
      <c r="N394" s="41" t="str">
        <f>IF(O394&gt;0,"Sobrado","Faltan")</f>
        <v>Sobrado</v>
      </c>
      <c r="O394" s="43">
        <f>J394-J387</f>
        <v>81.014153686450598</v>
      </c>
      <c r="P394" s="75"/>
    </row>
    <row r="395" spans="2:16" x14ac:dyDescent="0.3">
      <c r="B395" s="31" t="s">
        <v>78</v>
      </c>
      <c r="C395" s="37">
        <f>2.5/1000*100*C378/2</f>
        <v>3.125</v>
      </c>
      <c r="D395" s="16" t="s">
        <v>17</v>
      </c>
      <c r="E395" s="75"/>
      <c r="F395" s="75"/>
      <c r="G395" s="75"/>
      <c r="H395" s="75"/>
      <c r="J395" s="75"/>
      <c r="K395" s="75"/>
      <c r="L395" s="75"/>
      <c r="M395" s="75"/>
      <c r="N395" s="75"/>
      <c r="O395" s="15"/>
      <c r="P395" s="75"/>
    </row>
    <row r="396" spans="2:16" x14ac:dyDescent="0.3">
      <c r="B396" s="31" t="s">
        <v>114</v>
      </c>
      <c r="C396" s="37">
        <f>C394*100/C391</f>
        <v>8.0783811092308966</v>
      </c>
      <c r="D396" s="29" t="s">
        <v>32</v>
      </c>
      <c r="E396" s="75"/>
      <c r="F396" s="75"/>
      <c r="G396" s="75"/>
      <c r="H396" s="75"/>
      <c r="I396" s="18" t="s">
        <v>77</v>
      </c>
      <c r="J396" s="75"/>
      <c r="K396" s="75"/>
      <c r="L396" s="75"/>
      <c r="M396" s="17" t="s">
        <v>67</v>
      </c>
      <c r="N396" s="75"/>
      <c r="O396" s="75"/>
      <c r="P396" s="75"/>
    </row>
    <row r="397" spans="2:16" x14ac:dyDescent="0.3">
      <c r="B397" s="75"/>
      <c r="C397" s="75"/>
      <c r="D397" s="75"/>
      <c r="E397" s="75"/>
      <c r="F397" s="75"/>
      <c r="G397" s="75"/>
      <c r="H397" s="75"/>
      <c r="I397" s="19" t="s">
        <v>33</v>
      </c>
      <c r="J397" s="16">
        <v>0.6</v>
      </c>
      <c r="K397" s="16" t="s">
        <v>50</v>
      </c>
      <c r="L397" s="75"/>
      <c r="M397" s="19" t="s">
        <v>64</v>
      </c>
      <c r="N397" s="30">
        <f>SQRT(C373*0.0980665)*(1/0.0980665)/1000*J399*0.17</f>
        <v>31.250778100012241</v>
      </c>
      <c r="O397" s="16" t="s">
        <v>12</v>
      </c>
      <c r="P397" s="75"/>
    </row>
    <row r="398" spans="2:16" x14ac:dyDescent="0.3">
      <c r="B398" s="17" t="s">
        <v>37</v>
      </c>
      <c r="C398" s="75"/>
      <c r="D398" s="75"/>
      <c r="E398" s="75"/>
      <c r="F398" s="75"/>
      <c r="G398" s="75"/>
      <c r="H398" s="75"/>
      <c r="I398" s="19" t="s">
        <v>46</v>
      </c>
      <c r="J398" s="34">
        <f>J386/J397</f>
        <v>12.494266666666666</v>
      </c>
      <c r="K398" s="16" t="s">
        <v>12</v>
      </c>
      <c r="L398" s="75"/>
      <c r="M398" s="19" t="s">
        <v>57</v>
      </c>
      <c r="N398" s="16">
        <f>IF(C380/J377&lt;=1.5,0.25,IF(C380/J377&gt;=2,0.17,0.17+(0.25-0.17)/(C380/J377-1.5)*C380/J377))</f>
        <v>0.25</v>
      </c>
      <c r="O398" s="29" t="s">
        <v>50</v>
      </c>
      <c r="P398" s="75"/>
    </row>
    <row r="399" spans="2:16" x14ac:dyDescent="0.3">
      <c r="B399" s="31" t="s">
        <v>115</v>
      </c>
      <c r="C399" s="37">
        <f>O394</f>
        <v>81.014153686450598</v>
      </c>
      <c r="D399" s="29" t="s">
        <v>12</v>
      </c>
      <c r="E399" s="75"/>
      <c r="F399" s="75"/>
      <c r="G399" s="75"/>
      <c r="H399" s="75"/>
      <c r="I399" s="19" t="s">
        <v>36</v>
      </c>
      <c r="J399" s="35">
        <f>J377*C378*0.8-J407</f>
        <v>3047.183213232443</v>
      </c>
      <c r="K399" s="16" t="s">
        <v>17</v>
      </c>
      <c r="L399" s="75"/>
      <c r="M399" s="19" t="s">
        <v>59</v>
      </c>
      <c r="N399" s="30">
        <f>SQRT(C373*0.0980665)*(1/0.0980665)/1000*J399*N398</f>
        <v>45.957026617665058</v>
      </c>
      <c r="O399" s="29" t="s">
        <v>12</v>
      </c>
      <c r="P399" s="75"/>
    </row>
    <row r="400" spans="2:16" x14ac:dyDescent="0.3">
      <c r="B400" s="31" t="s">
        <v>116</v>
      </c>
      <c r="C400" s="37">
        <f>O409</f>
        <v>122.98701585708635</v>
      </c>
      <c r="D400" s="29" t="s">
        <v>12</v>
      </c>
      <c r="E400" s="75"/>
      <c r="F400" s="75"/>
      <c r="G400" s="75"/>
      <c r="H400" s="75"/>
      <c r="I400" s="19" t="s">
        <v>60</v>
      </c>
      <c r="J400" s="34">
        <f>MIN(N399,N397)</f>
        <v>31.250778100012241</v>
      </c>
      <c r="K400" s="29" t="s">
        <v>12</v>
      </c>
      <c r="L400" s="75"/>
      <c r="M400" s="75"/>
      <c r="N400" s="75"/>
      <c r="O400" s="75"/>
      <c r="P400" s="75"/>
    </row>
    <row r="401" spans="2:16" x14ac:dyDescent="0.3">
      <c r="B401" s="19" t="s">
        <v>117</v>
      </c>
      <c r="C401" s="36">
        <f>C394*2*C379/C391/J374</f>
        <v>6.4627048873847183E-3</v>
      </c>
      <c r="D401" s="16" t="s">
        <v>50</v>
      </c>
      <c r="E401" s="75"/>
      <c r="F401" s="75"/>
      <c r="G401" s="75"/>
      <c r="H401" s="75"/>
      <c r="I401" s="19" t="s">
        <v>39</v>
      </c>
      <c r="J401" s="34">
        <f>J398-J400</f>
        <v>-18.756511433345572</v>
      </c>
      <c r="K401" s="16" t="s">
        <v>12</v>
      </c>
      <c r="L401" s="75"/>
      <c r="M401" s="75"/>
      <c r="N401" s="75"/>
      <c r="O401" s="75"/>
      <c r="P401" s="75"/>
    </row>
    <row r="402" spans="2:16" x14ac:dyDescent="0.3">
      <c r="B402" s="75"/>
      <c r="C402" s="75"/>
      <c r="D402" s="75"/>
      <c r="E402" s="75"/>
      <c r="F402" s="75"/>
      <c r="G402" s="75"/>
      <c r="H402" s="75"/>
      <c r="I402" s="19" t="s">
        <v>61</v>
      </c>
      <c r="J402" s="37">
        <f>MAX(J401/(C374*J377/1000/100)/2,C395)</f>
        <v>3.125</v>
      </c>
      <c r="K402" s="29" t="s">
        <v>32</v>
      </c>
      <c r="L402" s="75"/>
      <c r="M402" s="75"/>
      <c r="N402" s="75"/>
      <c r="O402" s="75"/>
      <c r="P402" s="75"/>
    </row>
    <row r="403" spans="2:16" x14ac:dyDescent="0.3">
      <c r="B403" s="75"/>
      <c r="C403" s="75"/>
      <c r="D403" s="75"/>
      <c r="E403" s="75"/>
      <c r="F403" s="75"/>
      <c r="G403" s="75"/>
      <c r="H403" s="75"/>
      <c r="I403" s="19" t="s">
        <v>65</v>
      </c>
      <c r="J403" s="36">
        <f>J402/C378/100*2</f>
        <v>2.5000000000000001E-3</v>
      </c>
      <c r="K403" s="16" t="s">
        <v>50</v>
      </c>
      <c r="L403" s="75"/>
      <c r="M403" s="75"/>
      <c r="N403" s="75"/>
      <c r="O403" s="75"/>
      <c r="P403" s="75"/>
    </row>
    <row r="404" spans="2:16" x14ac:dyDescent="0.3">
      <c r="B404" s="75"/>
      <c r="C404" s="75"/>
      <c r="D404" s="75"/>
      <c r="E404" s="75"/>
      <c r="F404" s="75"/>
      <c r="G404" s="75"/>
      <c r="H404" s="75"/>
      <c r="I404" s="19" t="s">
        <v>53</v>
      </c>
      <c r="J404" s="16">
        <f>MAX(0.0025,0.0025*0.5*(2.5-C378/(C379*0.8))*(J403-0.0025))</f>
        <v>2.5000000000000001E-3</v>
      </c>
      <c r="K404" s="29" t="s">
        <v>50</v>
      </c>
      <c r="L404" s="75"/>
      <c r="M404" s="39" t="str">
        <f>IF(OR(J403&gt;J404,ABS(J403-J404)&lt;0.0001),"[OK]","[REDISEÑAR]")</f>
        <v>[OK]</v>
      </c>
      <c r="N404" s="75"/>
      <c r="O404" s="75"/>
      <c r="P404" s="75"/>
    </row>
    <row r="405" spans="2:16" x14ac:dyDescent="0.3">
      <c r="B405" s="75"/>
      <c r="C405" s="75"/>
      <c r="D405" s="75"/>
      <c r="E405" s="75"/>
      <c r="F405" s="75"/>
      <c r="G405" s="75"/>
      <c r="H405" s="75"/>
      <c r="I405" s="19" t="s">
        <v>47</v>
      </c>
      <c r="J405" s="34">
        <f>SQRT(C373*0.0980665)*(1/0.0980665)/1000*0.66*0.8*C379*C378</f>
        <v>152.89331833284234</v>
      </c>
      <c r="K405" s="16" t="s">
        <v>12</v>
      </c>
      <c r="L405" s="75"/>
      <c r="M405" s="40" t="s">
        <v>44</v>
      </c>
      <c r="N405" s="75"/>
      <c r="O405" s="15"/>
      <c r="P405" s="75"/>
    </row>
    <row r="406" spans="2:16" x14ac:dyDescent="0.3">
      <c r="B406" s="75"/>
      <c r="C406" s="75"/>
      <c r="D406" s="75"/>
      <c r="E406" s="75"/>
      <c r="F406" s="75"/>
      <c r="G406" s="75"/>
      <c r="H406" s="75"/>
      <c r="I406" s="63" t="s">
        <v>34</v>
      </c>
      <c r="J406" s="63">
        <f>ROUNDDOWN(1/J402*C394*100,0)</f>
        <v>36</v>
      </c>
      <c r="K406" s="64" t="s">
        <v>5</v>
      </c>
      <c r="L406" s="75"/>
      <c r="M406" s="39" t="str">
        <f>IF(OR(J406&lt;10,J406&gt;25),"[REDISEÑAR]","[OK")</f>
        <v>[REDISEÑAR]</v>
      </c>
      <c r="N406" s="41" t="s">
        <v>80</v>
      </c>
      <c r="O406" s="42">
        <f>1/J402*(C390/2)^2*PI()</f>
        <v>36.191147369354418</v>
      </c>
      <c r="P406" s="75" t="str">
        <f>"$\phi$"&amp;C390&amp;"@"&amp;J406</f>
        <v>$\phi$12@36</v>
      </c>
    </row>
    <row r="407" spans="2:16" x14ac:dyDescent="0.3">
      <c r="B407" s="75"/>
      <c r="C407" s="75"/>
      <c r="D407" s="75"/>
      <c r="E407" s="75"/>
      <c r="F407" s="75"/>
      <c r="G407" s="75"/>
      <c r="H407" s="75"/>
      <c r="I407" s="31" t="s">
        <v>48</v>
      </c>
      <c r="J407" s="30">
        <f>C394*2*IF(J377/C391&gt;=1,J377/C391,0)</f>
        <v>24.816786767557321</v>
      </c>
      <c r="K407" s="29" t="s">
        <v>17</v>
      </c>
      <c r="L407" s="75"/>
      <c r="M407" s="75"/>
      <c r="N407" s="15"/>
      <c r="O407" s="15"/>
      <c r="P407" s="75"/>
    </row>
    <row r="408" spans="2:16" x14ac:dyDescent="0.3">
      <c r="B408" s="75"/>
      <c r="C408" s="75"/>
      <c r="D408" s="75"/>
      <c r="E408" s="75"/>
      <c r="F408" s="75"/>
      <c r="G408" s="75"/>
      <c r="H408" s="75"/>
      <c r="I408" s="19" t="s">
        <v>81</v>
      </c>
      <c r="J408" s="34">
        <f>MIN(J407*C374/1000,J405)</f>
        <v>104.23050442374075</v>
      </c>
      <c r="K408" s="16" t="s">
        <v>12</v>
      </c>
      <c r="L408" s="75"/>
      <c r="M408" s="40" t="s">
        <v>82</v>
      </c>
      <c r="N408" s="15"/>
      <c r="O408" s="15"/>
      <c r="P408" s="75"/>
    </row>
    <row r="409" spans="2:16" x14ac:dyDescent="0.3">
      <c r="B409" s="75"/>
      <c r="C409" s="75"/>
      <c r="D409" s="75"/>
      <c r="E409" s="75"/>
      <c r="F409" s="75"/>
      <c r="G409" s="75"/>
      <c r="H409" s="75"/>
      <c r="I409" s="19" t="s">
        <v>79</v>
      </c>
      <c r="J409" s="34">
        <f>J408+J400</f>
        <v>135.48128252375301</v>
      </c>
      <c r="K409" s="16" t="s">
        <v>12</v>
      </c>
      <c r="L409" s="75"/>
      <c r="M409" s="39" t="str">
        <f>IF(J409&gt;J398,"[OK]","[REDISEÑAR]")</f>
        <v>[OK]</v>
      </c>
      <c r="N409" s="41" t="str">
        <f>IF(O409&gt;0,"Sobrado","Faltan")</f>
        <v>Sobrado</v>
      </c>
      <c r="O409" s="43">
        <f>J409-J398</f>
        <v>122.98701585708635</v>
      </c>
      <c r="P409" s="75"/>
    </row>
    <row r="410" spans="2:16" x14ac:dyDescent="0.3">
      <c r="B410" s="75"/>
      <c r="C410" s="75"/>
      <c r="D410" s="75"/>
      <c r="E410" s="75"/>
      <c r="F410" s="75"/>
      <c r="G410" s="75"/>
      <c r="H410" s="75"/>
      <c r="J410" s="75"/>
      <c r="K410" s="75"/>
      <c r="L410" s="75"/>
      <c r="M410" s="75"/>
      <c r="N410" s="75"/>
      <c r="O410" s="75"/>
      <c r="P410" s="75"/>
    </row>
    <row r="411" spans="2:16" x14ac:dyDescent="0.3">
      <c r="B411" s="75"/>
      <c r="C411" s="75"/>
      <c r="D411" s="75"/>
      <c r="E411" s="75"/>
      <c r="F411" s="75"/>
      <c r="G411" s="75"/>
      <c r="H411" s="75"/>
      <c r="I411" s="18" t="s">
        <v>45</v>
      </c>
      <c r="J411" s="75"/>
      <c r="K411" s="75"/>
      <c r="L411" s="75"/>
      <c r="M411" s="75"/>
      <c r="N411" s="75"/>
      <c r="O411" s="15"/>
      <c r="P411" s="75"/>
    </row>
    <row r="412" spans="2:16" x14ac:dyDescent="0.3">
      <c r="B412" s="75"/>
      <c r="C412" s="75"/>
      <c r="D412" s="75"/>
      <c r="E412" s="75"/>
      <c r="F412" s="75"/>
      <c r="G412" s="75"/>
      <c r="H412" s="75"/>
      <c r="I412" s="19" t="s">
        <v>40</v>
      </c>
      <c r="J412" s="16">
        <f>J386</f>
        <v>7.4965599999999997</v>
      </c>
      <c r="K412" s="16" t="s">
        <v>12</v>
      </c>
      <c r="L412" s="75"/>
      <c r="M412" s="75"/>
      <c r="N412" s="75"/>
      <c r="O412" s="26"/>
      <c r="P412" s="75"/>
    </row>
    <row r="413" spans="2:16" x14ac:dyDescent="0.3">
      <c r="B413" s="75"/>
      <c r="C413" s="75"/>
      <c r="D413" s="75"/>
      <c r="E413" s="75"/>
      <c r="F413" s="75"/>
      <c r="G413" s="75"/>
      <c r="H413" s="75"/>
      <c r="I413" s="19" t="s">
        <v>46</v>
      </c>
      <c r="J413" s="34">
        <f>J398</f>
        <v>12.494266666666666</v>
      </c>
      <c r="K413" s="16" t="s">
        <v>12</v>
      </c>
      <c r="L413" s="75"/>
      <c r="M413" s="75"/>
      <c r="N413" s="75"/>
      <c r="O413" s="75"/>
      <c r="P413" s="75"/>
    </row>
    <row r="414" spans="2:16" x14ac:dyDescent="0.3">
      <c r="B414" s="75"/>
      <c r="C414" s="75"/>
      <c r="D414" s="75"/>
      <c r="E414" s="75"/>
      <c r="F414" s="75"/>
      <c r="G414" s="75"/>
      <c r="H414" s="75"/>
      <c r="I414" s="19" t="s">
        <v>38</v>
      </c>
      <c r="J414" s="34">
        <f>2/3*J399*SQRT(C373*0.0980665)*(1/0.0980665)/1000</f>
        <v>122.55207098044013</v>
      </c>
      <c r="K414" s="16" t="s">
        <v>12</v>
      </c>
      <c r="L414" s="75"/>
      <c r="M414" s="39" t="str">
        <f>IF(J414&gt;J413,"[OK]","[REDISEÑAR]")</f>
        <v>[OK]</v>
      </c>
      <c r="N414" s="41" t="str">
        <f>IF(O414&gt;0,"Sobrado","Faltan")</f>
        <v>Sobrado</v>
      </c>
      <c r="O414" s="43">
        <f>J414-J413</f>
        <v>110.05780431377347</v>
      </c>
      <c r="P414" s="75"/>
    </row>
    <row r="416" spans="2:16" ht="18" x14ac:dyDescent="0.35">
      <c r="B416" s="48" t="str">
        <f>'EJE 15'!$S$13</f>
        <v>EJE 15.G-L | PIER F33X | PISO 4</v>
      </c>
      <c r="C416" s="75"/>
      <c r="D416" s="75"/>
      <c r="E416" s="75"/>
      <c r="F416" s="75"/>
      <c r="G416" s="75"/>
      <c r="H416" s="75"/>
      <c r="J416" s="75"/>
      <c r="K416" s="75"/>
      <c r="L416" s="75"/>
      <c r="M416" s="75"/>
      <c r="N416" s="75"/>
      <c r="O416" s="75"/>
      <c r="P416" s="75"/>
    </row>
    <row r="417" spans="2:16" x14ac:dyDescent="0.3">
      <c r="B417" s="75"/>
      <c r="C417" s="75"/>
      <c r="D417" s="75"/>
      <c r="E417" s="75"/>
      <c r="F417" s="75"/>
      <c r="G417" s="75"/>
      <c r="H417" s="75"/>
      <c r="J417" s="75"/>
      <c r="K417" s="75"/>
      <c r="L417" s="75"/>
      <c r="M417" s="75"/>
      <c r="N417" s="75"/>
      <c r="O417" s="75"/>
      <c r="P417" s="75"/>
    </row>
    <row r="418" spans="2:16" x14ac:dyDescent="0.3">
      <c r="B418" s="17" t="s">
        <v>6</v>
      </c>
      <c r="C418" s="75"/>
      <c r="D418" s="75"/>
      <c r="E418" s="75"/>
      <c r="F418" s="75"/>
      <c r="G418" s="75"/>
      <c r="H418" s="75"/>
      <c r="I418" s="18" t="s">
        <v>25</v>
      </c>
      <c r="J418" s="75"/>
      <c r="K418" s="75"/>
      <c r="L418" s="75"/>
      <c r="M418" s="75"/>
      <c r="N418" s="75"/>
      <c r="O418" s="75"/>
      <c r="P418" s="75"/>
    </row>
    <row r="419" spans="2:16" x14ac:dyDescent="0.3">
      <c r="B419" s="19" t="s">
        <v>99</v>
      </c>
      <c r="C419" s="61">
        <f>10.1971621297793*'EJE 15'!$G$13</f>
        <v>356.90067454227551</v>
      </c>
      <c r="D419" s="16" t="s">
        <v>8</v>
      </c>
      <c r="E419" s="75"/>
      <c r="F419" s="75"/>
      <c r="G419" s="75"/>
      <c r="H419" s="75"/>
      <c r="I419" s="19" t="s">
        <v>58</v>
      </c>
      <c r="J419" s="16">
        <f>C426/16</f>
        <v>14.375</v>
      </c>
      <c r="K419" s="16" t="s">
        <v>5</v>
      </c>
      <c r="L419" s="21"/>
      <c r="M419" s="39" t="str">
        <f>IF(J419&lt;C424,"[OK]","[REDISEÑAR]")</f>
        <v>[OK]</v>
      </c>
      <c r="N419" s="75"/>
      <c r="O419" s="75"/>
      <c r="P419" s="75"/>
    </row>
    <row r="420" spans="2:16" x14ac:dyDescent="0.3">
      <c r="B420" s="19" t="s">
        <v>30</v>
      </c>
      <c r="C420" s="16">
        <v>4200</v>
      </c>
      <c r="D420" s="16" t="s">
        <v>8</v>
      </c>
      <c r="E420" s="75"/>
      <c r="F420" s="75"/>
      <c r="G420" s="75"/>
      <c r="H420" s="75"/>
      <c r="I420" s="19" t="s">
        <v>16</v>
      </c>
      <c r="J420" s="16">
        <f>C424*C425</f>
        <v>8475</v>
      </c>
      <c r="K420" s="16" t="s">
        <v>17</v>
      </c>
      <c r="L420" s="21"/>
      <c r="M420" s="75"/>
      <c r="N420" s="75"/>
      <c r="O420" s="75"/>
      <c r="P420" s="75"/>
    </row>
    <row r="421" spans="2:16" x14ac:dyDescent="0.3">
      <c r="B421" s="19" t="s">
        <v>31</v>
      </c>
      <c r="C421" s="16">
        <v>2800</v>
      </c>
      <c r="D421" s="16" t="s">
        <v>8</v>
      </c>
      <c r="E421" s="75"/>
      <c r="F421" s="75"/>
      <c r="G421" s="75"/>
      <c r="H421" s="75"/>
      <c r="I421" s="19" t="s">
        <v>51</v>
      </c>
      <c r="J421" s="16">
        <f>MIN(0.8*C425/5,3*C424,45)</f>
        <v>45</v>
      </c>
      <c r="K421" s="16" t="s">
        <v>5</v>
      </c>
      <c r="L421" s="21"/>
      <c r="M421" s="39" t="str">
        <f>IF(J421&gt;C437,"[OK]","[REDISEÑAR]")</f>
        <v>[OK]</v>
      </c>
      <c r="N421" s="75"/>
      <c r="O421" s="75"/>
      <c r="P421" s="75"/>
    </row>
    <row r="422" spans="2:16" x14ac:dyDescent="0.3">
      <c r="B422" s="75"/>
      <c r="C422" s="75"/>
      <c r="D422" s="75"/>
      <c r="E422" s="75"/>
      <c r="F422" s="75"/>
      <c r="G422" s="75"/>
      <c r="H422" s="75"/>
      <c r="I422" s="19" t="s">
        <v>56</v>
      </c>
      <c r="J422" s="16">
        <f>MIN(0.8*C426/3,3*C425,45)</f>
        <v>45</v>
      </c>
      <c r="K422" s="16" t="s">
        <v>5</v>
      </c>
      <c r="L422" s="21"/>
      <c r="M422" s="39" t="str">
        <f>IF(J422&gt;C437,"[OK]","[REDISEÑAR]")</f>
        <v>[OK]</v>
      </c>
      <c r="N422" s="75"/>
      <c r="O422" s="75"/>
      <c r="P422" s="75"/>
    </row>
    <row r="423" spans="2:16" x14ac:dyDescent="0.3">
      <c r="B423" s="17" t="s">
        <v>3</v>
      </c>
      <c r="C423" s="75"/>
      <c r="D423" s="75"/>
      <c r="E423" s="75"/>
      <c r="F423" s="75"/>
      <c r="G423" s="75"/>
      <c r="H423" s="75"/>
      <c r="I423" s="19" t="s">
        <v>62</v>
      </c>
      <c r="J423" s="16">
        <f>0.8*C425</f>
        <v>271.2</v>
      </c>
      <c r="K423" s="29" t="s">
        <v>5</v>
      </c>
      <c r="L423" s="75"/>
      <c r="M423" s="75"/>
      <c r="N423" s="75"/>
      <c r="O423" s="75"/>
      <c r="P423" s="75"/>
    </row>
    <row r="424" spans="2:16" x14ac:dyDescent="0.3">
      <c r="B424" s="19" t="str">
        <f>"Espesor del muro (h)"</f>
        <v>Espesor del muro (h)</v>
      </c>
      <c r="C424" s="49">
        <f>'EJE 15'!$H$13</f>
        <v>25</v>
      </c>
      <c r="D424" s="16" t="s">
        <v>5</v>
      </c>
      <c r="E424" s="75"/>
      <c r="F424" s="75"/>
      <c r="G424" s="75"/>
      <c r="H424" s="75"/>
      <c r="J424" s="75"/>
      <c r="K424" s="75"/>
      <c r="L424" s="75"/>
      <c r="M424" s="75"/>
      <c r="N424" s="75"/>
      <c r="O424" s="75"/>
      <c r="P424" s="75"/>
    </row>
    <row r="425" spans="2:16" x14ac:dyDescent="0.3">
      <c r="B425" s="19" t="s">
        <v>63</v>
      </c>
      <c r="C425" s="49">
        <f>'EJE 15'!$I$13</f>
        <v>339</v>
      </c>
      <c r="D425" s="16" t="s">
        <v>5</v>
      </c>
      <c r="E425" s="75"/>
      <c r="F425" s="75"/>
      <c r="G425" s="75"/>
      <c r="H425" s="75"/>
      <c r="I425" s="18" t="s">
        <v>26</v>
      </c>
      <c r="J425" s="75"/>
      <c r="K425" s="75"/>
      <c r="L425" s="75"/>
      <c r="M425" s="75"/>
      <c r="N425" s="75"/>
      <c r="O425" s="75"/>
      <c r="P425" s="75"/>
    </row>
    <row r="426" spans="2:16" x14ac:dyDescent="0.3">
      <c r="B426" s="19" t="s">
        <v>10</v>
      </c>
      <c r="C426" s="49">
        <f>'EJE 15'!$J$13</f>
        <v>230</v>
      </c>
      <c r="D426" s="16" t="s">
        <v>5</v>
      </c>
      <c r="E426" s="75"/>
      <c r="F426" s="75"/>
      <c r="G426" s="75"/>
      <c r="H426" s="75"/>
      <c r="I426" s="19" t="s">
        <v>28</v>
      </c>
      <c r="J426" s="16">
        <f>0.35*C419</f>
        <v>124.91523608979642</v>
      </c>
      <c r="K426" s="16" t="s">
        <v>8</v>
      </c>
      <c r="L426" s="21"/>
      <c r="M426" s="75"/>
      <c r="N426" s="75"/>
      <c r="O426" s="75"/>
      <c r="P426" s="75"/>
    </row>
    <row r="427" spans="2:16" x14ac:dyDescent="0.3">
      <c r="B427" s="75"/>
      <c r="C427" s="75"/>
      <c r="D427" s="75"/>
      <c r="E427" s="75"/>
      <c r="F427" s="75"/>
      <c r="G427" s="75"/>
      <c r="H427" s="75"/>
      <c r="I427" s="19" t="s">
        <v>27</v>
      </c>
      <c r="J427" s="30">
        <f>C429*1000/J420</f>
        <v>27.102879056047197</v>
      </c>
      <c r="K427" s="16" t="s">
        <v>8</v>
      </c>
      <c r="L427" s="21"/>
      <c r="M427" s="39" t="str">
        <f>IF(J427&lt;J426,"[OK]","[REDISEÑAR]")</f>
        <v>[OK]</v>
      </c>
      <c r="N427" s="41" t="s">
        <v>112</v>
      </c>
      <c r="O427" s="59">
        <f>J427/J426</f>
        <v>0.21697016236325289</v>
      </c>
      <c r="P427" s="75"/>
    </row>
    <row r="428" spans="2:16" x14ac:dyDescent="0.3">
      <c r="B428" s="17" t="s">
        <v>11</v>
      </c>
      <c r="C428" s="75"/>
      <c r="D428" s="75"/>
      <c r="E428" s="75"/>
      <c r="F428" s="75"/>
      <c r="G428" s="75"/>
      <c r="H428" s="75"/>
      <c r="J428" s="75"/>
      <c r="K428" s="75"/>
      <c r="L428" s="75"/>
      <c r="M428" s="75"/>
      <c r="N428" s="75"/>
      <c r="O428" s="75"/>
      <c r="P428" s="75"/>
    </row>
    <row r="429" spans="2:16" x14ac:dyDescent="0.3">
      <c r="B429" s="19" t="str">
        <f>"$N_U$"</f>
        <v>$N_U$</v>
      </c>
      <c r="C429" s="60">
        <f>'EJE 15'!$K$13</f>
        <v>229.6969</v>
      </c>
      <c r="D429" s="16" t="s">
        <v>12</v>
      </c>
      <c r="E429" s="75"/>
      <c r="F429" s="75"/>
      <c r="G429" s="75"/>
      <c r="H429" s="75"/>
      <c r="I429" s="18" t="s">
        <v>54</v>
      </c>
      <c r="J429" s="75"/>
      <c r="K429" s="75"/>
      <c r="L429" s="75"/>
      <c r="M429" s="75"/>
      <c r="N429" s="75"/>
      <c r="O429" s="75"/>
      <c r="P429" s="75"/>
    </row>
    <row r="430" spans="2:16" x14ac:dyDescent="0.3">
      <c r="B430" s="19" t="s">
        <v>14</v>
      </c>
      <c r="C430" s="60">
        <f>'EJE 15'!$L$13</f>
        <v>1.8655999999999999</v>
      </c>
      <c r="D430" s="16" t="s">
        <v>12</v>
      </c>
      <c r="E430" s="75"/>
      <c r="F430" s="75"/>
      <c r="G430" s="75"/>
      <c r="H430" s="75"/>
      <c r="I430" s="19" t="s">
        <v>72</v>
      </c>
      <c r="J430" s="16">
        <f>1.2*C430+C431+1.4*C432</f>
        <v>36.615699999999997</v>
      </c>
      <c r="K430" s="16" t="s">
        <v>12</v>
      </c>
      <c r="L430" s="75"/>
      <c r="M430" s="75" t="s">
        <v>68</v>
      </c>
      <c r="N430" s="75"/>
      <c r="O430" s="75"/>
      <c r="P430" s="75"/>
    </row>
    <row r="431" spans="2:16" x14ac:dyDescent="0.3">
      <c r="B431" s="19" t="s">
        <v>13</v>
      </c>
      <c r="C431" s="60">
        <f>'EJE 15'!$M$13</f>
        <v>3.7499999999999999E-2</v>
      </c>
      <c r="D431" s="16" t="s">
        <v>12</v>
      </c>
      <c r="E431" s="75"/>
      <c r="F431" s="75"/>
      <c r="G431" s="75"/>
      <c r="H431" s="75"/>
      <c r="I431" s="19" t="s">
        <v>69</v>
      </c>
      <c r="J431" s="16">
        <f>SUM(C430:C432)</f>
        <v>26.431299999999997</v>
      </c>
      <c r="K431" s="16" t="s">
        <v>12</v>
      </c>
      <c r="L431" s="75"/>
      <c r="M431" s="75" t="s">
        <v>70</v>
      </c>
      <c r="N431" s="75"/>
      <c r="O431" s="75"/>
      <c r="P431" s="75"/>
    </row>
    <row r="432" spans="2:16" x14ac:dyDescent="0.3">
      <c r="B432" s="19" t="s">
        <v>15</v>
      </c>
      <c r="C432" s="60">
        <f>'EJE 15'!$N$13</f>
        <v>24.528199999999998</v>
      </c>
      <c r="D432" s="16" t="s">
        <v>12</v>
      </c>
      <c r="E432" s="75"/>
      <c r="F432" s="75"/>
      <c r="G432" s="75"/>
      <c r="H432" s="75"/>
      <c r="I432" s="19" t="s">
        <v>73</v>
      </c>
      <c r="J432" s="16">
        <f>IF(C433=0,J430,C433)</f>
        <v>36.615699999999997</v>
      </c>
      <c r="K432" s="16" t="s">
        <v>12</v>
      </c>
      <c r="L432" s="75"/>
      <c r="M432" s="40" t="s">
        <v>74</v>
      </c>
      <c r="N432" s="75"/>
      <c r="O432" s="75"/>
      <c r="P432" s="75"/>
    </row>
    <row r="433" spans="2:16" x14ac:dyDescent="0.3">
      <c r="B433" s="19" t="s">
        <v>55</v>
      </c>
      <c r="C433" s="16">
        <v>0</v>
      </c>
      <c r="D433" s="16" t="s">
        <v>12</v>
      </c>
      <c r="E433" s="75"/>
      <c r="F433" s="75"/>
      <c r="G433" s="75"/>
      <c r="H433" s="75"/>
      <c r="I433" s="19" t="s">
        <v>71</v>
      </c>
      <c r="J433" s="16">
        <f>IF(C433=0,J431,C433)</f>
        <v>26.431299999999997</v>
      </c>
      <c r="K433" s="16" t="s">
        <v>12</v>
      </c>
      <c r="L433" s="75"/>
      <c r="M433" s="40" t="s">
        <v>75</v>
      </c>
      <c r="N433" s="75"/>
      <c r="O433" s="75"/>
      <c r="P433" s="75"/>
    </row>
    <row r="434" spans="2:16" x14ac:dyDescent="0.3">
      <c r="B434" s="75"/>
      <c r="C434" s="75"/>
      <c r="D434" s="75"/>
      <c r="E434" s="75"/>
      <c r="F434" s="75"/>
      <c r="G434" s="75"/>
      <c r="H434" s="75"/>
      <c r="J434" s="75"/>
      <c r="K434" s="75"/>
      <c r="L434" s="75"/>
      <c r="M434" s="75"/>
      <c r="N434" s="75"/>
      <c r="O434" s="75"/>
      <c r="P434" s="75"/>
    </row>
    <row r="435" spans="2:16" x14ac:dyDescent="0.3">
      <c r="B435" s="33" t="s">
        <v>42</v>
      </c>
      <c r="C435" s="75"/>
      <c r="D435" s="75"/>
      <c r="E435" s="75"/>
      <c r="F435" s="75"/>
      <c r="G435" s="75"/>
      <c r="H435" s="75"/>
      <c r="I435" s="27" t="s">
        <v>76</v>
      </c>
      <c r="J435" s="75"/>
      <c r="K435" s="75"/>
      <c r="L435" s="75"/>
      <c r="M435" s="75"/>
      <c r="N435" s="75"/>
      <c r="O435" s="75"/>
      <c r="P435" s="75"/>
    </row>
    <row r="436" spans="2:16" x14ac:dyDescent="0.3">
      <c r="B436" s="31" t="s">
        <v>41</v>
      </c>
      <c r="C436" s="16">
        <v>10</v>
      </c>
      <c r="D436" s="29" t="s">
        <v>35</v>
      </c>
      <c r="E436" s="75"/>
      <c r="F436" s="75"/>
      <c r="G436" s="75"/>
      <c r="H436" s="75"/>
      <c r="I436" s="19" t="s">
        <v>29</v>
      </c>
      <c r="J436" s="30">
        <f>J433*1000/J420</f>
        <v>3.118737463126843</v>
      </c>
      <c r="K436" s="29" t="s">
        <v>8</v>
      </c>
      <c r="L436" s="75"/>
      <c r="M436" s="75"/>
      <c r="N436" s="75"/>
      <c r="O436" s="75"/>
      <c r="P436" s="75"/>
    </row>
    <row r="437" spans="2:16" x14ac:dyDescent="0.3">
      <c r="B437" s="31" t="s">
        <v>43</v>
      </c>
      <c r="C437" s="16">
        <v>14</v>
      </c>
      <c r="D437" s="29" t="s">
        <v>5</v>
      </c>
      <c r="E437" s="75"/>
      <c r="F437" s="39" t="str">
        <f>IF(OR(C437&gt;25,C437&lt;10),"[REDISEÑAR]",IF(AND(C437&lt;=J438,C437&lt;=J452),"[OK]","[REDISEÑAR]"))</f>
        <v>[OK]</v>
      </c>
      <c r="G437" s="75"/>
      <c r="H437" s="75"/>
      <c r="I437" s="19" t="s">
        <v>61</v>
      </c>
      <c r="J437" s="37">
        <f>MAX(J436*100*C424/(2*C421),C441)</f>
        <v>3.125</v>
      </c>
      <c r="K437" s="29" t="s">
        <v>32</v>
      </c>
      <c r="L437" s="75"/>
      <c r="M437" s="15"/>
      <c r="N437" s="15"/>
      <c r="O437" s="15"/>
      <c r="P437" s="75"/>
    </row>
    <row r="438" spans="2:16" x14ac:dyDescent="0.3">
      <c r="B438" s="75"/>
      <c r="C438" s="50" t="str">
        <f>"$\phi$"&amp;C436&amp;"@"&amp;C437</f>
        <v>$\phi$10@14</v>
      </c>
      <c r="D438" s="75"/>
      <c r="E438" s="75"/>
      <c r="F438" s="39" t="str">
        <f>IF(OR(J437=C441,J448=C441),"[ÁREA MINIMA]","[]")</f>
        <v>[ÁREA MINIMA]</v>
      </c>
      <c r="G438" s="75"/>
      <c r="H438" s="75"/>
      <c r="I438" s="63" t="s">
        <v>34</v>
      </c>
      <c r="J438" s="63">
        <f>ROUNDDOWN((1/J437)*C440*100,0)</f>
        <v>25</v>
      </c>
      <c r="K438" s="64" t="s">
        <v>5</v>
      </c>
      <c r="L438" s="75"/>
      <c r="M438" s="39" t="str">
        <f>IF(OR(J438&lt;10,J438&gt;25),"[REDISEÑAR]","[OK")</f>
        <v>[OK</v>
      </c>
      <c r="N438" s="41" t="s">
        <v>80</v>
      </c>
      <c r="O438" s="42">
        <f>1/J437*(C436/2)^2*PI()</f>
        <v>25.132741228718345</v>
      </c>
      <c r="P438" s="75" t="str">
        <f>"$\phi$"&amp;C436&amp;"@"&amp;J438</f>
        <v>$\phi$10@25</v>
      </c>
    </row>
    <row r="439" spans="2:16" x14ac:dyDescent="0.3">
      <c r="B439" s="18" t="s">
        <v>52</v>
      </c>
      <c r="C439" s="75"/>
      <c r="D439" s="75"/>
      <c r="E439" s="75"/>
      <c r="F439" s="62" t="str">
        <f>IF(J427&lt;J426,IF(J455&gt;J444,"[OK]","[REDISEÑAR]"),"[REDISEÑAR]")</f>
        <v>[OK]</v>
      </c>
      <c r="G439" s="75"/>
      <c r="H439" s="75"/>
      <c r="I439" s="31" t="s">
        <v>48</v>
      </c>
      <c r="J439" s="30">
        <f>C440*2*IF(C425/C437&gt;=1,C425/C437,0)</f>
        <v>38.035711055962139</v>
      </c>
      <c r="K439" s="29" t="s">
        <v>17</v>
      </c>
      <c r="L439" s="75"/>
      <c r="M439" s="75"/>
      <c r="N439" s="15"/>
      <c r="O439" s="44"/>
      <c r="P439" s="75"/>
    </row>
    <row r="440" spans="2:16" x14ac:dyDescent="0.3">
      <c r="B440" s="31" t="s">
        <v>66</v>
      </c>
      <c r="C440" s="30">
        <f>(C436/(2*10))^2*PI()</f>
        <v>0.78539816339744828</v>
      </c>
      <c r="D440" s="29" t="s">
        <v>17</v>
      </c>
      <c r="E440" s="75"/>
      <c r="F440" s="75"/>
      <c r="G440" s="75"/>
      <c r="H440" s="75"/>
      <c r="I440" s="19" t="s">
        <v>49</v>
      </c>
      <c r="J440" s="34">
        <f>C421*J439/1000</f>
        <v>106.49999095669399</v>
      </c>
      <c r="K440" s="16" t="s">
        <v>12</v>
      </c>
      <c r="L440" s="75"/>
      <c r="M440" s="39" t="str">
        <f>IF(J440&gt;J433,"[OK]","[REDISEÑAR]")</f>
        <v>[OK]</v>
      </c>
      <c r="N440" s="41" t="str">
        <f>IF(O440&gt;0,"Sobrado","Faltan")</f>
        <v>Sobrado</v>
      </c>
      <c r="O440" s="43">
        <f>J440-J433</f>
        <v>80.068690956693999</v>
      </c>
      <c r="P440" s="75"/>
    </row>
    <row r="441" spans="2:16" x14ac:dyDescent="0.3">
      <c r="B441" s="31" t="s">
        <v>78</v>
      </c>
      <c r="C441" s="37">
        <f>2.5/1000*100*C424/2</f>
        <v>3.125</v>
      </c>
      <c r="D441" s="16" t="s">
        <v>17</v>
      </c>
      <c r="E441" s="75"/>
      <c r="F441" s="75"/>
      <c r="G441" s="75"/>
      <c r="H441" s="75"/>
      <c r="J441" s="75"/>
      <c r="K441" s="75"/>
      <c r="L441" s="75"/>
      <c r="M441" s="75"/>
      <c r="N441" s="75"/>
      <c r="O441" s="15"/>
      <c r="P441" s="75"/>
    </row>
    <row r="442" spans="2:16" x14ac:dyDescent="0.3">
      <c r="B442" s="31" t="s">
        <v>114</v>
      </c>
      <c r="C442" s="37">
        <f>C440*100/C437</f>
        <v>5.6099868814103448</v>
      </c>
      <c r="D442" s="29" t="s">
        <v>32</v>
      </c>
      <c r="E442" s="75"/>
      <c r="F442" s="75"/>
      <c r="G442" s="75"/>
      <c r="H442" s="75"/>
      <c r="I442" s="18" t="s">
        <v>77</v>
      </c>
      <c r="J442" s="75"/>
      <c r="K442" s="75"/>
      <c r="L442" s="75"/>
      <c r="M442" s="17" t="s">
        <v>67</v>
      </c>
      <c r="N442" s="75"/>
      <c r="O442" s="75"/>
      <c r="P442" s="75"/>
    </row>
    <row r="443" spans="2:16" x14ac:dyDescent="0.3">
      <c r="B443" s="75"/>
      <c r="C443" s="75"/>
      <c r="D443" s="75"/>
      <c r="E443" s="75"/>
      <c r="F443" s="75"/>
      <c r="G443" s="75"/>
      <c r="H443" s="75"/>
      <c r="I443" s="19" t="s">
        <v>33</v>
      </c>
      <c r="J443" s="16">
        <v>0.6</v>
      </c>
      <c r="K443" s="16" t="s">
        <v>50</v>
      </c>
      <c r="L443" s="75"/>
      <c r="M443" s="19" t="s">
        <v>64</v>
      </c>
      <c r="N443" s="30">
        <f>SQRT(C419*0.0980665)*(1/0.0980665)/1000*J445*0.17</f>
        <v>55.314463281909688</v>
      </c>
      <c r="O443" s="16" t="s">
        <v>12</v>
      </c>
      <c r="P443" s="75"/>
    </row>
    <row r="444" spans="2:16" x14ac:dyDescent="0.3">
      <c r="B444" s="17" t="s">
        <v>37</v>
      </c>
      <c r="C444" s="75"/>
      <c r="D444" s="75"/>
      <c r="E444" s="75"/>
      <c r="F444" s="75"/>
      <c r="G444" s="75"/>
      <c r="H444" s="75"/>
      <c r="I444" s="19" t="s">
        <v>46</v>
      </c>
      <c r="J444" s="34">
        <f>J432/J443</f>
        <v>61.026166666666661</v>
      </c>
      <c r="K444" s="16" t="s">
        <v>12</v>
      </c>
      <c r="L444" s="75"/>
      <c r="M444" s="19" t="s">
        <v>57</v>
      </c>
      <c r="N444" s="16">
        <f>IF(C426/J423&lt;=1.5,0.25,IF(C426/J423&gt;=2,0.17,0.17+(0.25-0.17)/(C426/J423-1.5)*C426/J423))</f>
        <v>0.25</v>
      </c>
      <c r="O444" s="29" t="s">
        <v>50</v>
      </c>
      <c r="P444" s="75"/>
    </row>
    <row r="445" spans="2:16" x14ac:dyDescent="0.3">
      <c r="B445" s="31" t="s">
        <v>115</v>
      </c>
      <c r="C445" s="37">
        <f>O440</f>
        <v>80.068690956693999</v>
      </c>
      <c r="D445" s="29" t="s">
        <v>12</v>
      </c>
      <c r="E445" s="75"/>
      <c r="F445" s="75"/>
      <c r="G445" s="75"/>
      <c r="H445" s="75"/>
      <c r="I445" s="19" t="s">
        <v>36</v>
      </c>
      <c r="J445" s="35">
        <f>J423*C424*0.8-J453</f>
        <v>5393.5714311552301</v>
      </c>
      <c r="K445" s="16" t="s">
        <v>17</v>
      </c>
      <c r="L445" s="75"/>
      <c r="M445" s="19" t="s">
        <v>59</v>
      </c>
      <c r="N445" s="30">
        <f>SQRT(C419*0.0980665)*(1/0.0980665)/1000*J445*N444</f>
        <v>81.344798943984827</v>
      </c>
      <c r="O445" s="29" t="s">
        <v>12</v>
      </c>
      <c r="P445" s="75"/>
    </row>
    <row r="446" spans="2:16" x14ac:dyDescent="0.3">
      <c r="B446" s="31" t="s">
        <v>116</v>
      </c>
      <c r="C446" s="37">
        <f>O455</f>
        <v>122.08828576327579</v>
      </c>
      <c r="D446" s="29" t="s">
        <v>12</v>
      </c>
      <c r="E446" s="75"/>
      <c r="F446" s="75"/>
      <c r="G446" s="75"/>
      <c r="H446" s="75"/>
      <c r="I446" s="19" t="s">
        <v>60</v>
      </c>
      <c r="J446" s="34">
        <f>MIN(N445,N443)</f>
        <v>55.314463281909688</v>
      </c>
      <c r="K446" s="29" t="s">
        <v>12</v>
      </c>
      <c r="L446" s="75"/>
      <c r="M446" s="75"/>
      <c r="N446" s="75"/>
      <c r="O446" s="75"/>
      <c r="P446" s="75"/>
    </row>
    <row r="447" spans="2:16" x14ac:dyDescent="0.3">
      <c r="B447" s="19" t="s">
        <v>117</v>
      </c>
      <c r="C447" s="36">
        <f>C440*2*C425/C437/J420</f>
        <v>4.4879895051282755E-3</v>
      </c>
      <c r="D447" s="16" t="s">
        <v>50</v>
      </c>
      <c r="E447" s="75"/>
      <c r="F447" s="75"/>
      <c r="G447" s="75"/>
      <c r="H447" s="75"/>
      <c r="I447" s="19" t="s">
        <v>39</v>
      </c>
      <c r="J447" s="34">
        <f>J444-J446</f>
        <v>5.7117033847569729</v>
      </c>
      <c r="K447" s="16" t="s">
        <v>12</v>
      </c>
      <c r="L447" s="75"/>
      <c r="M447" s="75"/>
      <c r="N447" s="75"/>
      <c r="O447" s="75"/>
      <c r="P447" s="75"/>
    </row>
    <row r="448" spans="2:16" x14ac:dyDescent="0.3">
      <c r="B448" s="75"/>
      <c r="C448" s="75"/>
      <c r="D448" s="75"/>
      <c r="E448" s="75"/>
      <c r="F448" s="75"/>
      <c r="G448" s="75"/>
      <c r="H448" s="75"/>
      <c r="I448" s="19" t="s">
        <v>61</v>
      </c>
      <c r="J448" s="37">
        <f>MAX(J447/(C420*J423/1000/100)/2,C441)</f>
        <v>3.125</v>
      </c>
      <c r="K448" s="29" t="s">
        <v>32</v>
      </c>
      <c r="L448" s="75"/>
      <c r="M448" s="75"/>
      <c r="N448" s="75"/>
      <c r="O448" s="75"/>
      <c r="P448" s="75"/>
    </row>
    <row r="449" spans="2:16" x14ac:dyDescent="0.3">
      <c r="B449" s="75"/>
      <c r="C449" s="75"/>
      <c r="D449" s="75"/>
      <c r="E449" s="75"/>
      <c r="F449" s="75"/>
      <c r="G449" s="75"/>
      <c r="H449" s="75"/>
      <c r="I449" s="19" t="s">
        <v>65</v>
      </c>
      <c r="J449" s="36">
        <f>J448/C424/100*2</f>
        <v>2.5000000000000001E-3</v>
      </c>
      <c r="K449" s="16" t="s">
        <v>50</v>
      </c>
      <c r="L449" s="75"/>
      <c r="M449" s="75"/>
      <c r="N449" s="75"/>
      <c r="O449" s="75"/>
      <c r="P449" s="75"/>
    </row>
    <row r="450" spans="2:16" x14ac:dyDescent="0.3">
      <c r="B450" s="75"/>
      <c r="C450" s="75"/>
      <c r="D450" s="75"/>
      <c r="E450" s="75"/>
      <c r="F450" s="75"/>
      <c r="G450" s="75"/>
      <c r="H450" s="75"/>
      <c r="I450" s="19" t="s">
        <v>53</v>
      </c>
      <c r="J450" s="16">
        <f>MAX(0.0025,0.0025*0.5*(2.5-C424/(C425*0.8))*(J449-0.0025))</f>
        <v>2.5000000000000001E-3</v>
      </c>
      <c r="K450" s="29" t="s">
        <v>50</v>
      </c>
      <c r="L450" s="75"/>
      <c r="M450" s="39" t="str">
        <f>IF(OR(J449&gt;J450,ABS(J449-J450)&lt;0.0001),"[OK]","[REDISEÑAR]")</f>
        <v>[OK]</v>
      </c>
      <c r="N450" s="75"/>
      <c r="O450" s="75"/>
      <c r="P450" s="75"/>
    </row>
    <row r="451" spans="2:16" x14ac:dyDescent="0.3">
      <c r="B451" s="75"/>
      <c r="C451" s="75"/>
      <c r="D451" s="75"/>
      <c r="E451" s="75"/>
      <c r="F451" s="75"/>
      <c r="G451" s="75"/>
      <c r="H451" s="75"/>
      <c r="I451" s="19" t="s">
        <v>47</v>
      </c>
      <c r="J451" s="34">
        <f>SQRT(C419*0.0980665)*(1/0.0980665)/1000*0.66*0.8*C425*C424</f>
        <v>269.95226518142476</v>
      </c>
      <c r="K451" s="16" t="s">
        <v>12</v>
      </c>
      <c r="L451" s="75"/>
      <c r="M451" s="40" t="s">
        <v>44</v>
      </c>
      <c r="N451" s="75"/>
      <c r="O451" s="15"/>
      <c r="P451" s="75"/>
    </row>
    <row r="452" spans="2:16" x14ac:dyDescent="0.3">
      <c r="B452" s="75"/>
      <c r="C452" s="75"/>
      <c r="D452" s="75"/>
      <c r="E452" s="75"/>
      <c r="F452" s="75"/>
      <c r="G452" s="75"/>
      <c r="H452" s="75"/>
      <c r="I452" s="63" t="s">
        <v>34</v>
      </c>
      <c r="J452" s="63">
        <f>ROUNDDOWN(1/J448*C440*100,0)</f>
        <v>25</v>
      </c>
      <c r="K452" s="64" t="s">
        <v>5</v>
      </c>
      <c r="L452" s="75"/>
      <c r="M452" s="39" t="str">
        <f>IF(OR(J452&lt;10,J452&gt;25),"[REDISEÑAR]","[OK")</f>
        <v>[OK</v>
      </c>
      <c r="N452" s="41" t="s">
        <v>80</v>
      </c>
      <c r="O452" s="42">
        <f>1/J448*(C436/2)^2*PI()</f>
        <v>25.132741228718345</v>
      </c>
      <c r="P452" s="75" t="str">
        <f>"$\phi$"&amp;C436&amp;"@"&amp;J452</f>
        <v>$\phi$10@25</v>
      </c>
    </row>
    <row r="453" spans="2:16" x14ac:dyDescent="0.3">
      <c r="B453" s="75"/>
      <c r="C453" s="75"/>
      <c r="D453" s="75"/>
      <c r="E453" s="75"/>
      <c r="F453" s="75"/>
      <c r="G453" s="75"/>
      <c r="H453" s="75"/>
      <c r="I453" s="31" t="s">
        <v>48</v>
      </c>
      <c r="J453" s="30">
        <f>C440*2*IF(J423/C437&gt;=1,J423/C437,0)</f>
        <v>30.428568844769707</v>
      </c>
      <c r="K453" s="29" t="s">
        <v>17</v>
      </c>
      <c r="L453" s="75"/>
      <c r="M453" s="75"/>
      <c r="N453" s="15"/>
      <c r="O453" s="15"/>
      <c r="P453" s="75"/>
    </row>
    <row r="454" spans="2:16" x14ac:dyDescent="0.3">
      <c r="B454" s="75"/>
      <c r="C454" s="75"/>
      <c r="D454" s="75"/>
      <c r="E454" s="75"/>
      <c r="F454" s="75"/>
      <c r="G454" s="75"/>
      <c r="H454" s="75"/>
      <c r="I454" s="19" t="s">
        <v>81</v>
      </c>
      <c r="J454" s="34">
        <f>MIN(J453*C420/1000,J451)</f>
        <v>127.79998914803276</v>
      </c>
      <c r="K454" s="16" t="s">
        <v>12</v>
      </c>
      <c r="L454" s="75"/>
      <c r="M454" s="40" t="s">
        <v>82</v>
      </c>
      <c r="N454" s="15"/>
      <c r="O454" s="15"/>
      <c r="P454" s="75"/>
    </row>
    <row r="455" spans="2:16" x14ac:dyDescent="0.3">
      <c r="B455" s="75"/>
      <c r="C455" s="75"/>
      <c r="D455" s="75"/>
      <c r="E455" s="75"/>
      <c r="F455" s="75"/>
      <c r="G455" s="75"/>
      <c r="H455" s="75"/>
      <c r="I455" s="19" t="s">
        <v>79</v>
      </c>
      <c r="J455" s="34">
        <f>J454+J446</f>
        <v>183.11445242994245</v>
      </c>
      <c r="K455" s="16" t="s">
        <v>12</v>
      </c>
      <c r="L455" s="75"/>
      <c r="M455" s="39" t="str">
        <f>IF(J455&gt;J444,"[OK]","[REDISEÑAR]")</f>
        <v>[OK]</v>
      </c>
      <c r="N455" s="41" t="str">
        <f>IF(O455&gt;0,"Sobrado","Faltan")</f>
        <v>Sobrado</v>
      </c>
      <c r="O455" s="43">
        <f>J455-J444</f>
        <v>122.08828576327579</v>
      </c>
      <c r="P455" s="75"/>
    </row>
    <row r="456" spans="2:16" x14ac:dyDescent="0.3">
      <c r="B456" s="75"/>
      <c r="C456" s="75"/>
      <c r="D456" s="75"/>
      <c r="E456" s="75"/>
      <c r="F456" s="75"/>
      <c r="G456" s="75"/>
      <c r="H456" s="75"/>
      <c r="J456" s="75"/>
      <c r="K456" s="75"/>
      <c r="L456" s="75"/>
      <c r="M456" s="75"/>
      <c r="N456" s="75"/>
      <c r="O456" s="75"/>
      <c r="P456" s="75"/>
    </row>
    <row r="457" spans="2:16" x14ac:dyDescent="0.3">
      <c r="B457" s="75"/>
      <c r="C457" s="75"/>
      <c r="D457" s="75"/>
      <c r="E457" s="75"/>
      <c r="F457" s="75"/>
      <c r="G457" s="75"/>
      <c r="H457" s="75"/>
      <c r="I457" s="18" t="s">
        <v>45</v>
      </c>
      <c r="J457" s="75"/>
      <c r="K457" s="75"/>
      <c r="L457" s="75"/>
      <c r="M457" s="75"/>
      <c r="N457" s="75"/>
      <c r="O457" s="15"/>
      <c r="P457" s="75"/>
    </row>
    <row r="458" spans="2:16" x14ac:dyDescent="0.3">
      <c r="B458" s="75"/>
      <c r="C458" s="75"/>
      <c r="D458" s="75"/>
      <c r="E458" s="75"/>
      <c r="F458" s="75"/>
      <c r="G458" s="75"/>
      <c r="H458" s="75"/>
      <c r="I458" s="19" t="s">
        <v>40</v>
      </c>
      <c r="J458" s="16">
        <f>J432</f>
        <v>36.615699999999997</v>
      </c>
      <c r="K458" s="16" t="s">
        <v>12</v>
      </c>
      <c r="L458" s="75"/>
      <c r="M458" s="75"/>
      <c r="N458" s="75"/>
      <c r="O458" s="26"/>
      <c r="P458" s="75"/>
    </row>
    <row r="459" spans="2:16" x14ac:dyDescent="0.3">
      <c r="B459" s="75"/>
      <c r="C459" s="75"/>
      <c r="D459" s="75"/>
      <c r="E459" s="75"/>
      <c r="F459" s="75"/>
      <c r="G459" s="75"/>
      <c r="H459" s="75"/>
      <c r="I459" s="19" t="s">
        <v>46</v>
      </c>
      <c r="J459" s="34">
        <f>J444</f>
        <v>61.026166666666661</v>
      </c>
      <c r="K459" s="16" t="s">
        <v>12</v>
      </c>
      <c r="L459" s="75"/>
      <c r="M459" s="75"/>
      <c r="N459" s="75"/>
      <c r="O459" s="75"/>
      <c r="P459" s="75"/>
    </row>
    <row r="460" spans="2:16" x14ac:dyDescent="0.3">
      <c r="B460" s="75"/>
      <c r="C460" s="75"/>
      <c r="D460" s="75"/>
      <c r="E460" s="75"/>
      <c r="F460" s="75"/>
      <c r="G460" s="75"/>
      <c r="H460" s="75"/>
      <c r="I460" s="19" t="s">
        <v>38</v>
      </c>
      <c r="J460" s="34">
        <f>2/3*J445*SQRT(C419*0.0980665)*(1/0.0980665)/1000</f>
        <v>216.91946385062619</v>
      </c>
      <c r="K460" s="16" t="s">
        <v>12</v>
      </c>
      <c r="L460" s="75"/>
      <c r="M460" s="39" t="str">
        <f>IF(J460&gt;J459,"[OK]","[REDISEÑAR]")</f>
        <v>[OK]</v>
      </c>
      <c r="N460" s="41" t="str">
        <f>IF(O460&gt;0,"Sobrado","Faltan")</f>
        <v>Sobrado</v>
      </c>
      <c r="O460" s="43">
        <f>J460-J459</f>
        <v>155.89329718395953</v>
      </c>
      <c r="P460" s="75"/>
    </row>
    <row r="462" spans="2:16" ht="18" x14ac:dyDescent="0.35">
      <c r="B462" s="48" t="str">
        <f>'EJE 15'!$S$14</f>
        <v>EJE 15.C-C1 | PIER F31X | PISO 5</v>
      </c>
      <c r="C462" s="75"/>
      <c r="D462" s="75"/>
      <c r="E462" s="75"/>
      <c r="F462" s="75"/>
      <c r="G462" s="75"/>
      <c r="H462" s="75"/>
      <c r="J462" s="75"/>
      <c r="K462" s="75"/>
      <c r="L462" s="75"/>
      <c r="M462" s="75"/>
      <c r="N462" s="75"/>
      <c r="O462" s="75"/>
      <c r="P462" s="75"/>
    </row>
    <row r="463" spans="2:16" x14ac:dyDescent="0.3">
      <c r="B463" s="75"/>
      <c r="C463" s="75"/>
      <c r="D463" s="75"/>
      <c r="E463" s="75"/>
      <c r="F463" s="75"/>
      <c r="G463" s="75"/>
      <c r="H463" s="75"/>
      <c r="J463" s="75"/>
      <c r="K463" s="75"/>
      <c r="L463" s="75"/>
      <c r="M463" s="75"/>
      <c r="N463" s="75"/>
      <c r="O463" s="75"/>
      <c r="P463" s="75"/>
    </row>
    <row r="464" spans="2:16" x14ac:dyDescent="0.3">
      <c r="B464" s="17" t="s">
        <v>6</v>
      </c>
      <c r="C464" s="75"/>
      <c r="D464" s="75"/>
      <c r="E464" s="75"/>
      <c r="F464" s="75"/>
      <c r="G464" s="75"/>
      <c r="H464" s="75"/>
      <c r="I464" s="18" t="s">
        <v>25</v>
      </c>
      <c r="J464" s="75"/>
      <c r="K464" s="75"/>
      <c r="L464" s="75"/>
      <c r="M464" s="75"/>
      <c r="N464" s="75"/>
      <c r="O464" s="75"/>
      <c r="P464" s="75"/>
    </row>
    <row r="465" spans="2:16" x14ac:dyDescent="0.3">
      <c r="B465" s="19" t="s">
        <v>99</v>
      </c>
      <c r="C465" s="61">
        <f>10.1971621297793*'EJE 15'!$G$14</f>
        <v>356.90067454227551</v>
      </c>
      <c r="D465" s="16" t="s">
        <v>8</v>
      </c>
      <c r="E465" s="75"/>
      <c r="F465" s="75"/>
      <c r="G465" s="75"/>
      <c r="H465" s="75"/>
      <c r="I465" s="19" t="s">
        <v>58</v>
      </c>
      <c r="J465" s="16">
        <f>C472/16</f>
        <v>14.375</v>
      </c>
      <c r="K465" s="16" t="s">
        <v>5</v>
      </c>
      <c r="L465" s="21"/>
      <c r="M465" s="39" t="str">
        <f>IF(J465&lt;C470,"[OK]","[REDISEÑAR]")</f>
        <v>[OK]</v>
      </c>
      <c r="N465" s="75"/>
      <c r="O465" s="75"/>
      <c r="P465" s="75"/>
    </row>
    <row r="466" spans="2:16" x14ac:dyDescent="0.3">
      <c r="B466" s="19" t="s">
        <v>30</v>
      </c>
      <c r="C466" s="16">
        <v>4200</v>
      </c>
      <c r="D466" s="16" t="s">
        <v>8</v>
      </c>
      <c r="E466" s="75"/>
      <c r="F466" s="75"/>
      <c r="G466" s="75"/>
      <c r="H466" s="75"/>
      <c r="I466" s="19" t="s">
        <v>16</v>
      </c>
      <c r="J466" s="16">
        <f>C470*C471</f>
        <v>4800</v>
      </c>
      <c r="K466" s="16" t="s">
        <v>17</v>
      </c>
      <c r="L466" s="21"/>
      <c r="M466" s="75"/>
      <c r="N466" s="75"/>
      <c r="O466" s="75"/>
      <c r="P466" s="75"/>
    </row>
    <row r="467" spans="2:16" x14ac:dyDescent="0.3">
      <c r="B467" s="19" t="s">
        <v>31</v>
      </c>
      <c r="C467" s="16">
        <v>2800</v>
      </c>
      <c r="D467" s="16" t="s">
        <v>8</v>
      </c>
      <c r="E467" s="75"/>
      <c r="F467" s="75"/>
      <c r="G467" s="75"/>
      <c r="H467" s="75"/>
      <c r="I467" s="19" t="s">
        <v>51</v>
      </c>
      <c r="J467" s="16">
        <f>MIN(0.8*C471/5,3*C470,45)</f>
        <v>30.720000000000006</v>
      </c>
      <c r="K467" s="16" t="s">
        <v>5</v>
      </c>
      <c r="L467" s="21"/>
      <c r="M467" s="39" t="str">
        <f>IF(J467&gt;C483,"[OK]","[REDISEÑAR]")</f>
        <v>[OK]</v>
      </c>
      <c r="N467" s="75"/>
      <c r="O467" s="75"/>
      <c r="P467" s="75"/>
    </row>
    <row r="468" spans="2:16" x14ac:dyDescent="0.3">
      <c r="B468" s="75"/>
      <c r="C468" s="75"/>
      <c r="D468" s="75"/>
      <c r="E468" s="75"/>
      <c r="F468" s="75"/>
      <c r="G468" s="75"/>
      <c r="H468" s="75"/>
      <c r="I468" s="19" t="s">
        <v>56</v>
      </c>
      <c r="J468" s="16">
        <f>MIN(0.8*C472/3,3*C471,45)</f>
        <v>45</v>
      </c>
      <c r="K468" s="16" t="s">
        <v>5</v>
      </c>
      <c r="L468" s="21"/>
      <c r="M468" s="39" t="str">
        <f>IF(J468&gt;C483,"[OK]","[REDISEÑAR]")</f>
        <v>[OK]</v>
      </c>
      <c r="N468" s="75"/>
      <c r="O468" s="75"/>
      <c r="P468" s="75"/>
    </row>
    <row r="469" spans="2:16" x14ac:dyDescent="0.3">
      <c r="B469" s="17" t="s">
        <v>3</v>
      </c>
      <c r="C469" s="75"/>
      <c r="D469" s="75"/>
      <c r="E469" s="75"/>
      <c r="F469" s="75"/>
      <c r="G469" s="75"/>
      <c r="H469" s="75"/>
      <c r="I469" s="19" t="s">
        <v>62</v>
      </c>
      <c r="J469" s="16">
        <f>0.8*C471</f>
        <v>153.60000000000002</v>
      </c>
      <c r="K469" s="29" t="s">
        <v>5</v>
      </c>
      <c r="L469" s="75"/>
      <c r="M469" s="75"/>
      <c r="N469" s="75"/>
      <c r="O469" s="75"/>
      <c r="P469" s="75"/>
    </row>
    <row r="470" spans="2:16" x14ac:dyDescent="0.3">
      <c r="B470" s="19" t="str">
        <f>"Espesor del muro (h)"</f>
        <v>Espesor del muro (h)</v>
      </c>
      <c r="C470" s="49">
        <f>'EJE 15'!$H$14</f>
        <v>25</v>
      </c>
      <c r="D470" s="16" t="s">
        <v>5</v>
      </c>
      <c r="E470" s="75"/>
      <c r="F470" s="75"/>
      <c r="G470" s="75"/>
      <c r="H470" s="75"/>
      <c r="J470" s="75"/>
      <c r="K470" s="75"/>
      <c r="L470" s="75"/>
      <c r="M470" s="75"/>
      <c r="N470" s="75"/>
      <c r="O470" s="75"/>
      <c r="P470" s="75"/>
    </row>
    <row r="471" spans="2:16" x14ac:dyDescent="0.3">
      <c r="B471" s="19" t="s">
        <v>63</v>
      </c>
      <c r="C471" s="49">
        <f>'EJE 15'!$I$14</f>
        <v>192</v>
      </c>
      <c r="D471" s="16" t="s">
        <v>5</v>
      </c>
      <c r="E471" s="75"/>
      <c r="F471" s="75"/>
      <c r="G471" s="75"/>
      <c r="H471" s="75"/>
      <c r="I471" s="18" t="s">
        <v>26</v>
      </c>
      <c r="J471" s="75"/>
      <c r="K471" s="75"/>
      <c r="L471" s="75"/>
      <c r="M471" s="75"/>
      <c r="N471" s="75"/>
      <c r="O471" s="75"/>
      <c r="P471" s="75"/>
    </row>
    <row r="472" spans="2:16" x14ac:dyDescent="0.3">
      <c r="B472" s="19" t="s">
        <v>10</v>
      </c>
      <c r="C472" s="49">
        <f>'EJE 15'!$J$14</f>
        <v>230</v>
      </c>
      <c r="D472" s="16" t="s">
        <v>5</v>
      </c>
      <c r="E472" s="75"/>
      <c r="F472" s="75"/>
      <c r="G472" s="75"/>
      <c r="H472" s="75"/>
      <c r="I472" s="19" t="s">
        <v>28</v>
      </c>
      <c r="J472" s="16">
        <f>0.35*C465</f>
        <v>124.91523608979642</v>
      </c>
      <c r="K472" s="16" t="s">
        <v>8</v>
      </c>
      <c r="L472" s="21"/>
      <c r="M472" s="75"/>
      <c r="N472" s="75"/>
      <c r="O472" s="75"/>
      <c r="P472" s="75"/>
    </row>
    <row r="473" spans="2:16" x14ac:dyDescent="0.3">
      <c r="B473" s="75"/>
      <c r="C473" s="75"/>
      <c r="D473" s="75"/>
      <c r="E473" s="75"/>
      <c r="F473" s="75"/>
      <c r="G473" s="75"/>
      <c r="H473" s="75"/>
      <c r="I473" s="19" t="s">
        <v>27</v>
      </c>
      <c r="J473" s="30">
        <f>C475*1000/J466</f>
        <v>29.856375</v>
      </c>
      <c r="K473" s="16" t="s">
        <v>8</v>
      </c>
      <c r="L473" s="21"/>
      <c r="M473" s="39" t="str">
        <f>IF(J473&lt;J472,"[OK]","[REDISEÑAR]")</f>
        <v>[OK]</v>
      </c>
      <c r="N473" s="41" t="s">
        <v>112</v>
      </c>
      <c r="O473" s="59">
        <f>J473/J472</f>
        <v>0.2390130774642853</v>
      </c>
      <c r="P473" s="75"/>
    </row>
    <row r="474" spans="2:16" x14ac:dyDescent="0.3">
      <c r="B474" s="17" t="s">
        <v>11</v>
      </c>
      <c r="C474" s="75"/>
      <c r="D474" s="75"/>
      <c r="E474" s="75"/>
      <c r="F474" s="75"/>
      <c r="G474" s="75"/>
      <c r="H474" s="75"/>
      <c r="J474" s="75"/>
      <c r="K474" s="75"/>
      <c r="L474" s="75"/>
      <c r="M474" s="75"/>
      <c r="N474" s="75"/>
      <c r="O474" s="75"/>
      <c r="P474" s="75"/>
    </row>
    <row r="475" spans="2:16" x14ac:dyDescent="0.3">
      <c r="B475" s="19" t="str">
        <f>"$N_U$"</f>
        <v>$N_U$</v>
      </c>
      <c r="C475" s="60">
        <f>'EJE 15'!$K$14</f>
        <v>143.31059999999999</v>
      </c>
      <c r="D475" s="16" t="s">
        <v>12</v>
      </c>
      <c r="E475" s="75"/>
      <c r="F475" s="75"/>
      <c r="G475" s="75"/>
      <c r="H475" s="75"/>
      <c r="I475" s="18" t="s">
        <v>54</v>
      </c>
      <c r="J475" s="75"/>
      <c r="K475" s="75"/>
      <c r="L475" s="75"/>
      <c r="M475" s="75"/>
      <c r="N475" s="75"/>
      <c r="O475" s="75"/>
      <c r="P475" s="75"/>
    </row>
    <row r="476" spans="2:16" x14ac:dyDescent="0.3">
      <c r="B476" s="19" t="s">
        <v>14</v>
      </c>
      <c r="C476" s="60">
        <f>'EJE 15'!$L$14</f>
        <v>0.52429999999999999</v>
      </c>
      <c r="D476" s="16" t="s">
        <v>12</v>
      </c>
      <c r="E476" s="75"/>
      <c r="F476" s="75"/>
      <c r="G476" s="75"/>
      <c r="H476" s="75"/>
      <c r="I476" s="19" t="s">
        <v>72</v>
      </c>
      <c r="J476" s="16">
        <f>1.2*C476+C477+1.4*C478</f>
        <v>7.3950399999999989</v>
      </c>
      <c r="K476" s="16" t="s">
        <v>12</v>
      </c>
      <c r="L476" s="75"/>
      <c r="M476" s="75" t="s">
        <v>68</v>
      </c>
      <c r="N476" s="75"/>
      <c r="O476" s="75"/>
      <c r="P476" s="75"/>
    </row>
    <row r="477" spans="2:16" x14ac:dyDescent="0.3">
      <c r="B477" s="19" t="s">
        <v>13</v>
      </c>
      <c r="C477" s="60">
        <f>'EJE 15'!$M$14</f>
        <v>0.2843</v>
      </c>
      <c r="D477" s="16" t="s">
        <v>12</v>
      </c>
      <c r="E477" s="75"/>
      <c r="F477" s="75"/>
      <c r="G477" s="75"/>
      <c r="H477" s="75"/>
      <c r="I477" s="19" t="s">
        <v>69</v>
      </c>
      <c r="J477" s="16">
        <f>SUM(C476:C478)</f>
        <v>5.4382999999999999</v>
      </c>
      <c r="K477" s="16" t="s">
        <v>12</v>
      </c>
      <c r="L477" s="75"/>
      <c r="M477" s="75" t="s">
        <v>70</v>
      </c>
      <c r="N477" s="75"/>
      <c r="O477" s="75"/>
      <c r="P477" s="75"/>
    </row>
    <row r="478" spans="2:16" x14ac:dyDescent="0.3">
      <c r="B478" s="19" t="s">
        <v>15</v>
      </c>
      <c r="C478" s="60">
        <f>'EJE 15'!$N$14</f>
        <v>4.6296999999999997</v>
      </c>
      <c r="D478" s="16" t="s">
        <v>12</v>
      </c>
      <c r="E478" s="75"/>
      <c r="F478" s="75"/>
      <c r="G478" s="75"/>
      <c r="H478" s="75"/>
      <c r="I478" s="19" t="s">
        <v>73</v>
      </c>
      <c r="J478" s="16">
        <f>IF(C479=0,J476,C479)</f>
        <v>7.3950399999999989</v>
      </c>
      <c r="K478" s="16" t="s">
        <v>12</v>
      </c>
      <c r="L478" s="75"/>
      <c r="M478" s="40" t="s">
        <v>74</v>
      </c>
      <c r="N478" s="75"/>
      <c r="O478" s="75"/>
      <c r="P478" s="75"/>
    </row>
    <row r="479" spans="2:16" x14ac:dyDescent="0.3">
      <c r="B479" s="19" t="s">
        <v>55</v>
      </c>
      <c r="C479" s="16">
        <v>0</v>
      </c>
      <c r="D479" s="16" t="s">
        <v>12</v>
      </c>
      <c r="E479" s="75"/>
      <c r="F479" s="75"/>
      <c r="G479" s="75"/>
      <c r="H479" s="75"/>
      <c r="I479" s="19" t="s">
        <v>71</v>
      </c>
      <c r="J479" s="16">
        <f>IF(C479=0,J477,C479)</f>
        <v>5.4382999999999999</v>
      </c>
      <c r="K479" s="16" t="s">
        <v>12</v>
      </c>
      <c r="L479" s="75"/>
      <c r="M479" s="40" t="s">
        <v>75</v>
      </c>
      <c r="N479" s="75"/>
      <c r="O479" s="75"/>
      <c r="P479" s="75"/>
    </row>
    <row r="480" spans="2:16" x14ac:dyDescent="0.3">
      <c r="B480" s="75"/>
      <c r="C480" s="75"/>
      <c r="D480" s="75"/>
      <c r="E480" s="75"/>
      <c r="F480" s="75"/>
      <c r="G480" s="75"/>
      <c r="H480" s="75"/>
      <c r="J480" s="75"/>
      <c r="K480" s="75"/>
      <c r="L480" s="75"/>
      <c r="M480" s="75"/>
      <c r="N480" s="75"/>
      <c r="O480" s="75"/>
      <c r="P480" s="75"/>
    </row>
    <row r="481" spans="2:16" x14ac:dyDescent="0.3">
      <c r="B481" s="33" t="s">
        <v>42</v>
      </c>
      <c r="C481" s="75"/>
      <c r="D481" s="75"/>
      <c r="E481" s="75"/>
      <c r="F481" s="75"/>
      <c r="G481" s="75"/>
      <c r="H481" s="75"/>
      <c r="I481" s="27" t="s">
        <v>76</v>
      </c>
      <c r="J481" s="75"/>
      <c r="K481" s="75"/>
      <c r="L481" s="75"/>
      <c r="M481" s="75"/>
      <c r="N481" s="75"/>
      <c r="O481" s="75"/>
      <c r="P481" s="75"/>
    </row>
    <row r="482" spans="2:16" x14ac:dyDescent="0.3">
      <c r="B482" s="31" t="s">
        <v>41</v>
      </c>
      <c r="C482" s="16">
        <v>12</v>
      </c>
      <c r="D482" s="29" t="s">
        <v>35</v>
      </c>
      <c r="E482" s="75"/>
      <c r="F482" s="75"/>
      <c r="G482" s="75"/>
      <c r="H482" s="75"/>
      <c r="I482" s="19" t="s">
        <v>29</v>
      </c>
      <c r="J482" s="30">
        <f>J479*1000/J466</f>
        <v>1.1329791666666666</v>
      </c>
      <c r="K482" s="29" t="s">
        <v>8</v>
      </c>
      <c r="L482" s="75"/>
      <c r="M482" s="75"/>
      <c r="N482" s="75"/>
      <c r="O482" s="75"/>
      <c r="P482" s="75"/>
    </row>
    <row r="483" spans="2:16" x14ac:dyDescent="0.3">
      <c r="B483" s="31" t="s">
        <v>43</v>
      </c>
      <c r="C483" s="16">
        <v>14</v>
      </c>
      <c r="D483" s="29" t="s">
        <v>5</v>
      </c>
      <c r="E483" s="75"/>
      <c r="F483" s="39" t="str">
        <f>IF(OR(C483&gt;25,C483&lt;10),"[REDISEÑAR]",IF(AND(C483&lt;=J484,C483&lt;=J498),"[OK]","[REDISEÑAR]"))</f>
        <v>[OK]</v>
      </c>
      <c r="G483" s="75"/>
      <c r="H483" s="75"/>
      <c r="I483" s="19" t="s">
        <v>61</v>
      </c>
      <c r="J483" s="37">
        <f>MAX(J482*100*C470/(2*C467),C487)</f>
        <v>3.125</v>
      </c>
      <c r="K483" s="29" t="s">
        <v>32</v>
      </c>
      <c r="L483" s="75"/>
      <c r="M483" s="15"/>
      <c r="N483" s="15"/>
      <c r="O483" s="15"/>
      <c r="P483" s="75"/>
    </row>
    <row r="484" spans="2:16" x14ac:dyDescent="0.3">
      <c r="B484" s="75"/>
      <c r="C484" s="50" t="str">
        <f>"$\phi$"&amp;C482&amp;"@"&amp;C483</f>
        <v>$\phi$12@14</v>
      </c>
      <c r="D484" s="75"/>
      <c r="E484" s="75"/>
      <c r="F484" s="39" t="str">
        <f>IF(OR(J483=C487,J494=C487),"[ÁREA MINIMA]","[]")</f>
        <v>[ÁREA MINIMA]</v>
      </c>
      <c r="G484" s="75"/>
      <c r="H484" s="75"/>
      <c r="I484" s="63" t="s">
        <v>34</v>
      </c>
      <c r="J484" s="63">
        <f>ROUNDDOWN((1/J483)*C486*100,0)</f>
        <v>36</v>
      </c>
      <c r="K484" s="64" t="s">
        <v>5</v>
      </c>
      <c r="L484" s="75"/>
      <c r="M484" s="39" t="str">
        <f>IF(OR(J484&lt;10,J484&gt;25),"[REDISEÑAR]","[OK")</f>
        <v>[REDISEÑAR]</v>
      </c>
      <c r="N484" s="41" t="s">
        <v>80</v>
      </c>
      <c r="O484" s="42">
        <f>1/J483*(C482/2)^2*PI()</f>
        <v>36.191147369354418</v>
      </c>
      <c r="P484" s="75" t="str">
        <f>"$\phi$"&amp;C482&amp;"@"&amp;J484</f>
        <v>$\phi$12@36</v>
      </c>
    </row>
    <row r="485" spans="2:16" x14ac:dyDescent="0.3">
      <c r="B485" s="18" t="s">
        <v>52</v>
      </c>
      <c r="C485" s="75"/>
      <c r="D485" s="75"/>
      <c r="E485" s="75"/>
      <c r="F485" s="62" t="str">
        <f>IF(J473&lt;J472,IF(J501&gt;J490,"[OK]","[REDISEÑAR]"),"[REDISEÑAR]")</f>
        <v>[OK]</v>
      </c>
      <c r="G485" s="75"/>
      <c r="H485" s="75"/>
      <c r="I485" s="31" t="s">
        <v>48</v>
      </c>
      <c r="J485" s="30">
        <f>C486*2*IF(C471/C483&gt;=1,C471/C483,0)</f>
        <v>31.020983459446644</v>
      </c>
      <c r="K485" s="29" t="s">
        <v>17</v>
      </c>
      <c r="L485" s="75"/>
      <c r="M485" s="75"/>
      <c r="N485" s="15"/>
      <c r="O485" s="44"/>
      <c r="P485" s="75"/>
    </row>
    <row r="486" spans="2:16" x14ac:dyDescent="0.3">
      <c r="B486" s="31" t="s">
        <v>66</v>
      </c>
      <c r="C486" s="30">
        <f>(C482/(2*10))^2*PI()</f>
        <v>1.1309733552923256</v>
      </c>
      <c r="D486" s="29" t="s">
        <v>17</v>
      </c>
      <c r="E486" s="75"/>
      <c r="F486" s="75"/>
      <c r="G486" s="75"/>
      <c r="H486" s="75"/>
      <c r="I486" s="19" t="s">
        <v>49</v>
      </c>
      <c r="J486" s="34">
        <f>C467*J485/1000</f>
        <v>86.858753686450598</v>
      </c>
      <c r="K486" s="16" t="s">
        <v>12</v>
      </c>
      <c r="L486" s="75"/>
      <c r="M486" s="39" t="str">
        <f>IF(J486&gt;J479,"[OK]","[REDISEÑAR]")</f>
        <v>[OK]</v>
      </c>
      <c r="N486" s="41" t="str">
        <f>IF(O486&gt;0,"Sobrado","Faltan")</f>
        <v>Sobrado</v>
      </c>
      <c r="O486" s="43">
        <f>J486-J479</f>
        <v>81.4204536864506</v>
      </c>
      <c r="P486" s="75"/>
    </row>
    <row r="487" spans="2:16" x14ac:dyDescent="0.3">
      <c r="B487" s="31" t="s">
        <v>78</v>
      </c>
      <c r="C487" s="37">
        <f>2.5/1000*100*C470/2</f>
        <v>3.125</v>
      </c>
      <c r="D487" s="16" t="s">
        <v>17</v>
      </c>
      <c r="E487" s="75"/>
      <c r="F487" s="75"/>
      <c r="G487" s="75"/>
      <c r="H487" s="75"/>
      <c r="J487" s="75"/>
      <c r="K487" s="75"/>
      <c r="L487" s="75"/>
      <c r="M487" s="75"/>
      <c r="N487" s="75"/>
      <c r="O487" s="15"/>
      <c r="P487" s="75"/>
    </row>
    <row r="488" spans="2:16" x14ac:dyDescent="0.3">
      <c r="B488" s="31" t="s">
        <v>114</v>
      </c>
      <c r="C488" s="37">
        <f>C486*100/C483</f>
        <v>8.0783811092308966</v>
      </c>
      <c r="D488" s="29" t="s">
        <v>32</v>
      </c>
      <c r="E488" s="75"/>
      <c r="F488" s="75"/>
      <c r="G488" s="75"/>
      <c r="H488" s="75"/>
      <c r="I488" s="18" t="s">
        <v>77</v>
      </c>
      <c r="J488" s="75"/>
      <c r="K488" s="75"/>
      <c r="L488" s="75"/>
      <c r="M488" s="17" t="s">
        <v>67</v>
      </c>
      <c r="N488" s="75"/>
      <c r="O488" s="75"/>
      <c r="P488" s="75"/>
    </row>
    <row r="489" spans="2:16" x14ac:dyDescent="0.3">
      <c r="B489" s="75"/>
      <c r="C489" s="75"/>
      <c r="D489" s="75"/>
      <c r="E489" s="75"/>
      <c r="F489" s="75"/>
      <c r="G489" s="75"/>
      <c r="H489" s="75"/>
      <c r="I489" s="19" t="s">
        <v>33</v>
      </c>
      <c r="J489" s="16">
        <v>0.6</v>
      </c>
      <c r="K489" s="16" t="s">
        <v>50</v>
      </c>
      <c r="L489" s="75"/>
      <c r="M489" s="19" t="s">
        <v>64</v>
      </c>
      <c r="N489" s="30">
        <f>SQRT(C465*0.0980665)*(1/0.0980665)/1000*J491*0.17</f>
        <v>31.250778100012241</v>
      </c>
      <c r="O489" s="16" t="s">
        <v>12</v>
      </c>
      <c r="P489" s="75"/>
    </row>
    <row r="490" spans="2:16" x14ac:dyDescent="0.3">
      <c r="B490" s="17" t="s">
        <v>37</v>
      </c>
      <c r="C490" s="75"/>
      <c r="D490" s="75"/>
      <c r="E490" s="75"/>
      <c r="F490" s="75"/>
      <c r="G490" s="75"/>
      <c r="H490" s="75"/>
      <c r="I490" s="19" t="s">
        <v>46</v>
      </c>
      <c r="J490" s="34">
        <f>J478/J489</f>
        <v>12.325066666666665</v>
      </c>
      <c r="K490" s="16" t="s">
        <v>12</v>
      </c>
      <c r="L490" s="75"/>
      <c r="M490" s="19" t="s">
        <v>57</v>
      </c>
      <c r="N490" s="16">
        <f>IF(C472/J469&lt;=1.5,0.25,IF(C472/J469&gt;=2,0.17,0.17+(0.25-0.17)/(C472/J469-1.5)*C472/J469))</f>
        <v>0.25</v>
      </c>
      <c r="O490" s="29" t="s">
        <v>50</v>
      </c>
      <c r="P490" s="75"/>
    </row>
    <row r="491" spans="2:16" x14ac:dyDescent="0.3">
      <c r="B491" s="31" t="s">
        <v>115</v>
      </c>
      <c r="C491" s="37">
        <f>O486</f>
        <v>81.4204536864506</v>
      </c>
      <c r="D491" s="29" t="s">
        <v>12</v>
      </c>
      <c r="E491" s="75"/>
      <c r="F491" s="75"/>
      <c r="G491" s="75"/>
      <c r="H491" s="75"/>
      <c r="I491" s="19" t="s">
        <v>36</v>
      </c>
      <c r="J491" s="35">
        <f>J469*C470*0.8-J499</f>
        <v>3047.183213232443</v>
      </c>
      <c r="K491" s="16" t="s">
        <v>17</v>
      </c>
      <c r="L491" s="75"/>
      <c r="M491" s="19" t="s">
        <v>59</v>
      </c>
      <c r="N491" s="30">
        <f>SQRT(C465*0.0980665)*(1/0.0980665)/1000*J491*N490</f>
        <v>45.957026617665058</v>
      </c>
      <c r="O491" s="29" t="s">
        <v>12</v>
      </c>
      <c r="P491" s="75"/>
    </row>
    <row r="492" spans="2:16" x14ac:dyDescent="0.3">
      <c r="B492" s="31" t="s">
        <v>116</v>
      </c>
      <c r="C492" s="37">
        <f>O501</f>
        <v>123.15621585708635</v>
      </c>
      <c r="D492" s="29" t="s">
        <v>12</v>
      </c>
      <c r="E492" s="75"/>
      <c r="F492" s="75"/>
      <c r="G492" s="75"/>
      <c r="H492" s="75"/>
      <c r="I492" s="19" t="s">
        <v>60</v>
      </c>
      <c r="J492" s="34">
        <f>MIN(N491,N489)</f>
        <v>31.250778100012241</v>
      </c>
      <c r="K492" s="29" t="s">
        <v>12</v>
      </c>
      <c r="L492" s="75"/>
      <c r="M492" s="75"/>
      <c r="N492" s="75"/>
      <c r="O492" s="75"/>
      <c r="P492" s="75"/>
    </row>
    <row r="493" spans="2:16" x14ac:dyDescent="0.3">
      <c r="B493" s="19" t="s">
        <v>117</v>
      </c>
      <c r="C493" s="36">
        <f>C486*2*C471/C483/J466</f>
        <v>6.4627048873847183E-3</v>
      </c>
      <c r="D493" s="16" t="s">
        <v>50</v>
      </c>
      <c r="E493" s="75"/>
      <c r="F493" s="75"/>
      <c r="G493" s="75"/>
      <c r="H493" s="75"/>
      <c r="I493" s="19" t="s">
        <v>39</v>
      </c>
      <c r="J493" s="34">
        <f>J490-J492</f>
        <v>-18.925711433345576</v>
      </c>
      <c r="K493" s="16" t="s">
        <v>12</v>
      </c>
      <c r="L493" s="75"/>
      <c r="M493" s="75"/>
      <c r="N493" s="75"/>
      <c r="O493" s="75"/>
      <c r="P493" s="75"/>
    </row>
    <row r="494" spans="2:16" x14ac:dyDescent="0.3">
      <c r="B494" s="75"/>
      <c r="C494" s="75"/>
      <c r="D494" s="75"/>
      <c r="E494" s="75"/>
      <c r="F494" s="75"/>
      <c r="G494" s="75"/>
      <c r="H494" s="75"/>
      <c r="I494" s="19" t="s">
        <v>61</v>
      </c>
      <c r="J494" s="37">
        <f>MAX(J493/(C466*J469/1000/100)/2,C487)</f>
        <v>3.125</v>
      </c>
      <c r="K494" s="29" t="s">
        <v>32</v>
      </c>
      <c r="L494" s="75"/>
      <c r="M494" s="75"/>
      <c r="N494" s="75"/>
      <c r="O494" s="75"/>
      <c r="P494" s="75"/>
    </row>
    <row r="495" spans="2:16" x14ac:dyDescent="0.3">
      <c r="B495" s="75"/>
      <c r="C495" s="75"/>
      <c r="D495" s="75"/>
      <c r="E495" s="75"/>
      <c r="F495" s="75"/>
      <c r="G495" s="75"/>
      <c r="H495" s="75"/>
      <c r="I495" s="19" t="s">
        <v>65</v>
      </c>
      <c r="J495" s="36">
        <f>J494/C470/100*2</f>
        <v>2.5000000000000001E-3</v>
      </c>
      <c r="K495" s="16" t="s">
        <v>50</v>
      </c>
      <c r="L495" s="75"/>
      <c r="M495" s="75"/>
      <c r="N495" s="75"/>
      <c r="O495" s="75"/>
      <c r="P495" s="75"/>
    </row>
    <row r="496" spans="2:16" x14ac:dyDescent="0.3">
      <c r="B496" s="75"/>
      <c r="C496" s="75"/>
      <c r="D496" s="75"/>
      <c r="E496" s="75"/>
      <c r="F496" s="75"/>
      <c r="G496" s="75"/>
      <c r="H496" s="75"/>
      <c r="I496" s="19" t="s">
        <v>53</v>
      </c>
      <c r="J496" s="16">
        <f>MAX(0.0025,0.0025*0.5*(2.5-C470/(C471*0.8))*(J495-0.0025))</f>
        <v>2.5000000000000001E-3</v>
      </c>
      <c r="K496" s="29" t="s">
        <v>50</v>
      </c>
      <c r="L496" s="75"/>
      <c r="M496" s="39" t="str">
        <f>IF(OR(J495&gt;J496,ABS(J495-J496)&lt;0.0001),"[OK]","[REDISEÑAR]")</f>
        <v>[OK]</v>
      </c>
      <c r="N496" s="75"/>
      <c r="O496" s="75"/>
      <c r="P496" s="75"/>
    </row>
    <row r="497" spans="2:16" x14ac:dyDescent="0.3">
      <c r="B497" s="75"/>
      <c r="C497" s="75"/>
      <c r="D497" s="75"/>
      <c r="E497" s="75"/>
      <c r="F497" s="75"/>
      <c r="G497" s="75"/>
      <c r="H497" s="75"/>
      <c r="I497" s="19" t="s">
        <v>47</v>
      </c>
      <c r="J497" s="34">
        <f>SQRT(C465*0.0980665)*(1/0.0980665)/1000*0.66*0.8*C471*C470</f>
        <v>152.89331833284234</v>
      </c>
      <c r="K497" s="16" t="s">
        <v>12</v>
      </c>
      <c r="L497" s="75"/>
      <c r="M497" s="40" t="s">
        <v>44</v>
      </c>
      <c r="N497" s="75"/>
      <c r="O497" s="15"/>
      <c r="P497" s="75"/>
    </row>
    <row r="498" spans="2:16" x14ac:dyDescent="0.3">
      <c r="B498" s="75"/>
      <c r="C498" s="75"/>
      <c r="D498" s="75"/>
      <c r="E498" s="75"/>
      <c r="F498" s="75"/>
      <c r="G498" s="75"/>
      <c r="H498" s="75"/>
      <c r="I498" s="63" t="s">
        <v>34</v>
      </c>
      <c r="J498" s="63">
        <f>ROUNDDOWN(1/J494*C486*100,0)</f>
        <v>36</v>
      </c>
      <c r="K498" s="64" t="s">
        <v>5</v>
      </c>
      <c r="L498" s="75"/>
      <c r="M498" s="39" t="str">
        <f>IF(OR(J498&lt;10,J498&gt;25),"[REDISEÑAR]","[OK")</f>
        <v>[REDISEÑAR]</v>
      </c>
      <c r="N498" s="41" t="s">
        <v>80</v>
      </c>
      <c r="O498" s="42">
        <f>1/J494*(C482/2)^2*PI()</f>
        <v>36.191147369354418</v>
      </c>
      <c r="P498" s="75" t="str">
        <f>"$\phi$"&amp;C482&amp;"@"&amp;J498</f>
        <v>$\phi$12@36</v>
      </c>
    </row>
    <row r="499" spans="2:16" x14ac:dyDescent="0.3">
      <c r="B499" s="75"/>
      <c r="C499" s="75"/>
      <c r="D499" s="75"/>
      <c r="E499" s="75"/>
      <c r="F499" s="75"/>
      <c r="G499" s="75"/>
      <c r="H499" s="75"/>
      <c r="I499" s="31" t="s">
        <v>48</v>
      </c>
      <c r="J499" s="30">
        <f>C486*2*IF(J469/C483&gt;=1,J469/C483,0)</f>
        <v>24.816786767557321</v>
      </c>
      <c r="K499" s="29" t="s">
        <v>17</v>
      </c>
      <c r="L499" s="75"/>
      <c r="M499" s="75"/>
      <c r="N499" s="15"/>
      <c r="O499" s="15"/>
      <c r="P499" s="75"/>
    </row>
    <row r="500" spans="2:16" x14ac:dyDescent="0.3">
      <c r="B500" s="75"/>
      <c r="C500" s="75"/>
      <c r="D500" s="75"/>
      <c r="E500" s="75"/>
      <c r="F500" s="75"/>
      <c r="G500" s="75"/>
      <c r="H500" s="75"/>
      <c r="I500" s="19" t="s">
        <v>81</v>
      </c>
      <c r="J500" s="34">
        <f>MIN(J499*C466/1000,J497)</f>
        <v>104.23050442374075</v>
      </c>
      <c r="K500" s="16" t="s">
        <v>12</v>
      </c>
      <c r="L500" s="75"/>
      <c r="M500" s="40" t="s">
        <v>82</v>
      </c>
      <c r="N500" s="15"/>
      <c r="O500" s="15"/>
      <c r="P500" s="75"/>
    </row>
    <row r="501" spans="2:16" x14ac:dyDescent="0.3">
      <c r="B501" s="75"/>
      <c r="C501" s="75"/>
      <c r="D501" s="75"/>
      <c r="E501" s="75"/>
      <c r="F501" s="75"/>
      <c r="G501" s="75"/>
      <c r="H501" s="75"/>
      <c r="I501" s="19" t="s">
        <v>79</v>
      </c>
      <c r="J501" s="34">
        <f>J500+J492</f>
        <v>135.48128252375301</v>
      </c>
      <c r="K501" s="16" t="s">
        <v>12</v>
      </c>
      <c r="L501" s="75"/>
      <c r="M501" s="39" t="str">
        <f>IF(J501&gt;J490,"[OK]","[REDISEÑAR]")</f>
        <v>[OK]</v>
      </c>
      <c r="N501" s="41" t="str">
        <f>IF(O501&gt;0,"Sobrado","Faltan")</f>
        <v>Sobrado</v>
      </c>
      <c r="O501" s="43">
        <f>J501-J490</f>
        <v>123.15621585708635</v>
      </c>
      <c r="P501" s="75"/>
    </row>
    <row r="502" spans="2:16" x14ac:dyDescent="0.3">
      <c r="B502" s="75"/>
      <c r="C502" s="75"/>
      <c r="D502" s="75"/>
      <c r="E502" s="75"/>
      <c r="F502" s="75"/>
      <c r="G502" s="75"/>
      <c r="H502" s="75"/>
      <c r="J502" s="75"/>
      <c r="K502" s="75"/>
      <c r="L502" s="75"/>
      <c r="M502" s="75"/>
      <c r="N502" s="75"/>
      <c r="O502" s="75"/>
      <c r="P502" s="75"/>
    </row>
    <row r="503" spans="2:16" x14ac:dyDescent="0.3">
      <c r="B503" s="75"/>
      <c r="C503" s="75"/>
      <c r="D503" s="75"/>
      <c r="E503" s="75"/>
      <c r="F503" s="75"/>
      <c r="G503" s="75"/>
      <c r="H503" s="75"/>
      <c r="I503" s="18" t="s">
        <v>45</v>
      </c>
      <c r="J503" s="75"/>
      <c r="K503" s="75"/>
      <c r="L503" s="75"/>
      <c r="M503" s="75"/>
      <c r="N503" s="75"/>
      <c r="O503" s="15"/>
      <c r="P503" s="75"/>
    </row>
    <row r="504" spans="2:16" x14ac:dyDescent="0.3">
      <c r="B504" s="75"/>
      <c r="C504" s="75"/>
      <c r="D504" s="75"/>
      <c r="E504" s="75"/>
      <c r="F504" s="75"/>
      <c r="G504" s="75"/>
      <c r="H504" s="75"/>
      <c r="I504" s="19" t="s">
        <v>40</v>
      </c>
      <c r="J504" s="16">
        <f>J478</f>
        <v>7.3950399999999989</v>
      </c>
      <c r="K504" s="16" t="s">
        <v>12</v>
      </c>
      <c r="L504" s="75"/>
      <c r="M504" s="75"/>
      <c r="N504" s="75"/>
      <c r="O504" s="26"/>
      <c r="P504" s="75"/>
    </row>
    <row r="505" spans="2:16" x14ac:dyDescent="0.3">
      <c r="B505" s="75"/>
      <c r="C505" s="75"/>
      <c r="D505" s="75"/>
      <c r="E505" s="75"/>
      <c r="F505" s="75"/>
      <c r="G505" s="75"/>
      <c r="H505" s="75"/>
      <c r="I505" s="19" t="s">
        <v>46</v>
      </c>
      <c r="J505" s="34">
        <f>J490</f>
        <v>12.325066666666665</v>
      </c>
      <c r="K505" s="16" t="s">
        <v>12</v>
      </c>
      <c r="L505" s="75"/>
      <c r="M505" s="75"/>
      <c r="N505" s="75"/>
      <c r="O505" s="75"/>
      <c r="P505" s="75"/>
    </row>
    <row r="506" spans="2:16" x14ac:dyDescent="0.3">
      <c r="B506" s="75"/>
      <c r="C506" s="75"/>
      <c r="D506" s="75"/>
      <c r="E506" s="75"/>
      <c r="F506" s="75"/>
      <c r="G506" s="75"/>
      <c r="H506" s="75"/>
      <c r="I506" s="19" t="s">
        <v>38</v>
      </c>
      <c r="J506" s="34">
        <f>2/3*J491*SQRT(C465*0.0980665)*(1/0.0980665)/1000</f>
        <v>122.55207098044013</v>
      </c>
      <c r="K506" s="16" t="s">
        <v>12</v>
      </c>
      <c r="L506" s="75"/>
      <c r="M506" s="39" t="str">
        <f>IF(J506&gt;J505,"[OK]","[REDISEÑAR]")</f>
        <v>[OK]</v>
      </c>
      <c r="N506" s="41" t="str">
        <f>IF(O506&gt;0,"Sobrado","Faltan")</f>
        <v>Sobrado</v>
      </c>
      <c r="O506" s="43">
        <f>J506-J505</f>
        <v>110.22700431377348</v>
      </c>
      <c r="P506" s="75"/>
    </row>
    <row r="508" spans="2:16" ht="18" x14ac:dyDescent="0.35">
      <c r="B508" s="48" t="str">
        <f>'EJE 15'!$S$15</f>
        <v>EJE 15.G-L | PIER F33X | PISO 5</v>
      </c>
      <c r="C508" s="75"/>
      <c r="D508" s="75"/>
      <c r="E508" s="75"/>
      <c r="F508" s="75"/>
      <c r="G508" s="75"/>
      <c r="H508" s="75"/>
      <c r="J508" s="75"/>
      <c r="K508" s="75"/>
      <c r="L508" s="75"/>
      <c r="M508" s="75"/>
      <c r="N508" s="75"/>
      <c r="O508" s="75"/>
      <c r="P508" s="75"/>
    </row>
    <row r="509" spans="2:16" x14ac:dyDescent="0.3">
      <c r="B509" s="75"/>
      <c r="C509" s="75"/>
      <c r="D509" s="75"/>
      <c r="E509" s="75"/>
      <c r="F509" s="75"/>
      <c r="G509" s="75"/>
      <c r="H509" s="75"/>
      <c r="J509" s="75"/>
      <c r="K509" s="75"/>
      <c r="L509" s="75"/>
      <c r="M509" s="75"/>
      <c r="N509" s="75"/>
      <c r="O509" s="75"/>
      <c r="P509" s="75"/>
    </row>
    <row r="510" spans="2:16" x14ac:dyDescent="0.3">
      <c r="B510" s="17" t="s">
        <v>6</v>
      </c>
      <c r="C510" s="75"/>
      <c r="D510" s="75"/>
      <c r="E510" s="75"/>
      <c r="F510" s="75"/>
      <c r="G510" s="75"/>
      <c r="H510" s="75"/>
      <c r="I510" s="18" t="s">
        <v>25</v>
      </c>
      <c r="J510" s="75"/>
      <c r="K510" s="75"/>
      <c r="L510" s="75"/>
      <c r="M510" s="75"/>
      <c r="N510" s="75"/>
      <c r="O510" s="75"/>
      <c r="P510" s="75"/>
    </row>
    <row r="511" spans="2:16" x14ac:dyDescent="0.3">
      <c r="B511" s="19" t="s">
        <v>99</v>
      </c>
      <c r="C511" s="61">
        <f>10.1971621297793*'EJE 15'!$G$15</f>
        <v>356.90067454227551</v>
      </c>
      <c r="D511" s="16" t="s">
        <v>8</v>
      </c>
      <c r="E511" s="75"/>
      <c r="F511" s="75"/>
      <c r="G511" s="75"/>
      <c r="H511" s="75"/>
      <c r="I511" s="19" t="s">
        <v>58</v>
      </c>
      <c r="J511" s="16">
        <f>C518/16</f>
        <v>14.375</v>
      </c>
      <c r="K511" s="16" t="s">
        <v>5</v>
      </c>
      <c r="L511" s="21"/>
      <c r="M511" s="39" t="str">
        <f>IF(J511&lt;C516,"[OK]","[REDISEÑAR]")</f>
        <v>[OK]</v>
      </c>
      <c r="N511" s="75"/>
      <c r="O511" s="75"/>
      <c r="P511" s="75"/>
    </row>
    <row r="512" spans="2:16" x14ac:dyDescent="0.3">
      <c r="B512" s="19" t="s">
        <v>30</v>
      </c>
      <c r="C512" s="16">
        <v>4200</v>
      </c>
      <c r="D512" s="16" t="s">
        <v>8</v>
      </c>
      <c r="E512" s="75"/>
      <c r="F512" s="75"/>
      <c r="G512" s="75"/>
      <c r="H512" s="75"/>
      <c r="I512" s="19" t="s">
        <v>16</v>
      </c>
      <c r="J512" s="16">
        <f>C516*C517</f>
        <v>8475</v>
      </c>
      <c r="K512" s="16" t="s">
        <v>17</v>
      </c>
      <c r="L512" s="21"/>
      <c r="M512" s="75"/>
      <c r="N512" s="75"/>
      <c r="O512" s="75"/>
      <c r="P512" s="75"/>
    </row>
    <row r="513" spans="2:16" x14ac:dyDescent="0.3">
      <c r="B513" s="19" t="s">
        <v>31</v>
      </c>
      <c r="C513" s="16">
        <v>2800</v>
      </c>
      <c r="D513" s="16" t="s">
        <v>8</v>
      </c>
      <c r="E513" s="75"/>
      <c r="F513" s="75"/>
      <c r="G513" s="75"/>
      <c r="H513" s="75"/>
      <c r="I513" s="19" t="s">
        <v>51</v>
      </c>
      <c r="J513" s="16">
        <f>MIN(0.8*C517/5,3*C516,45)</f>
        <v>45</v>
      </c>
      <c r="K513" s="16" t="s">
        <v>5</v>
      </c>
      <c r="L513" s="21"/>
      <c r="M513" s="39" t="str">
        <f>IF(J513&gt;C529,"[OK]","[REDISEÑAR]")</f>
        <v>[OK]</v>
      </c>
      <c r="N513" s="75"/>
      <c r="O513" s="75"/>
      <c r="P513" s="75"/>
    </row>
    <row r="514" spans="2:16" x14ac:dyDescent="0.3">
      <c r="B514" s="75"/>
      <c r="C514" s="75"/>
      <c r="D514" s="75"/>
      <c r="E514" s="75"/>
      <c r="F514" s="75"/>
      <c r="G514" s="75"/>
      <c r="H514" s="75"/>
      <c r="I514" s="19" t="s">
        <v>56</v>
      </c>
      <c r="J514" s="16">
        <f>MIN(0.8*C518/3,3*C517,45)</f>
        <v>45</v>
      </c>
      <c r="K514" s="16" t="s">
        <v>5</v>
      </c>
      <c r="L514" s="21"/>
      <c r="M514" s="39" t="str">
        <f>IF(J514&gt;C529,"[OK]","[REDISEÑAR]")</f>
        <v>[OK]</v>
      </c>
      <c r="N514" s="75"/>
      <c r="O514" s="75"/>
      <c r="P514" s="75"/>
    </row>
    <row r="515" spans="2:16" x14ac:dyDescent="0.3">
      <c r="B515" s="17" t="s">
        <v>3</v>
      </c>
      <c r="C515" s="75"/>
      <c r="D515" s="75"/>
      <c r="E515" s="75"/>
      <c r="F515" s="75"/>
      <c r="G515" s="75"/>
      <c r="H515" s="75"/>
      <c r="I515" s="19" t="s">
        <v>62</v>
      </c>
      <c r="J515" s="16">
        <f>0.8*C517</f>
        <v>271.2</v>
      </c>
      <c r="K515" s="29" t="s">
        <v>5</v>
      </c>
      <c r="L515" s="75"/>
      <c r="M515" s="75"/>
      <c r="N515" s="75"/>
      <c r="O515" s="75"/>
      <c r="P515" s="75"/>
    </row>
    <row r="516" spans="2:16" x14ac:dyDescent="0.3">
      <c r="B516" s="19" t="str">
        <f>"Espesor del muro (h)"</f>
        <v>Espesor del muro (h)</v>
      </c>
      <c r="C516" s="49">
        <f>'EJE 15'!$H$15</f>
        <v>25</v>
      </c>
      <c r="D516" s="16" t="s">
        <v>5</v>
      </c>
      <c r="E516" s="75"/>
      <c r="F516" s="75"/>
      <c r="G516" s="75"/>
      <c r="H516" s="75"/>
      <c r="J516" s="75"/>
      <c r="K516" s="75"/>
      <c r="L516" s="75"/>
      <c r="M516" s="75"/>
      <c r="N516" s="75"/>
      <c r="O516" s="75"/>
      <c r="P516" s="75"/>
    </row>
    <row r="517" spans="2:16" x14ac:dyDescent="0.3">
      <c r="B517" s="19" t="s">
        <v>63</v>
      </c>
      <c r="C517" s="49">
        <f>'EJE 15'!$I$15</f>
        <v>339</v>
      </c>
      <c r="D517" s="16" t="s">
        <v>5</v>
      </c>
      <c r="E517" s="75"/>
      <c r="F517" s="75"/>
      <c r="G517" s="75"/>
      <c r="H517" s="75"/>
      <c r="I517" s="18" t="s">
        <v>26</v>
      </c>
      <c r="J517" s="75"/>
      <c r="K517" s="75"/>
      <c r="L517" s="75"/>
      <c r="M517" s="75"/>
      <c r="N517" s="75"/>
      <c r="O517" s="75"/>
      <c r="P517" s="75"/>
    </row>
    <row r="518" spans="2:16" x14ac:dyDescent="0.3">
      <c r="B518" s="19" t="s">
        <v>10</v>
      </c>
      <c r="C518" s="49">
        <f>'EJE 15'!$J$15</f>
        <v>230</v>
      </c>
      <c r="D518" s="16" t="s">
        <v>5</v>
      </c>
      <c r="E518" s="75"/>
      <c r="F518" s="75"/>
      <c r="G518" s="75"/>
      <c r="H518" s="75"/>
      <c r="I518" s="19" t="s">
        <v>28</v>
      </c>
      <c r="J518" s="16">
        <f>0.35*C511</f>
        <v>124.91523608979642</v>
      </c>
      <c r="K518" s="16" t="s">
        <v>8</v>
      </c>
      <c r="L518" s="21"/>
      <c r="M518" s="75"/>
      <c r="N518" s="75"/>
      <c r="O518" s="75"/>
      <c r="P518" s="75"/>
    </row>
    <row r="519" spans="2:16" x14ac:dyDescent="0.3">
      <c r="B519" s="75"/>
      <c r="C519" s="75"/>
      <c r="D519" s="75"/>
      <c r="E519" s="75"/>
      <c r="F519" s="75"/>
      <c r="G519" s="75"/>
      <c r="H519" s="75"/>
      <c r="I519" s="19" t="s">
        <v>27</v>
      </c>
      <c r="J519" s="30">
        <f>C521*1000/J512</f>
        <v>25.877828908554573</v>
      </c>
      <c r="K519" s="16" t="s">
        <v>8</v>
      </c>
      <c r="L519" s="21"/>
      <c r="M519" s="39" t="str">
        <f>IF(J519&lt;J518,"[OK]","[REDISEÑAR]")</f>
        <v>[OK]</v>
      </c>
      <c r="N519" s="41" t="s">
        <v>112</v>
      </c>
      <c r="O519" s="59">
        <f>J519/J518</f>
        <v>0.20716311091108267</v>
      </c>
      <c r="P519" s="75"/>
    </row>
    <row r="520" spans="2:16" x14ac:dyDescent="0.3">
      <c r="B520" s="17" t="s">
        <v>11</v>
      </c>
      <c r="C520" s="75"/>
      <c r="D520" s="75"/>
      <c r="E520" s="75"/>
      <c r="F520" s="75"/>
      <c r="G520" s="75"/>
      <c r="H520" s="75"/>
      <c r="J520" s="75"/>
      <c r="K520" s="75"/>
      <c r="L520" s="75"/>
      <c r="M520" s="75"/>
      <c r="N520" s="75"/>
      <c r="O520" s="75"/>
      <c r="P520" s="75"/>
    </row>
    <row r="521" spans="2:16" x14ac:dyDescent="0.3">
      <c r="B521" s="19" t="str">
        <f>"$N_U$"</f>
        <v>$N_U$</v>
      </c>
      <c r="C521" s="60">
        <f>'EJE 15'!$K$15</f>
        <v>219.31460000000001</v>
      </c>
      <c r="D521" s="16" t="s">
        <v>12</v>
      </c>
      <c r="E521" s="75"/>
      <c r="F521" s="75"/>
      <c r="G521" s="75"/>
      <c r="H521" s="75"/>
      <c r="I521" s="18" t="s">
        <v>54</v>
      </c>
      <c r="J521" s="75"/>
      <c r="K521" s="75"/>
      <c r="L521" s="75"/>
      <c r="M521" s="75"/>
      <c r="N521" s="75"/>
      <c r="O521" s="75"/>
      <c r="P521" s="75"/>
    </row>
    <row r="522" spans="2:16" x14ac:dyDescent="0.3">
      <c r="B522" s="19" t="s">
        <v>14</v>
      </c>
      <c r="C522" s="60">
        <f>'EJE 15'!$L$15</f>
        <v>2.2547000000000001</v>
      </c>
      <c r="D522" s="16" t="s">
        <v>12</v>
      </c>
      <c r="E522" s="75"/>
      <c r="F522" s="75"/>
      <c r="G522" s="75"/>
      <c r="H522" s="75"/>
      <c r="I522" s="19" t="s">
        <v>72</v>
      </c>
      <c r="J522" s="16">
        <f>1.2*C522+C523+1.4*C524</f>
        <v>34.917159999999996</v>
      </c>
      <c r="K522" s="16" t="s">
        <v>12</v>
      </c>
      <c r="L522" s="75"/>
      <c r="M522" s="75" t="s">
        <v>68</v>
      </c>
      <c r="N522" s="75"/>
      <c r="O522" s="75"/>
      <c r="P522" s="75"/>
    </row>
    <row r="523" spans="2:16" x14ac:dyDescent="0.3">
      <c r="B523" s="19" t="s">
        <v>13</v>
      </c>
      <c r="C523" s="60">
        <f>'EJE 15'!$M$15</f>
        <v>4.3999999999999997E-2</v>
      </c>
      <c r="D523" s="16" t="s">
        <v>12</v>
      </c>
      <c r="E523" s="75"/>
      <c r="F523" s="75"/>
      <c r="G523" s="75"/>
      <c r="H523" s="75"/>
      <c r="I523" s="19" t="s">
        <v>69</v>
      </c>
      <c r="J523" s="16">
        <f>SUM(C522:C524)</f>
        <v>25.275500000000001</v>
      </c>
      <c r="K523" s="16" t="s">
        <v>12</v>
      </c>
      <c r="L523" s="75"/>
      <c r="M523" s="75" t="s">
        <v>70</v>
      </c>
      <c r="N523" s="75"/>
      <c r="O523" s="75"/>
      <c r="P523" s="75"/>
    </row>
    <row r="524" spans="2:16" x14ac:dyDescent="0.3">
      <c r="B524" s="19" t="s">
        <v>15</v>
      </c>
      <c r="C524" s="60">
        <f>'EJE 15'!$N$15</f>
        <v>22.976800000000001</v>
      </c>
      <c r="D524" s="16" t="s">
        <v>12</v>
      </c>
      <c r="E524" s="75"/>
      <c r="F524" s="75"/>
      <c r="G524" s="75"/>
      <c r="H524" s="75"/>
      <c r="I524" s="19" t="s">
        <v>73</v>
      </c>
      <c r="J524" s="16">
        <f>IF(C525=0,J522,C525)</f>
        <v>34.917159999999996</v>
      </c>
      <c r="K524" s="16" t="s">
        <v>12</v>
      </c>
      <c r="L524" s="75"/>
      <c r="M524" s="40" t="s">
        <v>74</v>
      </c>
      <c r="N524" s="75"/>
      <c r="O524" s="75"/>
      <c r="P524" s="75"/>
    </row>
    <row r="525" spans="2:16" x14ac:dyDescent="0.3">
      <c r="B525" s="19" t="s">
        <v>55</v>
      </c>
      <c r="C525" s="16">
        <v>0</v>
      </c>
      <c r="D525" s="16" t="s">
        <v>12</v>
      </c>
      <c r="E525" s="75"/>
      <c r="F525" s="75"/>
      <c r="G525" s="75"/>
      <c r="H525" s="75"/>
      <c r="I525" s="19" t="s">
        <v>71</v>
      </c>
      <c r="J525" s="16">
        <f>IF(C525=0,J523,C525)</f>
        <v>25.275500000000001</v>
      </c>
      <c r="K525" s="16" t="s">
        <v>12</v>
      </c>
      <c r="L525" s="75"/>
      <c r="M525" s="40" t="s">
        <v>75</v>
      </c>
      <c r="N525" s="75"/>
      <c r="O525" s="75"/>
      <c r="P525" s="75"/>
    </row>
    <row r="526" spans="2:16" x14ac:dyDescent="0.3">
      <c r="B526" s="75"/>
      <c r="C526" s="75"/>
      <c r="D526" s="75"/>
      <c r="E526" s="75"/>
      <c r="F526" s="75"/>
      <c r="G526" s="75"/>
      <c r="H526" s="75"/>
      <c r="J526" s="75"/>
      <c r="K526" s="75"/>
      <c r="L526" s="75"/>
      <c r="M526" s="75"/>
      <c r="N526" s="75"/>
      <c r="O526" s="75"/>
      <c r="P526" s="75"/>
    </row>
    <row r="527" spans="2:16" x14ac:dyDescent="0.3">
      <c r="B527" s="33" t="s">
        <v>42</v>
      </c>
      <c r="C527" s="75"/>
      <c r="D527" s="75"/>
      <c r="E527" s="75"/>
      <c r="F527" s="75"/>
      <c r="G527" s="75"/>
      <c r="H527" s="75"/>
      <c r="I527" s="27" t="s">
        <v>76</v>
      </c>
      <c r="J527" s="75"/>
      <c r="K527" s="75"/>
      <c r="L527" s="75"/>
      <c r="M527" s="75"/>
      <c r="N527" s="75"/>
      <c r="O527" s="75"/>
      <c r="P527" s="75"/>
    </row>
    <row r="528" spans="2:16" x14ac:dyDescent="0.3">
      <c r="B528" s="31" t="s">
        <v>41</v>
      </c>
      <c r="C528" s="16">
        <v>10</v>
      </c>
      <c r="D528" s="29" t="s">
        <v>35</v>
      </c>
      <c r="E528" s="75"/>
      <c r="F528" s="75"/>
      <c r="G528" s="75"/>
      <c r="H528" s="75"/>
      <c r="I528" s="19" t="s">
        <v>29</v>
      </c>
      <c r="J528" s="30">
        <f>J525*1000/J512</f>
        <v>2.9823598820058996</v>
      </c>
      <c r="K528" s="29" t="s">
        <v>8</v>
      </c>
      <c r="L528" s="75"/>
      <c r="M528" s="75"/>
      <c r="N528" s="75"/>
      <c r="O528" s="75"/>
      <c r="P528" s="75"/>
    </row>
    <row r="529" spans="2:16" x14ac:dyDescent="0.3">
      <c r="B529" s="31" t="s">
        <v>43</v>
      </c>
      <c r="C529" s="16">
        <v>14</v>
      </c>
      <c r="D529" s="29" t="s">
        <v>5</v>
      </c>
      <c r="E529" s="75"/>
      <c r="F529" s="39" t="str">
        <f>IF(OR(C529&gt;25,C529&lt;10),"[REDISEÑAR]",IF(AND(C529&lt;=J530,C529&lt;=J544),"[OK]","[REDISEÑAR]"))</f>
        <v>[OK]</v>
      </c>
      <c r="G529" s="75"/>
      <c r="H529" s="75"/>
      <c r="I529" s="19" t="s">
        <v>61</v>
      </c>
      <c r="J529" s="37">
        <f>MAX(J528*100*C516/(2*C513),C533)</f>
        <v>3.125</v>
      </c>
      <c r="K529" s="29" t="s">
        <v>32</v>
      </c>
      <c r="L529" s="75"/>
      <c r="M529" s="15"/>
      <c r="N529" s="15"/>
      <c r="O529" s="15"/>
      <c r="P529" s="75"/>
    </row>
    <row r="530" spans="2:16" x14ac:dyDescent="0.3">
      <c r="B530" s="75"/>
      <c r="C530" s="50" t="str">
        <f>"$\phi$"&amp;C528&amp;"@"&amp;C529</f>
        <v>$\phi$10@14</v>
      </c>
      <c r="D530" s="75"/>
      <c r="E530" s="75"/>
      <c r="F530" s="39" t="str">
        <f>IF(OR(J529=C533,J540=C533),"[ÁREA MINIMA]","[]")</f>
        <v>[ÁREA MINIMA]</v>
      </c>
      <c r="G530" s="75"/>
      <c r="H530" s="75"/>
      <c r="I530" s="63" t="s">
        <v>34</v>
      </c>
      <c r="J530" s="63">
        <f>ROUNDDOWN((1/J529)*C532*100,0)</f>
        <v>25</v>
      </c>
      <c r="K530" s="64" t="s">
        <v>5</v>
      </c>
      <c r="L530" s="75"/>
      <c r="M530" s="39" t="str">
        <f>IF(OR(J530&lt;10,J530&gt;25),"[REDISEÑAR]","[OK")</f>
        <v>[OK</v>
      </c>
      <c r="N530" s="41" t="s">
        <v>80</v>
      </c>
      <c r="O530" s="42">
        <f>1/J529*(C528/2)^2*PI()</f>
        <v>25.132741228718345</v>
      </c>
      <c r="P530" s="75" t="str">
        <f>"$\phi$"&amp;C528&amp;"@"&amp;J530</f>
        <v>$\phi$10@25</v>
      </c>
    </row>
    <row r="531" spans="2:16" x14ac:dyDescent="0.3">
      <c r="B531" s="18" t="s">
        <v>52</v>
      </c>
      <c r="C531" s="75"/>
      <c r="D531" s="75"/>
      <c r="E531" s="75"/>
      <c r="F531" s="62" t="str">
        <f>IF(J519&lt;J518,IF(J547&gt;J536,"[OK]","[REDISEÑAR]"),"[REDISEÑAR]")</f>
        <v>[OK]</v>
      </c>
      <c r="G531" s="75"/>
      <c r="H531" s="75"/>
      <c r="I531" s="31" t="s">
        <v>48</v>
      </c>
      <c r="J531" s="30">
        <f>C532*2*IF(C517/C529&gt;=1,C517/C529,0)</f>
        <v>38.035711055962139</v>
      </c>
      <c r="K531" s="29" t="s">
        <v>17</v>
      </c>
      <c r="L531" s="75"/>
      <c r="M531" s="75"/>
      <c r="N531" s="15"/>
      <c r="O531" s="44"/>
      <c r="P531" s="75"/>
    </row>
    <row r="532" spans="2:16" x14ac:dyDescent="0.3">
      <c r="B532" s="31" t="s">
        <v>66</v>
      </c>
      <c r="C532" s="30">
        <f>(C528/(2*10))^2*PI()</f>
        <v>0.78539816339744828</v>
      </c>
      <c r="D532" s="29" t="s">
        <v>17</v>
      </c>
      <c r="E532" s="75"/>
      <c r="F532" s="75"/>
      <c r="G532" s="75"/>
      <c r="H532" s="75"/>
      <c r="I532" s="19" t="s">
        <v>49</v>
      </c>
      <c r="J532" s="34">
        <f>C513*J531/1000</f>
        <v>106.49999095669399</v>
      </c>
      <c r="K532" s="16" t="s">
        <v>12</v>
      </c>
      <c r="L532" s="75"/>
      <c r="M532" s="39" t="str">
        <f>IF(J532&gt;J525,"[OK]","[REDISEÑAR]")</f>
        <v>[OK]</v>
      </c>
      <c r="N532" s="41" t="str">
        <f>IF(O532&gt;0,"Sobrado","Faltan")</f>
        <v>Sobrado</v>
      </c>
      <c r="O532" s="43">
        <f>J532-J525</f>
        <v>81.224490956693984</v>
      </c>
      <c r="P532" s="75"/>
    </row>
    <row r="533" spans="2:16" x14ac:dyDescent="0.3">
      <c r="B533" s="31" t="s">
        <v>78</v>
      </c>
      <c r="C533" s="37">
        <f>2.5/1000*100*C516/2</f>
        <v>3.125</v>
      </c>
      <c r="D533" s="16" t="s">
        <v>17</v>
      </c>
      <c r="E533" s="75"/>
      <c r="F533" s="75"/>
      <c r="G533" s="75"/>
      <c r="H533" s="75"/>
      <c r="J533" s="75"/>
      <c r="K533" s="75"/>
      <c r="L533" s="75"/>
      <c r="M533" s="75"/>
      <c r="N533" s="75"/>
      <c r="O533" s="15"/>
      <c r="P533" s="75"/>
    </row>
    <row r="534" spans="2:16" x14ac:dyDescent="0.3">
      <c r="B534" s="31" t="s">
        <v>114</v>
      </c>
      <c r="C534" s="37">
        <f>C532*100/C529</f>
        <v>5.6099868814103448</v>
      </c>
      <c r="D534" s="29" t="s">
        <v>32</v>
      </c>
      <c r="E534" s="75"/>
      <c r="F534" s="75"/>
      <c r="G534" s="75"/>
      <c r="H534" s="75"/>
      <c r="I534" s="18" t="s">
        <v>77</v>
      </c>
      <c r="J534" s="75"/>
      <c r="K534" s="75"/>
      <c r="L534" s="75"/>
      <c r="M534" s="17" t="s">
        <v>67</v>
      </c>
      <c r="N534" s="75"/>
      <c r="O534" s="75"/>
      <c r="P534" s="75"/>
    </row>
    <row r="535" spans="2:16" x14ac:dyDescent="0.3">
      <c r="B535" s="75"/>
      <c r="C535" s="75"/>
      <c r="D535" s="75"/>
      <c r="E535" s="75"/>
      <c r="F535" s="75"/>
      <c r="G535" s="75"/>
      <c r="H535" s="75"/>
      <c r="I535" s="19" t="s">
        <v>33</v>
      </c>
      <c r="J535" s="16">
        <v>0.6</v>
      </c>
      <c r="K535" s="16" t="s">
        <v>50</v>
      </c>
      <c r="L535" s="75"/>
      <c r="M535" s="19" t="s">
        <v>64</v>
      </c>
      <c r="N535" s="30">
        <f>SQRT(C511*0.0980665)*(1/0.0980665)/1000*J537*0.17</f>
        <v>55.314463281909688</v>
      </c>
      <c r="O535" s="16" t="s">
        <v>12</v>
      </c>
      <c r="P535" s="75"/>
    </row>
    <row r="536" spans="2:16" x14ac:dyDescent="0.3">
      <c r="B536" s="17" t="s">
        <v>37</v>
      </c>
      <c r="C536" s="75"/>
      <c r="D536" s="75"/>
      <c r="E536" s="75"/>
      <c r="F536" s="75"/>
      <c r="G536" s="75"/>
      <c r="H536" s="75"/>
      <c r="I536" s="19" t="s">
        <v>46</v>
      </c>
      <c r="J536" s="34">
        <f>J524/J535</f>
        <v>58.195266666666662</v>
      </c>
      <c r="K536" s="16" t="s">
        <v>12</v>
      </c>
      <c r="L536" s="75"/>
      <c r="M536" s="19" t="s">
        <v>57</v>
      </c>
      <c r="N536" s="16">
        <f>IF(C518/J515&lt;=1.5,0.25,IF(C518/J515&gt;=2,0.17,0.17+(0.25-0.17)/(C518/J515-1.5)*C518/J515))</f>
        <v>0.25</v>
      </c>
      <c r="O536" s="29" t="s">
        <v>50</v>
      </c>
      <c r="P536" s="75"/>
    </row>
    <row r="537" spans="2:16" x14ac:dyDescent="0.3">
      <c r="B537" s="31" t="s">
        <v>115</v>
      </c>
      <c r="C537" s="37">
        <f>O532</f>
        <v>81.224490956693984</v>
      </c>
      <c r="D537" s="29" t="s">
        <v>12</v>
      </c>
      <c r="E537" s="75"/>
      <c r="F537" s="75"/>
      <c r="G537" s="75"/>
      <c r="H537" s="75"/>
      <c r="I537" s="19" t="s">
        <v>36</v>
      </c>
      <c r="J537" s="35">
        <f>J515*C516*0.8-J545</f>
        <v>5393.5714311552301</v>
      </c>
      <c r="K537" s="16" t="s">
        <v>17</v>
      </c>
      <c r="L537" s="75"/>
      <c r="M537" s="19" t="s">
        <v>59</v>
      </c>
      <c r="N537" s="30">
        <f>SQRT(C511*0.0980665)*(1/0.0980665)/1000*J537*N536</f>
        <v>81.344798943984827</v>
      </c>
      <c r="O537" s="29" t="s">
        <v>12</v>
      </c>
      <c r="P537" s="75"/>
    </row>
    <row r="538" spans="2:16" x14ac:dyDescent="0.3">
      <c r="B538" s="31" t="s">
        <v>116</v>
      </c>
      <c r="C538" s="37">
        <f>O547</f>
        <v>124.91918576327578</v>
      </c>
      <c r="D538" s="29" t="s">
        <v>12</v>
      </c>
      <c r="E538" s="75"/>
      <c r="F538" s="75"/>
      <c r="G538" s="75"/>
      <c r="H538" s="75"/>
      <c r="I538" s="19" t="s">
        <v>60</v>
      </c>
      <c r="J538" s="34">
        <f>MIN(N537,N535)</f>
        <v>55.314463281909688</v>
      </c>
      <c r="K538" s="29" t="s">
        <v>12</v>
      </c>
      <c r="L538" s="75"/>
      <c r="M538" s="75"/>
      <c r="N538" s="75"/>
      <c r="O538" s="75"/>
      <c r="P538" s="75"/>
    </row>
    <row r="539" spans="2:16" x14ac:dyDescent="0.3">
      <c r="B539" s="19" t="s">
        <v>117</v>
      </c>
      <c r="C539" s="36">
        <f>C532*2*C517/C529/J512</f>
        <v>4.4879895051282755E-3</v>
      </c>
      <c r="D539" s="16" t="s">
        <v>50</v>
      </c>
      <c r="E539" s="75"/>
      <c r="F539" s="75"/>
      <c r="G539" s="75"/>
      <c r="H539" s="75"/>
      <c r="I539" s="19" t="s">
        <v>39</v>
      </c>
      <c r="J539" s="34">
        <f>J536-J538</f>
        <v>2.8808033847569732</v>
      </c>
      <c r="K539" s="16" t="s">
        <v>12</v>
      </c>
      <c r="L539" s="75"/>
      <c r="M539" s="75"/>
      <c r="N539" s="75"/>
      <c r="O539" s="75"/>
      <c r="P539" s="75"/>
    </row>
    <row r="540" spans="2:16" x14ac:dyDescent="0.3">
      <c r="B540" s="75"/>
      <c r="C540" s="75"/>
      <c r="D540" s="75"/>
      <c r="E540" s="75"/>
      <c r="F540" s="75"/>
      <c r="G540" s="75"/>
      <c r="H540" s="75"/>
      <c r="I540" s="19" t="s">
        <v>61</v>
      </c>
      <c r="J540" s="37">
        <f>MAX(J539/(C512*J515/1000/100)/2,C533)</f>
        <v>3.125</v>
      </c>
      <c r="K540" s="29" t="s">
        <v>32</v>
      </c>
      <c r="L540" s="75"/>
      <c r="M540" s="75"/>
      <c r="N540" s="75"/>
      <c r="O540" s="75"/>
      <c r="P540" s="75"/>
    </row>
    <row r="541" spans="2:16" x14ac:dyDescent="0.3">
      <c r="B541" s="75"/>
      <c r="C541" s="75"/>
      <c r="D541" s="75"/>
      <c r="E541" s="75"/>
      <c r="F541" s="75"/>
      <c r="G541" s="75"/>
      <c r="H541" s="75"/>
      <c r="I541" s="19" t="s">
        <v>65</v>
      </c>
      <c r="J541" s="36">
        <f>J540/C516/100*2</f>
        <v>2.5000000000000001E-3</v>
      </c>
      <c r="K541" s="16" t="s">
        <v>50</v>
      </c>
      <c r="L541" s="75"/>
      <c r="M541" s="75"/>
      <c r="N541" s="75"/>
      <c r="O541" s="75"/>
      <c r="P541" s="75"/>
    </row>
    <row r="542" spans="2:16" x14ac:dyDescent="0.3">
      <c r="B542" s="75"/>
      <c r="C542" s="75"/>
      <c r="D542" s="75"/>
      <c r="E542" s="75"/>
      <c r="F542" s="75"/>
      <c r="G542" s="75"/>
      <c r="H542" s="75"/>
      <c r="I542" s="19" t="s">
        <v>53</v>
      </c>
      <c r="J542" s="16">
        <f>MAX(0.0025,0.0025*0.5*(2.5-C516/(C517*0.8))*(J541-0.0025))</f>
        <v>2.5000000000000001E-3</v>
      </c>
      <c r="K542" s="29" t="s">
        <v>50</v>
      </c>
      <c r="L542" s="75"/>
      <c r="M542" s="39" t="str">
        <f>IF(OR(J541&gt;J542,ABS(J541-J542)&lt;0.0001),"[OK]","[REDISEÑAR]")</f>
        <v>[OK]</v>
      </c>
      <c r="N542" s="75"/>
      <c r="O542" s="75"/>
      <c r="P542" s="75"/>
    </row>
    <row r="543" spans="2:16" x14ac:dyDescent="0.3">
      <c r="B543" s="75"/>
      <c r="C543" s="75"/>
      <c r="D543" s="75"/>
      <c r="E543" s="75"/>
      <c r="F543" s="75"/>
      <c r="G543" s="75"/>
      <c r="H543" s="75"/>
      <c r="I543" s="19" t="s">
        <v>47</v>
      </c>
      <c r="J543" s="34">
        <f>SQRT(C511*0.0980665)*(1/0.0980665)/1000*0.66*0.8*C517*C516</f>
        <v>269.95226518142476</v>
      </c>
      <c r="K543" s="16" t="s">
        <v>12</v>
      </c>
      <c r="L543" s="75"/>
      <c r="M543" s="40" t="s">
        <v>44</v>
      </c>
      <c r="N543" s="75"/>
      <c r="O543" s="15"/>
      <c r="P543" s="75"/>
    </row>
    <row r="544" spans="2:16" x14ac:dyDescent="0.3">
      <c r="B544" s="75"/>
      <c r="C544" s="75"/>
      <c r="D544" s="75"/>
      <c r="E544" s="75"/>
      <c r="F544" s="75"/>
      <c r="G544" s="75"/>
      <c r="H544" s="75"/>
      <c r="I544" s="63" t="s">
        <v>34</v>
      </c>
      <c r="J544" s="63">
        <f>ROUNDDOWN(1/J540*C532*100,0)</f>
        <v>25</v>
      </c>
      <c r="K544" s="64" t="s">
        <v>5</v>
      </c>
      <c r="L544" s="75"/>
      <c r="M544" s="39" t="str">
        <f>IF(OR(J544&lt;10,J544&gt;25),"[REDISEÑAR]","[OK")</f>
        <v>[OK</v>
      </c>
      <c r="N544" s="41" t="s">
        <v>80</v>
      </c>
      <c r="O544" s="42">
        <f>1/J540*(C528/2)^2*PI()</f>
        <v>25.132741228718345</v>
      </c>
      <c r="P544" s="75" t="str">
        <f>"$\phi$"&amp;C528&amp;"@"&amp;J544</f>
        <v>$\phi$10@25</v>
      </c>
    </row>
    <row r="545" spans="2:16" x14ac:dyDescent="0.3">
      <c r="B545" s="75"/>
      <c r="C545" s="75"/>
      <c r="D545" s="75"/>
      <c r="E545" s="75"/>
      <c r="F545" s="75"/>
      <c r="G545" s="75"/>
      <c r="H545" s="75"/>
      <c r="I545" s="31" t="s">
        <v>48</v>
      </c>
      <c r="J545" s="30">
        <f>C532*2*IF(J515/C529&gt;=1,J515/C529,0)</f>
        <v>30.428568844769707</v>
      </c>
      <c r="K545" s="29" t="s">
        <v>17</v>
      </c>
      <c r="L545" s="75"/>
      <c r="M545" s="75"/>
      <c r="N545" s="15"/>
      <c r="O545" s="15"/>
      <c r="P545" s="75"/>
    </row>
    <row r="546" spans="2:16" x14ac:dyDescent="0.3">
      <c r="B546" s="75"/>
      <c r="C546" s="75"/>
      <c r="D546" s="75"/>
      <c r="E546" s="75"/>
      <c r="F546" s="75"/>
      <c r="G546" s="75"/>
      <c r="H546" s="75"/>
      <c r="I546" s="19" t="s">
        <v>81</v>
      </c>
      <c r="J546" s="34">
        <f>MIN(J545*C512/1000,J543)</f>
        <v>127.79998914803276</v>
      </c>
      <c r="K546" s="16" t="s">
        <v>12</v>
      </c>
      <c r="L546" s="75"/>
      <c r="M546" s="40" t="s">
        <v>82</v>
      </c>
      <c r="N546" s="15"/>
      <c r="O546" s="15"/>
      <c r="P546" s="75"/>
    </row>
    <row r="547" spans="2:16" x14ac:dyDescent="0.3">
      <c r="B547" s="75"/>
      <c r="C547" s="75"/>
      <c r="D547" s="75"/>
      <c r="E547" s="75"/>
      <c r="F547" s="75"/>
      <c r="G547" s="75"/>
      <c r="H547" s="75"/>
      <c r="I547" s="19" t="s">
        <v>79</v>
      </c>
      <c r="J547" s="34">
        <f>J546+J538</f>
        <v>183.11445242994245</v>
      </c>
      <c r="K547" s="16" t="s">
        <v>12</v>
      </c>
      <c r="L547" s="75"/>
      <c r="M547" s="39" t="str">
        <f>IF(J547&gt;J536,"[OK]","[REDISEÑAR]")</f>
        <v>[OK]</v>
      </c>
      <c r="N547" s="41" t="str">
        <f>IF(O547&gt;0,"Sobrado","Faltan")</f>
        <v>Sobrado</v>
      </c>
      <c r="O547" s="43">
        <f>J547-J536</f>
        <v>124.91918576327578</v>
      </c>
      <c r="P547" s="75"/>
    </row>
    <row r="548" spans="2:16" x14ac:dyDescent="0.3">
      <c r="B548" s="75"/>
      <c r="C548" s="75"/>
      <c r="D548" s="75"/>
      <c r="E548" s="75"/>
      <c r="F548" s="75"/>
      <c r="G548" s="75"/>
      <c r="H548" s="75"/>
      <c r="J548" s="75"/>
      <c r="K548" s="75"/>
      <c r="L548" s="75"/>
      <c r="M548" s="75"/>
      <c r="N548" s="75"/>
      <c r="O548" s="75"/>
      <c r="P548" s="75"/>
    </row>
    <row r="549" spans="2:16" x14ac:dyDescent="0.3">
      <c r="B549" s="75"/>
      <c r="C549" s="75"/>
      <c r="D549" s="75"/>
      <c r="E549" s="75"/>
      <c r="F549" s="75"/>
      <c r="G549" s="75"/>
      <c r="H549" s="75"/>
      <c r="I549" s="18" t="s">
        <v>45</v>
      </c>
      <c r="J549" s="75"/>
      <c r="K549" s="75"/>
      <c r="L549" s="75"/>
      <c r="M549" s="75"/>
      <c r="N549" s="75"/>
      <c r="O549" s="15"/>
      <c r="P549" s="75"/>
    </row>
    <row r="550" spans="2:16" x14ac:dyDescent="0.3">
      <c r="B550" s="75"/>
      <c r="C550" s="75"/>
      <c r="D550" s="75"/>
      <c r="E550" s="75"/>
      <c r="F550" s="75"/>
      <c r="G550" s="75"/>
      <c r="H550" s="75"/>
      <c r="I550" s="19" t="s">
        <v>40</v>
      </c>
      <c r="J550" s="16">
        <f>J524</f>
        <v>34.917159999999996</v>
      </c>
      <c r="K550" s="16" t="s">
        <v>12</v>
      </c>
      <c r="L550" s="75"/>
      <c r="M550" s="75"/>
      <c r="N550" s="75"/>
      <c r="O550" s="26"/>
      <c r="P550" s="75"/>
    </row>
    <row r="551" spans="2:16" x14ac:dyDescent="0.3">
      <c r="B551" s="75"/>
      <c r="C551" s="75"/>
      <c r="D551" s="75"/>
      <c r="E551" s="75"/>
      <c r="F551" s="75"/>
      <c r="G551" s="75"/>
      <c r="H551" s="75"/>
      <c r="I551" s="19" t="s">
        <v>46</v>
      </c>
      <c r="J551" s="34">
        <f>J536</f>
        <v>58.195266666666662</v>
      </c>
      <c r="K551" s="16" t="s">
        <v>12</v>
      </c>
      <c r="L551" s="75"/>
      <c r="M551" s="75"/>
      <c r="N551" s="75"/>
      <c r="O551" s="75"/>
      <c r="P551" s="75"/>
    </row>
    <row r="552" spans="2:16" x14ac:dyDescent="0.3">
      <c r="B552" s="75"/>
      <c r="C552" s="75"/>
      <c r="D552" s="75"/>
      <c r="E552" s="75"/>
      <c r="F552" s="75"/>
      <c r="G552" s="75"/>
      <c r="H552" s="75"/>
      <c r="I552" s="19" t="s">
        <v>38</v>
      </c>
      <c r="J552" s="34">
        <f>2/3*J537*SQRT(C511*0.0980665)*(1/0.0980665)/1000</f>
        <v>216.91946385062619</v>
      </c>
      <c r="K552" s="16" t="s">
        <v>12</v>
      </c>
      <c r="L552" s="75"/>
      <c r="M552" s="39" t="str">
        <f>IF(J552&gt;J551,"[OK]","[REDISEÑAR]")</f>
        <v>[OK]</v>
      </c>
      <c r="N552" s="41" t="str">
        <f>IF(O552&gt;0,"Sobrado","Faltan")</f>
        <v>Sobrado</v>
      </c>
      <c r="O552" s="43">
        <f>J552-J551</f>
        <v>158.72419718395952</v>
      </c>
      <c r="P552" s="75"/>
    </row>
    <row r="554" spans="2:16" ht="18" x14ac:dyDescent="0.35">
      <c r="B554" s="48" t="str">
        <f>'EJE 15'!$S$16</f>
        <v>EJE 15.C-C1 | PIER F31X | PISO 6</v>
      </c>
      <c r="C554" s="75"/>
      <c r="D554" s="75"/>
      <c r="E554" s="75"/>
      <c r="F554" s="75"/>
      <c r="G554" s="75"/>
      <c r="H554" s="75"/>
      <c r="J554" s="75"/>
      <c r="K554" s="75"/>
      <c r="L554" s="75"/>
      <c r="M554" s="75"/>
      <c r="N554" s="75"/>
      <c r="O554" s="75"/>
      <c r="P554" s="75"/>
    </row>
    <row r="555" spans="2:16" x14ac:dyDescent="0.3">
      <c r="B555" s="75"/>
      <c r="C555" s="75"/>
      <c r="D555" s="75"/>
      <c r="E555" s="75"/>
      <c r="F555" s="75"/>
      <c r="G555" s="75"/>
      <c r="H555" s="75"/>
      <c r="J555" s="75"/>
      <c r="K555" s="75"/>
      <c r="L555" s="75"/>
      <c r="M555" s="75"/>
      <c r="N555" s="75"/>
      <c r="O555" s="75"/>
      <c r="P555" s="75"/>
    </row>
    <row r="556" spans="2:16" x14ac:dyDescent="0.3">
      <c r="B556" s="17" t="s">
        <v>6</v>
      </c>
      <c r="C556" s="75"/>
      <c r="D556" s="75"/>
      <c r="E556" s="75"/>
      <c r="F556" s="75"/>
      <c r="G556" s="75"/>
      <c r="H556" s="75"/>
      <c r="I556" s="18" t="s">
        <v>25</v>
      </c>
      <c r="J556" s="75"/>
      <c r="K556" s="75"/>
      <c r="L556" s="75"/>
      <c r="M556" s="75"/>
      <c r="N556" s="75"/>
      <c r="O556" s="75"/>
      <c r="P556" s="75"/>
    </row>
    <row r="557" spans="2:16" x14ac:dyDescent="0.3">
      <c r="B557" s="19" t="s">
        <v>99</v>
      </c>
      <c r="C557" s="61">
        <f>10.1971621297793*'EJE 15'!$G$16</f>
        <v>356.90067454227551</v>
      </c>
      <c r="D557" s="16" t="s">
        <v>8</v>
      </c>
      <c r="E557" s="75"/>
      <c r="F557" s="75"/>
      <c r="G557" s="75"/>
      <c r="H557" s="75"/>
      <c r="I557" s="19" t="s">
        <v>58</v>
      </c>
      <c r="J557" s="16">
        <f>C564/16</f>
        <v>14.375</v>
      </c>
      <c r="K557" s="16" t="s">
        <v>5</v>
      </c>
      <c r="L557" s="21"/>
      <c r="M557" s="39" t="str">
        <f>IF(J557&lt;C562,"[OK]","[REDISEÑAR]")</f>
        <v>[OK]</v>
      </c>
      <c r="N557" s="75"/>
      <c r="O557" s="75"/>
      <c r="P557" s="75"/>
    </row>
    <row r="558" spans="2:16" x14ac:dyDescent="0.3">
      <c r="B558" s="19" t="s">
        <v>30</v>
      </c>
      <c r="C558" s="16">
        <v>4200</v>
      </c>
      <c r="D558" s="16" t="s">
        <v>8</v>
      </c>
      <c r="E558" s="75"/>
      <c r="F558" s="75"/>
      <c r="G558" s="75"/>
      <c r="H558" s="75"/>
      <c r="I558" s="19" t="s">
        <v>16</v>
      </c>
      <c r="J558" s="16">
        <f>C562*C563</f>
        <v>4800</v>
      </c>
      <c r="K558" s="16" t="s">
        <v>17</v>
      </c>
      <c r="L558" s="21"/>
      <c r="M558" s="75"/>
      <c r="N558" s="75"/>
      <c r="O558" s="75"/>
      <c r="P558" s="75"/>
    </row>
    <row r="559" spans="2:16" x14ac:dyDescent="0.3">
      <c r="B559" s="19" t="s">
        <v>31</v>
      </c>
      <c r="C559" s="16">
        <v>2800</v>
      </c>
      <c r="D559" s="16" t="s">
        <v>8</v>
      </c>
      <c r="E559" s="75"/>
      <c r="F559" s="75"/>
      <c r="G559" s="75"/>
      <c r="H559" s="75"/>
      <c r="I559" s="19" t="s">
        <v>51</v>
      </c>
      <c r="J559" s="16">
        <f>MIN(0.8*C563/5,3*C562,45)</f>
        <v>30.720000000000006</v>
      </c>
      <c r="K559" s="16" t="s">
        <v>5</v>
      </c>
      <c r="L559" s="21"/>
      <c r="M559" s="39" t="str">
        <f>IF(J559&gt;C575,"[OK]","[REDISEÑAR]")</f>
        <v>[OK]</v>
      </c>
      <c r="N559" s="75"/>
      <c r="O559" s="75"/>
      <c r="P559" s="75"/>
    </row>
    <row r="560" spans="2:16" x14ac:dyDescent="0.3">
      <c r="B560" s="75"/>
      <c r="C560" s="75"/>
      <c r="D560" s="75"/>
      <c r="E560" s="75"/>
      <c r="F560" s="75"/>
      <c r="G560" s="75"/>
      <c r="H560" s="75"/>
      <c r="I560" s="19" t="s">
        <v>56</v>
      </c>
      <c r="J560" s="16">
        <f>MIN(0.8*C564/3,3*C563,45)</f>
        <v>45</v>
      </c>
      <c r="K560" s="16" t="s">
        <v>5</v>
      </c>
      <c r="L560" s="21"/>
      <c r="M560" s="39" t="str">
        <f>IF(J560&gt;C575,"[OK]","[REDISEÑAR]")</f>
        <v>[OK]</v>
      </c>
      <c r="N560" s="75"/>
      <c r="O560" s="75"/>
      <c r="P560" s="75"/>
    </row>
    <row r="561" spans="2:16" x14ac:dyDescent="0.3">
      <c r="B561" s="17" t="s">
        <v>3</v>
      </c>
      <c r="C561" s="75"/>
      <c r="D561" s="75"/>
      <c r="E561" s="75"/>
      <c r="F561" s="75"/>
      <c r="G561" s="75"/>
      <c r="H561" s="75"/>
      <c r="I561" s="19" t="s">
        <v>62</v>
      </c>
      <c r="J561" s="16">
        <f>0.8*C563</f>
        <v>153.60000000000002</v>
      </c>
      <c r="K561" s="29" t="s">
        <v>5</v>
      </c>
      <c r="L561" s="75"/>
      <c r="M561" s="75"/>
      <c r="N561" s="75"/>
      <c r="O561" s="75"/>
      <c r="P561" s="75"/>
    </row>
    <row r="562" spans="2:16" x14ac:dyDescent="0.3">
      <c r="B562" s="19" t="str">
        <f>"Espesor del muro (h)"</f>
        <v>Espesor del muro (h)</v>
      </c>
      <c r="C562" s="49">
        <f>'EJE 15'!$H$16</f>
        <v>25</v>
      </c>
      <c r="D562" s="16" t="s">
        <v>5</v>
      </c>
      <c r="E562" s="75"/>
      <c r="F562" s="75"/>
      <c r="G562" s="75"/>
      <c r="H562" s="75"/>
      <c r="J562" s="75"/>
      <c r="K562" s="75"/>
      <c r="L562" s="75"/>
      <c r="M562" s="75"/>
      <c r="N562" s="75"/>
      <c r="O562" s="75"/>
      <c r="P562" s="75"/>
    </row>
    <row r="563" spans="2:16" x14ac:dyDescent="0.3">
      <c r="B563" s="19" t="s">
        <v>63</v>
      </c>
      <c r="C563" s="49">
        <f>'EJE 15'!$I$16</f>
        <v>192</v>
      </c>
      <c r="D563" s="16" t="s">
        <v>5</v>
      </c>
      <c r="E563" s="75"/>
      <c r="F563" s="75"/>
      <c r="G563" s="75"/>
      <c r="H563" s="75"/>
      <c r="I563" s="18" t="s">
        <v>26</v>
      </c>
      <c r="J563" s="75"/>
      <c r="K563" s="75"/>
      <c r="L563" s="75"/>
      <c r="M563" s="75"/>
      <c r="N563" s="75"/>
      <c r="O563" s="75"/>
      <c r="P563" s="75"/>
    </row>
    <row r="564" spans="2:16" x14ac:dyDescent="0.3">
      <c r="B564" s="19" t="s">
        <v>10</v>
      </c>
      <c r="C564" s="49">
        <f>'EJE 15'!$J$16</f>
        <v>230</v>
      </c>
      <c r="D564" s="16" t="s">
        <v>5</v>
      </c>
      <c r="E564" s="75"/>
      <c r="F564" s="75"/>
      <c r="G564" s="75"/>
      <c r="H564" s="75"/>
      <c r="I564" s="19" t="s">
        <v>28</v>
      </c>
      <c r="J564" s="16">
        <f>0.35*C557</f>
        <v>124.91523608979642</v>
      </c>
      <c r="K564" s="16" t="s">
        <v>8</v>
      </c>
      <c r="L564" s="21"/>
      <c r="M564" s="75"/>
      <c r="N564" s="75"/>
      <c r="O564" s="75"/>
      <c r="P564" s="75"/>
    </row>
    <row r="565" spans="2:16" x14ac:dyDescent="0.3">
      <c r="B565" s="75"/>
      <c r="C565" s="75"/>
      <c r="D565" s="75"/>
      <c r="E565" s="75"/>
      <c r="F565" s="75"/>
      <c r="G565" s="75"/>
      <c r="H565" s="75"/>
      <c r="I565" s="19" t="s">
        <v>27</v>
      </c>
      <c r="J565" s="30">
        <f>C567*1000/J558</f>
        <v>28.16772916666666</v>
      </c>
      <c r="K565" s="16" t="s">
        <v>8</v>
      </c>
      <c r="L565" s="21"/>
      <c r="M565" s="39" t="str">
        <f>IF(J565&lt;J564,"[OK]","[REDISEÑAR]")</f>
        <v>[OK]</v>
      </c>
      <c r="N565" s="41" t="s">
        <v>112</v>
      </c>
      <c r="O565" s="59">
        <f>J565/J564</f>
        <v>0.22549474386309482</v>
      </c>
      <c r="P565" s="75"/>
    </row>
    <row r="566" spans="2:16" x14ac:dyDescent="0.3">
      <c r="B566" s="17" t="s">
        <v>11</v>
      </c>
      <c r="C566" s="75"/>
      <c r="D566" s="75"/>
      <c r="E566" s="75"/>
      <c r="F566" s="75"/>
      <c r="G566" s="75"/>
      <c r="H566" s="75"/>
      <c r="J566" s="75"/>
      <c r="K566" s="75"/>
      <c r="L566" s="75"/>
      <c r="M566" s="75"/>
      <c r="N566" s="75"/>
      <c r="O566" s="75"/>
      <c r="P566" s="75"/>
    </row>
    <row r="567" spans="2:16" x14ac:dyDescent="0.3">
      <c r="B567" s="19" t="str">
        <f>"$N_U$"</f>
        <v>$N_U$</v>
      </c>
      <c r="C567" s="60">
        <f>'EJE 15'!$K$16</f>
        <v>135.20509999999999</v>
      </c>
      <c r="D567" s="16" t="s">
        <v>12</v>
      </c>
      <c r="E567" s="75"/>
      <c r="F567" s="75"/>
      <c r="G567" s="75"/>
      <c r="H567" s="75"/>
      <c r="I567" s="18" t="s">
        <v>54</v>
      </c>
      <c r="J567" s="75"/>
      <c r="K567" s="75"/>
      <c r="L567" s="75"/>
      <c r="M567" s="75"/>
      <c r="N567" s="75"/>
      <c r="O567" s="75"/>
      <c r="P567" s="75"/>
    </row>
    <row r="568" spans="2:16" x14ac:dyDescent="0.3">
      <c r="B568" s="19" t="s">
        <v>14</v>
      </c>
      <c r="C568" s="60">
        <f>'EJE 15'!$L$16</f>
        <v>0.34749999999999998</v>
      </c>
      <c r="D568" s="16" t="s">
        <v>12</v>
      </c>
      <c r="E568" s="75"/>
      <c r="F568" s="75"/>
      <c r="G568" s="75"/>
      <c r="H568" s="75"/>
      <c r="I568" s="19" t="s">
        <v>72</v>
      </c>
      <c r="J568" s="16">
        <f>1.2*C568+C569+1.4*C570</f>
        <v>8.6347799999999992</v>
      </c>
      <c r="K568" s="16" t="s">
        <v>12</v>
      </c>
      <c r="L568" s="75"/>
      <c r="M568" s="75" t="s">
        <v>68</v>
      </c>
      <c r="N568" s="75"/>
      <c r="O568" s="75"/>
      <c r="P568" s="75"/>
    </row>
    <row r="569" spans="2:16" x14ac:dyDescent="0.3">
      <c r="B569" s="19" t="s">
        <v>13</v>
      </c>
      <c r="C569" s="60">
        <f>'EJE 15'!$M$16</f>
        <v>0.30330000000000001</v>
      </c>
      <c r="D569" s="16" t="s">
        <v>12</v>
      </c>
      <c r="E569" s="75"/>
      <c r="F569" s="75"/>
      <c r="G569" s="75"/>
      <c r="H569" s="75"/>
      <c r="I569" s="19" t="s">
        <v>69</v>
      </c>
      <c r="J569" s="16">
        <f>SUM(C568:C570)</f>
        <v>6.3040000000000003</v>
      </c>
      <c r="K569" s="16" t="s">
        <v>12</v>
      </c>
      <c r="L569" s="75"/>
      <c r="M569" s="75" t="s">
        <v>70</v>
      </c>
      <c r="N569" s="75"/>
      <c r="O569" s="75"/>
      <c r="P569" s="75"/>
    </row>
    <row r="570" spans="2:16" x14ac:dyDescent="0.3">
      <c r="B570" s="19" t="s">
        <v>15</v>
      </c>
      <c r="C570" s="60">
        <f>'EJE 15'!$N$16</f>
        <v>5.6532</v>
      </c>
      <c r="D570" s="16" t="s">
        <v>12</v>
      </c>
      <c r="E570" s="75"/>
      <c r="F570" s="75"/>
      <c r="G570" s="75"/>
      <c r="H570" s="75"/>
      <c r="I570" s="19" t="s">
        <v>73</v>
      </c>
      <c r="J570" s="16">
        <f>IF(C571=0,J568,C571)</f>
        <v>8.6347799999999992</v>
      </c>
      <c r="K570" s="16" t="s">
        <v>12</v>
      </c>
      <c r="L570" s="75"/>
      <c r="M570" s="40" t="s">
        <v>74</v>
      </c>
      <c r="N570" s="75"/>
      <c r="O570" s="75"/>
      <c r="P570" s="75"/>
    </row>
    <row r="571" spans="2:16" x14ac:dyDescent="0.3">
      <c r="B571" s="19" t="s">
        <v>55</v>
      </c>
      <c r="C571" s="16">
        <v>0</v>
      </c>
      <c r="D571" s="16" t="s">
        <v>12</v>
      </c>
      <c r="E571" s="75"/>
      <c r="F571" s="75"/>
      <c r="G571" s="75"/>
      <c r="H571" s="75"/>
      <c r="I571" s="19" t="s">
        <v>71</v>
      </c>
      <c r="J571" s="16">
        <f>IF(C571=0,J569,C571)</f>
        <v>6.3040000000000003</v>
      </c>
      <c r="K571" s="16" t="s">
        <v>12</v>
      </c>
      <c r="L571" s="75"/>
      <c r="M571" s="40" t="s">
        <v>75</v>
      </c>
      <c r="N571" s="75"/>
      <c r="O571" s="75"/>
      <c r="P571" s="75"/>
    </row>
    <row r="572" spans="2:16" x14ac:dyDescent="0.3">
      <c r="B572" s="75"/>
      <c r="C572" s="75"/>
      <c r="D572" s="75"/>
      <c r="E572" s="75"/>
      <c r="F572" s="75"/>
      <c r="G572" s="75"/>
      <c r="H572" s="75"/>
      <c r="J572" s="75"/>
      <c r="K572" s="75"/>
      <c r="L572" s="75"/>
      <c r="M572" s="75"/>
      <c r="N572" s="75"/>
      <c r="O572" s="75"/>
      <c r="P572" s="75"/>
    </row>
    <row r="573" spans="2:16" x14ac:dyDescent="0.3">
      <c r="B573" s="33" t="s">
        <v>42</v>
      </c>
      <c r="C573" s="75"/>
      <c r="D573" s="75"/>
      <c r="E573" s="75"/>
      <c r="F573" s="75"/>
      <c r="G573" s="75"/>
      <c r="H573" s="75"/>
      <c r="I573" s="27" t="s">
        <v>76</v>
      </c>
      <c r="J573" s="75"/>
      <c r="K573" s="75"/>
      <c r="L573" s="75"/>
      <c r="M573" s="75"/>
      <c r="N573" s="75"/>
      <c r="O573" s="75"/>
      <c r="P573" s="75"/>
    </row>
    <row r="574" spans="2:16" x14ac:dyDescent="0.3">
      <c r="B574" s="31" t="s">
        <v>41</v>
      </c>
      <c r="C574" s="16">
        <v>12</v>
      </c>
      <c r="D574" s="29" t="s">
        <v>35</v>
      </c>
      <c r="E574" s="75"/>
      <c r="F574" s="75"/>
      <c r="G574" s="75"/>
      <c r="H574" s="75"/>
      <c r="I574" s="19" t="s">
        <v>29</v>
      </c>
      <c r="J574" s="30">
        <f>J571*1000/J558</f>
        <v>1.3133333333333332</v>
      </c>
      <c r="K574" s="29" t="s">
        <v>8</v>
      </c>
      <c r="L574" s="75"/>
      <c r="M574" s="75"/>
      <c r="N574" s="75"/>
      <c r="O574" s="75"/>
      <c r="P574" s="75"/>
    </row>
    <row r="575" spans="2:16" x14ac:dyDescent="0.3">
      <c r="B575" s="31" t="s">
        <v>43</v>
      </c>
      <c r="C575" s="16">
        <v>14</v>
      </c>
      <c r="D575" s="29" t="s">
        <v>5</v>
      </c>
      <c r="E575" s="75"/>
      <c r="F575" s="39" t="str">
        <f>IF(OR(C575&gt;25,C575&lt;10),"[REDISEÑAR]",IF(AND(C575&lt;=J576,C575&lt;=J590),"[OK]","[REDISEÑAR]"))</f>
        <v>[OK]</v>
      </c>
      <c r="G575" s="75"/>
      <c r="H575" s="75"/>
      <c r="I575" s="19" t="s">
        <v>61</v>
      </c>
      <c r="J575" s="37">
        <f>MAX(J574*100*C562/(2*C559),C579)</f>
        <v>3.125</v>
      </c>
      <c r="K575" s="29" t="s">
        <v>32</v>
      </c>
      <c r="L575" s="75"/>
      <c r="M575" s="15"/>
      <c r="N575" s="15"/>
      <c r="O575" s="15"/>
      <c r="P575" s="75"/>
    </row>
    <row r="576" spans="2:16" x14ac:dyDescent="0.3">
      <c r="B576" s="75"/>
      <c r="C576" s="50" t="str">
        <f>"$\phi$"&amp;C574&amp;"@"&amp;C575</f>
        <v>$\phi$12@14</v>
      </c>
      <c r="D576" s="75"/>
      <c r="E576" s="75"/>
      <c r="F576" s="39" t="str">
        <f>IF(OR(J575=C579,J586=C579),"[ÁREA MINIMA]","[]")</f>
        <v>[ÁREA MINIMA]</v>
      </c>
      <c r="G576" s="75"/>
      <c r="H576" s="75"/>
      <c r="I576" s="63" t="s">
        <v>34</v>
      </c>
      <c r="J576" s="63">
        <f>ROUNDDOWN((1/J575)*C578*100,0)</f>
        <v>36</v>
      </c>
      <c r="K576" s="64" t="s">
        <v>5</v>
      </c>
      <c r="L576" s="75"/>
      <c r="M576" s="39" t="str">
        <f>IF(OR(J576&lt;10,J576&gt;25),"[REDISEÑAR]","[OK")</f>
        <v>[REDISEÑAR]</v>
      </c>
      <c r="N576" s="41" t="s">
        <v>80</v>
      </c>
      <c r="O576" s="42">
        <f>1/J575*(C574/2)^2*PI()</f>
        <v>36.191147369354418</v>
      </c>
      <c r="P576" s="75" t="str">
        <f>"$\phi$"&amp;C574&amp;"@"&amp;J576</f>
        <v>$\phi$12@36</v>
      </c>
    </row>
    <row r="577" spans="2:16" x14ac:dyDescent="0.3">
      <c r="B577" s="18" t="s">
        <v>52</v>
      </c>
      <c r="C577" s="75"/>
      <c r="D577" s="75"/>
      <c r="E577" s="75"/>
      <c r="F577" s="62" t="str">
        <f>IF(J565&lt;J564,IF(J593&gt;J582,"[OK]","[REDISEÑAR]"),"[REDISEÑAR]")</f>
        <v>[OK]</v>
      </c>
      <c r="G577" s="75"/>
      <c r="H577" s="75"/>
      <c r="I577" s="31" t="s">
        <v>48</v>
      </c>
      <c r="J577" s="30">
        <f>C578*2*IF(C563/C575&gt;=1,C563/C575,0)</f>
        <v>31.020983459446644</v>
      </c>
      <c r="K577" s="29" t="s">
        <v>17</v>
      </c>
      <c r="L577" s="75"/>
      <c r="M577" s="75"/>
      <c r="N577" s="15"/>
      <c r="O577" s="44"/>
      <c r="P577" s="75"/>
    </row>
    <row r="578" spans="2:16" x14ac:dyDescent="0.3">
      <c r="B578" s="31" t="s">
        <v>66</v>
      </c>
      <c r="C578" s="30">
        <f>(C574/(2*10))^2*PI()</f>
        <v>1.1309733552923256</v>
      </c>
      <c r="D578" s="29" t="s">
        <v>17</v>
      </c>
      <c r="E578" s="75"/>
      <c r="F578" s="75"/>
      <c r="G578" s="75"/>
      <c r="H578" s="75"/>
      <c r="I578" s="19" t="s">
        <v>49</v>
      </c>
      <c r="J578" s="34">
        <f>C559*J577/1000</f>
        <v>86.858753686450598</v>
      </c>
      <c r="K578" s="16" t="s">
        <v>12</v>
      </c>
      <c r="L578" s="75"/>
      <c r="M578" s="39" t="str">
        <f>IF(J578&gt;J571,"[OK]","[REDISEÑAR]")</f>
        <v>[OK]</v>
      </c>
      <c r="N578" s="41" t="str">
        <f>IF(O578&gt;0,"Sobrado","Faltan")</f>
        <v>Sobrado</v>
      </c>
      <c r="O578" s="43">
        <f>J578-J571</f>
        <v>80.554753686450596</v>
      </c>
      <c r="P578" s="75"/>
    </row>
    <row r="579" spans="2:16" x14ac:dyDescent="0.3">
      <c r="B579" s="31" t="s">
        <v>78</v>
      </c>
      <c r="C579" s="37">
        <f>2.5/1000*100*C562/2</f>
        <v>3.125</v>
      </c>
      <c r="D579" s="16" t="s">
        <v>17</v>
      </c>
      <c r="E579" s="75"/>
      <c r="F579" s="75"/>
      <c r="G579" s="75"/>
      <c r="H579" s="75"/>
      <c r="J579" s="75"/>
      <c r="K579" s="75"/>
      <c r="L579" s="75"/>
      <c r="M579" s="75"/>
      <c r="N579" s="75"/>
      <c r="O579" s="15"/>
      <c r="P579" s="75"/>
    </row>
    <row r="580" spans="2:16" x14ac:dyDescent="0.3">
      <c r="B580" s="31" t="s">
        <v>114</v>
      </c>
      <c r="C580" s="37">
        <f>C578*100/C575</f>
        <v>8.0783811092308966</v>
      </c>
      <c r="D580" s="29" t="s">
        <v>32</v>
      </c>
      <c r="E580" s="75"/>
      <c r="F580" s="75"/>
      <c r="G580" s="75"/>
      <c r="H580" s="75"/>
      <c r="I580" s="18" t="s">
        <v>77</v>
      </c>
      <c r="J580" s="75"/>
      <c r="K580" s="75"/>
      <c r="L580" s="75"/>
      <c r="M580" s="17" t="s">
        <v>67</v>
      </c>
      <c r="N580" s="75"/>
      <c r="O580" s="75"/>
      <c r="P580" s="75"/>
    </row>
    <row r="581" spans="2:16" x14ac:dyDescent="0.3">
      <c r="B581" s="75"/>
      <c r="C581" s="75"/>
      <c r="D581" s="75"/>
      <c r="E581" s="75"/>
      <c r="F581" s="75"/>
      <c r="G581" s="75"/>
      <c r="H581" s="75"/>
      <c r="I581" s="19" t="s">
        <v>33</v>
      </c>
      <c r="J581" s="16">
        <v>0.6</v>
      </c>
      <c r="K581" s="16" t="s">
        <v>50</v>
      </c>
      <c r="L581" s="75"/>
      <c r="M581" s="19" t="s">
        <v>64</v>
      </c>
      <c r="N581" s="30">
        <f>SQRT(C557*0.0980665)*(1/0.0980665)/1000*J583*0.17</f>
        <v>31.250778100012241</v>
      </c>
      <c r="O581" s="16" t="s">
        <v>12</v>
      </c>
      <c r="P581" s="75"/>
    </row>
    <row r="582" spans="2:16" x14ac:dyDescent="0.3">
      <c r="B582" s="17" t="s">
        <v>37</v>
      </c>
      <c r="C582" s="75"/>
      <c r="D582" s="75"/>
      <c r="E582" s="75"/>
      <c r="F582" s="75"/>
      <c r="G582" s="75"/>
      <c r="H582" s="75"/>
      <c r="I582" s="19" t="s">
        <v>46</v>
      </c>
      <c r="J582" s="34">
        <f>J570/J581</f>
        <v>14.391299999999999</v>
      </c>
      <c r="K582" s="16" t="s">
        <v>12</v>
      </c>
      <c r="L582" s="75"/>
      <c r="M582" s="19" t="s">
        <v>57</v>
      </c>
      <c r="N582" s="16">
        <f>IF(C564/J561&lt;=1.5,0.25,IF(C564/J561&gt;=2,0.17,0.17+(0.25-0.17)/(C564/J561-1.5)*C564/J561))</f>
        <v>0.25</v>
      </c>
      <c r="O582" s="29" t="s">
        <v>50</v>
      </c>
      <c r="P582" s="75"/>
    </row>
    <row r="583" spans="2:16" x14ac:dyDescent="0.3">
      <c r="B583" s="31" t="s">
        <v>115</v>
      </c>
      <c r="C583" s="37">
        <f>O578</f>
        <v>80.554753686450596</v>
      </c>
      <c r="D583" s="29" t="s">
        <v>12</v>
      </c>
      <c r="E583" s="75"/>
      <c r="F583" s="75"/>
      <c r="G583" s="75"/>
      <c r="H583" s="75"/>
      <c r="I583" s="19" t="s">
        <v>36</v>
      </c>
      <c r="J583" s="35">
        <f>J561*C562*0.8-J591</f>
        <v>3047.183213232443</v>
      </c>
      <c r="K583" s="16" t="s">
        <v>17</v>
      </c>
      <c r="L583" s="75"/>
      <c r="M583" s="19" t="s">
        <v>59</v>
      </c>
      <c r="N583" s="30">
        <f>SQRT(C557*0.0980665)*(1/0.0980665)/1000*J583*N582</f>
        <v>45.957026617665058</v>
      </c>
      <c r="O583" s="29" t="s">
        <v>12</v>
      </c>
      <c r="P583" s="75"/>
    </row>
    <row r="584" spans="2:16" x14ac:dyDescent="0.3">
      <c r="B584" s="31" t="s">
        <v>116</v>
      </c>
      <c r="C584" s="37">
        <f>O593</f>
        <v>121.08998252375301</v>
      </c>
      <c r="D584" s="29" t="s">
        <v>12</v>
      </c>
      <c r="E584" s="75"/>
      <c r="F584" s="75"/>
      <c r="G584" s="75"/>
      <c r="H584" s="75"/>
      <c r="I584" s="19" t="s">
        <v>60</v>
      </c>
      <c r="J584" s="34">
        <f>MIN(N583,N581)</f>
        <v>31.250778100012241</v>
      </c>
      <c r="K584" s="29" t="s">
        <v>12</v>
      </c>
      <c r="L584" s="75"/>
      <c r="M584" s="75"/>
      <c r="N584" s="75"/>
      <c r="O584" s="75"/>
      <c r="P584" s="75"/>
    </row>
    <row r="585" spans="2:16" x14ac:dyDescent="0.3">
      <c r="B585" s="19" t="s">
        <v>117</v>
      </c>
      <c r="C585" s="36">
        <f>C578*2*C563/C575/J558</f>
        <v>6.4627048873847183E-3</v>
      </c>
      <c r="D585" s="16" t="s">
        <v>50</v>
      </c>
      <c r="E585" s="75"/>
      <c r="F585" s="75"/>
      <c r="G585" s="75"/>
      <c r="H585" s="75"/>
      <c r="I585" s="19" t="s">
        <v>39</v>
      </c>
      <c r="J585" s="34">
        <f>J582-J584</f>
        <v>-16.85947810001224</v>
      </c>
      <c r="K585" s="16" t="s">
        <v>12</v>
      </c>
      <c r="L585" s="75"/>
      <c r="M585" s="75"/>
      <c r="N585" s="75"/>
      <c r="O585" s="75"/>
      <c r="P585" s="75"/>
    </row>
    <row r="586" spans="2:16" x14ac:dyDescent="0.3">
      <c r="B586" s="75"/>
      <c r="C586" s="75"/>
      <c r="D586" s="75"/>
      <c r="E586" s="75"/>
      <c r="F586" s="75"/>
      <c r="G586" s="75"/>
      <c r="H586" s="75"/>
      <c r="I586" s="19" t="s">
        <v>61</v>
      </c>
      <c r="J586" s="37">
        <f>MAX(J585/(C558*J561/1000/100)/2,C579)</f>
        <v>3.125</v>
      </c>
      <c r="K586" s="29" t="s">
        <v>32</v>
      </c>
      <c r="L586" s="75"/>
      <c r="M586" s="75"/>
      <c r="N586" s="75"/>
      <c r="O586" s="75"/>
      <c r="P586" s="75"/>
    </row>
    <row r="587" spans="2:16" x14ac:dyDescent="0.3">
      <c r="B587" s="75"/>
      <c r="C587" s="75"/>
      <c r="D587" s="75"/>
      <c r="E587" s="75"/>
      <c r="F587" s="75"/>
      <c r="G587" s="75"/>
      <c r="H587" s="75"/>
      <c r="I587" s="19" t="s">
        <v>65</v>
      </c>
      <c r="J587" s="36">
        <f>J586/C562/100*2</f>
        <v>2.5000000000000001E-3</v>
      </c>
      <c r="K587" s="16" t="s">
        <v>50</v>
      </c>
      <c r="L587" s="75"/>
      <c r="M587" s="75"/>
      <c r="N587" s="75"/>
      <c r="O587" s="75"/>
      <c r="P587" s="75"/>
    </row>
    <row r="588" spans="2:16" x14ac:dyDescent="0.3">
      <c r="B588" s="75"/>
      <c r="C588" s="75"/>
      <c r="D588" s="75"/>
      <c r="E588" s="75"/>
      <c r="F588" s="75"/>
      <c r="G588" s="75"/>
      <c r="H588" s="75"/>
      <c r="I588" s="19" t="s">
        <v>53</v>
      </c>
      <c r="J588" s="16">
        <f>MAX(0.0025,0.0025*0.5*(2.5-C562/(C563*0.8))*(J587-0.0025))</f>
        <v>2.5000000000000001E-3</v>
      </c>
      <c r="K588" s="29" t="s">
        <v>50</v>
      </c>
      <c r="L588" s="75"/>
      <c r="M588" s="39" t="str">
        <f>IF(OR(J587&gt;J588,ABS(J587-J588)&lt;0.0001),"[OK]","[REDISEÑAR]")</f>
        <v>[OK]</v>
      </c>
      <c r="N588" s="75"/>
      <c r="O588" s="75"/>
      <c r="P588" s="75"/>
    </row>
    <row r="589" spans="2:16" x14ac:dyDescent="0.3">
      <c r="B589" s="75"/>
      <c r="C589" s="75"/>
      <c r="D589" s="75"/>
      <c r="E589" s="75"/>
      <c r="F589" s="75"/>
      <c r="G589" s="75"/>
      <c r="H589" s="75"/>
      <c r="I589" s="19" t="s">
        <v>47</v>
      </c>
      <c r="J589" s="34">
        <f>SQRT(C557*0.0980665)*(1/0.0980665)/1000*0.66*0.8*C563*C562</f>
        <v>152.89331833284234</v>
      </c>
      <c r="K589" s="16" t="s">
        <v>12</v>
      </c>
      <c r="L589" s="75"/>
      <c r="M589" s="40" t="s">
        <v>44</v>
      </c>
      <c r="N589" s="75"/>
      <c r="O589" s="15"/>
      <c r="P589" s="75"/>
    </row>
    <row r="590" spans="2:16" x14ac:dyDescent="0.3">
      <c r="B590" s="75"/>
      <c r="C590" s="75"/>
      <c r="D590" s="75"/>
      <c r="E590" s="75"/>
      <c r="F590" s="75"/>
      <c r="G590" s="75"/>
      <c r="H590" s="75"/>
      <c r="I590" s="63" t="s">
        <v>34</v>
      </c>
      <c r="J590" s="63">
        <f>ROUNDDOWN(1/J586*C578*100,0)</f>
        <v>36</v>
      </c>
      <c r="K590" s="64" t="s">
        <v>5</v>
      </c>
      <c r="L590" s="75"/>
      <c r="M590" s="39" t="str">
        <f>IF(OR(J590&lt;10,J590&gt;25),"[REDISEÑAR]","[OK")</f>
        <v>[REDISEÑAR]</v>
      </c>
      <c r="N590" s="41" t="s">
        <v>80</v>
      </c>
      <c r="O590" s="42">
        <f>1/J586*(C574/2)^2*PI()</f>
        <v>36.191147369354418</v>
      </c>
      <c r="P590" s="75" t="str">
        <f>"$\phi$"&amp;C574&amp;"@"&amp;J590</f>
        <v>$\phi$12@36</v>
      </c>
    </row>
    <row r="591" spans="2:16" x14ac:dyDescent="0.3">
      <c r="B591" s="75"/>
      <c r="C591" s="75"/>
      <c r="D591" s="75"/>
      <c r="E591" s="75"/>
      <c r="F591" s="75"/>
      <c r="G591" s="75"/>
      <c r="H591" s="75"/>
      <c r="I591" s="31" t="s">
        <v>48</v>
      </c>
      <c r="J591" s="30">
        <f>C578*2*IF(J561/C575&gt;=1,J561/C575,0)</f>
        <v>24.816786767557321</v>
      </c>
      <c r="K591" s="29" t="s">
        <v>17</v>
      </c>
      <c r="L591" s="75"/>
      <c r="M591" s="75"/>
      <c r="N591" s="15"/>
      <c r="O591" s="15"/>
      <c r="P591" s="75"/>
    </row>
    <row r="592" spans="2:16" x14ac:dyDescent="0.3">
      <c r="B592" s="75"/>
      <c r="C592" s="75"/>
      <c r="D592" s="75"/>
      <c r="E592" s="75"/>
      <c r="F592" s="75"/>
      <c r="G592" s="75"/>
      <c r="H592" s="75"/>
      <c r="I592" s="19" t="s">
        <v>81</v>
      </c>
      <c r="J592" s="34">
        <f>MIN(J591*C558/1000,J589)</f>
        <v>104.23050442374075</v>
      </c>
      <c r="K592" s="16" t="s">
        <v>12</v>
      </c>
      <c r="L592" s="75"/>
      <c r="M592" s="40" t="s">
        <v>82</v>
      </c>
      <c r="N592" s="15"/>
      <c r="O592" s="15"/>
      <c r="P592" s="75"/>
    </row>
    <row r="593" spans="2:16" x14ac:dyDescent="0.3">
      <c r="B593" s="75"/>
      <c r="C593" s="75"/>
      <c r="D593" s="75"/>
      <c r="E593" s="75"/>
      <c r="F593" s="75"/>
      <c r="G593" s="75"/>
      <c r="H593" s="75"/>
      <c r="I593" s="19" t="s">
        <v>79</v>
      </c>
      <c r="J593" s="34">
        <f>J592+J584</f>
        <v>135.48128252375301</v>
      </c>
      <c r="K593" s="16" t="s">
        <v>12</v>
      </c>
      <c r="L593" s="75"/>
      <c r="M593" s="39" t="str">
        <f>IF(J593&gt;J582,"[OK]","[REDISEÑAR]")</f>
        <v>[OK]</v>
      </c>
      <c r="N593" s="41" t="str">
        <f>IF(O593&gt;0,"Sobrado","Faltan")</f>
        <v>Sobrado</v>
      </c>
      <c r="O593" s="43">
        <f>J593-J582</f>
        <v>121.08998252375301</v>
      </c>
      <c r="P593" s="75"/>
    </row>
    <row r="594" spans="2:16" x14ac:dyDescent="0.3">
      <c r="B594" s="75"/>
      <c r="C594" s="75"/>
      <c r="D594" s="75"/>
      <c r="E594" s="75"/>
      <c r="F594" s="75"/>
      <c r="G594" s="75"/>
      <c r="H594" s="75"/>
      <c r="J594" s="75"/>
      <c r="K594" s="75"/>
      <c r="L594" s="75"/>
      <c r="M594" s="75"/>
      <c r="N594" s="75"/>
      <c r="O594" s="75"/>
      <c r="P594" s="75"/>
    </row>
    <row r="595" spans="2:16" x14ac:dyDescent="0.3">
      <c r="B595" s="75"/>
      <c r="C595" s="75"/>
      <c r="D595" s="75"/>
      <c r="E595" s="75"/>
      <c r="F595" s="75"/>
      <c r="G595" s="75"/>
      <c r="H595" s="75"/>
      <c r="I595" s="18" t="s">
        <v>45</v>
      </c>
      <c r="J595" s="75"/>
      <c r="K595" s="75"/>
      <c r="L595" s="75"/>
      <c r="M595" s="75"/>
      <c r="N595" s="75"/>
      <c r="O595" s="15"/>
      <c r="P595" s="75"/>
    </row>
    <row r="596" spans="2:16" x14ac:dyDescent="0.3">
      <c r="B596" s="75"/>
      <c r="C596" s="75"/>
      <c r="D596" s="75"/>
      <c r="E596" s="75"/>
      <c r="F596" s="75"/>
      <c r="G596" s="75"/>
      <c r="H596" s="75"/>
      <c r="I596" s="19" t="s">
        <v>40</v>
      </c>
      <c r="J596" s="16">
        <f>J570</f>
        <v>8.6347799999999992</v>
      </c>
      <c r="K596" s="16" t="s">
        <v>12</v>
      </c>
      <c r="L596" s="75"/>
      <c r="M596" s="75"/>
      <c r="N596" s="75"/>
      <c r="O596" s="26"/>
      <c r="P596" s="75"/>
    </row>
    <row r="597" spans="2:16" x14ac:dyDescent="0.3">
      <c r="B597" s="75"/>
      <c r="C597" s="75"/>
      <c r="D597" s="75"/>
      <c r="E597" s="75"/>
      <c r="F597" s="75"/>
      <c r="G597" s="75"/>
      <c r="H597" s="75"/>
      <c r="I597" s="19" t="s">
        <v>46</v>
      </c>
      <c r="J597" s="34">
        <f>J582</f>
        <v>14.391299999999999</v>
      </c>
      <c r="K597" s="16" t="s">
        <v>12</v>
      </c>
      <c r="L597" s="75"/>
      <c r="M597" s="75"/>
      <c r="N597" s="75"/>
      <c r="O597" s="75"/>
      <c r="P597" s="75"/>
    </row>
    <row r="598" spans="2:16" x14ac:dyDescent="0.3">
      <c r="B598" s="75"/>
      <c r="C598" s="75"/>
      <c r="D598" s="75"/>
      <c r="E598" s="75"/>
      <c r="F598" s="75"/>
      <c r="G598" s="75"/>
      <c r="H598" s="75"/>
      <c r="I598" s="19" t="s">
        <v>38</v>
      </c>
      <c r="J598" s="34">
        <f>2/3*J583*SQRT(C557*0.0980665)*(1/0.0980665)/1000</f>
        <v>122.55207098044013</v>
      </c>
      <c r="K598" s="16" t="s">
        <v>12</v>
      </c>
      <c r="L598" s="75"/>
      <c r="M598" s="39" t="str">
        <f>IF(J598&gt;J597,"[OK]","[REDISEÑAR]")</f>
        <v>[OK]</v>
      </c>
      <c r="N598" s="41" t="str">
        <f>IF(O598&gt;0,"Sobrado","Faltan")</f>
        <v>Sobrado</v>
      </c>
      <c r="O598" s="43">
        <f>J598-J597</f>
        <v>108.16077098044013</v>
      </c>
      <c r="P598" s="75"/>
    </row>
    <row r="600" spans="2:16" ht="18" x14ac:dyDescent="0.35">
      <c r="B600" s="48" t="str">
        <f>'EJE 15'!$S$17</f>
        <v>EJE 15.G-L | PIER F33X | PISO 6</v>
      </c>
      <c r="C600" s="75"/>
      <c r="D600" s="75"/>
      <c r="E600" s="75"/>
      <c r="F600" s="75"/>
      <c r="G600" s="75"/>
      <c r="H600" s="75"/>
      <c r="J600" s="75"/>
      <c r="K600" s="75"/>
      <c r="L600" s="75"/>
      <c r="M600" s="75"/>
      <c r="N600" s="75"/>
      <c r="O600" s="75"/>
      <c r="P600" s="75"/>
    </row>
    <row r="601" spans="2:16" x14ac:dyDescent="0.3">
      <c r="B601" s="75"/>
      <c r="C601" s="75"/>
      <c r="D601" s="75"/>
      <c r="E601" s="75"/>
      <c r="F601" s="75"/>
      <c r="G601" s="75"/>
      <c r="H601" s="75"/>
      <c r="J601" s="75"/>
      <c r="K601" s="75"/>
      <c r="L601" s="75"/>
      <c r="M601" s="75"/>
      <c r="N601" s="75"/>
      <c r="O601" s="75"/>
      <c r="P601" s="75"/>
    </row>
    <row r="602" spans="2:16" x14ac:dyDescent="0.3">
      <c r="B602" s="17" t="s">
        <v>6</v>
      </c>
      <c r="C602" s="75"/>
      <c r="D602" s="75"/>
      <c r="E602" s="75"/>
      <c r="F602" s="75"/>
      <c r="G602" s="75"/>
      <c r="H602" s="75"/>
      <c r="I602" s="18" t="s">
        <v>25</v>
      </c>
      <c r="J602" s="75"/>
      <c r="K602" s="75"/>
      <c r="L602" s="75"/>
      <c r="M602" s="75"/>
      <c r="N602" s="75"/>
      <c r="O602" s="75"/>
      <c r="P602" s="75"/>
    </row>
    <row r="603" spans="2:16" x14ac:dyDescent="0.3">
      <c r="B603" s="19" t="s">
        <v>99</v>
      </c>
      <c r="C603" s="61">
        <f>10.1971621297793*'EJE 15'!$G$17</f>
        <v>356.90067454227551</v>
      </c>
      <c r="D603" s="16" t="s">
        <v>8</v>
      </c>
      <c r="E603" s="75"/>
      <c r="F603" s="75"/>
      <c r="G603" s="75"/>
      <c r="H603" s="75"/>
      <c r="I603" s="19" t="s">
        <v>58</v>
      </c>
      <c r="J603" s="16">
        <f>C610/16</f>
        <v>14.375</v>
      </c>
      <c r="K603" s="16" t="s">
        <v>5</v>
      </c>
      <c r="L603" s="21"/>
      <c r="M603" s="39" t="str">
        <f>IF(J603&lt;C608,"[OK]","[REDISEÑAR]")</f>
        <v>[OK]</v>
      </c>
      <c r="N603" s="75"/>
      <c r="O603" s="75"/>
      <c r="P603" s="75"/>
    </row>
    <row r="604" spans="2:16" x14ac:dyDescent="0.3">
      <c r="B604" s="19" t="s">
        <v>30</v>
      </c>
      <c r="C604" s="16">
        <v>4200</v>
      </c>
      <c r="D604" s="16" t="s">
        <v>8</v>
      </c>
      <c r="E604" s="75"/>
      <c r="F604" s="75"/>
      <c r="G604" s="75"/>
      <c r="H604" s="75"/>
      <c r="I604" s="19" t="s">
        <v>16</v>
      </c>
      <c r="J604" s="16">
        <f>C608*C609</f>
        <v>8475</v>
      </c>
      <c r="K604" s="16" t="s">
        <v>17</v>
      </c>
      <c r="L604" s="21"/>
      <c r="M604" s="75"/>
      <c r="N604" s="75"/>
      <c r="O604" s="75"/>
      <c r="P604" s="75"/>
    </row>
    <row r="605" spans="2:16" x14ac:dyDescent="0.3">
      <c r="B605" s="19" t="s">
        <v>31</v>
      </c>
      <c r="C605" s="16">
        <v>2800</v>
      </c>
      <c r="D605" s="16" t="s">
        <v>8</v>
      </c>
      <c r="E605" s="75"/>
      <c r="F605" s="75"/>
      <c r="G605" s="75"/>
      <c r="H605" s="75"/>
      <c r="I605" s="19" t="s">
        <v>51</v>
      </c>
      <c r="J605" s="16">
        <f>MIN(0.8*C609/5,3*C608,45)</f>
        <v>45</v>
      </c>
      <c r="K605" s="16" t="s">
        <v>5</v>
      </c>
      <c r="L605" s="21"/>
      <c r="M605" s="39" t="str">
        <f>IF(J605&gt;C621,"[OK]","[REDISEÑAR]")</f>
        <v>[OK]</v>
      </c>
      <c r="N605" s="75"/>
      <c r="O605" s="75"/>
      <c r="P605" s="75"/>
    </row>
    <row r="606" spans="2:16" x14ac:dyDescent="0.3">
      <c r="B606" s="75"/>
      <c r="C606" s="75"/>
      <c r="D606" s="75"/>
      <c r="E606" s="75"/>
      <c r="F606" s="75"/>
      <c r="G606" s="75"/>
      <c r="H606" s="75"/>
      <c r="I606" s="19" t="s">
        <v>56</v>
      </c>
      <c r="J606" s="16">
        <f>MIN(0.8*C610/3,3*C609,45)</f>
        <v>45</v>
      </c>
      <c r="K606" s="16" t="s">
        <v>5</v>
      </c>
      <c r="L606" s="21"/>
      <c r="M606" s="39" t="str">
        <f>IF(J606&gt;C621,"[OK]","[REDISEÑAR]")</f>
        <v>[OK]</v>
      </c>
      <c r="N606" s="75"/>
      <c r="O606" s="75"/>
      <c r="P606" s="75"/>
    </row>
    <row r="607" spans="2:16" x14ac:dyDescent="0.3">
      <c r="B607" s="17" t="s">
        <v>3</v>
      </c>
      <c r="C607" s="75"/>
      <c r="D607" s="75"/>
      <c r="E607" s="75"/>
      <c r="F607" s="75"/>
      <c r="G607" s="75"/>
      <c r="H607" s="75"/>
      <c r="I607" s="19" t="s">
        <v>62</v>
      </c>
      <c r="J607" s="16">
        <f>0.8*C609</f>
        <v>271.2</v>
      </c>
      <c r="K607" s="29" t="s">
        <v>5</v>
      </c>
      <c r="L607" s="75"/>
      <c r="M607" s="75"/>
      <c r="N607" s="75"/>
      <c r="O607" s="75"/>
      <c r="P607" s="75"/>
    </row>
    <row r="608" spans="2:16" x14ac:dyDescent="0.3">
      <c r="B608" s="19" t="str">
        <f>"Espesor del muro (h)"</f>
        <v>Espesor del muro (h)</v>
      </c>
      <c r="C608" s="49">
        <f>'EJE 15'!$H$17</f>
        <v>25</v>
      </c>
      <c r="D608" s="16" t="s">
        <v>5</v>
      </c>
      <c r="E608" s="75"/>
      <c r="F608" s="75"/>
      <c r="G608" s="75"/>
      <c r="H608" s="75"/>
      <c r="J608" s="75"/>
      <c r="K608" s="75"/>
      <c r="L608" s="75"/>
      <c r="M608" s="75"/>
      <c r="N608" s="75"/>
      <c r="O608" s="75"/>
      <c r="P608" s="75"/>
    </row>
    <row r="609" spans="2:16" x14ac:dyDescent="0.3">
      <c r="B609" s="19" t="s">
        <v>63</v>
      </c>
      <c r="C609" s="49">
        <f>'EJE 15'!$I$17</f>
        <v>339</v>
      </c>
      <c r="D609" s="16" t="s">
        <v>5</v>
      </c>
      <c r="E609" s="75"/>
      <c r="F609" s="75"/>
      <c r="G609" s="75"/>
      <c r="H609" s="75"/>
      <c r="I609" s="18" t="s">
        <v>26</v>
      </c>
      <c r="J609" s="75"/>
      <c r="K609" s="75"/>
      <c r="L609" s="75"/>
      <c r="M609" s="75"/>
      <c r="N609" s="75"/>
      <c r="O609" s="75"/>
      <c r="P609" s="75"/>
    </row>
    <row r="610" spans="2:16" x14ac:dyDescent="0.3">
      <c r="B610" s="19" t="s">
        <v>10</v>
      </c>
      <c r="C610" s="49">
        <f>'EJE 15'!$J$17</f>
        <v>230</v>
      </c>
      <c r="D610" s="16" t="s">
        <v>5</v>
      </c>
      <c r="E610" s="75"/>
      <c r="F610" s="75"/>
      <c r="G610" s="75"/>
      <c r="H610" s="75"/>
      <c r="I610" s="19" t="s">
        <v>28</v>
      </c>
      <c r="J610" s="16">
        <f>0.35*C603</f>
        <v>124.91523608979642</v>
      </c>
      <c r="K610" s="16" t="s">
        <v>8</v>
      </c>
      <c r="L610" s="21"/>
      <c r="M610" s="75"/>
      <c r="N610" s="75"/>
      <c r="O610" s="75"/>
      <c r="P610" s="75"/>
    </row>
    <row r="611" spans="2:16" x14ac:dyDescent="0.3">
      <c r="B611" s="75"/>
      <c r="C611" s="75"/>
      <c r="D611" s="75"/>
      <c r="E611" s="75"/>
      <c r="F611" s="75"/>
      <c r="G611" s="75"/>
      <c r="H611" s="75"/>
      <c r="I611" s="19" t="s">
        <v>27</v>
      </c>
      <c r="J611" s="30">
        <f>C613*1000/J604</f>
        <v>24.507410029498523</v>
      </c>
      <c r="K611" s="16" t="s">
        <v>8</v>
      </c>
      <c r="L611" s="21"/>
      <c r="M611" s="39" t="str">
        <f>IF(J611&lt;J610,"[OK]","[REDISEÑAR]")</f>
        <v>[OK]</v>
      </c>
      <c r="N611" s="41" t="s">
        <v>112</v>
      </c>
      <c r="O611" s="59">
        <f>J611/J610</f>
        <v>0.19619232046186227</v>
      </c>
      <c r="P611" s="75"/>
    </row>
    <row r="612" spans="2:16" x14ac:dyDescent="0.3">
      <c r="B612" s="17" t="s">
        <v>11</v>
      </c>
      <c r="C612" s="75"/>
      <c r="D612" s="75"/>
      <c r="E612" s="75"/>
      <c r="F612" s="75"/>
      <c r="G612" s="75"/>
      <c r="H612" s="75"/>
      <c r="J612" s="75"/>
      <c r="K612" s="75"/>
      <c r="L612" s="75"/>
      <c r="M612" s="75"/>
      <c r="N612" s="75"/>
      <c r="O612" s="75"/>
      <c r="P612" s="75"/>
    </row>
    <row r="613" spans="2:16" x14ac:dyDescent="0.3">
      <c r="B613" s="19" t="str">
        <f>"$N_U$"</f>
        <v>$N_U$</v>
      </c>
      <c r="C613" s="60">
        <f>'EJE 15'!$K$17</f>
        <v>207.7003</v>
      </c>
      <c r="D613" s="16" t="s">
        <v>12</v>
      </c>
      <c r="E613" s="75"/>
      <c r="F613" s="75"/>
      <c r="G613" s="75"/>
      <c r="H613" s="75"/>
      <c r="I613" s="18" t="s">
        <v>54</v>
      </c>
      <c r="J613" s="75"/>
      <c r="K613" s="75"/>
      <c r="L613" s="75"/>
      <c r="M613" s="75"/>
      <c r="N613" s="75"/>
      <c r="O613" s="75"/>
      <c r="P613" s="75"/>
    </row>
    <row r="614" spans="2:16" x14ac:dyDescent="0.3">
      <c r="B614" s="19" t="s">
        <v>14</v>
      </c>
      <c r="C614" s="60">
        <f>'EJE 15'!$L$17</f>
        <v>2.4681999999999999</v>
      </c>
      <c r="D614" s="16" t="s">
        <v>12</v>
      </c>
      <c r="E614" s="75"/>
      <c r="F614" s="75"/>
      <c r="G614" s="75"/>
      <c r="H614" s="75"/>
      <c r="I614" s="19" t="s">
        <v>72</v>
      </c>
      <c r="J614" s="16">
        <f>1.2*C614+C615+1.4*C616</f>
        <v>33.93638</v>
      </c>
      <c r="K614" s="16" t="s">
        <v>12</v>
      </c>
      <c r="L614" s="75"/>
      <c r="M614" s="75" t="s">
        <v>68</v>
      </c>
      <c r="N614" s="75"/>
      <c r="O614" s="75"/>
      <c r="P614" s="75"/>
    </row>
    <row r="615" spans="2:16" x14ac:dyDescent="0.3">
      <c r="B615" s="19" t="s">
        <v>13</v>
      </c>
      <c r="C615" s="60">
        <f>'EJE 15'!$M$17</f>
        <v>5.33E-2</v>
      </c>
      <c r="D615" s="16" t="s">
        <v>12</v>
      </c>
      <c r="E615" s="75"/>
      <c r="F615" s="75"/>
      <c r="G615" s="75"/>
      <c r="H615" s="75"/>
      <c r="I615" s="19" t="s">
        <v>69</v>
      </c>
      <c r="J615" s="16">
        <f>SUM(C614:C616)</f>
        <v>24.6081</v>
      </c>
      <c r="K615" s="16" t="s">
        <v>12</v>
      </c>
      <c r="L615" s="75"/>
      <c r="M615" s="75" t="s">
        <v>70</v>
      </c>
      <c r="N615" s="75"/>
      <c r="O615" s="75"/>
      <c r="P615" s="75"/>
    </row>
    <row r="616" spans="2:16" x14ac:dyDescent="0.3">
      <c r="B616" s="19" t="s">
        <v>15</v>
      </c>
      <c r="C616" s="60">
        <f>'EJE 15'!$N$17</f>
        <v>22.086600000000001</v>
      </c>
      <c r="D616" s="16" t="s">
        <v>12</v>
      </c>
      <c r="E616" s="75"/>
      <c r="F616" s="75"/>
      <c r="G616" s="75"/>
      <c r="H616" s="75"/>
      <c r="I616" s="19" t="s">
        <v>73</v>
      </c>
      <c r="J616" s="16">
        <f>IF(C617=0,J614,C617)</f>
        <v>33.93638</v>
      </c>
      <c r="K616" s="16" t="s">
        <v>12</v>
      </c>
      <c r="L616" s="75"/>
      <c r="M616" s="40" t="s">
        <v>74</v>
      </c>
      <c r="N616" s="75"/>
      <c r="O616" s="75"/>
      <c r="P616" s="75"/>
    </row>
    <row r="617" spans="2:16" x14ac:dyDescent="0.3">
      <c r="B617" s="19" t="s">
        <v>55</v>
      </c>
      <c r="C617" s="16">
        <v>0</v>
      </c>
      <c r="D617" s="16" t="s">
        <v>12</v>
      </c>
      <c r="E617" s="75"/>
      <c r="F617" s="75"/>
      <c r="G617" s="75"/>
      <c r="H617" s="75"/>
      <c r="I617" s="19" t="s">
        <v>71</v>
      </c>
      <c r="J617" s="16">
        <f>IF(C617=0,J615,C617)</f>
        <v>24.6081</v>
      </c>
      <c r="K617" s="16" t="s">
        <v>12</v>
      </c>
      <c r="L617" s="75"/>
      <c r="M617" s="40" t="s">
        <v>75</v>
      </c>
      <c r="N617" s="75"/>
      <c r="O617" s="75"/>
      <c r="P617" s="75"/>
    </row>
    <row r="618" spans="2:16" x14ac:dyDescent="0.3">
      <c r="B618" s="75"/>
      <c r="C618" s="75"/>
      <c r="D618" s="75"/>
      <c r="E618" s="75"/>
      <c r="F618" s="75"/>
      <c r="G618" s="75"/>
      <c r="H618" s="75"/>
      <c r="J618" s="75"/>
      <c r="K618" s="75"/>
      <c r="L618" s="75"/>
      <c r="M618" s="75"/>
      <c r="N618" s="75"/>
      <c r="O618" s="75"/>
      <c r="P618" s="75"/>
    </row>
    <row r="619" spans="2:16" x14ac:dyDescent="0.3">
      <c r="B619" s="33" t="s">
        <v>42</v>
      </c>
      <c r="C619" s="75"/>
      <c r="D619" s="75"/>
      <c r="E619" s="75"/>
      <c r="F619" s="75"/>
      <c r="G619" s="75"/>
      <c r="H619" s="75"/>
      <c r="I619" s="27" t="s">
        <v>76</v>
      </c>
      <c r="J619" s="75"/>
      <c r="K619" s="75"/>
      <c r="L619" s="75"/>
      <c r="M619" s="75"/>
      <c r="N619" s="75"/>
      <c r="O619" s="75"/>
      <c r="P619" s="75"/>
    </row>
    <row r="620" spans="2:16" x14ac:dyDescent="0.3">
      <c r="B620" s="31" t="s">
        <v>41</v>
      </c>
      <c r="C620" s="16">
        <v>10</v>
      </c>
      <c r="D620" s="29" t="s">
        <v>35</v>
      </c>
      <c r="E620" s="75"/>
      <c r="F620" s="75"/>
      <c r="G620" s="75"/>
      <c r="H620" s="75"/>
      <c r="I620" s="19" t="s">
        <v>29</v>
      </c>
      <c r="J620" s="30">
        <f>J617*1000/J604</f>
        <v>2.9036106194690263</v>
      </c>
      <c r="K620" s="29" t="s">
        <v>8</v>
      </c>
      <c r="L620" s="75"/>
      <c r="M620" s="75"/>
      <c r="N620" s="75"/>
      <c r="O620" s="75"/>
      <c r="P620" s="75"/>
    </row>
    <row r="621" spans="2:16" x14ac:dyDescent="0.3">
      <c r="B621" s="31" t="s">
        <v>43</v>
      </c>
      <c r="C621" s="16">
        <v>14</v>
      </c>
      <c r="D621" s="29" t="s">
        <v>5</v>
      </c>
      <c r="E621" s="75"/>
      <c r="F621" s="39" t="str">
        <f>IF(OR(C621&gt;25,C621&lt;10),"[REDISEÑAR]",IF(AND(C621&lt;=J622,C621&lt;=J636),"[OK]","[REDISEÑAR]"))</f>
        <v>[OK]</v>
      </c>
      <c r="G621" s="75"/>
      <c r="H621" s="75"/>
      <c r="I621" s="19" t="s">
        <v>61</v>
      </c>
      <c r="J621" s="37">
        <f>MAX(J620*100*C608/(2*C605),C625)</f>
        <v>3.125</v>
      </c>
      <c r="K621" s="29" t="s">
        <v>32</v>
      </c>
      <c r="L621" s="75"/>
      <c r="M621" s="15"/>
      <c r="N621" s="15"/>
      <c r="O621" s="15"/>
      <c r="P621" s="75"/>
    </row>
    <row r="622" spans="2:16" x14ac:dyDescent="0.3">
      <c r="B622" s="75"/>
      <c r="C622" s="50" t="str">
        <f>"$\phi$"&amp;C620&amp;"@"&amp;C621</f>
        <v>$\phi$10@14</v>
      </c>
      <c r="D622" s="75"/>
      <c r="E622" s="75"/>
      <c r="F622" s="39" t="str">
        <f>IF(OR(J621=C625,J632=C625),"[ÁREA MINIMA]","[]")</f>
        <v>[ÁREA MINIMA]</v>
      </c>
      <c r="G622" s="75"/>
      <c r="H622" s="75"/>
      <c r="I622" s="63" t="s">
        <v>34</v>
      </c>
      <c r="J622" s="63">
        <f>ROUNDDOWN((1/J621)*C624*100,0)</f>
        <v>25</v>
      </c>
      <c r="K622" s="64" t="s">
        <v>5</v>
      </c>
      <c r="L622" s="75"/>
      <c r="M622" s="39" t="str">
        <f>IF(OR(J622&lt;10,J622&gt;25),"[REDISEÑAR]","[OK")</f>
        <v>[OK</v>
      </c>
      <c r="N622" s="41" t="s">
        <v>80</v>
      </c>
      <c r="O622" s="42">
        <f>1/J621*(C620/2)^2*PI()</f>
        <v>25.132741228718345</v>
      </c>
      <c r="P622" s="75" t="str">
        <f>"$\phi$"&amp;C620&amp;"@"&amp;J622</f>
        <v>$\phi$10@25</v>
      </c>
    </row>
    <row r="623" spans="2:16" x14ac:dyDescent="0.3">
      <c r="B623" s="18" t="s">
        <v>52</v>
      </c>
      <c r="C623" s="75"/>
      <c r="D623" s="75"/>
      <c r="E623" s="75"/>
      <c r="F623" s="62" t="str">
        <f>IF(J611&lt;J610,IF(J639&gt;J628,"[OK]","[REDISEÑAR]"),"[REDISEÑAR]")</f>
        <v>[OK]</v>
      </c>
      <c r="G623" s="75"/>
      <c r="H623" s="75"/>
      <c r="I623" s="31" t="s">
        <v>48</v>
      </c>
      <c r="J623" s="30">
        <f>C624*2*IF(C609/C621&gt;=1,C609/C621,0)</f>
        <v>38.035711055962139</v>
      </c>
      <c r="K623" s="29" t="s">
        <v>17</v>
      </c>
      <c r="L623" s="75"/>
      <c r="M623" s="75"/>
      <c r="N623" s="15"/>
      <c r="O623" s="44"/>
      <c r="P623" s="75"/>
    </row>
    <row r="624" spans="2:16" x14ac:dyDescent="0.3">
      <c r="B624" s="31" t="s">
        <v>66</v>
      </c>
      <c r="C624" s="30">
        <f>(C620/(2*10))^2*PI()</f>
        <v>0.78539816339744828</v>
      </c>
      <c r="D624" s="29" t="s">
        <v>17</v>
      </c>
      <c r="E624" s="75"/>
      <c r="F624" s="75"/>
      <c r="G624" s="75"/>
      <c r="H624" s="75"/>
      <c r="I624" s="19" t="s">
        <v>49</v>
      </c>
      <c r="J624" s="34">
        <f>C605*J623/1000</f>
        <v>106.49999095669399</v>
      </c>
      <c r="K624" s="16" t="s">
        <v>12</v>
      </c>
      <c r="L624" s="75"/>
      <c r="M624" s="39" t="str">
        <f>IF(J624&gt;J617,"[OK]","[REDISEÑAR]")</f>
        <v>[OK]</v>
      </c>
      <c r="N624" s="41" t="str">
        <f>IF(O624&gt;0,"Sobrado","Faltan")</f>
        <v>Sobrado</v>
      </c>
      <c r="O624" s="43">
        <f>J624-J617</f>
        <v>81.891890956693999</v>
      </c>
      <c r="P624" s="75"/>
    </row>
    <row r="625" spans="2:16" x14ac:dyDescent="0.3">
      <c r="B625" s="31" t="s">
        <v>78</v>
      </c>
      <c r="C625" s="37">
        <f>2.5/1000*100*C608/2</f>
        <v>3.125</v>
      </c>
      <c r="D625" s="16" t="s">
        <v>17</v>
      </c>
      <c r="E625" s="75"/>
      <c r="F625" s="75"/>
      <c r="G625" s="75"/>
      <c r="H625" s="75"/>
      <c r="J625" s="75"/>
      <c r="K625" s="75"/>
      <c r="L625" s="75"/>
      <c r="M625" s="75"/>
      <c r="N625" s="75"/>
      <c r="O625" s="15"/>
      <c r="P625" s="75"/>
    </row>
    <row r="626" spans="2:16" x14ac:dyDescent="0.3">
      <c r="B626" s="31" t="s">
        <v>114</v>
      </c>
      <c r="C626" s="37">
        <f>C624*100/C621</f>
        <v>5.6099868814103448</v>
      </c>
      <c r="D626" s="29" t="s">
        <v>32</v>
      </c>
      <c r="E626" s="75"/>
      <c r="F626" s="75"/>
      <c r="G626" s="75"/>
      <c r="H626" s="75"/>
      <c r="I626" s="18" t="s">
        <v>77</v>
      </c>
      <c r="J626" s="75"/>
      <c r="K626" s="75"/>
      <c r="L626" s="75"/>
      <c r="M626" s="17" t="s">
        <v>67</v>
      </c>
      <c r="N626" s="75"/>
      <c r="O626" s="75"/>
      <c r="P626" s="75"/>
    </row>
    <row r="627" spans="2:16" x14ac:dyDescent="0.3">
      <c r="B627" s="75"/>
      <c r="C627" s="75"/>
      <c r="D627" s="75"/>
      <c r="E627" s="75"/>
      <c r="F627" s="75"/>
      <c r="G627" s="75"/>
      <c r="H627" s="75"/>
      <c r="I627" s="19" t="s">
        <v>33</v>
      </c>
      <c r="J627" s="16">
        <v>0.6</v>
      </c>
      <c r="K627" s="16" t="s">
        <v>50</v>
      </c>
      <c r="L627" s="75"/>
      <c r="M627" s="19" t="s">
        <v>64</v>
      </c>
      <c r="N627" s="30">
        <f>SQRT(C603*0.0980665)*(1/0.0980665)/1000*J629*0.17</f>
        <v>55.314463281909688</v>
      </c>
      <c r="O627" s="16" t="s">
        <v>12</v>
      </c>
      <c r="P627" s="75"/>
    </row>
    <row r="628" spans="2:16" x14ac:dyDescent="0.3">
      <c r="B628" s="17" t="s">
        <v>37</v>
      </c>
      <c r="C628" s="75"/>
      <c r="D628" s="75"/>
      <c r="E628" s="75"/>
      <c r="F628" s="75"/>
      <c r="G628" s="75"/>
      <c r="H628" s="75"/>
      <c r="I628" s="19" t="s">
        <v>46</v>
      </c>
      <c r="J628" s="34">
        <f>J616/J627</f>
        <v>56.560633333333335</v>
      </c>
      <c r="K628" s="16" t="s">
        <v>12</v>
      </c>
      <c r="L628" s="75"/>
      <c r="M628" s="19" t="s">
        <v>57</v>
      </c>
      <c r="N628" s="16">
        <f>IF(C610/J607&lt;=1.5,0.25,IF(C610/J607&gt;=2,0.17,0.17+(0.25-0.17)/(C610/J607-1.5)*C610/J607))</f>
        <v>0.25</v>
      </c>
      <c r="O628" s="29" t="s">
        <v>50</v>
      </c>
      <c r="P628" s="75"/>
    </row>
    <row r="629" spans="2:16" x14ac:dyDescent="0.3">
      <c r="B629" s="31" t="s">
        <v>115</v>
      </c>
      <c r="C629" s="37">
        <f>O624</f>
        <v>81.891890956693999</v>
      </c>
      <c r="D629" s="29" t="s">
        <v>12</v>
      </c>
      <c r="E629" s="75"/>
      <c r="F629" s="75"/>
      <c r="G629" s="75"/>
      <c r="H629" s="75"/>
      <c r="I629" s="19" t="s">
        <v>36</v>
      </c>
      <c r="J629" s="35">
        <f>J607*C608*0.8-J637</f>
        <v>5393.5714311552301</v>
      </c>
      <c r="K629" s="16" t="s">
        <v>17</v>
      </c>
      <c r="L629" s="75"/>
      <c r="M629" s="19" t="s">
        <v>59</v>
      </c>
      <c r="N629" s="30">
        <f>SQRT(C603*0.0980665)*(1/0.0980665)/1000*J629*N628</f>
        <v>81.344798943984827</v>
      </c>
      <c r="O629" s="29" t="s">
        <v>12</v>
      </c>
      <c r="P629" s="75"/>
    </row>
    <row r="630" spans="2:16" x14ac:dyDescent="0.3">
      <c r="B630" s="31" t="s">
        <v>116</v>
      </c>
      <c r="C630" s="37">
        <f>O639</f>
        <v>126.55381909660912</v>
      </c>
      <c r="D630" s="29" t="s">
        <v>12</v>
      </c>
      <c r="E630" s="75"/>
      <c r="F630" s="75"/>
      <c r="G630" s="75"/>
      <c r="H630" s="75"/>
      <c r="I630" s="19" t="s">
        <v>60</v>
      </c>
      <c r="J630" s="34">
        <f>MIN(N629,N627)</f>
        <v>55.314463281909688</v>
      </c>
      <c r="K630" s="29" t="s">
        <v>12</v>
      </c>
      <c r="L630" s="75"/>
      <c r="M630" s="75"/>
      <c r="N630" s="75"/>
      <c r="O630" s="75"/>
      <c r="P630" s="75"/>
    </row>
    <row r="631" spans="2:16" x14ac:dyDescent="0.3">
      <c r="B631" s="19" t="s">
        <v>117</v>
      </c>
      <c r="C631" s="36">
        <f>C624*2*C609/C621/J604</f>
        <v>4.4879895051282755E-3</v>
      </c>
      <c r="D631" s="16" t="s">
        <v>50</v>
      </c>
      <c r="E631" s="75"/>
      <c r="F631" s="75"/>
      <c r="G631" s="75"/>
      <c r="H631" s="75"/>
      <c r="I631" s="19" t="s">
        <v>39</v>
      </c>
      <c r="J631" s="34">
        <f>J628-J630</f>
        <v>1.2461700514236469</v>
      </c>
      <c r="K631" s="16" t="s">
        <v>12</v>
      </c>
      <c r="L631" s="75"/>
      <c r="M631" s="75"/>
      <c r="N631" s="75"/>
      <c r="O631" s="75"/>
      <c r="P631" s="75"/>
    </row>
    <row r="632" spans="2:16" x14ac:dyDescent="0.3">
      <c r="B632" s="75"/>
      <c r="C632" s="75"/>
      <c r="D632" s="75"/>
      <c r="E632" s="75"/>
      <c r="F632" s="75"/>
      <c r="G632" s="75"/>
      <c r="H632" s="75"/>
      <c r="I632" s="19" t="s">
        <v>61</v>
      </c>
      <c r="J632" s="37">
        <f>MAX(J631/(C604*J607/1000/100)/2,C625)</f>
        <v>3.125</v>
      </c>
      <c r="K632" s="29" t="s">
        <v>32</v>
      </c>
      <c r="L632" s="75"/>
      <c r="M632" s="75"/>
      <c r="N632" s="75"/>
      <c r="O632" s="75"/>
      <c r="P632" s="75"/>
    </row>
    <row r="633" spans="2:16" x14ac:dyDescent="0.3">
      <c r="B633" s="75"/>
      <c r="C633" s="75"/>
      <c r="D633" s="75"/>
      <c r="E633" s="75"/>
      <c r="F633" s="75"/>
      <c r="G633" s="75"/>
      <c r="H633" s="75"/>
      <c r="I633" s="19" t="s">
        <v>65</v>
      </c>
      <c r="J633" s="36">
        <f>J632/C608/100*2</f>
        <v>2.5000000000000001E-3</v>
      </c>
      <c r="K633" s="16" t="s">
        <v>50</v>
      </c>
      <c r="L633" s="75"/>
      <c r="M633" s="75"/>
      <c r="N633" s="75"/>
      <c r="O633" s="75"/>
      <c r="P633" s="75"/>
    </row>
    <row r="634" spans="2:16" x14ac:dyDescent="0.3">
      <c r="B634" s="75"/>
      <c r="C634" s="75"/>
      <c r="D634" s="75"/>
      <c r="E634" s="75"/>
      <c r="F634" s="75"/>
      <c r="G634" s="75"/>
      <c r="H634" s="75"/>
      <c r="I634" s="19" t="s">
        <v>53</v>
      </c>
      <c r="J634" s="16">
        <f>MAX(0.0025,0.0025*0.5*(2.5-C608/(C609*0.8))*(J633-0.0025))</f>
        <v>2.5000000000000001E-3</v>
      </c>
      <c r="K634" s="29" t="s">
        <v>50</v>
      </c>
      <c r="L634" s="75"/>
      <c r="M634" s="39" t="str">
        <f>IF(OR(J633&gt;J634,ABS(J633-J634)&lt;0.0001),"[OK]","[REDISEÑAR]")</f>
        <v>[OK]</v>
      </c>
      <c r="N634" s="75"/>
      <c r="O634" s="75"/>
      <c r="P634" s="75"/>
    </row>
    <row r="635" spans="2:16" x14ac:dyDescent="0.3">
      <c r="B635" s="75"/>
      <c r="C635" s="75"/>
      <c r="D635" s="75"/>
      <c r="E635" s="75"/>
      <c r="F635" s="75"/>
      <c r="G635" s="75"/>
      <c r="H635" s="75"/>
      <c r="I635" s="19" t="s">
        <v>47</v>
      </c>
      <c r="J635" s="34">
        <f>SQRT(C603*0.0980665)*(1/0.0980665)/1000*0.66*0.8*C609*C608</f>
        <v>269.95226518142476</v>
      </c>
      <c r="K635" s="16" t="s">
        <v>12</v>
      </c>
      <c r="L635" s="75"/>
      <c r="M635" s="40" t="s">
        <v>44</v>
      </c>
      <c r="N635" s="75"/>
      <c r="O635" s="15"/>
      <c r="P635" s="75"/>
    </row>
    <row r="636" spans="2:16" x14ac:dyDescent="0.3">
      <c r="B636" s="75"/>
      <c r="C636" s="75"/>
      <c r="D636" s="75"/>
      <c r="E636" s="75"/>
      <c r="F636" s="75"/>
      <c r="G636" s="75"/>
      <c r="H636" s="75"/>
      <c r="I636" s="63" t="s">
        <v>34</v>
      </c>
      <c r="J636" s="63">
        <f>ROUNDDOWN(1/J632*C624*100,0)</f>
        <v>25</v>
      </c>
      <c r="K636" s="64" t="s">
        <v>5</v>
      </c>
      <c r="L636" s="75"/>
      <c r="M636" s="39" t="str">
        <f>IF(OR(J636&lt;10,J636&gt;25),"[REDISEÑAR]","[OK")</f>
        <v>[OK</v>
      </c>
      <c r="N636" s="41" t="s">
        <v>80</v>
      </c>
      <c r="O636" s="42">
        <f>1/J632*(C620/2)^2*PI()</f>
        <v>25.132741228718345</v>
      </c>
      <c r="P636" s="75" t="str">
        <f>"$\phi$"&amp;C620&amp;"@"&amp;J636</f>
        <v>$\phi$10@25</v>
      </c>
    </row>
    <row r="637" spans="2:16" x14ac:dyDescent="0.3">
      <c r="B637" s="75"/>
      <c r="C637" s="75"/>
      <c r="D637" s="75"/>
      <c r="E637" s="75"/>
      <c r="F637" s="75"/>
      <c r="G637" s="75"/>
      <c r="H637" s="75"/>
      <c r="I637" s="31" t="s">
        <v>48</v>
      </c>
      <c r="J637" s="30">
        <f>C624*2*IF(J607/C621&gt;=1,J607/C621,0)</f>
        <v>30.428568844769707</v>
      </c>
      <c r="K637" s="29" t="s">
        <v>17</v>
      </c>
      <c r="L637" s="75"/>
      <c r="M637" s="75"/>
      <c r="N637" s="15"/>
      <c r="O637" s="15"/>
      <c r="P637" s="75"/>
    </row>
    <row r="638" spans="2:16" x14ac:dyDescent="0.3">
      <c r="B638" s="75"/>
      <c r="C638" s="75"/>
      <c r="D638" s="75"/>
      <c r="E638" s="75"/>
      <c r="F638" s="75"/>
      <c r="G638" s="75"/>
      <c r="H638" s="75"/>
      <c r="I638" s="19" t="s">
        <v>81</v>
      </c>
      <c r="J638" s="34">
        <f>MIN(J637*C604/1000,J635)</f>
        <v>127.79998914803276</v>
      </c>
      <c r="K638" s="16" t="s">
        <v>12</v>
      </c>
      <c r="L638" s="75"/>
      <c r="M638" s="40" t="s">
        <v>82</v>
      </c>
      <c r="N638" s="15"/>
      <c r="O638" s="15"/>
      <c r="P638" s="75"/>
    </row>
    <row r="639" spans="2:16" x14ac:dyDescent="0.3">
      <c r="B639" s="75"/>
      <c r="C639" s="75"/>
      <c r="D639" s="75"/>
      <c r="E639" s="75"/>
      <c r="F639" s="75"/>
      <c r="G639" s="75"/>
      <c r="H639" s="75"/>
      <c r="I639" s="19" t="s">
        <v>79</v>
      </c>
      <c r="J639" s="34">
        <f>J638+J630</f>
        <v>183.11445242994245</v>
      </c>
      <c r="K639" s="16" t="s">
        <v>12</v>
      </c>
      <c r="L639" s="75"/>
      <c r="M639" s="39" t="str">
        <f>IF(J639&gt;J628,"[OK]","[REDISEÑAR]")</f>
        <v>[OK]</v>
      </c>
      <c r="N639" s="41" t="str">
        <f>IF(O639&gt;0,"Sobrado","Faltan")</f>
        <v>Sobrado</v>
      </c>
      <c r="O639" s="43">
        <f>J639-J628</f>
        <v>126.55381909660912</v>
      </c>
      <c r="P639" s="75"/>
    </row>
    <row r="640" spans="2:16" x14ac:dyDescent="0.3">
      <c r="B640" s="75"/>
      <c r="C640" s="75"/>
      <c r="D640" s="75"/>
      <c r="E640" s="75"/>
      <c r="F640" s="75"/>
      <c r="G640" s="75"/>
      <c r="H640" s="75"/>
      <c r="J640" s="75"/>
      <c r="K640" s="75"/>
      <c r="L640" s="75"/>
      <c r="M640" s="75"/>
      <c r="N640" s="75"/>
      <c r="O640" s="75"/>
      <c r="P640" s="75"/>
    </row>
    <row r="641" spans="2:16" x14ac:dyDescent="0.3">
      <c r="B641" s="75"/>
      <c r="C641" s="75"/>
      <c r="D641" s="75"/>
      <c r="E641" s="75"/>
      <c r="F641" s="75"/>
      <c r="G641" s="75"/>
      <c r="H641" s="75"/>
      <c r="I641" s="18" t="s">
        <v>45</v>
      </c>
      <c r="J641" s="75"/>
      <c r="K641" s="75"/>
      <c r="L641" s="75"/>
      <c r="M641" s="75"/>
      <c r="N641" s="75"/>
      <c r="O641" s="15"/>
      <c r="P641" s="75"/>
    </row>
    <row r="642" spans="2:16" x14ac:dyDescent="0.3">
      <c r="B642" s="75"/>
      <c r="C642" s="75"/>
      <c r="D642" s="75"/>
      <c r="E642" s="75"/>
      <c r="F642" s="75"/>
      <c r="G642" s="75"/>
      <c r="H642" s="75"/>
      <c r="I642" s="19" t="s">
        <v>40</v>
      </c>
      <c r="J642" s="16">
        <f>J616</f>
        <v>33.93638</v>
      </c>
      <c r="K642" s="16" t="s">
        <v>12</v>
      </c>
      <c r="L642" s="75"/>
      <c r="M642" s="75"/>
      <c r="N642" s="75"/>
      <c r="O642" s="26"/>
      <c r="P642" s="75"/>
    </row>
    <row r="643" spans="2:16" x14ac:dyDescent="0.3">
      <c r="B643" s="75"/>
      <c r="C643" s="75"/>
      <c r="D643" s="75"/>
      <c r="E643" s="75"/>
      <c r="F643" s="75"/>
      <c r="G643" s="75"/>
      <c r="H643" s="75"/>
      <c r="I643" s="19" t="s">
        <v>46</v>
      </c>
      <c r="J643" s="34">
        <f>J628</f>
        <v>56.560633333333335</v>
      </c>
      <c r="K643" s="16" t="s">
        <v>12</v>
      </c>
      <c r="L643" s="75"/>
      <c r="M643" s="75"/>
      <c r="N643" s="75"/>
      <c r="O643" s="75"/>
      <c r="P643" s="75"/>
    </row>
    <row r="644" spans="2:16" x14ac:dyDescent="0.3">
      <c r="B644" s="75"/>
      <c r="C644" s="75"/>
      <c r="D644" s="75"/>
      <c r="E644" s="75"/>
      <c r="F644" s="75"/>
      <c r="G644" s="75"/>
      <c r="H644" s="75"/>
      <c r="I644" s="19" t="s">
        <v>38</v>
      </c>
      <c r="J644" s="34">
        <f>2/3*J629*SQRT(C603*0.0980665)*(1/0.0980665)/1000</f>
        <v>216.91946385062619</v>
      </c>
      <c r="K644" s="16" t="s">
        <v>12</v>
      </c>
      <c r="L644" s="75"/>
      <c r="M644" s="39" t="str">
        <f>IF(J644&gt;J643,"[OK]","[REDISEÑAR]")</f>
        <v>[OK]</v>
      </c>
      <c r="N644" s="41" t="str">
        <f>IF(O644&gt;0,"Sobrado","Faltan")</f>
        <v>Sobrado</v>
      </c>
      <c r="O644" s="43">
        <f>J644-J643</f>
        <v>160.35883051729286</v>
      </c>
      <c r="P644" s="75"/>
    </row>
    <row r="646" spans="2:16" ht="18" x14ac:dyDescent="0.35">
      <c r="B646" s="48" t="str">
        <f>'EJE 15'!$S$18</f>
        <v>EJE 15.C-C1 | PIER F31X | PISO 7</v>
      </c>
      <c r="C646" s="75"/>
      <c r="D646" s="75"/>
      <c r="E646" s="75"/>
      <c r="F646" s="75"/>
      <c r="G646" s="75"/>
      <c r="H646" s="75"/>
      <c r="J646" s="75"/>
      <c r="K646" s="75"/>
      <c r="L646" s="75"/>
      <c r="M646" s="75"/>
      <c r="N646" s="75"/>
      <c r="O646" s="75"/>
      <c r="P646" s="75"/>
    </row>
    <row r="647" spans="2:16" x14ac:dyDescent="0.3">
      <c r="B647" s="75"/>
      <c r="C647" s="75"/>
      <c r="D647" s="75"/>
      <c r="E647" s="75"/>
      <c r="F647" s="75"/>
      <c r="G647" s="75"/>
      <c r="H647" s="75"/>
      <c r="J647" s="75"/>
      <c r="K647" s="75"/>
      <c r="L647" s="75"/>
      <c r="M647" s="75"/>
      <c r="N647" s="75"/>
      <c r="O647" s="75"/>
      <c r="P647" s="75"/>
    </row>
    <row r="648" spans="2:16" x14ac:dyDescent="0.3">
      <c r="B648" s="17" t="s">
        <v>6</v>
      </c>
      <c r="C648" s="75"/>
      <c r="D648" s="75"/>
      <c r="E648" s="75"/>
      <c r="F648" s="75"/>
      <c r="G648" s="75"/>
      <c r="H648" s="75"/>
      <c r="I648" s="18" t="s">
        <v>25</v>
      </c>
      <c r="J648" s="75"/>
      <c r="K648" s="75"/>
      <c r="L648" s="75"/>
      <c r="M648" s="75"/>
      <c r="N648" s="75"/>
      <c r="O648" s="75"/>
      <c r="P648" s="75"/>
    </row>
    <row r="649" spans="2:16" x14ac:dyDescent="0.3">
      <c r="B649" s="19" t="s">
        <v>99</v>
      </c>
      <c r="C649" s="61">
        <f>10.1971621297793*'EJE 15'!$G$18</f>
        <v>356.90067454227551</v>
      </c>
      <c r="D649" s="16" t="s">
        <v>8</v>
      </c>
      <c r="E649" s="75"/>
      <c r="F649" s="75"/>
      <c r="G649" s="75"/>
      <c r="H649" s="75"/>
      <c r="I649" s="19" t="s">
        <v>58</v>
      </c>
      <c r="J649" s="16">
        <f>C656/16</f>
        <v>14.375</v>
      </c>
      <c r="K649" s="16" t="s">
        <v>5</v>
      </c>
      <c r="L649" s="21"/>
      <c r="M649" s="39" t="str">
        <f>IF(J649&lt;C654,"[OK]","[REDISEÑAR]")</f>
        <v>[OK]</v>
      </c>
      <c r="N649" s="75"/>
      <c r="O649" s="75"/>
      <c r="P649" s="75"/>
    </row>
    <row r="650" spans="2:16" x14ac:dyDescent="0.3">
      <c r="B650" s="19" t="s">
        <v>30</v>
      </c>
      <c r="C650" s="16">
        <v>4200</v>
      </c>
      <c r="D650" s="16" t="s">
        <v>8</v>
      </c>
      <c r="E650" s="75"/>
      <c r="F650" s="75"/>
      <c r="G650" s="75"/>
      <c r="H650" s="75"/>
      <c r="I650" s="19" t="s">
        <v>16</v>
      </c>
      <c r="J650" s="16">
        <f>C654*C655</f>
        <v>4800</v>
      </c>
      <c r="K650" s="16" t="s">
        <v>17</v>
      </c>
      <c r="L650" s="21"/>
      <c r="M650" s="75"/>
      <c r="N650" s="75"/>
      <c r="O650" s="75"/>
      <c r="P650" s="75"/>
    </row>
    <row r="651" spans="2:16" x14ac:dyDescent="0.3">
      <c r="B651" s="19" t="s">
        <v>31</v>
      </c>
      <c r="C651" s="16">
        <v>2800</v>
      </c>
      <c r="D651" s="16" t="s">
        <v>8</v>
      </c>
      <c r="E651" s="75"/>
      <c r="F651" s="75"/>
      <c r="G651" s="75"/>
      <c r="H651" s="75"/>
      <c r="I651" s="19" t="s">
        <v>51</v>
      </c>
      <c r="J651" s="16">
        <f>MIN(0.8*C655/5,3*C654,45)</f>
        <v>30.720000000000006</v>
      </c>
      <c r="K651" s="16" t="s">
        <v>5</v>
      </c>
      <c r="L651" s="21"/>
      <c r="M651" s="39" t="str">
        <f>IF(J651&gt;C667,"[OK]","[REDISEÑAR]")</f>
        <v>[OK]</v>
      </c>
      <c r="N651" s="75"/>
      <c r="O651" s="75"/>
      <c r="P651" s="75"/>
    </row>
    <row r="652" spans="2:16" x14ac:dyDescent="0.3">
      <c r="B652" s="75"/>
      <c r="C652" s="75"/>
      <c r="D652" s="75"/>
      <c r="E652" s="75"/>
      <c r="F652" s="75"/>
      <c r="G652" s="75"/>
      <c r="H652" s="75"/>
      <c r="I652" s="19" t="s">
        <v>56</v>
      </c>
      <c r="J652" s="16">
        <f>MIN(0.8*C656/3,3*C655,45)</f>
        <v>45</v>
      </c>
      <c r="K652" s="16" t="s">
        <v>5</v>
      </c>
      <c r="L652" s="21"/>
      <c r="M652" s="39" t="str">
        <f>IF(J652&gt;C667,"[OK]","[REDISEÑAR]")</f>
        <v>[OK]</v>
      </c>
      <c r="N652" s="75"/>
      <c r="O652" s="75"/>
      <c r="P652" s="75"/>
    </row>
    <row r="653" spans="2:16" x14ac:dyDescent="0.3">
      <c r="B653" s="17" t="s">
        <v>3</v>
      </c>
      <c r="C653" s="75"/>
      <c r="D653" s="75"/>
      <c r="E653" s="75"/>
      <c r="F653" s="75"/>
      <c r="G653" s="75"/>
      <c r="H653" s="75"/>
      <c r="I653" s="19" t="s">
        <v>62</v>
      </c>
      <c r="J653" s="16">
        <f>0.8*C655</f>
        <v>153.60000000000002</v>
      </c>
      <c r="K653" s="29" t="s">
        <v>5</v>
      </c>
      <c r="L653" s="75"/>
      <c r="M653" s="75"/>
      <c r="N653" s="75"/>
      <c r="O653" s="75"/>
      <c r="P653" s="75"/>
    </row>
    <row r="654" spans="2:16" x14ac:dyDescent="0.3">
      <c r="B654" s="19" t="str">
        <f>"Espesor del muro (h)"</f>
        <v>Espesor del muro (h)</v>
      </c>
      <c r="C654" s="49">
        <f>'EJE 15'!$H$18</f>
        <v>25</v>
      </c>
      <c r="D654" s="16" t="s">
        <v>5</v>
      </c>
      <c r="E654" s="75"/>
      <c r="F654" s="75"/>
      <c r="G654" s="75"/>
      <c r="H654" s="75"/>
      <c r="J654" s="75"/>
      <c r="K654" s="75"/>
      <c r="L654" s="75"/>
      <c r="M654" s="75"/>
      <c r="N654" s="75"/>
      <c r="O654" s="75"/>
      <c r="P654" s="75"/>
    </row>
    <row r="655" spans="2:16" x14ac:dyDescent="0.3">
      <c r="B655" s="19" t="s">
        <v>63</v>
      </c>
      <c r="C655" s="49">
        <f>'EJE 15'!$I$18</f>
        <v>192</v>
      </c>
      <c r="D655" s="16" t="s">
        <v>5</v>
      </c>
      <c r="E655" s="75"/>
      <c r="F655" s="75"/>
      <c r="G655" s="75"/>
      <c r="H655" s="75"/>
      <c r="I655" s="18" t="s">
        <v>26</v>
      </c>
      <c r="J655" s="75"/>
      <c r="K655" s="75"/>
      <c r="L655" s="75"/>
      <c r="M655" s="75"/>
      <c r="N655" s="75"/>
      <c r="O655" s="75"/>
      <c r="P655" s="75"/>
    </row>
    <row r="656" spans="2:16" x14ac:dyDescent="0.3">
      <c r="B656" s="19" t="s">
        <v>10</v>
      </c>
      <c r="C656" s="49">
        <f>'EJE 15'!$J$18</f>
        <v>230</v>
      </c>
      <c r="D656" s="16" t="s">
        <v>5</v>
      </c>
      <c r="E656" s="75"/>
      <c r="F656" s="75"/>
      <c r="G656" s="75"/>
      <c r="H656" s="75"/>
      <c r="I656" s="19" t="s">
        <v>28</v>
      </c>
      <c r="J656" s="16">
        <f>0.35*C649</f>
        <v>124.91523608979642</v>
      </c>
      <c r="K656" s="16" t="s">
        <v>8</v>
      </c>
      <c r="L656" s="21"/>
      <c r="M656" s="75"/>
      <c r="N656" s="75"/>
      <c r="O656" s="75"/>
      <c r="P656" s="75"/>
    </row>
    <row r="657" spans="2:16" x14ac:dyDescent="0.3">
      <c r="B657" s="75"/>
      <c r="C657" s="75"/>
      <c r="D657" s="75"/>
      <c r="E657" s="75"/>
      <c r="F657" s="75"/>
      <c r="G657" s="75"/>
      <c r="H657" s="75"/>
      <c r="I657" s="19" t="s">
        <v>27</v>
      </c>
      <c r="J657" s="30">
        <f>C659*1000/J650</f>
        <v>26.508624999999999</v>
      </c>
      <c r="K657" s="16" t="s">
        <v>8</v>
      </c>
      <c r="L657" s="21"/>
      <c r="M657" s="39" t="str">
        <f>IF(J657&lt;J656,"[OK]","[REDISEÑAR]")</f>
        <v>[OK]</v>
      </c>
      <c r="N657" s="41" t="s">
        <v>112</v>
      </c>
      <c r="O657" s="59">
        <f>J657/J656</f>
        <v>0.21221290396428535</v>
      </c>
      <c r="P657" s="75"/>
    </row>
    <row r="658" spans="2:16" x14ac:dyDescent="0.3">
      <c r="B658" s="17" t="s">
        <v>11</v>
      </c>
      <c r="C658" s="75"/>
      <c r="D658" s="75"/>
      <c r="E658" s="75"/>
      <c r="F658" s="75"/>
      <c r="G658" s="75"/>
      <c r="H658" s="75"/>
      <c r="J658" s="75"/>
      <c r="K658" s="75"/>
      <c r="L658" s="75"/>
      <c r="M658" s="75"/>
      <c r="N658" s="75"/>
      <c r="O658" s="75"/>
      <c r="P658" s="75"/>
    </row>
    <row r="659" spans="2:16" x14ac:dyDescent="0.3">
      <c r="B659" s="19" t="str">
        <f>"$N_U$"</f>
        <v>$N_U$</v>
      </c>
      <c r="C659" s="60">
        <f>'EJE 15'!$K$18</f>
        <v>127.2414</v>
      </c>
      <c r="D659" s="16" t="s">
        <v>12</v>
      </c>
      <c r="E659" s="75"/>
      <c r="F659" s="75"/>
      <c r="G659" s="75"/>
      <c r="H659" s="75"/>
      <c r="I659" s="18" t="s">
        <v>54</v>
      </c>
      <c r="J659" s="75"/>
      <c r="K659" s="75"/>
      <c r="L659" s="75"/>
      <c r="M659" s="75"/>
      <c r="N659" s="75"/>
      <c r="O659" s="75"/>
      <c r="P659" s="75"/>
    </row>
    <row r="660" spans="2:16" x14ac:dyDescent="0.3">
      <c r="B660" s="19" t="s">
        <v>14</v>
      </c>
      <c r="C660" s="60">
        <f>'EJE 15'!$L$18</f>
        <v>0.4108</v>
      </c>
      <c r="D660" s="16" t="s">
        <v>12</v>
      </c>
      <c r="E660" s="75"/>
      <c r="F660" s="75"/>
      <c r="G660" s="75"/>
      <c r="H660" s="75"/>
      <c r="I660" s="19" t="s">
        <v>72</v>
      </c>
      <c r="J660" s="16">
        <f>1.2*C660+C661+1.4*C662</f>
        <v>8.2571599999999989</v>
      </c>
      <c r="K660" s="16" t="s">
        <v>12</v>
      </c>
      <c r="L660" s="75"/>
      <c r="M660" s="75" t="s">
        <v>68</v>
      </c>
      <c r="N660" s="75"/>
      <c r="O660" s="75"/>
      <c r="P660" s="75"/>
    </row>
    <row r="661" spans="2:16" x14ac:dyDescent="0.3">
      <c r="B661" s="19" t="s">
        <v>13</v>
      </c>
      <c r="C661" s="60">
        <f>'EJE 15'!$M$18</f>
        <v>0.28470000000000001</v>
      </c>
      <c r="D661" s="16" t="s">
        <v>12</v>
      </c>
      <c r="E661" s="75"/>
      <c r="F661" s="75"/>
      <c r="G661" s="75"/>
      <c r="H661" s="75"/>
      <c r="I661" s="19" t="s">
        <v>69</v>
      </c>
      <c r="J661" s="16">
        <f>SUM(C660:C662)</f>
        <v>6.0380000000000003</v>
      </c>
      <c r="K661" s="16" t="s">
        <v>12</v>
      </c>
      <c r="L661" s="75"/>
      <c r="M661" s="75" t="s">
        <v>70</v>
      </c>
      <c r="N661" s="75"/>
      <c r="O661" s="75"/>
      <c r="P661" s="75"/>
    </row>
    <row r="662" spans="2:16" x14ac:dyDescent="0.3">
      <c r="B662" s="19" t="s">
        <v>15</v>
      </c>
      <c r="C662" s="60">
        <f>'EJE 15'!$N$18</f>
        <v>5.3425000000000002</v>
      </c>
      <c r="D662" s="16" t="s">
        <v>12</v>
      </c>
      <c r="E662" s="75"/>
      <c r="F662" s="75"/>
      <c r="G662" s="75"/>
      <c r="H662" s="75"/>
      <c r="I662" s="19" t="s">
        <v>73</v>
      </c>
      <c r="J662" s="16">
        <f>IF(C663=0,J660,C663)</f>
        <v>8.2571599999999989</v>
      </c>
      <c r="K662" s="16" t="s">
        <v>12</v>
      </c>
      <c r="L662" s="75"/>
      <c r="M662" s="40" t="s">
        <v>74</v>
      </c>
      <c r="N662" s="75"/>
      <c r="O662" s="75"/>
      <c r="P662" s="75"/>
    </row>
    <row r="663" spans="2:16" x14ac:dyDescent="0.3">
      <c r="B663" s="19" t="s">
        <v>55</v>
      </c>
      <c r="C663" s="16">
        <v>0</v>
      </c>
      <c r="D663" s="16" t="s">
        <v>12</v>
      </c>
      <c r="E663" s="75"/>
      <c r="F663" s="75"/>
      <c r="G663" s="75"/>
      <c r="H663" s="75"/>
      <c r="I663" s="19" t="s">
        <v>71</v>
      </c>
      <c r="J663" s="16">
        <f>IF(C663=0,J661,C663)</f>
        <v>6.0380000000000003</v>
      </c>
      <c r="K663" s="16" t="s">
        <v>12</v>
      </c>
      <c r="L663" s="75"/>
      <c r="M663" s="40" t="s">
        <v>75</v>
      </c>
      <c r="N663" s="75"/>
      <c r="O663" s="75"/>
      <c r="P663" s="75"/>
    </row>
    <row r="664" spans="2:16" x14ac:dyDescent="0.3">
      <c r="B664" s="75"/>
      <c r="C664" s="75"/>
      <c r="D664" s="75"/>
      <c r="E664" s="75"/>
      <c r="F664" s="75"/>
      <c r="G664" s="75"/>
      <c r="H664" s="75"/>
      <c r="J664" s="75"/>
      <c r="K664" s="75"/>
      <c r="L664" s="75"/>
      <c r="M664" s="75"/>
      <c r="N664" s="75"/>
      <c r="O664" s="75"/>
      <c r="P664" s="75"/>
    </row>
    <row r="665" spans="2:16" x14ac:dyDescent="0.3">
      <c r="B665" s="33" t="s">
        <v>42</v>
      </c>
      <c r="C665" s="75"/>
      <c r="D665" s="75"/>
      <c r="E665" s="75"/>
      <c r="F665" s="75"/>
      <c r="G665" s="75"/>
      <c r="H665" s="75"/>
      <c r="I665" s="27" t="s">
        <v>76</v>
      </c>
      <c r="J665" s="75"/>
      <c r="K665" s="75"/>
      <c r="L665" s="75"/>
      <c r="M665" s="75"/>
      <c r="N665" s="75"/>
      <c r="O665" s="75"/>
      <c r="P665" s="75"/>
    </row>
    <row r="666" spans="2:16" x14ac:dyDescent="0.3">
      <c r="B666" s="31" t="s">
        <v>41</v>
      </c>
      <c r="C666" s="16">
        <v>12</v>
      </c>
      <c r="D666" s="29" t="s">
        <v>35</v>
      </c>
      <c r="E666" s="75"/>
      <c r="F666" s="75"/>
      <c r="G666" s="75"/>
      <c r="H666" s="75"/>
      <c r="I666" s="19" t="s">
        <v>29</v>
      </c>
      <c r="J666" s="30">
        <f>J663*1000/J650</f>
        <v>1.2579166666666666</v>
      </c>
      <c r="K666" s="29" t="s">
        <v>8</v>
      </c>
      <c r="L666" s="75"/>
      <c r="M666" s="75"/>
      <c r="N666" s="75"/>
      <c r="O666" s="75"/>
      <c r="P666" s="75"/>
    </row>
    <row r="667" spans="2:16" x14ac:dyDescent="0.3">
      <c r="B667" s="31" t="s">
        <v>43</v>
      </c>
      <c r="C667" s="16">
        <v>14</v>
      </c>
      <c r="D667" s="29" t="s">
        <v>5</v>
      </c>
      <c r="E667" s="75"/>
      <c r="F667" s="39" t="str">
        <f>IF(OR(C667&gt;25,C667&lt;10),"[REDISEÑAR]",IF(AND(C667&lt;=J668,C667&lt;=J682),"[OK]","[REDISEÑAR]"))</f>
        <v>[OK]</v>
      </c>
      <c r="G667" s="75"/>
      <c r="H667" s="75"/>
      <c r="I667" s="19" t="s">
        <v>61</v>
      </c>
      <c r="J667" s="37">
        <f>MAX(J666*100*C654/(2*C651),C671)</f>
        <v>3.125</v>
      </c>
      <c r="K667" s="29" t="s">
        <v>32</v>
      </c>
      <c r="L667" s="75"/>
      <c r="M667" s="15"/>
      <c r="N667" s="15"/>
      <c r="O667" s="15"/>
      <c r="P667" s="75"/>
    </row>
    <row r="668" spans="2:16" x14ac:dyDescent="0.3">
      <c r="B668" s="75"/>
      <c r="C668" s="50" t="str">
        <f>"$\phi$"&amp;C666&amp;"@"&amp;C667</f>
        <v>$\phi$12@14</v>
      </c>
      <c r="D668" s="75"/>
      <c r="E668" s="75"/>
      <c r="F668" s="39" t="str">
        <f>IF(OR(J667=C671,J678=C671),"[ÁREA MINIMA]","[]")</f>
        <v>[ÁREA MINIMA]</v>
      </c>
      <c r="G668" s="75"/>
      <c r="H668" s="75"/>
      <c r="I668" s="63" t="s">
        <v>34</v>
      </c>
      <c r="J668" s="63">
        <f>ROUNDDOWN((1/J667)*C670*100,0)</f>
        <v>36</v>
      </c>
      <c r="K668" s="64" t="s">
        <v>5</v>
      </c>
      <c r="L668" s="75"/>
      <c r="M668" s="39" t="str">
        <f>IF(OR(J668&lt;10,J668&gt;25),"[REDISEÑAR]","[OK")</f>
        <v>[REDISEÑAR]</v>
      </c>
      <c r="N668" s="41" t="s">
        <v>80</v>
      </c>
      <c r="O668" s="42">
        <f>1/J667*(C666/2)^2*PI()</f>
        <v>36.191147369354418</v>
      </c>
      <c r="P668" s="75" t="str">
        <f>"$\phi$"&amp;C666&amp;"@"&amp;J668</f>
        <v>$\phi$12@36</v>
      </c>
    </row>
    <row r="669" spans="2:16" x14ac:dyDescent="0.3">
      <c r="B669" s="18" t="s">
        <v>52</v>
      </c>
      <c r="C669" s="75"/>
      <c r="D669" s="75"/>
      <c r="E669" s="75"/>
      <c r="F669" s="62" t="str">
        <f>IF(J657&lt;J656,IF(J685&gt;J674,"[OK]","[REDISEÑAR]"),"[REDISEÑAR]")</f>
        <v>[OK]</v>
      </c>
      <c r="G669" s="75"/>
      <c r="H669" s="75"/>
      <c r="I669" s="31" t="s">
        <v>48</v>
      </c>
      <c r="J669" s="30">
        <f>C670*2*IF(C655/C667&gt;=1,C655/C667,0)</f>
        <v>31.020983459446644</v>
      </c>
      <c r="K669" s="29" t="s">
        <v>17</v>
      </c>
      <c r="L669" s="75"/>
      <c r="M669" s="75"/>
      <c r="N669" s="15"/>
      <c r="O669" s="44"/>
      <c r="P669" s="75"/>
    </row>
    <row r="670" spans="2:16" x14ac:dyDescent="0.3">
      <c r="B670" s="31" t="s">
        <v>66</v>
      </c>
      <c r="C670" s="30">
        <f>(C666/(2*10))^2*PI()</f>
        <v>1.1309733552923256</v>
      </c>
      <c r="D670" s="29" t="s">
        <v>17</v>
      </c>
      <c r="E670" s="75"/>
      <c r="F670" s="75"/>
      <c r="G670" s="75"/>
      <c r="H670" s="75"/>
      <c r="I670" s="19" t="s">
        <v>49</v>
      </c>
      <c r="J670" s="34">
        <f>C651*J669/1000</f>
        <v>86.858753686450598</v>
      </c>
      <c r="K670" s="16" t="s">
        <v>12</v>
      </c>
      <c r="L670" s="75"/>
      <c r="M670" s="39" t="str">
        <f>IF(J670&gt;J663,"[OK]","[REDISEÑAR]")</f>
        <v>[OK]</v>
      </c>
      <c r="N670" s="41" t="str">
        <f>IF(O670&gt;0,"Sobrado","Faltan")</f>
        <v>Sobrado</v>
      </c>
      <c r="O670" s="43">
        <f>J670-J663</f>
        <v>80.820753686450601</v>
      </c>
      <c r="P670" s="75"/>
    </row>
    <row r="671" spans="2:16" x14ac:dyDescent="0.3">
      <c r="B671" s="31" t="s">
        <v>78</v>
      </c>
      <c r="C671" s="37">
        <f>2.5/1000*100*C654/2</f>
        <v>3.125</v>
      </c>
      <c r="D671" s="16" t="s">
        <v>17</v>
      </c>
      <c r="E671" s="75"/>
      <c r="F671" s="75"/>
      <c r="G671" s="75"/>
      <c r="H671" s="75"/>
      <c r="J671" s="75"/>
      <c r="K671" s="75"/>
      <c r="L671" s="75"/>
      <c r="M671" s="75"/>
      <c r="N671" s="75"/>
      <c r="O671" s="15"/>
      <c r="P671" s="75"/>
    </row>
    <row r="672" spans="2:16" x14ac:dyDescent="0.3">
      <c r="B672" s="31" t="s">
        <v>114</v>
      </c>
      <c r="C672" s="37">
        <f>C670*100/C667</f>
        <v>8.0783811092308966</v>
      </c>
      <c r="D672" s="29" t="s">
        <v>32</v>
      </c>
      <c r="E672" s="75"/>
      <c r="F672" s="75"/>
      <c r="G672" s="75"/>
      <c r="H672" s="75"/>
      <c r="I672" s="18" t="s">
        <v>77</v>
      </c>
      <c r="J672" s="75"/>
      <c r="K672" s="75"/>
      <c r="L672" s="75"/>
      <c r="M672" s="17" t="s">
        <v>67</v>
      </c>
      <c r="N672" s="75"/>
      <c r="O672" s="75"/>
      <c r="P672" s="75"/>
    </row>
    <row r="673" spans="2:16" x14ac:dyDescent="0.3">
      <c r="B673" s="75"/>
      <c r="C673" s="75"/>
      <c r="D673" s="75"/>
      <c r="E673" s="75"/>
      <c r="F673" s="75"/>
      <c r="G673" s="75"/>
      <c r="H673" s="75"/>
      <c r="I673" s="19" t="s">
        <v>33</v>
      </c>
      <c r="J673" s="16">
        <v>0.6</v>
      </c>
      <c r="K673" s="16" t="s">
        <v>50</v>
      </c>
      <c r="L673" s="75"/>
      <c r="M673" s="19" t="s">
        <v>64</v>
      </c>
      <c r="N673" s="30">
        <f>SQRT(C649*0.0980665)*(1/0.0980665)/1000*J675*0.17</f>
        <v>31.250778100012241</v>
      </c>
      <c r="O673" s="16" t="s">
        <v>12</v>
      </c>
      <c r="P673" s="75"/>
    </row>
    <row r="674" spans="2:16" x14ac:dyDescent="0.3">
      <c r="B674" s="17" t="s">
        <v>37</v>
      </c>
      <c r="C674" s="75"/>
      <c r="D674" s="75"/>
      <c r="E674" s="75"/>
      <c r="F674" s="75"/>
      <c r="G674" s="75"/>
      <c r="H674" s="75"/>
      <c r="I674" s="19" t="s">
        <v>46</v>
      </c>
      <c r="J674" s="34">
        <f>J662/J673</f>
        <v>13.761933333333332</v>
      </c>
      <c r="K674" s="16" t="s">
        <v>12</v>
      </c>
      <c r="L674" s="75"/>
      <c r="M674" s="19" t="s">
        <v>57</v>
      </c>
      <c r="N674" s="16">
        <f>IF(C656/J653&lt;=1.5,0.25,IF(C656/J653&gt;=2,0.17,0.17+(0.25-0.17)/(C656/J653-1.5)*C656/J653))</f>
        <v>0.25</v>
      </c>
      <c r="O674" s="29" t="s">
        <v>50</v>
      </c>
      <c r="P674" s="75"/>
    </row>
    <row r="675" spans="2:16" x14ac:dyDescent="0.3">
      <c r="B675" s="31" t="s">
        <v>115</v>
      </c>
      <c r="C675" s="37">
        <f>O670</f>
        <v>80.820753686450601</v>
      </c>
      <c r="D675" s="29" t="s">
        <v>12</v>
      </c>
      <c r="E675" s="75"/>
      <c r="F675" s="75"/>
      <c r="G675" s="75"/>
      <c r="H675" s="75"/>
      <c r="I675" s="19" t="s">
        <v>36</v>
      </c>
      <c r="J675" s="35">
        <f>J653*C654*0.8-J683</f>
        <v>3047.183213232443</v>
      </c>
      <c r="K675" s="16" t="s">
        <v>17</v>
      </c>
      <c r="L675" s="75"/>
      <c r="M675" s="19" t="s">
        <v>59</v>
      </c>
      <c r="N675" s="30">
        <f>SQRT(C649*0.0980665)*(1/0.0980665)/1000*J675*N674</f>
        <v>45.957026617665058</v>
      </c>
      <c r="O675" s="29" t="s">
        <v>12</v>
      </c>
      <c r="P675" s="75"/>
    </row>
    <row r="676" spans="2:16" x14ac:dyDescent="0.3">
      <c r="B676" s="31" t="s">
        <v>116</v>
      </c>
      <c r="C676" s="37">
        <f>O685</f>
        <v>121.71934919041968</v>
      </c>
      <c r="D676" s="29" t="s">
        <v>12</v>
      </c>
      <c r="E676" s="75"/>
      <c r="F676" s="75"/>
      <c r="G676" s="75"/>
      <c r="H676" s="75"/>
      <c r="I676" s="19" t="s">
        <v>60</v>
      </c>
      <c r="J676" s="34">
        <f>MIN(N675,N673)</f>
        <v>31.250778100012241</v>
      </c>
      <c r="K676" s="29" t="s">
        <v>12</v>
      </c>
      <c r="L676" s="75"/>
      <c r="M676" s="75"/>
      <c r="N676" s="75"/>
      <c r="O676" s="75"/>
      <c r="P676" s="75"/>
    </row>
    <row r="677" spans="2:16" x14ac:dyDescent="0.3">
      <c r="B677" s="19" t="s">
        <v>117</v>
      </c>
      <c r="C677" s="36">
        <f>C670*2*C655/C667/J650</f>
        <v>6.4627048873847183E-3</v>
      </c>
      <c r="D677" s="16" t="s">
        <v>50</v>
      </c>
      <c r="E677" s="75"/>
      <c r="F677" s="75"/>
      <c r="G677" s="75"/>
      <c r="H677" s="75"/>
      <c r="I677" s="19" t="s">
        <v>39</v>
      </c>
      <c r="J677" s="34">
        <f>J674-J676</f>
        <v>-17.488844766678909</v>
      </c>
      <c r="K677" s="16" t="s">
        <v>12</v>
      </c>
      <c r="L677" s="75"/>
      <c r="M677" s="75"/>
      <c r="N677" s="75"/>
      <c r="O677" s="75"/>
      <c r="P677" s="75"/>
    </row>
    <row r="678" spans="2:16" x14ac:dyDescent="0.3">
      <c r="B678" s="75"/>
      <c r="C678" s="75"/>
      <c r="D678" s="75"/>
      <c r="E678" s="75"/>
      <c r="F678" s="75"/>
      <c r="G678" s="75"/>
      <c r="H678" s="75"/>
      <c r="I678" s="19" t="s">
        <v>61</v>
      </c>
      <c r="J678" s="37">
        <f>MAX(J677/(C650*J653/1000/100)/2,C671)</f>
        <v>3.125</v>
      </c>
      <c r="K678" s="29" t="s">
        <v>32</v>
      </c>
      <c r="L678" s="75"/>
      <c r="M678" s="75"/>
      <c r="N678" s="75"/>
      <c r="O678" s="75"/>
      <c r="P678" s="75"/>
    </row>
    <row r="679" spans="2:16" x14ac:dyDescent="0.3">
      <c r="B679" s="75"/>
      <c r="C679" s="75"/>
      <c r="D679" s="75"/>
      <c r="E679" s="75"/>
      <c r="F679" s="75"/>
      <c r="G679" s="75"/>
      <c r="H679" s="75"/>
      <c r="I679" s="19" t="s">
        <v>65</v>
      </c>
      <c r="J679" s="36">
        <f>J678/C654/100*2</f>
        <v>2.5000000000000001E-3</v>
      </c>
      <c r="K679" s="16" t="s">
        <v>50</v>
      </c>
      <c r="L679" s="75"/>
      <c r="M679" s="75"/>
      <c r="N679" s="75"/>
      <c r="O679" s="75"/>
      <c r="P679" s="75"/>
    </row>
    <row r="680" spans="2:16" x14ac:dyDescent="0.3">
      <c r="B680" s="75"/>
      <c r="C680" s="75"/>
      <c r="D680" s="75"/>
      <c r="E680" s="75"/>
      <c r="F680" s="75"/>
      <c r="G680" s="75"/>
      <c r="H680" s="75"/>
      <c r="I680" s="19" t="s">
        <v>53</v>
      </c>
      <c r="J680" s="16">
        <f>MAX(0.0025,0.0025*0.5*(2.5-C654/(C655*0.8))*(J679-0.0025))</f>
        <v>2.5000000000000001E-3</v>
      </c>
      <c r="K680" s="29" t="s">
        <v>50</v>
      </c>
      <c r="L680" s="75"/>
      <c r="M680" s="39" t="str">
        <f>IF(OR(J679&gt;J680,ABS(J679-J680)&lt;0.0001),"[OK]","[REDISEÑAR]")</f>
        <v>[OK]</v>
      </c>
      <c r="N680" s="75"/>
      <c r="O680" s="75"/>
      <c r="P680" s="75"/>
    </row>
    <row r="681" spans="2:16" x14ac:dyDescent="0.3">
      <c r="B681" s="75"/>
      <c r="C681" s="75"/>
      <c r="D681" s="75"/>
      <c r="E681" s="75"/>
      <c r="F681" s="75"/>
      <c r="G681" s="75"/>
      <c r="H681" s="75"/>
      <c r="I681" s="19" t="s">
        <v>47</v>
      </c>
      <c r="J681" s="34">
        <f>SQRT(C649*0.0980665)*(1/0.0980665)/1000*0.66*0.8*C655*C654</f>
        <v>152.89331833284234</v>
      </c>
      <c r="K681" s="16" t="s">
        <v>12</v>
      </c>
      <c r="L681" s="75"/>
      <c r="M681" s="40" t="s">
        <v>44</v>
      </c>
      <c r="N681" s="75"/>
      <c r="O681" s="15"/>
      <c r="P681" s="75"/>
    </row>
    <row r="682" spans="2:16" x14ac:dyDescent="0.3">
      <c r="B682" s="75"/>
      <c r="C682" s="75"/>
      <c r="D682" s="75"/>
      <c r="E682" s="75"/>
      <c r="F682" s="75"/>
      <c r="G682" s="75"/>
      <c r="H682" s="75"/>
      <c r="I682" s="63" t="s">
        <v>34</v>
      </c>
      <c r="J682" s="63">
        <f>ROUNDDOWN(1/J678*C670*100,0)</f>
        <v>36</v>
      </c>
      <c r="K682" s="64" t="s">
        <v>5</v>
      </c>
      <c r="L682" s="75"/>
      <c r="M682" s="39" t="str">
        <f>IF(OR(J682&lt;10,J682&gt;25),"[REDISEÑAR]","[OK")</f>
        <v>[REDISEÑAR]</v>
      </c>
      <c r="N682" s="41" t="s">
        <v>80</v>
      </c>
      <c r="O682" s="42">
        <f>1/J678*(C666/2)^2*PI()</f>
        <v>36.191147369354418</v>
      </c>
      <c r="P682" s="75" t="str">
        <f>"$\phi$"&amp;C666&amp;"@"&amp;J682</f>
        <v>$\phi$12@36</v>
      </c>
    </row>
    <row r="683" spans="2:16" x14ac:dyDescent="0.3">
      <c r="B683" s="75"/>
      <c r="C683" s="75"/>
      <c r="D683" s="75"/>
      <c r="E683" s="75"/>
      <c r="F683" s="75"/>
      <c r="G683" s="75"/>
      <c r="H683" s="75"/>
      <c r="I683" s="31" t="s">
        <v>48</v>
      </c>
      <c r="J683" s="30">
        <f>C670*2*IF(J653/C667&gt;=1,J653/C667,0)</f>
        <v>24.816786767557321</v>
      </c>
      <c r="K683" s="29" t="s">
        <v>17</v>
      </c>
      <c r="L683" s="75"/>
      <c r="M683" s="75"/>
      <c r="N683" s="15"/>
      <c r="O683" s="15"/>
      <c r="P683" s="75"/>
    </row>
    <row r="684" spans="2:16" x14ac:dyDescent="0.3">
      <c r="B684" s="75"/>
      <c r="C684" s="75"/>
      <c r="D684" s="75"/>
      <c r="E684" s="75"/>
      <c r="F684" s="75"/>
      <c r="G684" s="75"/>
      <c r="H684" s="75"/>
      <c r="I684" s="19" t="s">
        <v>81</v>
      </c>
      <c r="J684" s="34">
        <f>MIN(J683*C650/1000,J681)</f>
        <v>104.23050442374075</v>
      </c>
      <c r="K684" s="16" t="s">
        <v>12</v>
      </c>
      <c r="L684" s="75"/>
      <c r="M684" s="40" t="s">
        <v>82</v>
      </c>
      <c r="N684" s="15"/>
      <c r="O684" s="15"/>
      <c r="P684" s="75"/>
    </row>
    <row r="685" spans="2:16" x14ac:dyDescent="0.3">
      <c r="B685" s="75"/>
      <c r="C685" s="75"/>
      <c r="D685" s="75"/>
      <c r="E685" s="75"/>
      <c r="F685" s="75"/>
      <c r="G685" s="75"/>
      <c r="H685" s="75"/>
      <c r="I685" s="19" t="s">
        <v>79</v>
      </c>
      <c r="J685" s="34">
        <f>J684+J676</f>
        <v>135.48128252375301</v>
      </c>
      <c r="K685" s="16" t="s">
        <v>12</v>
      </c>
      <c r="L685" s="75"/>
      <c r="M685" s="39" t="str">
        <f>IF(J685&gt;J674,"[OK]","[REDISEÑAR]")</f>
        <v>[OK]</v>
      </c>
      <c r="N685" s="41" t="str">
        <f>IF(O685&gt;0,"Sobrado","Faltan")</f>
        <v>Sobrado</v>
      </c>
      <c r="O685" s="43">
        <f>J685-J674</f>
        <v>121.71934919041968</v>
      </c>
      <c r="P685" s="75"/>
    </row>
    <row r="686" spans="2:16" x14ac:dyDescent="0.3">
      <c r="B686" s="75"/>
      <c r="C686" s="75"/>
      <c r="D686" s="75"/>
      <c r="E686" s="75"/>
      <c r="F686" s="75"/>
      <c r="G686" s="75"/>
      <c r="H686" s="75"/>
      <c r="J686" s="75"/>
      <c r="K686" s="75"/>
      <c r="L686" s="75"/>
      <c r="M686" s="75"/>
      <c r="N686" s="75"/>
      <c r="O686" s="75"/>
      <c r="P686" s="75"/>
    </row>
    <row r="687" spans="2:16" x14ac:dyDescent="0.3">
      <c r="B687" s="75"/>
      <c r="C687" s="75"/>
      <c r="D687" s="75"/>
      <c r="E687" s="75"/>
      <c r="F687" s="75"/>
      <c r="G687" s="75"/>
      <c r="H687" s="75"/>
      <c r="I687" s="18" t="s">
        <v>45</v>
      </c>
      <c r="J687" s="75"/>
      <c r="K687" s="75"/>
      <c r="L687" s="75"/>
      <c r="M687" s="75"/>
      <c r="N687" s="75"/>
      <c r="O687" s="15"/>
      <c r="P687" s="75"/>
    </row>
    <row r="688" spans="2:16" x14ac:dyDescent="0.3">
      <c r="B688" s="75"/>
      <c r="C688" s="75"/>
      <c r="D688" s="75"/>
      <c r="E688" s="75"/>
      <c r="F688" s="75"/>
      <c r="G688" s="75"/>
      <c r="H688" s="75"/>
      <c r="I688" s="19" t="s">
        <v>40</v>
      </c>
      <c r="J688" s="16">
        <f>J662</f>
        <v>8.2571599999999989</v>
      </c>
      <c r="K688" s="16" t="s">
        <v>12</v>
      </c>
      <c r="L688" s="75"/>
      <c r="M688" s="75"/>
      <c r="N688" s="75"/>
      <c r="O688" s="26"/>
      <c r="P688" s="75"/>
    </row>
    <row r="689" spans="2:16" x14ac:dyDescent="0.3">
      <c r="B689" s="75"/>
      <c r="C689" s="75"/>
      <c r="D689" s="75"/>
      <c r="E689" s="75"/>
      <c r="F689" s="75"/>
      <c r="G689" s="75"/>
      <c r="H689" s="75"/>
      <c r="I689" s="19" t="s">
        <v>46</v>
      </c>
      <c r="J689" s="34">
        <f>J674</f>
        <v>13.761933333333332</v>
      </c>
      <c r="K689" s="16" t="s">
        <v>12</v>
      </c>
      <c r="L689" s="75"/>
      <c r="M689" s="75"/>
      <c r="N689" s="75"/>
      <c r="O689" s="75"/>
      <c r="P689" s="75"/>
    </row>
    <row r="690" spans="2:16" x14ac:dyDescent="0.3">
      <c r="B690" s="75"/>
      <c r="C690" s="75"/>
      <c r="D690" s="75"/>
      <c r="E690" s="75"/>
      <c r="F690" s="75"/>
      <c r="G690" s="75"/>
      <c r="H690" s="75"/>
      <c r="I690" s="19" t="s">
        <v>38</v>
      </c>
      <c r="J690" s="34">
        <f>2/3*J675*SQRT(C649*0.0980665)*(1/0.0980665)/1000</f>
        <v>122.55207098044013</v>
      </c>
      <c r="K690" s="16" t="s">
        <v>12</v>
      </c>
      <c r="L690" s="75"/>
      <c r="M690" s="39" t="str">
        <f>IF(J690&gt;J689,"[OK]","[REDISEÑAR]")</f>
        <v>[OK]</v>
      </c>
      <c r="N690" s="41" t="str">
        <f>IF(O690&gt;0,"Sobrado","Faltan")</f>
        <v>Sobrado</v>
      </c>
      <c r="O690" s="43">
        <f>J690-J689</f>
        <v>108.7901376471068</v>
      </c>
      <c r="P690" s="75"/>
    </row>
    <row r="692" spans="2:16" ht="18" x14ac:dyDescent="0.35">
      <c r="B692" s="48" t="str">
        <f>'EJE 15'!$S$19</f>
        <v>EJE 15.G-L | PIER F33X | PISO 7</v>
      </c>
      <c r="C692" s="75"/>
      <c r="D692" s="75"/>
      <c r="E692" s="75"/>
      <c r="F692" s="75"/>
      <c r="G692" s="75"/>
      <c r="H692" s="75"/>
      <c r="J692" s="75"/>
      <c r="K692" s="75"/>
      <c r="L692" s="75"/>
      <c r="M692" s="75"/>
      <c r="N692" s="75"/>
      <c r="O692" s="75"/>
      <c r="P692" s="75"/>
    </row>
    <row r="693" spans="2:16" x14ac:dyDescent="0.3">
      <c r="B693" s="75"/>
      <c r="C693" s="75"/>
      <c r="D693" s="75"/>
      <c r="E693" s="75"/>
      <c r="F693" s="75"/>
      <c r="G693" s="75"/>
      <c r="H693" s="75"/>
      <c r="J693" s="75"/>
      <c r="K693" s="75"/>
      <c r="L693" s="75"/>
      <c r="M693" s="75"/>
      <c r="N693" s="75"/>
      <c r="O693" s="75"/>
      <c r="P693" s="75"/>
    </row>
    <row r="694" spans="2:16" x14ac:dyDescent="0.3">
      <c r="B694" s="17" t="s">
        <v>6</v>
      </c>
      <c r="C694" s="75"/>
      <c r="D694" s="75"/>
      <c r="E694" s="75"/>
      <c r="F694" s="75"/>
      <c r="G694" s="75"/>
      <c r="H694" s="75"/>
      <c r="I694" s="18" t="s">
        <v>25</v>
      </c>
      <c r="J694" s="75"/>
      <c r="K694" s="75"/>
      <c r="L694" s="75"/>
      <c r="M694" s="75"/>
      <c r="N694" s="75"/>
      <c r="O694" s="75"/>
      <c r="P694" s="75"/>
    </row>
    <row r="695" spans="2:16" x14ac:dyDescent="0.3">
      <c r="B695" s="19" t="s">
        <v>99</v>
      </c>
      <c r="C695" s="61">
        <f>10.1971621297793*'EJE 15'!$G$19</f>
        <v>356.90067454227551</v>
      </c>
      <c r="D695" s="16" t="s">
        <v>8</v>
      </c>
      <c r="E695" s="75"/>
      <c r="F695" s="75"/>
      <c r="G695" s="75"/>
      <c r="H695" s="75"/>
      <c r="I695" s="19" t="s">
        <v>58</v>
      </c>
      <c r="J695" s="16">
        <f>C702/16</f>
        <v>14.375</v>
      </c>
      <c r="K695" s="16" t="s">
        <v>5</v>
      </c>
      <c r="L695" s="21"/>
      <c r="M695" s="39" t="str">
        <f>IF(J695&lt;C700,"[OK]","[REDISEÑAR]")</f>
        <v>[OK]</v>
      </c>
      <c r="N695" s="75"/>
      <c r="O695" s="75"/>
      <c r="P695" s="75"/>
    </row>
    <row r="696" spans="2:16" x14ac:dyDescent="0.3">
      <c r="B696" s="19" t="s">
        <v>30</v>
      </c>
      <c r="C696" s="16">
        <v>4200</v>
      </c>
      <c r="D696" s="16" t="s">
        <v>8</v>
      </c>
      <c r="E696" s="75"/>
      <c r="F696" s="75"/>
      <c r="G696" s="75"/>
      <c r="H696" s="75"/>
      <c r="I696" s="19" t="s">
        <v>16</v>
      </c>
      <c r="J696" s="16">
        <f>C700*C701</f>
        <v>8475</v>
      </c>
      <c r="K696" s="16" t="s">
        <v>17</v>
      </c>
      <c r="L696" s="21"/>
      <c r="M696" s="75"/>
      <c r="N696" s="75"/>
      <c r="O696" s="75"/>
      <c r="P696" s="75"/>
    </row>
    <row r="697" spans="2:16" x14ac:dyDescent="0.3">
      <c r="B697" s="19" t="s">
        <v>31</v>
      </c>
      <c r="C697" s="16">
        <v>2800</v>
      </c>
      <c r="D697" s="16" t="s">
        <v>8</v>
      </c>
      <c r="E697" s="75"/>
      <c r="F697" s="75"/>
      <c r="G697" s="75"/>
      <c r="H697" s="75"/>
      <c r="I697" s="19" t="s">
        <v>51</v>
      </c>
      <c r="J697" s="16">
        <f>MIN(0.8*C701/5,3*C700,45)</f>
        <v>45</v>
      </c>
      <c r="K697" s="16" t="s">
        <v>5</v>
      </c>
      <c r="L697" s="21"/>
      <c r="M697" s="39" t="str">
        <f>IF(J697&gt;C713,"[OK]","[REDISEÑAR]")</f>
        <v>[OK]</v>
      </c>
      <c r="N697" s="75"/>
      <c r="O697" s="75"/>
      <c r="P697" s="75"/>
    </row>
    <row r="698" spans="2:16" x14ac:dyDescent="0.3">
      <c r="B698" s="75"/>
      <c r="C698" s="75"/>
      <c r="D698" s="75"/>
      <c r="E698" s="75"/>
      <c r="F698" s="75"/>
      <c r="G698" s="75"/>
      <c r="H698" s="75"/>
      <c r="I698" s="19" t="s">
        <v>56</v>
      </c>
      <c r="J698" s="16">
        <f>MIN(0.8*C702/3,3*C701,45)</f>
        <v>45</v>
      </c>
      <c r="K698" s="16" t="s">
        <v>5</v>
      </c>
      <c r="L698" s="21"/>
      <c r="M698" s="39" t="str">
        <f>IF(J698&gt;C713,"[OK]","[REDISEÑAR]")</f>
        <v>[OK]</v>
      </c>
      <c r="N698" s="75"/>
      <c r="O698" s="75"/>
      <c r="P698" s="75"/>
    </row>
    <row r="699" spans="2:16" x14ac:dyDescent="0.3">
      <c r="B699" s="17" t="s">
        <v>3</v>
      </c>
      <c r="C699" s="75"/>
      <c r="D699" s="75"/>
      <c r="E699" s="75"/>
      <c r="F699" s="75"/>
      <c r="G699" s="75"/>
      <c r="H699" s="75"/>
      <c r="I699" s="19" t="s">
        <v>62</v>
      </c>
      <c r="J699" s="16">
        <f>0.8*C701</f>
        <v>271.2</v>
      </c>
      <c r="K699" s="29" t="s">
        <v>5</v>
      </c>
      <c r="L699" s="75"/>
      <c r="M699" s="75"/>
      <c r="N699" s="75"/>
      <c r="O699" s="75"/>
      <c r="P699" s="75"/>
    </row>
    <row r="700" spans="2:16" x14ac:dyDescent="0.3">
      <c r="B700" s="19" t="str">
        <f>"Espesor del muro (h)"</f>
        <v>Espesor del muro (h)</v>
      </c>
      <c r="C700" s="49">
        <f>'EJE 15'!$H$19</f>
        <v>25</v>
      </c>
      <c r="D700" s="16" t="s">
        <v>5</v>
      </c>
      <c r="E700" s="75"/>
      <c r="F700" s="75"/>
      <c r="G700" s="75"/>
      <c r="H700" s="75"/>
      <c r="J700" s="75"/>
      <c r="K700" s="75"/>
      <c r="L700" s="75"/>
      <c r="M700" s="75"/>
      <c r="N700" s="75"/>
      <c r="O700" s="75"/>
      <c r="P700" s="75"/>
    </row>
    <row r="701" spans="2:16" x14ac:dyDescent="0.3">
      <c r="B701" s="19" t="s">
        <v>63</v>
      </c>
      <c r="C701" s="49">
        <f>'EJE 15'!$I$19</f>
        <v>339</v>
      </c>
      <c r="D701" s="16" t="s">
        <v>5</v>
      </c>
      <c r="E701" s="75"/>
      <c r="F701" s="75"/>
      <c r="G701" s="75"/>
      <c r="H701" s="75"/>
      <c r="I701" s="18" t="s">
        <v>26</v>
      </c>
      <c r="J701" s="75"/>
      <c r="K701" s="75"/>
      <c r="L701" s="75"/>
      <c r="M701" s="75"/>
      <c r="N701" s="75"/>
      <c r="O701" s="75"/>
      <c r="P701" s="75"/>
    </row>
    <row r="702" spans="2:16" x14ac:dyDescent="0.3">
      <c r="B702" s="19" t="s">
        <v>10</v>
      </c>
      <c r="C702" s="49">
        <f>'EJE 15'!$J$19</f>
        <v>230</v>
      </c>
      <c r="D702" s="16" t="s">
        <v>5</v>
      </c>
      <c r="E702" s="75"/>
      <c r="F702" s="75"/>
      <c r="G702" s="75"/>
      <c r="H702" s="75"/>
      <c r="I702" s="19" t="s">
        <v>28</v>
      </c>
      <c r="J702" s="16">
        <f>0.35*C695</f>
        <v>124.91523608979642</v>
      </c>
      <c r="K702" s="16" t="s">
        <v>8</v>
      </c>
      <c r="L702" s="21"/>
      <c r="M702" s="75"/>
      <c r="N702" s="75"/>
      <c r="O702" s="75"/>
      <c r="P702" s="75"/>
    </row>
    <row r="703" spans="2:16" x14ac:dyDescent="0.3">
      <c r="B703" s="75"/>
      <c r="C703" s="75"/>
      <c r="D703" s="75"/>
      <c r="E703" s="75"/>
      <c r="F703" s="75"/>
      <c r="G703" s="75"/>
      <c r="H703" s="75"/>
      <c r="I703" s="19" t="s">
        <v>27</v>
      </c>
      <c r="J703" s="30">
        <f>C705*1000/J696</f>
        <v>23.119929203539822</v>
      </c>
      <c r="K703" s="16" t="s">
        <v>8</v>
      </c>
      <c r="L703" s="21"/>
      <c r="M703" s="39" t="str">
        <f>IF(J703&lt;J702,"[OK]","[REDISEÑAR]")</f>
        <v>[OK]</v>
      </c>
      <c r="N703" s="41" t="s">
        <v>112</v>
      </c>
      <c r="O703" s="59">
        <f>J703/J702</f>
        <v>0.1850849418154232</v>
      </c>
      <c r="P703" s="75"/>
    </row>
    <row r="704" spans="2:16" x14ac:dyDescent="0.3">
      <c r="B704" s="17" t="s">
        <v>11</v>
      </c>
      <c r="C704" s="75"/>
      <c r="D704" s="75"/>
      <c r="E704" s="75"/>
      <c r="F704" s="75"/>
      <c r="G704" s="75"/>
      <c r="H704" s="75"/>
      <c r="J704" s="75"/>
      <c r="K704" s="75"/>
      <c r="L704" s="75"/>
      <c r="M704" s="75"/>
      <c r="N704" s="75"/>
      <c r="O704" s="75"/>
      <c r="P704" s="75"/>
    </row>
    <row r="705" spans="2:16" x14ac:dyDescent="0.3">
      <c r="B705" s="19" t="str">
        <f>"$N_U$"</f>
        <v>$N_U$</v>
      </c>
      <c r="C705" s="60">
        <f>'EJE 15'!$K$19</f>
        <v>195.94139999999999</v>
      </c>
      <c r="D705" s="16" t="s">
        <v>12</v>
      </c>
      <c r="E705" s="75"/>
      <c r="F705" s="75"/>
      <c r="G705" s="75"/>
      <c r="H705" s="75"/>
      <c r="I705" s="18" t="s">
        <v>54</v>
      </c>
      <c r="J705" s="75"/>
      <c r="K705" s="75"/>
      <c r="L705" s="75"/>
      <c r="M705" s="75"/>
      <c r="N705" s="75"/>
      <c r="O705" s="75"/>
      <c r="P705" s="75"/>
    </row>
    <row r="706" spans="2:16" x14ac:dyDescent="0.3">
      <c r="B706" s="19" t="s">
        <v>14</v>
      </c>
      <c r="C706" s="60">
        <f>'EJE 15'!$L$19</f>
        <v>2.6036000000000001</v>
      </c>
      <c r="D706" s="16" t="s">
        <v>12</v>
      </c>
      <c r="E706" s="75"/>
      <c r="F706" s="75"/>
      <c r="G706" s="75"/>
      <c r="H706" s="75"/>
      <c r="I706" s="19" t="s">
        <v>72</v>
      </c>
      <c r="J706" s="16">
        <f>1.2*C706+C707+1.4*C708</f>
        <v>31.259559999999997</v>
      </c>
      <c r="K706" s="16" t="s">
        <v>12</v>
      </c>
      <c r="L706" s="75"/>
      <c r="M706" s="75" t="s">
        <v>68</v>
      </c>
      <c r="N706" s="75"/>
      <c r="O706" s="75"/>
      <c r="P706" s="75"/>
    </row>
    <row r="707" spans="2:16" x14ac:dyDescent="0.3">
      <c r="B707" s="19" t="s">
        <v>13</v>
      </c>
      <c r="C707" s="60">
        <f>'EJE 15'!$M$19</f>
        <v>4.48E-2</v>
      </c>
      <c r="D707" s="16" t="s">
        <v>12</v>
      </c>
      <c r="E707" s="75"/>
      <c r="F707" s="75"/>
      <c r="G707" s="75"/>
      <c r="H707" s="75"/>
      <c r="I707" s="19" t="s">
        <v>69</v>
      </c>
      <c r="J707" s="16">
        <f>SUM(C706:C708)</f>
        <v>22.712999999999997</v>
      </c>
      <c r="K707" s="16" t="s">
        <v>12</v>
      </c>
      <c r="L707" s="75"/>
      <c r="M707" s="75" t="s">
        <v>70</v>
      </c>
      <c r="N707" s="75"/>
      <c r="O707" s="75"/>
      <c r="P707" s="75"/>
    </row>
    <row r="708" spans="2:16" x14ac:dyDescent="0.3">
      <c r="B708" s="19" t="s">
        <v>15</v>
      </c>
      <c r="C708" s="60">
        <f>'EJE 15'!$N$19</f>
        <v>20.064599999999999</v>
      </c>
      <c r="D708" s="16" t="s">
        <v>12</v>
      </c>
      <c r="E708" s="75"/>
      <c r="F708" s="75"/>
      <c r="G708" s="75"/>
      <c r="H708" s="75"/>
      <c r="I708" s="19" t="s">
        <v>73</v>
      </c>
      <c r="J708" s="16">
        <f>IF(C709=0,J706,C709)</f>
        <v>31.259559999999997</v>
      </c>
      <c r="K708" s="16" t="s">
        <v>12</v>
      </c>
      <c r="L708" s="75"/>
      <c r="M708" s="40" t="s">
        <v>74</v>
      </c>
      <c r="N708" s="75"/>
      <c r="O708" s="75"/>
      <c r="P708" s="75"/>
    </row>
    <row r="709" spans="2:16" x14ac:dyDescent="0.3">
      <c r="B709" s="19" t="s">
        <v>55</v>
      </c>
      <c r="C709" s="16">
        <v>0</v>
      </c>
      <c r="D709" s="16" t="s">
        <v>12</v>
      </c>
      <c r="E709" s="75"/>
      <c r="F709" s="75"/>
      <c r="G709" s="75"/>
      <c r="H709" s="75"/>
      <c r="I709" s="19" t="s">
        <v>71</v>
      </c>
      <c r="J709" s="16">
        <f>IF(C709=0,J707,C709)</f>
        <v>22.712999999999997</v>
      </c>
      <c r="K709" s="16" t="s">
        <v>12</v>
      </c>
      <c r="L709" s="75"/>
      <c r="M709" s="40" t="s">
        <v>75</v>
      </c>
      <c r="N709" s="75"/>
      <c r="O709" s="75"/>
      <c r="P709" s="75"/>
    </row>
    <row r="710" spans="2:16" x14ac:dyDescent="0.3">
      <c r="B710" s="75"/>
      <c r="C710" s="75"/>
      <c r="D710" s="75"/>
      <c r="E710" s="75"/>
      <c r="F710" s="75"/>
      <c r="G710" s="75"/>
      <c r="H710" s="75"/>
      <c r="J710" s="75"/>
      <c r="K710" s="75"/>
      <c r="L710" s="75"/>
      <c r="M710" s="75"/>
      <c r="N710" s="75"/>
      <c r="O710" s="75"/>
      <c r="P710" s="75"/>
    </row>
    <row r="711" spans="2:16" x14ac:dyDescent="0.3">
      <c r="B711" s="33" t="s">
        <v>42</v>
      </c>
      <c r="C711" s="75"/>
      <c r="D711" s="75"/>
      <c r="E711" s="75"/>
      <c r="F711" s="75"/>
      <c r="G711" s="75"/>
      <c r="H711" s="75"/>
      <c r="I711" s="27" t="s">
        <v>76</v>
      </c>
      <c r="J711" s="75"/>
      <c r="K711" s="75"/>
      <c r="L711" s="75"/>
      <c r="M711" s="75"/>
      <c r="N711" s="75"/>
      <c r="O711" s="75"/>
      <c r="P711" s="75"/>
    </row>
    <row r="712" spans="2:16" x14ac:dyDescent="0.3">
      <c r="B712" s="31" t="s">
        <v>41</v>
      </c>
      <c r="C712" s="16">
        <v>10</v>
      </c>
      <c r="D712" s="29" t="s">
        <v>35</v>
      </c>
      <c r="E712" s="75"/>
      <c r="F712" s="75"/>
      <c r="G712" s="75"/>
      <c r="H712" s="75"/>
      <c r="I712" s="19" t="s">
        <v>29</v>
      </c>
      <c r="J712" s="30">
        <f>J709*1000/J696</f>
        <v>2.6799999999999997</v>
      </c>
      <c r="K712" s="29" t="s">
        <v>8</v>
      </c>
      <c r="L712" s="75"/>
      <c r="M712" s="75"/>
      <c r="N712" s="75"/>
      <c r="O712" s="75"/>
      <c r="P712" s="75"/>
    </row>
    <row r="713" spans="2:16" x14ac:dyDescent="0.3">
      <c r="B713" s="31" t="s">
        <v>43</v>
      </c>
      <c r="C713" s="16">
        <v>14</v>
      </c>
      <c r="D713" s="29" t="s">
        <v>5</v>
      </c>
      <c r="E713" s="75"/>
      <c r="F713" s="39" t="str">
        <f>IF(OR(C713&gt;25,C713&lt;10),"[REDISEÑAR]",IF(AND(C713&lt;=J714,C713&lt;=J728),"[OK]","[REDISEÑAR]"))</f>
        <v>[OK]</v>
      </c>
      <c r="G713" s="75"/>
      <c r="H713" s="75"/>
      <c r="I713" s="19" t="s">
        <v>61</v>
      </c>
      <c r="J713" s="37">
        <f>MAX(J712*100*C700/(2*C697),C717)</f>
        <v>3.125</v>
      </c>
      <c r="K713" s="29" t="s">
        <v>32</v>
      </c>
      <c r="L713" s="75"/>
      <c r="M713" s="15"/>
      <c r="N713" s="15"/>
      <c r="O713" s="15"/>
      <c r="P713" s="75"/>
    </row>
    <row r="714" spans="2:16" x14ac:dyDescent="0.3">
      <c r="B714" s="75"/>
      <c r="C714" s="50" t="str">
        <f>"$\phi$"&amp;C712&amp;"@"&amp;C713</f>
        <v>$\phi$10@14</v>
      </c>
      <c r="D714" s="75"/>
      <c r="E714" s="75"/>
      <c r="F714" s="39" t="str">
        <f>IF(OR(J713=C717,J724=C717),"[ÁREA MINIMA]","[]")</f>
        <v>[ÁREA MINIMA]</v>
      </c>
      <c r="G714" s="75"/>
      <c r="H714" s="75"/>
      <c r="I714" s="63" t="s">
        <v>34</v>
      </c>
      <c r="J714" s="63">
        <f>ROUNDDOWN((1/J713)*C716*100,0)</f>
        <v>25</v>
      </c>
      <c r="K714" s="64" t="s">
        <v>5</v>
      </c>
      <c r="L714" s="75"/>
      <c r="M714" s="39" t="str">
        <f>IF(OR(J714&lt;10,J714&gt;25),"[REDISEÑAR]","[OK")</f>
        <v>[OK</v>
      </c>
      <c r="N714" s="41" t="s">
        <v>80</v>
      </c>
      <c r="O714" s="42">
        <f>1/J713*(C712/2)^2*PI()</f>
        <v>25.132741228718345</v>
      </c>
      <c r="P714" s="75" t="str">
        <f>"$\phi$"&amp;C712&amp;"@"&amp;J714</f>
        <v>$\phi$10@25</v>
      </c>
    </row>
    <row r="715" spans="2:16" x14ac:dyDescent="0.3">
      <c r="B715" s="18" t="s">
        <v>52</v>
      </c>
      <c r="C715" s="75"/>
      <c r="D715" s="75"/>
      <c r="E715" s="75"/>
      <c r="F715" s="62" t="str">
        <f>IF(J703&lt;J702,IF(J731&gt;J720,"[OK]","[REDISEÑAR]"),"[REDISEÑAR]")</f>
        <v>[OK]</v>
      </c>
      <c r="G715" s="75"/>
      <c r="H715" s="75"/>
      <c r="I715" s="31" t="s">
        <v>48</v>
      </c>
      <c r="J715" s="30">
        <f>C716*2*IF(C701/C713&gt;=1,C701/C713,0)</f>
        <v>38.035711055962139</v>
      </c>
      <c r="K715" s="29" t="s">
        <v>17</v>
      </c>
      <c r="L715" s="75"/>
      <c r="M715" s="75"/>
      <c r="N715" s="15"/>
      <c r="O715" s="44"/>
      <c r="P715" s="75"/>
    </row>
    <row r="716" spans="2:16" x14ac:dyDescent="0.3">
      <c r="B716" s="31" t="s">
        <v>66</v>
      </c>
      <c r="C716" s="30">
        <f>(C712/(2*10))^2*PI()</f>
        <v>0.78539816339744828</v>
      </c>
      <c r="D716" s="29" t="s">
        <v>17</v>
      </c>
      <c r="E716" s="75"/>
      <c r="F716" s="75"/>
      <c r="G716" s="75"/>
      <c r="H716" s="75"/>
      <c r="I716" s="19" t="s">
        <v>49</v>
      </c>
      <c r="J716" s="34">
        <f>C697*J715/1000</f>
        <v>106.49999095669399</v>
      </c>
      <c r="K716" s="16" t="s">
        <v>12</v>
      </c>
      <c r="L716" s="75"/>
      <c r="M716" s="39" t="str">
        <f>IF(J716&gt;J709,"[OK]","[REDISEÑAR]")</f>
        <v>[OK]</v>
      </c>
      <c r="N716" s="41" t="str">
        <f>IF(O716&gt;0,"Sobrado","Faltan")</f>
        <v>Sobrado</v>
      </c>
      <c r="O716" s="43">
        <f>J716-J709</f>
        <v>83.786990956693998</v>
      </c>
      <c r="P716" s="75"/>
    </row>
    <row r="717" spans="2:16" x14ac:dyDescent="0.3">
      <c r="B717" s="31" t="s">
        <v>78</v>
      </c>
      <c r="C717" s="37">
        <f>2.5/1000*100*C700/2</f>
        <v>3.125</v>
      </c>
      <c r="D717" s="16" t="s">
        <v>17</v>
      </c>
      <c r="E717" s="75"/>
      <c r="F717" s="75"/>
      <c r="G717" s="75"/>
      <c r="H717" s="75"/>
      <c r="J717" s="75"/>
      <c r="K717" s="75"/>
      <c r="L717" s="75"/>
      <c r="M717" s="75"/>
      <c r="N717" s="75"/>
      <c r="O717" s="15"/>
      <c r="P717" s="75"/>
    </row>
    <row r="718" spans="2:16" x14ac:dyDescent="0.3">
      <c r="B718" s="31" t="s">
        <v>114</v>
      </c>
      <c r="C718" s="37">
        <f>C716*100/C713</f>
        <v>5.6099868814103448</v>
      </c>
      <c r="D718" s="29" t="s">
        <v>32</v>
      </c>
      <c r="E718" s="75"/>
      <c r="F718" s="75"/>
      <c r="G718" s="75"/>
      <c r="H718" s="75"/>
      <c r="I718" s="18" t="s">
        <v>77</v>
      </c>
      <c r="J718" s="75"/>
      <c r="K718" s="75"/>
      <c r="L718" s="75"/>
      <c r="M718" s="17" t="s">
        <v>67</v>
      </c>
      <c r="N718" s="75"/>
      <c r="O718" s="75"/>
      <c r="P718" s="75"/>
    </row>
    <row r="719" spans="2:16" x14ac:dyDescent="0.3">
      <c r="B719" s="75"/>
      <c r="C719" s="75"/>
      <c r="D719" s="75"/>
      <c r="E719" s="75"/>
      <c r="F719" s="75"/>
      <c r="G719" s="75"/>
      <c r="H719" s="75"/>
      <c r="I719" s="19" t="s">
        <v>33</v>
      </c>
      <c r="J719" s="16">
        <v>0.6</v>
      </c>
      <c r="K719" s="16" t="s">
        <v>50</v>
      </c>
      <c r="L719" s="75"/>
      <c r="M719" s="19" t="s">
        <v>64</v>
      </c>
      <c r="N719" s="30">
        <f>SQRT(C695*0.0980665)*(1/0.0980665)/1000*J721*0.17</f>
        <v>55.314463281909688</v>
      </c>
      <c r="O719" s="16" t="s">
        <v>12</v>
      </c>
      <c r="P719" s="75"/>
    </row>
    <row r="720" spans="2:16" x14ac:dyDescent="0.3">
      <c r="B720" s="17" t="s">
        <v>37</v>
      </c>
      <c r="C720" s="75"/>
      <c r="D720" s="75"/>
      <c r="E720" s="75"/>
      <c r="F720" s="75"/>
      <c r="G720" s="75"/>
      <c r="H720" s="75"/>
      <c r="I720" s="19" t="s">
        <v>46</v>
      </c>
      <c r="J720" s="34">
        <f>J708/J719</f>
        <v>52.099266666666665</v>
      </c>
      <c r="K720" s="16" t="s">
        <v>12</v>
      </c>
      <c r="L720" s="75"/>
      <c r="M720" s="19" t="s">
        <v>57</v>
      </c>
      <c r="N720" s="16">
        <f>IF(C702/J699&lt;=1.5,0.25,IF(C702/J699&gt;=2,0.17,0.17+(0.25-0.17)/(C702/J699-1.5)*C702/J699))</f>
        <v>0.25</v>
      </c>
      <c r="O720" s="29" t="s">
        <v>50</v>
      </c>
      <c r="P720" s="75"/>
    </row>
    <row r="721" spans="2:16" x14ac:dyDescent="0.3">
      <c r="B721" s="31" t="s">
        <v>115</v>
      </c>
      <c r="C721" s="37">
        <f>O716</f>
        <v>83.786990956693998</v>
      </c>
      <c r="D721" s="29" t="s">
        <v>12</v>
      </c>
      <c r="E721" s="75"/>
      <c r="F721" s="75"/>
      <c r="G721" s="75"/>
      <c r="H721" s="75"/>
      <c r="I721" s="19" t="s">
        <v>36</v>
      </c>
      <c r="J721" s="35">
        <f>J699*C700*0.8-J729</f>
        <v>5393.5714311552301</v>
      </c>
      <c r="K721" s="16" t="s">
        <v>17</v>
      </c>
      <c r="L721" s="75"/>
      <c r="M721" s="19" t="s">
        <v>59</v>
      </c>
      <c r="N721" s="30">
        <f>SQRT(C695*0.0980665)*(1/0.0980665)/1000*J721*N720</f>
        <v>81.344798943984827</v>
      </c>
      <c r="O721" s="29" t="s">
        <v>12</v>
      </c>
      <c r="P721" s="75"/>
    </row>
    <row r="722" spans="2:16" x14ac:dyDescent="0.3">
      <c r="B722" s="31" t="s">
        <v>116</v>
      </c>
      <c r="C722" s="37">
        <f>O731</f>
        <v>131.01518576327578</v>
      </c>
      <c r="D722" s="29" t="s">
        <v>12</v>
      </c>
      <c r="E722" s="75"/>
      <c r="F722" s="75"/>
      <c r="G722" s="75"/>
      <c r="H722" s="75"/>
      <c r="I722" s="19" t="s">
        <v>60</v>
      </c>
      <c r="J722" s="34">
        <f>MIN(N721,N719)</f>
        <v>55.314463281909688</v>
      </c>
      <c r="K722" s="29" t="s">
        <v>12</v>
      </c>
      <c r="L722" s="75"/>
      <c r="M722" s="75"/>
      <c r="N722" s="75"/>
      <c r="O722" s="75"/>
      <c r="P722" s="75"/>
    </row>
    <row r="723" spans="2:16" x14ac:dyDescent="0.3">
      <c r="B723" s="19" t="s">
        <v>117</v>
      </c>
      <c r="C723" s="36">
        <f>C716*2*C701/C713/J696</f>
        <v>4.4879895051282755E-3</v>
      </c>
      <c r="D723" s="16" t="s">
        <v>50</v>
      </c>
      <c r="E723" s="75"/>
      <c r="F723" s="75"/>
      <c r="G723" s="75"/>
      <c r="H723" s="75"/>
      <c r="I723" s="19" t="s">
        <v>39</v>
      </c>
      <c r="J723" s="34">
        <f>J720-J722</f>
        <v>-3.2151966152430234</v>
      </c>
      <c r="K723" s="16" t="s">
        <v>12</v>
      </c>
      <c r="L723" s="75"/>
      <c r="M723" s="75"/>
      <c r="N723" s="75"/>
      <c r="O723" s="75"/>
      <c r="P723" s="75"/>
    </row>
    <row r="724" spans="2:16" x14ac:dyDescent="0.3">
      <c r="B724" s="75"/>
      <c r="C724" s="75"/>
      <c r="D724" s="75"/>
      <c r="E724" s="75"/>
      <c r="F724" s="75"/>
      <c r="G724" s="75"/>
      <c r="H724" s="75"/>
      <c r="I724" s="19" t="s">
        <v>61</v>
      </c>
      <c r="J724" s="37">
        <f>MAX(J723/(C696*J699/1000/100)/2,C717)</f>
        <v>3.125</v>
      </c>
      <c r="K724" s="29" t="s">
        <v>32</v>
      </c>
      <c r="L724" s="75"/>
      <c r="M724" s="75"/>
      <c r="N724" s="75"/>
      <c r="O724" s="75"/>
      <c r="P724" s="75"/>
    </row>
    <row r="725" spans="2:16" x14ac:dyDescent="0.3">
      <c r="B725" s="75"/>
      <c r="C725" s="75"/>
      <c r="D725" s="75"/>
      <c r="E725" s="75"/>
      <c r="F725" s="75"/>
      <c r="G725" s="75"/>
      <c r="H725" s="75"/>
      <c r="I725" s="19" t="s">
        <v>65</v>
      </c>
      <c r="J725" s="36">
        <f>J724/C700/100*2</f>
        <v>2.5000000000000001E-3</v>
      </c>
      <c r="K725" s="16" t="s">
        <v>50</v>
      </c>
      <c r="L725" s="75"/>
      <c r="M725" s="75"/>
      <c r="N725" s="75"/>
      <c r="O725" s="75"/>
      <c r="P725" s="75"/>
    </row>
    <row r="726" spans="2:16" x14ac:dyDescent="0.3">
      <c r="B726" s="75"/>
      <c r="C726" s="75"/>
      <c r="D726" s="75"/>
      <c r="E726" s="75"/>
      <c r="F726" s="75"/>
      <c r="G726" s="75"/>
      <c r="H726" s="75"/>
      <c r="I726" s="19" t="s">
        <v>53</v>
      </c>
      <c r="J726" s="16">
        <f>MAX(0.0025,0.0025*0.5*(2.5-C700/(C701*0.8))*(J725-0.0025))</f>
        <v>2.5000000000000001E-3</v>
      </c>
      <c r="K726" s="29" t="s">
        <v>50</v>
      </c>
      <c r="L726" s="75"/>
      <c r="M726" s="39" t="str">
        <f>IF(OR(J725&gt;J726,ABS(J725-J726)&lt;0.0001),"[OK]","[REDISEÑAR]")</f>
        <v>[OK]</v>
      </c>
      <c r="N726" s="75"/>
      <c r="O726" s="75"/>
      <c r="P726" s="75"/>
    </row>
    <row r="727" spans="2:16" x14ac:dyDescent="0.3">
      <c r="B727" s="75"/>
      <c r="C727" s="75"/>
      <c r="D727" s="75"/>
      <c r="E727" s="75"/>
      <c r="F727" s="75"/>
      <c r="G727" s="75"/>
      <c r="H727" s="75"/>
      <c r="I727" s="19" t="s">
        <v>47</v>
      </c>
      <c r="J727" s="34">
        <f>SQRT(C695*0.0980665)*(1/0.0980665)/1000*0.66*0.8*C701*C700</f>
        <v>269.95226518142476</v>
      </c>
      <c r="K727" s="16" t="s">
        <v>12</v>
      </c>
      <c r="L727" s="75"/>
      <c r="M727" s="40" t="s">
        <v>44</v>
      </c>
      <c r="N727" s="75"/>
      <c r="O727" s="15"/>
      <c r="P727" s="75"/>
    </row>
    <row r="728" spans="2:16" x14ac:dyDescent="0.3">
      <c r="B728" s="75"/>
      <c r="C728" s="75"/>
      <c r="D728" s="75"/>
      <c r="E728" s="75"/>
      <c r="F728" s="75"/>
      <c r="G728" s="75"/>
      <c r="H728" s="75"/>
      <c r="I728" s="63" t="s">
        <v>34</v>
      </c>
      <c r="J728" s="63">
        <f>ROUNDDOWN(1/J724*C716*100,0)</f>
        <v>25</v>
      </c>
      <c r="K728" s="64" t="s">
        <v>5</v>
      </c>
      <c r="L728" s="75"/>
      <c r="M728" s="39" t="str">
        <f>IF(OR(J728&lt;10,J728&gt;25),"[REDISEÑAR]","[OK")</f>
        <v>[OK</v>
      </c>
      <c r="N728" s="41" t="s">
        <v>80</v>
      </c>
      <c r="O728" s="42">
        <f>1/J724*(C712/2)^2*PI()</f>
        <v>25.132741228718345</v>
      </c>
      <c r="P728" s="75" t="str">
        <f>"$\phi$"&amp;C712&amp;"@"&amp;J728</f>
        <v>$\phi$10@25</v>
      </c>
    </row>
    <row r="729" spans="2:16" x14ac:dyDescent="0.3">
      <c r="B729" s="75"/>
      <c r="C729" s="75"/>
      <c r="D729" s="75"/>
      <c r="E729" s="75"/>
      <c r="F729" s="75"/>
      <c r="G729" s="75"/>
      <c r="H729" s="75"/>
      <c r="I729" s="31" t="s">
        <v>48</v>
      </c>
      <c r="J729" s="30">
        <f>C716*2*IF(J699/C713&gt;=1,J699/C713,0)</f>
        <v>30.428568844769707</v>
      </c>
      <c r="K729" s="29" t="s">
        <v>17</v>
      </c>
      <c r="L729" s="75"/>
      <c r="M729" s="75"/>
      <c r="N729" s="15"/>
      <c r="O729" s="15"/>
      <c r="P729" s="75"/>
    </row>
    <row r="730" spans="2:16" x14ac:dyDescent="0.3">
      <c r="B730" s="75"/>
      <c r="C730" s="75"/>
      <c r="D730" s="75"/>
      <c r="E730" s="75"/>
      <c r="F730" s="75"/>
      <c r="G730" s="75"/>
      <c r="H730" s="75"/>
      <c r="I730" s="19" t="s">
        <v>81</v>
      </c>
      <c r="J730" s="34">
        <f>MIN(J729*C696/1000,J727)</f>
        <v>127.79998914803276</v>
      </c>
      <c r="K730" s="16" t="s">
        <v>12</v>
      </c>
      <c r="L730" s="75"/>
      <c r="M730" s="40" t="s">
        <v>82</v>
      </c>
      <c r="N730" s="15"/>
      <c r="O730" s="15"/>
      <c r="P730" s="75"/>
    </row>
    <row r="731" spans="2:16" x14ac:dyDescent="0.3">
      <c r="B731" s="75"/>
      <c r="C731" s="75"/>
      <c r="D731" s="75"/>
      <c r="E731" s="75"/>
      <c r="F731" s="75"/>
      <c r="G731" s="75"/>
      <c r="H731" s="75"/>
      <c r="I731" s="19" t="s">
        <v>79</v>
      </c>
      <c r="J731" s="34">
        <f>J730+J722</f>
        <v>183.11445242994245</v>
      </c>
      <c r="K731" s="16" t="s">
        <v>12</v>
      </c>
      <c r="L731" s="75"/>
      <c r="M731" s="39" t="str">
        <f>IF(J731&gt;J720,"[OK]","[REDISEÑAR]")</f>
        <v>[OK]</v>
      </c>
      <c r="N731" s="41" t="str">
        <f>IF(O731&gt;0,"Sobrado","Faltan")</f>
        <v>Sobrado</v>
      </c>
      <c r="O731" s="43">
        <f>J731-J720</f>
        <v>131.01518576327578</v>
      </c>
      <c r="P731" s="75"/>
    </row>
    <row r="732" spans="2:16" x14ac:dyDescent="0.3">
      <c r="B732" s="75"/>
      <c r="C732" s="75"/>
      <c r="D732" s="75"/>
      <c r="E732" s="75"/>
      <c r="F732" s="75"/>
      <c r="G732" s="75"/>
      <c r="H732" s="75"/>
      <c r="J732" s="75"/>
      <c r="K732" s="75"/>
      <c r="L732" s="75"/>
      <c r="M732" s="75"/>
      <c r="N732" s="75"/>
      <c r="O732" s="75"/>
      <c r="P732" s="75"/>
    </row>
    <row r="733" spans="2:16" x14ac:dyDescent="0.3">
      <c r="B733" s="75"/>
      <c r="C733" s="75"/>
      <c r="D733" s="75"/>
      <c r="E733" s="75"/>
      <c r="F733" s="75"/>
      <c r="G733" s="75"/>
      <c r="H733" s="75"/>
      <c r="I733" s="18" t="s">
        <v>45</v>
      </c>
      <c r="J733" s="75"/>
      <c r="K733" s="75"/>
      <c r="L733" s="75"/>
      <c r="M733" s="75"/>
      <c r="N733" s="75"/>
      <c r="O733" s="15"/>
      <c r="P733" s="75"/>
    </row>
    <row r="734" spans="2:16" x14ac:dyDescent="0.3">
      <c r="B734" s="75"/>
      <c r="C734" s="75"/>
      <c r="D734" s="75"/>
      <c r="E734" s="75"/>
      <c r="F734" s="75"/>
      <c r="G734" s="75"/>
      <c r="H734" s="75"/>
      <c r="I734" s="19" t="s">
        <v>40</v>
      </c>
      <c r="J734" s="16">
        <f>J708</f>
        <v>31.259559999999997</v>
      </c>
      <c r="K734" s="16" t="s">
        <v>12</v>
      </c>
      <c r="L734" s="75"/>
      <c r="M734" s="75"/>
      <c r="N734" s="75"/>
      <c r="O734" s="26"/>
      <c r="P734" s="75"/>
    </row>
    <row r="735" spans="2:16" x14ac:dyDescent="0.3">
      <c r="B735" s="75"/>
      <c r="C735" s="75"/>
      <c r="D735" s="75"/>
      <c r="E735" s="75"/>
      <c r="F735" s="75"/>
      <c r="G735" s="75"/>
      <c r="H735" s="75"/>
      <c r="I735" s="19" t="s">
        <v>46</v>
      </c>
      <c r="J735" s="34">
        <f>J720</f>
        <v>52.099266666666665</v>
      </c>
      <c r="K735" s="16" t="s">
        <v>12</v>
      </c>
      <c r="L735" s="75"/>
      <c r="M735" s="75"/>
      <c r="N735" s="75"/>
      <c r="O735" s="75"/>
      <c r="P735" s="75"/>
    </row>
    <row r="736" spans="2:16" x14ac:dyDescent="0.3">
      <c r="B736" s="75"/>
      <c r="C736" s="75"/>
      <c r="D736" s="75"/>
      <c r="E736" s="75"/>
      <c r="F736" s="75"/>
      <c r="G736" s="75"/>
      <c r="H736" s="75"/>
      <c r="I736" s="19" t="s">
        <v>38</v>
      </c>
      <c r="J736" s="34">
        <f>2/3*J721*SQRT(C695*0.0980665)*(1/0.0980665)/1000</f>
        <v>216.91946385062619</v>
      </c>
      <c r="K736" s="16" t="s">
        <v>12</v>
      </c>
      <c r="L736" s="75"/>
      <c r="M736" s="39" t="str">
        <f>IF(J736&gt;J735,"[OK]","[REDISEÑAR]")</f>
        <v>[OK]</v>
      </c>
      <c r="N736" s="41" t="str">
        <f>IF(O736&gt;0,"Sobrado","Faltan")</f>
        <v>Sobrado</v>
      </c>
      <c r="O736" s="43">
        <f>J736-J735</f>
        <v>164.82019718395952</v>
      </c>
      <c r="P736" s="75"/>
    </row>
    <row r="738" spans="2:16" ht="18" x14ac:dyDescent="0.35">
      <c r="B738" s="48" t="str">
        <f>'EJE 15'!$S$20</f>
        <v>EJE 15.C-C1 | PIER F31X | PISO 8</v>
      </c>
      <c r="C738" s="75"/>
      <c r="D738" s="75"/>
      <c r="E738" s="75"/>
      <c r="F738" s="75"/>
      <c r="G738" s="75"/>
      <c r="H738" s="75"/>
      <c r="J738" s="75"/>
      <c r="K738" s="75"/>
      <c r="L738" s="75"/>
      <c r="M738" s="75"/>
      <c r="N738" s="75"/>
      <c r="O738" s="75"/>
      <c r="P738" s="75"/>
    </row>
    <row r="739" spans="2:16" x14ac:dyDescent="0.3">
      <c r="B739" s="75"/>
      <c r="C739" s="75"/>
      <c r="D739" s="75"/>
      <c r="E739" s="75"/>
      <c r="F739" s="75"/>
      <c r="G739" s="75"/>
      <c r="H739" s="75"/>
      <c r="J739" s="75"/>
      <c r="K739" s="75"/>
      <c r="L739" s="75"/>
      <c r="M739" s="75"/>
      <c r="N739" s="75"/>
      <c r="O739" s="75"/>
      <c r="P739" s="75"/>
    </row>
    <row r="740" spans="2:16" x14ac:dyDescent="0.3">
      <c r="B740" s="17" t="s">
        <v>6</v>
      </c>
      <c r="C740" s="75"/>
      <c r="D740" s="75"/>
      <c r="E740" s="75"/>
      <c r="F740" s="75"/>
      <c r="G740" s="75"/>
      <c r="H740" s="75"/>
      <c r="I740" s="18" t="s">
        <v>25</v>
      </c>
      <c r="J740" s="75"/>
      <c r="K740" s="75"/>
      <c r="L740" s="75"/>
      <c r="M740" s="75"/>
      <c r="N740" s="75"/>
      <c r="O740" s="75"/>
      <c r="P740" s="75"/>
    </row>
    <row r="741" spans="2:16" x14ac:dyDescent="0.3">
      <c r="B741" s="19" t="s">
        <v>99</v>
      </c>
      <c r="C741" s="61">
        <f>10.1971621297793*'EJE 15'!$G$20</f>
        <v>305.91486389337899</v>
      </c>
      <c r="D741" s="16" t="s">
        <v>8</v>
      </c>
      <c r="E741" s="75"/>
      <c r="F741" s="75"/>
      <c r="G741" s="75"/>
      <c r="H741" s="75"/>
      <c r="I741" s="19" t="s">
        <v>58</v>
      </c>
      <c r="J741" s="16">
        <f>C748/16</f>
        <v>14.375</v>
      </c>
      <c r="K741" s="16" t="s">
        <v>5</v>
      </c>
      <c r="L741" s="21"/>
      <c r="M741" s="39" t="str">
        <f>IF(J741&lt;C746,"[OK]","[REDISEÑAR]")</f>
        <v>[OK]</v>
      </c>
      <c r="N741" s="75"/>
      <c r="O741" s="75"/>
      <c r="P741" s="75"/>
    </row>
    <row r="742" spans="2:16" x14ac:dyDescent="0.3">
      <c r="B742" s="19" t="s">
        <v>30</v>
      </c>
      <c r="C742" s="16">
        <v>4200</v>
      </c>
      <c r="D742" s="16" t="s">
        <v>8</v>
      </c>
      <c r="E742" s="75"/>
      <c r="F742" s="75"/>
      <c r="G742" s="75"/>
      <c r="H742" s="75"/>
      <c r="I742" s="19" t="s">
        <v>16</v>
      </c>
      <c r="J742" s="16">
        <f>C746*C747</f>
        <v>4800</v>
      </c>
      <c r="K742" s="16" t="s">
        <v>17</v>
      </c>
      <c r="L742" s="21"/>
      <c r="M742" s="75"/>
      <c r="N742" s="75"/>
      <c r="O742" s="75"/>
      <c r="P742" s="75"/>
    </row>
    <row r="743" spans="2:16" x14ac:dyDescent="0.3">
      <c r="B743" s="19" t="s">
        <v>31</v>
      </c>
      <c r="C743" s="16">
        <v>2800</v>
      </c>
      <c r="D743" s="16" t="s">
        <v>8</v>
      </c>
      <c r="E743" s="75"/>
      <c r="F743" s="75"/>
      <c r="G743" s="75"/>
      <c r="H743" s="75"/>
      <c r="I743" s="19" t="s">
        <v>51</v>
      </c>
      <c r="J743" s="16">
        <f>MIN(0.8*C747/5,3*C746,45)</f>
        <v>30.720000000000006</v>
      </c>
      <c r="K743" s="16" t="s">
        <v>5</v>
      </c>
      <c r="L743" s="21"/>
      <c r="M743" s="39" t="str">
        <f>IF(J743&gt;C759,"[OK]","[REDISEÑAR]")</f>
        <v>[OK]</v>
      </c>
      <c r="N743" s="75"/>
      <c r="O743" s="75"/>
      <c r="P743" s="75"/>
    </row>
    <row r="744" spans="2:16" x14ac:dyDescent="0.3">
      <c r="B744" s="75"/>
      <c r="C744" s="75"/>
      <c r="D744" s="75"/>
      <c r="E744" s="75"/>
      <c r="F744" s="75"/>
      <c r="G744" s="75"/>
      <c r="H744" s="75"/>
      <c r="I744" s="19" t="s">
        <v>56</v>
      </c>
      <c r="J744" s="16">
        <f>MIN(0.8*C748/3,3*C747,45)</f>
        <v>45</v>
      </c>
      <c r="K744" s="16" t="s">
        <v>5</v>
      </c>
      <c r="L744" s="21"/>
      <c r="M744" s="39" t="str">
        <f>IF(J744&gt;C759,"[OK]","[REDISEÑAR]")</f>
        <v>[OK]</v>
      </c>
      <c r="N744" s="75"/>
      <c r="O744" s="75"/>
      <c r="P744" s="75"/>
    </row>
    <row r="745" spans="2:16" x14ac:dyDescent="0.3">
      <c r="B745" s="17" t="s">
        <v>3</v>
      </c>
      <c r="C745" s="75"/>
      <c r="D745" s="75"/>
      <c r="E745" s="75"/>
      <c r="F745" s="75"/>
      <c r="G745" s="75"/>
      <c r="H745" s="75"/>
      <c r="I745" s="19" t="s">
        <v>62</v>
      </c>
      <c r="J745" s="16">
        <f>0.8*C747</f>
        <v>153.60000000000002</v>
      </c>
      <c r="K745" s="29" t="s">
        <v>5</v>
      </c>
      <c r="L745" s="75"/>
      <c r="M745" s="75"/>
      <c r="N745" s="75"/>
      <c r="O745" s="75"/>
      <c r="P745" s="75"/>
    </row>
    <row r="746" spans="2:16" x14ac:dyDescent="0.3">
      <c r="B746" s="19" t="str">
        <f>"Espesor del muro (h)"</f>
        <v>Espesor del muro (h)</v>
      </c>
      <c r="C746" s="49">
        <f>'EJE 15'!$H$20</f>
        <v>25</v>
      </c>
      <c r="D746" s="16" t="s">
        <v>5</v>
      </c>
      <c r="E746" s="75"/>
      <c r="F746" s="75"/>
      <c r="G746" s="75"/>
      <c r="H746" s="75"/>
      <c r="J746" s="75"/>
      <c r="K746" s="75"/>
      <c r="L746" s="75"/>
      <c r="M746" s="75"/>
      <c r="N746" s="75"/>
      <c r="O746" s="75"/>
      <c r="P746" s="75"/>
    </row>
    <row r="747" spans="2:16" x14ac:dyDescent="0.3">
      <c r="B747" s="19" t="s">
        <v>63</v>
      </c>
      <c r="C747" s="49">
        <f>'EJE 15'!$I$20</f>
        <v>192</v>
      </c>
      <c r="D747" s="16" t="s">
        <v>5</v>
      </c>
      <c r="E747" s="75"/>
      <c r="F747" s="75"/>
      <c r="G747" s="75"/>
      <c r="H747" s="75"/>
      <c r="I747" s="18" t="s">
        <v>26</v>
      </c>
      <c r="J747" s="75"/>
      <c r="K747" s="75"/>
      <c r="L747" s="75"/>
      <c r="M747" s="75"/>
      <c r="N747" s="75"/>
      <c r="O747" s="75"/>
      <c r="P747" s="75"/>
    </row>
    <row r="748" spans="2:16" x14ac:dyDescent="0.3">
      <c r="B748" s="19" t="s">
        <v>10</v>
      </c>
      <c r="C748" s="49">
        <f>'EJE 15'!$J$20</f>
        <v>230</v>
      </c>
      <c r="D748" s="16" t="s">
        <v>5</v>
      </c>
      <c r="E748" s="75"/>
      <c r="F748" s="75"/>
      <c r="G748" s="75"/>
      <c r="H748" s="75"/>
      <c r="I748" s="19" t="s">
        <v>28</v>
      </c>
      <c r="J748" s="16">
        <f>0.35*C741</f>
        <v>107.07020236268264</v>
      </c>
      <c r="K748" s="16" t="s">
        <v>8</v>
      </c>
      <c r="L748" s="21"/>
      <c r="M748" s="75"/>
      <c r="N748" s="75"/>
      <c r="O748" s="75"/>
      <c r="P748" s="75"/>
    </row>
    <row r="749" spans="2:16" x14ac:dyDescent="0.3">
      <c r="B749" s="75"/>
      <c r="C749" s="75"/>
      <c r="D749" s="75"/>
      <c r="E749" s="75"/>
      <c r="F749" s="75"/>
      <c r="G749" s="75"/>
      <c r="H749" s="75"/>
      <c r="I749" s="19" t="s">
        <v>27</v>
      </c>
      <c r="J749" s="30">
        <f>C751*1000/J742</f>
        <v>24.847541666666665</v>
      </c>
      <c r="K749" s="16" t="s">
        <v>8</v>
      </c>
      <c r="L749" s="21"/>
      <c r="M749" s="39" t="str">
        <f>IF(J749&lt;J748,"[OK]","[REDISEÑAR]")</f>
        <v>[OK]</v>
      </c>
      <c r="N749" s="41" t="s">
        <v>112</v>
      </c>
      <c r="O749" s="59">
        <f>J749/J748</f>
        <v>0.2320677566527774</v>
      </c>
      <c r="P749" s="75"/>
    </row>
    <row r="750" spans="2:16" x14ac:dyDescent="0.3">
      <c r="B750" s="17" t="s">
        <v>11</v>
      </c>
      <c r="C750" s="75"/>
      <c r="D750" s="75"/>
      <c r="E750" s="75"/>
      <c r="F750" s="75"/>
      <c r="G750" s="75"/>
      <c r="H750" s="75"/>
      <c r="J750" s="75"/>
      <c r="K750" s="75"/>
      <c r="L750" s="75"/>
      <c r="M750" s="75"/>
      <c r="N750" s="75"/>
      <c r="O750" s="75"/>
      <c r="P750" s="75"/>
    </row>
    <row r="751" spans="2:16" x14ac:dyDescent="0.3">
      <c r="B751" s="19" t="str">
        <f>"$N_U$"</f>
        <v>$N_U$</v>
      </c>
      <c r="C751" s="60">
        <f>'EJE 15'!$K$20</f>
        <v>119.26819999999999</v>
      </c>
      <c r="D751" s="16" t="s">
        <v>12</v>
      </c>
      <c r="E751" s="75"/>
      <c r="F751" s="75"/>
      <c r="G751" s="75"/>
      <c r="H751" s="75"/>
      <c r="I751" s="18" t="s">
        <v>54</v>
      </c>
      <c r="J751" s="75"/>
      <c r="K751" s="75"/>
      <c r="L751" s="75"/>
      <c r="M751" s="75"/>
      <c r="N751" s="75"/>
      <c r="O751" s="75"/>
      <c r="P751" s="75"/>
    </row>
    <row r="752" spans="2:16" x14ac:dyDescent="0.3">
      <c r="B752" s="19" t="s">
        <v>14</v>
      </c>
      <c r="C752" s="60">
        <f>'EJE 15'!$L$20</f>
        <v>0.35399999999999998</v>
      </c>
      <c r="D752" s="16" t="s">
        <v>12</v>
      </c>
      <c r="E752" s="75"/>
      <c r="F752" s="75"/>
      <c r="G752" s="75"/>
      <c r="H752" s="75"/>
      <c r="I752" s="19" t="s">
        <v>72</v>
      </c>
      <c r="J752" s="16">
        <f>1.2*C752+C753+1.4*C754</f>
        <v>9.2701599999999988</v>
      </c>
      <c r="K752" s="16" t="s">
        <v>12</v>
      </c>
      <c r="L752" s="75"/>
      <c r="M752" s="75" t="s">
        <v>68</v>
      </c>
      <c r="N752" s="75"/>
      <c r="O752" s="75"/>
      <c r="P752" s="75"/>
    </row>
    <row r="753" spans="2:16" x14ac:dyDescent="0.3">
      <c r="B753" s="19" t="s">
        <v>13</v>
      </c>
      <c r="C753" s="60">
        <f>'EJE 15'!$M$20</f>
        <v>0.27889999999999998</v>
      </c>
      <c r="D753" s="16" t="s">
        <v>12</v>
      </c>
      <c r="E753" s="75"/>
      <c r="F753" s="75"/>
      <c r="G753" s="75"/>
      <c r="H753" s="75"/>
      <c r="I753" s="19" t="s">
        <v>69</v>
      </c>
      <c r="J753" s="16">
        <f>SUM(C752:C754)</f>
        <v>6.7518000000000002</v>
      </c>
      <c r="K753" s="16" t="s">
        <v>12</v>
      </c>
      <c r="L753" s="75"/>
      <c r="M753" s="75" t="s">
        <v>70</v>
      </c>
      <c r="N753" s="75"/>
      <c r="O753" s="75"/>
      <c r="P753" s="75"/>
    </row>
    <row r="754" spans="2:16" x14ac:dyDescent="0.3">
      <c r="B754" s="19" t="s">
        <v>15</v>
      </c>
      <c r="C754" s="60">
        <f>'EJE 15'!$N$20</f>
        <v>6.1189</v>
      </c>
      <c r="D754" s="16" t="s">
        <v>12</v>
      </c>
      <c r="E754" s="75"/>
      <c r="F754" s="75"/>
      <c r="G754" s="75"/>
      <c r="H754" s="75"/>
      <c r="I754" s="19" t="s">
        <v>73</v>
      </c>
      <c r="J754" s="16">
        <f>IF(C755=0,J752,C755)</f>
        <v>9.2701599999999988</v>
      </c>
      <c r="K754" s="16" t="s">
        <v>12</v>
      </c>
      <c r="L754" s="75"/>
      <c r="M754" s="40" t="s">
        <v>74</v>
      </c>
      <c r="N754" s="75"/>
      <c r="O754" s="75"/>
      <c r="P754" s="75"/>
    </row>
    <row r="755" spans="2:16" x14ac:dyDescent="0.3">
      <c r="B755" s="19" t="s">
        <v>55</v>
      </c>
      <c r="C755" s="16">
        <v>0</v>
      </c>
      <c r="D755" s="16" t="s">
        <v>12</v>
      </c>
      <c r="E755" s="75"/>
      <c r="F755" s="75"/>
      <c r="G755" s="75"/>
      <c r="H755" s="75"/>
      <c r="I755" s="19" t="s">
        <v>71</v>
      </c>
      <c r="J755" s="16">
        <f>IF(C755=0,J753,C755)</f>
        <v>6.7518000000000002</v>
      </c>
      <c r="K755" s="16" t="s">
        <v>12</v>
      </c>
      <c r="L755" s="75"/>
      <c r="M755" s="40" t="s">
        <v>75</v>
      </c>
      <c r="N755" s="75"/>
      <c r="O755" s="75"/>
      <c r="P755" s="75"/>
    </row>
    <row r="756" spans="2:16" x14ac:dyDescent="0.3">
      <c r="B756" s="75"/>
      <c r="C756" s="75"/>
      <c r="D756" s="75"/>
      <c r="E756" s="75"/>
      <c r="F756" s="75"/>
      <c r="G756" s="75"/>
      <c r="H756" s="75"/>
      <c r="J756" s="75"/>
      <c r="K756" s="75"/>
      <c r="L756" s="75"/>
      <c r="M756" s="75"/>
      <c r="N756" s="75"/>
      <c r="O756" s="75"/>
      <c r="P756" s="75"/>
    </row>
    <row r="757" spans="2:16" x14ac:dyDescent="0.3">
      <c r="B757" s="33" t="s">
        <v>42</v>
      </c>
      <c r="C757" s="75"/>
      <c r="D757" s="75"/>
      <c r="E757" s="75"/>
      <c r="F757" s="75"/>
      <c r="G757" s="75"/>
      <c r="H757" s="75"/>
      <c r="I757" s="27" t="s">
        <v>76</v>
      </c>
      <c r="J757" s="75"/>
      <c r="K757" s="75"/>
      <c r="L757" s="75"/>
      <c r="M757" s="75"/>
      <c r="N757" s="75"/>
      <c r="O757" s="75"/>
      <c r="P757" s="75"/>
    </row>
    <row r="758" spans="2:16" x14ac:dyDescent="0.3">
      <c r="B758" s="31" t="s">
        <v>41</v>
      </c>
      <c r="C758" s="16">
        <v>12</v>
      </c>
      <c r="D758" s="29" t="s">
        <v>35</v>
      </c>
      <c r="E758" s="75"/>
      <c r="F758" s="75"/>
      <c r="G758" s="75"/>
      <c r="H758" s="75"/>
      <c r="I758" s="19" t="s">
        <v>29</v>
      </c>
      <c r="J758" s="30">
        <f>J755*1000/J742</f>
        <v>1.406625</v>
      </c>
      <c r="K758" s="29" t="s">
        <v>8</v>
      </c>
      <c r="L758" s="75"/>
      <c r="M758" s="75"/>
      <c r="N758" s="75"/>
      <c r="O758" s="75"/>
      <c r="P758" s="75"/>
    </row>
    <row r="759" spans="2:16" x14ac:dyDescent="0.3">
      <c r="B759" s="31" t="s">
        <v>43</v>
      </c>
      <c r="C759" s="16">
        <v>14</v>
      </c>
      <c r="D759" s="29" t="s">
        <v>5</v>
      </c>
      <c r="E759" s="75"/>
      <c r="F759" s="39" t="str">
        <f>IF(OR(C759&gt;25,C759&lt;10),"[REDISEÑAR]",IF(AND(C759&lt;=J760,C759&lt;=J774),"[OK]","[REDISEÑAR]"))</f>
        <v>[OK]</v>
      </c>
      <c r="G759" s="75"/>
      <c r="H759" s="75"/>
      <c r="I759" s="19" t="s">
        <v>61</v>
      </c>
      <c r="J759" s="37">
        <f>MAX(J758*100*C746/(2*C743),C763)</f>
        <v>3.125</v>
      </c>
      <c r="K759" s="29" t="s">
        <v>32</v>
      </c>
      <c r="L759" s="75"/>
      <c r="M759" s="15"/>
      <c r="N759" s="15"/>
      <c r="O759" s="15"/>
      <c r="P759" s="75"/>
    </row>
    <row r="760" spans="2:16" x14ac:dyDescent="0.3">
      <c r="B760" s="75"/>
      <c r="C760" s="50" t="str">
        <f>"$\phi$"&amp;C758&amp;"@"&amp;C759</f>
        <v>$\phi$12@14</v>
      </c>
      <c r="D760" s="75"/>
      <c r="E760" s="75"/>
      <c r="F760" s="39" t="str">
        <f>IF(OR(J759=C763,J770=C763),"[ÁREA MINIMA]","[]")</f>
        <v>[ÁREA MINIMA]</v>
      </c>
      <c r="G760" s="75"/>
      <c r="H760" s="75"/>
      <c r="I760" s="63" t="s">
        <v>34</v>
      </c>
      <c r="J760" s="63">
        <f>ROUNDDOWN((1/J759)*C762*100,0)</f>
        <v>36</v>
      </c>
      <c r="K760" s="64" t="s">
        <v>5</v>
      </c>
      <c r="L760" s="75"/>
      <c r="M760" s="39" t="str">
        <f>IF(OR(J760&lt;10,J760&gt;25),"[REDISEÑAR]","[OK")</f>
        <v>[REDISEÑAR]</v>
      </c>
      <c r="N760" s="41" t="s">
        <v>80</v>
      </c>
      <c r="O760" s="42">
        <f>1/J759*(C758/2)^2*PI()</f>
        <v>36.191147369354418</v>
      </c>
      <c r="P760" s="75" t="str">
        <f>"$\phi$"&amp;C758&amp;"@"&amp;J760</f>
        <v>$\phi$12@36</v>
      </c>
    </row>
    <row r="761" spans="2:16" x14ac:dyDescent="0.3">
      <c r="B761" s="18" t="s">
        <v>52</v>
      </c>
      <c r="C761" s="75"/>
      <c r="D761" s="75"/>
      <c r="E761" s="75"/>
      <c r="F761" s="62" t="str">
        <f>IF(J749&lt;J748,IF(J777&gt;J766,"[OK]","[REDISEÑAR]"),"[REDISEÑAR]")</f>
        <v>[OK]</v>
      </c>
      <c r="G761" s="75"/>
      <c r="H761" s="75"/>
      <c r="I761" s="31" t="s">
        <v>48</v>
      </c>
      <c r="J761" s="30">
        <f>C762*2*IF(C747/C759&gt;=1,C747/C759,0)</f>
        <v>31.020983459446644</v>
      </c>
      <c r="K761" s="29" t="s">
        <v>17</v>
      </c>
      <c r="L761" s="75"/>
      <c r="M761" s="75"/>
      <c r="N761" s="15"/>
      <c r="O761" s="44"/>
      <c r="P761" s="75"/>
    </row>
    <row r="762" spans="2:16" x14ac:dyDescent="0.3">
      <c r="B762" s="31" t="s">
        <v>66</v>
      </c>
      <c r="C762" s="30">
        <f>(C758/(2*10))^2*PI()</f>
        <v>1.1309733552923256</v>
      </c>
      <c r="D762" s="29" t="s">
        <v>17</v>
      </c>
      <c r="E762" s="75"/>
      <c r="F762" s="75"/>
      <c r="G762" s="75"/>
      <c r="H762" s="75"/>
      <c r="I762" s="19" t="s">
        <v>49</v>
      </c>
      <c r="J762" s="34">
        <f>C743*J761/1000</f>
        <v>86.858753686450598</v>
      </c>
      <c r="K762" s="16" t="s">
        <v>12</v>
      </c>
      <c r="L762" s="75"/>
      <c r="M762" s="39" t="str">
        <f>IF(J762&gt;J755,"[OK]","[REDISEÑAR]")</f>
        <v>[OK]</v>
      </c>
      <c r="N762" s="41" t="str">
        <f>IF(O762&gt;0,"Sobrado","Faltan")</f>
        <v>Sobrado</v>
      </c>
      <c r="O762" s="43">
        <f>J762-J755</f>
        <v>80.106953686450595</v>
      </c>
      <c r="P762" s="75"/>
    </row>
    <row r="763" spans="2:16" x14ac:dyDescent="0.3">
      <c r="B763" s="31" t="s">
        <v>78</v>
      </c>
      <c r="C763" s="37">
        <f>2.5/1000*100*C746/2</f>
        <v>3.125</v>
      </c>
      <c r="D763" s="16" t="s">
        <v>17</v>
      </c>
      <c r="E763" s="75"/>
      <c r="F763" s="75"/>
      <c r="G763" s="75"/>
      <c r="H763" s="75"/>
      <c r="J763" s="75"/>
      <c r="K763" s="75"/>
      <c r="L763" s="75"/>
      <c r="M763" s="75"/>
      <c r="N763" s="75"/>
      <c r="O763" s="15"/>
      <c r="P763" s="75"/>
    </row>
    <row r="764" spans="2:16" x14ac:dyDescent="0.3">
      <c r="B764" s="31" t="s">
        <v>114</v>
      </c>
      <c r="C764" s="37">
        <f>C762*100/C759</f>
        <v>8.0783811092308966</v>
      </c>
      <c r="D764" s="29" t="s">
        <v>32</v>
      </c>
      <c r="E764" s="75"/>
      <c r="F764" s="75"/>
      <c r="G764" s="75"/>
      <c r="H764" s="75"/>
      <c r="I764" s="18" t="s">
        <v>77</v>
      </c>
      <c r="J764" s="75"/>
      <c r="K764" s="75"/>
      <c r="L764" s="75"/>
      <c r="M764" s="17" t="s">
        <v>67</v>
      </c>
      <c r="N764" s="75"/>
      <c r="O764" s="75"/>
      <c r="P764" s="75"/>
    </row>
    <row r="765" spans="2:16" x14ac:dyDescent="0.3">
      <c r="B765" s="75"/>
      <c r="C765" s="75"/>
      <c r="D765" s="75"/>
      <c r="E765" s="75"/>
      <c r="F765" s="75"/>
      <c r="G765" s="75"/>
      <c r="H765" s="75"/>
      <c r="I765" s="19" t="s">
        <v>33</v>
      </c>
      <c r="J765" s="16">
        <v>0.6</v>
      </c>
      <c r="K765" s="16" t="s">
        <v>50</v>
      </c>
      <c r="L765" s="75"/>
      <c r="M765" s="19" t="s">
        <v>64</v>
      </c>
      <c r="N765" s="30">
        <f>SQRT(C741*0.0980665)*(1/0.0980665)/1000*J767*0.17</f>
        <v>28.932598498523195</v>
      </c>
      <c r="O765" s="16" t="s">
        <v>12</v>
      </c>
      <c r="P765" s="75"/>
    </row>
    <row r="766" spans="2:16" x14ac:dyDescent="0.3">
      <c r="B766" s="17" t="s">
        <v>37</v>
      </c>
      <c r="C766" s="75"/>
      <c r="D766" s="75"/>
      <c r="E766" s="75"/>
      <c r="F766" s="75"/>
      <c r="G766" s="75"/>
      <c r="H766" s="75"/>
      <c r="I766" s="19" t="s">
        <v>46</v>
      </c>
      <c r="J766" s="34">
        <f>J754/J765</f>
        <v>15.450266666666666</v>
      </c>
      <c r="K766" s="16" t="s">
        <v>12</v>
      </c>
      <c r="L766" s="75"/>
      <c r="M766" s="19" t="s">
        <v>57</v>
      </c>
      <c r="N766" s="16">
        <f>IF(C748/J745&lt;=1.5,0.25,IF(C748/J745&gt;=2,0.17,0.17+(0.25-0.17)/(C748/J745-1.5)*C748/J745))</f>
        <v>0.25</v>
      </c>
      <c r="O766" s="29" t="s">
        <v>50</v>
      </c>
      <c r="P766" s="75"/>
    </row>
    <row r="767" spans="2:16" x14ac:dyDescent="0.3">
      <c r="B767" s="31" t="s">
        <v>115</v>
      </c>
      <c r="C767" s="37">
        <f>O762</f>
        <v>80.106953686450595</v>
      </c>
      <c r="D767" s="29" t="s">
        <v>12</v>
      </c>
      <c r="E767" s="75"/>
      <c r="F767" s="75"/>
      <c r="G767" s="75"/>
      <c r="H767" s="75"/>
      <c r="I767" s="19" t="s">
        <v>36</v>
      </c>
      <c r="J767" s="35">
        <f>J745*C746*0.8-J775</f>
        <v>3047.183213232443</v>
      </c>
      <c r="K767" s="16" t="s">
        <v>17</v>
      </c>
      <c r="L767" s="75"/>
      <c r="M767" s="19" t="s">
        <v>59</v>
      </c>
      <c r="N767" s="30">
        <f>SQRT(C741*0.0980665)*(1/0.0980665)/1000*J767*N766</f>
        <v>42.54793896841646</v>
      </c>
      <c r="O767" s="29" t="s">
        <v>12</v>
      </c>
      <c r="P767" s="75"/>
    </row>
    <row r="768" spans="2:16" x14ac:dyDescent="0.3">
      <c r="B768" s="31" t="s">
        <v>116</v>
      </c>
      <c r="C768" s="37">
        <f>O777</f>
        <v>117.7128362555973</v>
      </c>
      <c r="D768" s="29" t="s">
        <v>12</v>
      </c>
      <c r="E768" s="75"/>
      <c r="F768" s="75"/>
      <c r="G768" s="75"/>
      <c r="H768" s="75"/>
      <c r="I768" s="19" t="s">
        <v>60</v>
      </c>
      <c r="J768" s="34">
        <f>MIN(N767,N765)</f>
        <v>28.932598498523195</v>
      </c>
      <c r="K768" s="29" t="s">
        <v>12</v>
      </c>
      <c r="L768" s="75"/>
      <c r="M768" s="75"/>
      <c r="N768" s="75"/>
      <c r="O768" s="75"/>
      <c r="P768" s="75"/>
    </row>
    <row r="769" spans="2:16" x14ac:dyDescent="0.3">
      <c r="B769" s="19" t="s">
        <v>117</v>
      </c>
      <c r="C769" s="36">
        <f>C762*2*C747/C759/J742</f>
        <v>6.4627048873847183E-3</v>
      </c>
      <c r="D769" s="16" t="s">
        <v>50</v>
      </c>
      <c r="E769" s="75"/>
      <c r="F769" s="75"/>
      <c r="G769" s="75"/>
      <c r="H769" s="75"/>
      <c r="I769" s="19" t="s">
        <v>39</v>
      </c>
      <c r="J769" s="34">
        <f>J766-J768</f>
        <v>-13.482331831856529</v>
      </c>
      <c r="K769" s="16" t="s">
        <v>12</v>
      </c>
      <c r="L769" s="75"/>
      <c r="M769" s="75"/>
      <c r="N769" s="75"/>
      <c r="O769" s="75"/>
      <c r="P769" s="75"/>
    </row>
    <row r="770" spans="2:16" x14ac:dyDescent="0.3">
      <c r="B770" s="75"/>
      <c r="C770" s="75"/>
      <c r="D770" s="75"/>
      <c r="E770" s="75"/>
      <c r="F770" s="75"/>
      <c r="G770" s="75"/>
      <c r="H770" s="75"/>
      <c r="I770" s="19" t="s">
        <v>61</v>
      </c>
      <c r="J770" s="37">
        <f>MAX(J769/(C742*J745/1000/100)/2,C763)</f>
        <v>3.125</v>
      </c>
      <c r="K770" s="29" t="s">
        <v>32</v>
      </c>
      <c r="L770" s="75"/>
      <c r="M770" s="75"/>
      <c r="N770" s="75"/>
      <c r="O770" s="75"/>
      <c r="P770" s="75"/>
    </row>
    <row r="771" spans="2:16" x14ac:dyDescent="0.3">
      <c r="B771" s="75"/>
      <c r="C771" s="75"/>
      <c r="D771" s="75"/>
      <c r="E771" s="75"/>
      <c r="F771" s="75"/>
      <c r="G771" s="75"/>
      <c r="H771" s="75"/>
      <c r="I771" s="19" t="s">
        <v>65</v>
      </c>
      <c r="J771" s="36">
        <f>J770/C746/100*2</f>
        <v>2.5000000000000001E-3</v>
      </c>
      <c r="K771" s="16" t="s">
        <v>50</v>
      </c>
      <c r="L771" s="75"/>
      <c r="M771" s="75"/>
      <c r="N771" s="75"/>
      <c r="O771" s="75"/>
      <c r="P771" s="75"/>
    </row>
    <row r="772" spans="2:16" x14ac:dyDescent="0.3">
      <c r="B772" s="75"/>
      <c r="C772" s="75"/>
      <c r="D772" s="75"/>
      <c r="E772" s="75"/>
      <c r="F772" s="75"/>
      <c r="G772" s="75"/>
      <c r="H772" s="75"/>
      <c r="I772" s="19" t="s">
        <v>53</v>
      </c>
      <c r="J772" s="16">
        <f>MAX(0.0025,0.0025*0.5*(2.5-C746/(C747*0.8))*(J771-0.0025))</f>
        <v>2.5000000000000001E-3</v>
      </c>
      <c r="K772" s="29" t="s">
        <v>50</v>
      </c>
      <c r="L772" s="75"/>
      <c r="M772" s="39" t="str">
        <f>IF(OR(J771&gt;J772,ABS(J771-J772)&lt;0.0001),"[OK]","[REDISEÑAR]")</f>
        <v>[OK]</v>
      </c>
      <c r="N772" s="75"/>
      <c r="O772" s="75"/>
      <c r="P772" s="75"/>
    </row>
    <row r="773" spans="2:16" x14ac:dyDescent="0.3">
      <c r="B773" s="75"/>
      <c r="C773" s="75"/>
      <c r="D773" s="75"/>
      <c r="E773" s="75"/>
      <c r="F773" s="75"/>
      <c r="G773" s="75"/>
      <c r="H773" s="75"/>
      <c r="I773" s="19" t="s">
        <v>47</v>
      </c>
      <c r="J773" s="34">
        <f>SQRT(C741*0.0980665)*(1/0.0980665)/1000*0.66*0.8*C747*C746</f>
        <v>141.55170723346853</v>
      </c>
      <c r="K773" s="16" t="s">
        <v>12</v>
      </c>
      <c r="L773" s="75"/>
      <c r="M773" s="40" t="s">
        <v>44</v>
      </c>
      <c r="N773" s="75"/>
      <c r="O773" s="15"/>
      <c r="P773" s="75"/>
    </row>
    <row r="774" spans="2:16" x14ac:dyDescent="0.3">
      <c r="B774" s="75"/>
      <c r="C774" s="75"/>
      <c r="D774" s="75"/>
      <c r="E774" s="75"/>
      <c r="F774" s="75"/>
      <c r="G774" s="75"/>
      <c r="H774" s="75"/>
      <c r="I774" s="63" t="s">
        <v>34</v>
      </c>
      <c r="J774" s="63">
        <f>ROUNDDOWN(1/J770*C762*100,0)</f>
        <v>36</v>
      </c>
      <c r="K774" s="64" t="s">
        <v>5</v>
      </c>
      <c r="L774" s="75"/>
      <c r="M774" s="39" t="str">
        <f>IF(OR(J774&lt;10,J774&gt;25),"[REDISEÑAR]","[OK")</f>
        <v>[REDISEÑAR]</v>
      </c>
      <c r="N774" s="41" t="s">
        <v>80</v>
      </c>
      <c r="O774" s="42">
        <f>1/J770*(C758/2)^2*PI()</f>
        <v>36.191147369354418</v>
      </c>
      <c r="P774" s="75" t="str">
        <f>"$\phi$"&amp;C758&amp;"@"&amp;J774</f>
        <v>$\phi$12@36</v>
      </c>
    </row>
    <row r="775" spans="2:16" x14ac:dyDescent="0.3">
      <c r="B775" s="75"/>
      <c r="C775" s="75"/>
      <c r="D775" s="75"/>
      <c r="E775" s="75"/>
      <c r="F775" s="75"/>
      <c r="G775" s="75"/>
      <c r="H775" s="75"/>
      <c r="I775" s="31" t="s">
        <v>48</v>
      </c>
      <c r="J775" s="30">
        <f>C762*2*IF(J745/C759&gt;=1,J745/C759,0)</f>
        <v>24.816786767557321</v>
      </c>
      <c r="K775" s="29" t="s">
        <v>17</v>
      </c>
      <c r="L775" s="75"/>
      <c r="M775" s="75"/>
      <c r="N775" s="15"/>
      <c r="O775" s="15"/>
      <c r="P775" s="75"/>
    </row>
    <row r="776" spans="2:16" x14ac:dyDescent="0.3">
      <c r="B776" s="75"/>
      <c r="C776" s="75"/>
      <c r="D776" s="75"/>
      <c r="E776" s="75"/>
      <c r="F776" s="75"/>
      <c r="G776" s="75"/>
      <c r="H776" s="75"/>
      <c r="I776" s="19" t="s">
        <v>81</v>
      </c>
      <c r="J776" s="34">
        <f>MIN(J775*C742/1000,J773)</f>
        <v>104.23050442374075</v>
      </c>
      <c r="K776" s="16" t="s">
        <v>12</v>
      </c>
      <c r="L776" s="75"/>
      <c r="M776" s="40" t="s">
        <v>82</v>
      </c>
      <c r="N776" s="15"/>
      <c r="O776" s="15"/>
      <c r="P776" s="75"/>
    </row>
    <row r="777" spans="2:16" x14ac:dyDescent="0.3">
      <c r="B777" s="75"/>
      <c r="C777" s="75"/>
      <c r="D777" s="75"/>
      <c r="E777" s="75"/>
      <c r="F777" s="75"/>
      <c r="G777" s="75"/>
      <c r="H777" s="75"/>
      <c r="I777" s="19" t="s">
        <v>79</v>
      </c>
      <c r="J777" s="34">
        <f>J776+J768</f>
        <v>133.16310292226396</v>
      </c>
      <c r="K777" s="16" t="s">
        <v>12</v>
      </c>
      <c r="L777" s="75"/>
      <c r="M777" s="39" t="str">
        <f>IF(J777&gt;J766,"[OK]","[REDISEÑAR]")</f>
        <v>[OK]</v>
      </c>
      <c r="N777" s="41" t="str">
        <f>IF(O777&gt;0,"Sobrado","Faltan")</f>
        <v>Sobrado</v>
      </c>
      <c r="O777" s="43">
        <f>J777-J766</f>
        <v>117.7128362555973</v>
      </c>
      <c r="P777" s="75"/>
    </row>
    <row r="778" spans="2:16" x14ac:dyDescent="0.3">
      <c r="B778" s="75"/>
      <c r="C778" s="75"/>
      <c r="D778" s="75"/>
      <c r="E778" s="75"/>
      <c r="F778" s="75"/>
      <c r="G778" s="75"/>
      <c r="H778" s="75"/>
      <c r="J778" s="75"/>
      <c r="K778" s="75"/>
      <c r="L778" s="75"/>
      <c r="M778" s="75"/>
      <c r="N778" s="75"/>
      <c r="O778" s="75"/>
      <c r="P778" s="75"/>
    </row>
    <row r="779" spans="2:16" x14ac:dyDescent="0.3">
      <c r="B779" s="75"/>
      <c r="C779" s="75"/>
      <c r="D779" s="75"/>
      <c r="E779" s="75"/>
      <c r="F779" s="75"/>
      <c r="G779" s="75"/>
      <c r="H779" s="75"/>
      <c r="I779" s="18" t="s">
        <v>45</v>
      </c>
      <c r="J779" s="75"/>
      <c r="K779" s="75"/>
      <c r="L779" s="75"/>
      <c r="M779" s="75"/>
      <c r="N779" s="75"/>
      <c r="O779" s="15"/>
      <c r="P779" s="75"/>
    </row>
    <row r="780" spans="2:16" x14ac:dyDescent="0.3">
      <c r="B780" s="75"/>
      <c r="C780" s="75"/>
      <c r="D780" s="75"/>
      <c r="E780" s="75"/>
      <c r="F780" s="75"/>
      <c r="G780" s="75"/>
      <c r="H780" s="75"/>
      <c r="I780" s="19" t="s">
        <v>40</v>
      </c>
      <c r="J780" s="16">
        <f>J754</f>
        <v>9.2701599999999988</v>
      </c>
      <c r="K780" s="16" t="s">
        <v>12</v>
      </c>
      <c r="L780" s="75"/>
      <c r="M780" s="75"/>
      <c r="N780" s="75"/>
      <c r="O780" s="26"/>
      <c r="P780" s="75"/>
    </row>
    <row r="781" spans="2:16" x14ac:dyDescent="0.3">
      <c r="B781" s="75"/>
      <c r="C781" s="75"/>
      <c r="D781" s="75"/>
      <c r="E781" s="75"/>
      <c r="F781" s="75"/>
      <c r="G781" s="75"/>
      <c r="H781" s="75"/>
      <c r="I781" s="19" t="s">
        <v>46</v>
      </c>
      <c r="J781" s="34">
        <f>J766</f>
        <v>15.450266666666666</v>
      </c>
      <c r="K781" s="16" t="s">
        <v>12</v>
      </c>
      <c r="L781" s="75"/>
      <c r="M781" s="75"/>
      <c r="N781" s="75"/>
      <c r="O781" s="75"/>
      <c r="P781" s="75"/>
    </row>
    <row r="782" spans="2:16" x14ac:dyDescent="0.3">
      <c r="B782" s="75"/>
      <c r="C782" s="75"/>
      <c r="D782" s="75"/>
      <c r="E782" s="75"/>
      <c r="F782" s="75"/>
      <c r="G782" s="75"/>
      <c r="H782" s="75"/>
      <c r="I782" s="19" t="s">
        <v>38</v>
      </c>
      <c r="J782" s="34">
        <f>2/3*J767*SQRT(C741*0.0980665)*(1/0.0980665)/1000</f>
        <v>113.46117058244388</v>
      </c>
      <c r="K782" s="16" t="s">
        <v>12</v>
      </c>
      <c r="L782" s="75"/>
      <c r="M782" s="39" t="str">
        <f>IF(J782&gt;J781,"[OK]","[REDISEÑAR]")</f>
        <v>[OK]</v>
      </c>
      <c r="N782" s="41" t="str">
        <f>IF(O782&gt;0,"Sobrado","Faltan")</f>
        <v>Sobrado</v>
      </c>
      <c r="O782" s="43">
        <f>J782-J781</f>
        <v>98.01090391577722</v>
      </c>
      <c r="P782" s="75"/>
    </row>
    <row r="784" spans="2:16" ht="18" x14ac:dyDescent="0.35">
      <c r="B784" s="48" t="str">
        <f>'EJE 15'!$S$21</f>
        <v>EJE 15.G-L | PIER F33X | PISO 8</v>
      </c>
      <c r="C784" s="75"/>
      <c r="D784" s="75"/>
      <c r="E784" s="75"/>
      <c r="F784" s="75"/>
      <c r="G784" s="75"/>
      <c r="H784" s="75"/>
      <c r="J784" s="75"/>
      <c r="K784" s="75"/>
      <c r="L784" s="75"/>
      <c r="M784" s="75"/>
      <c r="N784" s="75"/>
      <c r="O784" s="75"/>
      <c r="P784" s="75"/>
    </row>
    <row r="785" spans="2:16" x14ac:dyDescent="0.3">
      <c r="B785" s="75"/>
      <c r="C785" s="75"/>
      <c r="D785" s="75"/>
      <c r="E785" s="75"/>
      <c r="F785" s="75"/>
      <c r="G785" s="75"/>
      <c r="H785" s="75"/>
      <c r="J785" s="75"/>
      <c r="K785" s="75"/>
      <c r="L785" s="75"/>
      <c r="M785" s="75"/>
      <c r="N785" s="75"/>
      <c r="O785" s="75"/>
      <c r="P785" s="75"/>
    </row>
    <row r="786" spans="2:16" x14ac:dyDescent="0.3">
      <c r="B786" s="17" t="s">
        <v>6</v>
      </c>
      <c r="C786" s="75"/>
      <c r="D786" s="75"/>
      <c r="E786" s="75"/>
      <c r="F786" s="75"/>
      <c r="G786" s="75"/>
      <c r="H786" s="75"/>
      <c r="I786" s="18" t="s">
        <v>25</v>
      </c>
      <c r="J786" s="75"/>
      <c r="K786" s="75"/>
      <c r="L786" s="75"/>
      <c r="M786" s="75"/>
      <c r="N786" s="75"/>
      <c r="O786" s="75"/>
      <c r="P786" s="75"/>
    </row>
    <row r="787" spans="2:16" x14ac:dyDescent="0.3">
      <c r="B787" s="19" t="s">
        <v>99</v>
      </c>
      <c r="C787" s="61">
        <f>10.1971621297793*'EJE 15'!$G$21</f>
        <v>305.91486389337899</v>
      </c>
      <c r="D787" s="16" t="s">
        <v>8</v>
      </c>
      <c r="E787" s="75"/>
      <c r="F787" s="75"/>
      <c r="G787" s="75"/>
      <c r="H787" s="75"/>
      <c r="I787" s="19" t="s">
        <v>58</v>
      </c>
      <c r="J787" s="16">
        <f>C794/16</f>
        <v>14.375</v>
      </c>
      <c r="K787" s="16" t="s">
        <v>5</v>
      </c>
      <c r="L787" s="21"/>
      <c r="M787" s="39" t="str">
        <f>IF(J787&lt;C792,"[OK]","[REDISEÑAR]")</f>
        <v>[OK]</v>
      </c>
      <c r="N787" s="75"/>
      <c r="O787" s="75"/>
      <c r="P787" s="75"/>
    </row>
    <row r="788" spans="2:16" x14ac:dyDescent="0.3">
      <c r="B788" s="19" t="s">
        <v>30</v>
      </c>
      <c r="C788" s="16">
        <v>4200</v>
      </c>
      <c r="D788" s="16" t="s">
        <v>8</v>
      </c>
      <c r="E788" s="75"/>
      <c r="F788" s="75"/>
      <c r="G788" s="75"/>
      <c r="H788" s="75"/>
      <c r="I788" s="19" t="s">
        <v>16</v>
      </c>
      <c r="J788" s="16">
        <f>C792*C793</f>
        <v>8475</v>
      </c>
      <c r="K788" s="16" t="s">
        <v>17</v>
      </c>
      <c r="L788" s="21"/>
      <c r="M788" s="75"/>
      <c r="N788" s="75"/>
      <c r="O788" s="75"/>
      <c r="P788" s="75"/>
    </row>
    <row r="789" spans="2:16" x14ac:dyDescent="0.3">
      <c r="B789" s="19" t="s">
        <v>31</v>
      </c>
      <c r="C789" s="16">
        <v>2800</v>
      </c>
      <c r="D789" s="16" t="s">
        <v>8</v>
      </c>
      <c r="E789" s="75"/>
      <c r="F789" s="75"/>
      <c r="G789" s="75"/>
      <c r="H789" s="75"/>
      <c r="I789" s="19" t="s">
        <v>51</v>
      </c>
      <c r="J789" s="16">
        <f>MIN(0.8*C793/5,3*C792,45)</f>
        <v>45</v>
      </c>
      <c r="K789" s="16" t="s">
        <v>5</v>
      </c>
      <c r="L789" s="21"/>
      <c r="M789" s="39" t="str">
        <f>IF(J789&gt;C805,"[OK]","[REDISEÑAR]")</f>
        <v>[OK]</v>
      </c>
      <c r="N789" s="75"/>
      <c r="O789" s="75"/>
      <c r="P789" s="75"/>
    </row>
    <row r="790" spans="2:16" x14ac:dyDescent="0.3">
      <c r="B790" s="75"/>
      <c r="C790" s="75"/>
      <c r="D790" s="75"/>
      <c r="E790" s="75"/>
      <c r="F790" s="75"/>
      <c r="G790" s="75"/>
      <c r="H790" s="75"/>
      <c r="I790" s="19" t="s">
        <v>56</v>
      </c>
      <c r="J790" s="16">
        <f>MIN(0.8*C794/3,3*C793,45)</f>
        <v>45</v>
      </c>
      <c r="K790" s="16" t="s">
        <v>5</v>
      </c>
      <c r="L790" s="21"/>
      <c r="M790" s="39" t="str">
        <f>IF(J790&gt;C805,"[OK]","[REDISEÑAR]")</f>
        <v>[OK]</v>
      </c>
      <c r="N790" s="75"/>
      <c r="O790" s="75"/>
      <c r="P790" s="75"/>
    </row>
    <row r="791" spans="2:16" x14ac:dyDescent="0.3">
      <c r="B791" s="17" t="s">
        <v>3</v>
      </c>
      <c r="C791" s="75"/>
      <c r="D791" s="75"/>
      <c r="E791" s="75"/>
      <c r="F791" s="75"/>
      <c r="G791" s="75"/>
      <c r="H791" s="75"/>
      <c r="I791" s="19" t="s">
        <v>62</v>
      </c>
      <c r="J791" s="16">
        <f>0.8*C793</f>
        <v>271.2</v>
      </c>
      <c r="K791" s="29" t="s">
        <v>5</v>
      </c>
      <c r="L791" s="75"/>
      <c r="M791" s="75"/>
      <c r="N791" s="75"/>
      <c r="O791" s="75"/>
      <c r="P791" s="75"/>
    </row>
    <row r="792" spans="2:16" x14ac:dyDescent="0.3">
      <c r="B792" s="19" t="str">
        <f>"Espesor del muro (h)"</f>
        <v>Espesor del muro (h)</v>
      </c>
      <c r="C792" s="49">
        <f>'EJE 15'!$H$21</f>
        <v>25</v>
      </c>
      <c r="D792" s="16" t="s">
        <v>5</v>
      </c>
      <c r="E792" s="75"/>
      <c r="F792" s="75"/>
      <c r="G792" s="75"/>
      <c r="H792" s="75"/>
      <c r="J792" s="75"/>
      <c r="K792" s="75"/>
      <c r="L792" s="75"/>
      <c r="M792" s="75"/>
      <c r="N792" s="75"/>
      <c r="O792" s="75"/>
      <c r="P792" s="75"/>
    </row>
    <row r="793" spans="2:16" x14ac:dyDescent="0.3">
      <c r="B793" s="19" t="s">
        <v>63</v>
      </c>
      <c r="C793" s="49">
        <f>'EJE 15'!$I$21</f>
        <v>339</v>
      </c>
      <c r="D793" s="16" t="s">
        <v>5</v>
      </c>
      <c r="E793" s="75"/>
      <c r="F793" s="75"/>
      <c r="G793" s="75"/>
      <c r="H793" s="75"/>
      <c r="I793" s="18" t="s">
        <v>26</v>
      </c>
      <c r="J793" s="75"/>
      <c r="K793" s="75"/>
      <c r="L793" s="75"/>
      <c r="M793" s="75"/>
      <c r="N793" s="75"/>
      <c r="O793" s="75"/>
      <c r="P793" s="75"/>
    </row>
    <row r="794" spans="2:16" x14ac:dyDescent="0.3">
      <c r="B794" s="19" t="s">
        <v>10</v>
      </c>
      <c r="C794" s="49">
        <f>'EJE 15'!$J$21</f>
        <v>230</v>
      </c>
      <c r="D794" s="16" t="s">
        <v>5</v>
      </c>
      <c r="E794" s="75"/>
      <c r="F794" s="75"/>
      <c r="G794" s="75"/>
      <c r="H794" s="75"/>
      <c r="I794" s="19" t="s">
        <v>28</v>
      </c>
      <c r="J794" s="16">
        <f>0.35*C787</f>
        <v>107.07020236268264</v>
      </c>
      <c r="K794" s="16" t="s">
        <v>8</v>
      </c>
      <c r="L794" s="21"/>
      <c r="M794" s="75"/>
      <c r="N794" s="75"/>
      <c r="O794" s="75"/>
      <c r="P794" s="75"/>
    </row>
    <row r="795" spans="2:16" x14ac:dyDescent="0.3">
      <c r="B795" s="75"/>
      <c r="C795" s="75"/>
      <c r="D795" s="75"/>
      <c r="E795" s="75"/>
      <c r="F795" s="75"/>
      <c r="G795" s="75"/>
      <c r="H795" s="75"/>
      <c r="I795" s="19" t="s">
        <v>27</v>
      </c>
      <c r="J795" s="30">
        <f>C797*1000/J788</f>
        <v>13.130005899705013</v>
      </c>
      <c r="K795" s="16" t="s">
        <v>8</v>
      </c>
      <c r="L795" s="21"/>
      <c r="M795" s="39" t="str">
        <f>IF(J795&lt;J794,"[OK]","[REDISEÑAR]")</f>
        <v>[OK]</v>
      </c>
      <c r="N795" s="41" t="s">
        <v>112</v>
      </c>
      <c r="O795" s="59">
        <f>J795/J794</f>
        <v>0.1226298784346114</v>
      </c>
      <c r="P795" s="75"/>
    </row>
    <row r="796" spans="2:16" x14ac:dyDescent="0.3">
      <c r="B796" s="17" t="s">
        <v>11</v>
      </c>
      <c r="C796" s="75"/>
      <c r="D796" s="75"/>
      <c r="E796" s="75"/>
      <c r="F796" s="75"/>
      <c r="G796" s="75"/>
      <c r="H796" s="75"/>
      <c r="J796" s="75"/>
      <c r="K796" s="75"/>
      <c r="L796" s="75"/>
      <c r="M796" s="75"/>
      <c r="N796" s="75"/>
      <c r="O796" s="75"/>
      <c r="P796" s="75"/>
    </row>
    <row r="797" spans="2:16" x14ac:dyDescent="0.3">
      <c r="B797" s="19" t="str">
        <f>"$N_U$"</f>
        <v>$N_U$</v>
      </c>
      <c r="C797" s="60">
        <f>'EJE 15'!$K$22</f>
        <v>111.27679999999999</v>
      </c>
      <c r="D797" s="16" t="s">
        <v>12</v>
      </c>
      <c r="E797" s="75"/>
      <c r="F797" s="75"/>
      <c r="G797" s="75"/>
      <c r="H797" s="75"/>
      <c r="I797" s="18" t="s">
        <v>54</v>
      </c>
      <c r="J797" s="75"/>
      <c r="K797" s="75"/>
      <c r="L797" s="75"/>
      <c r="M797" s="75"/>
      <c r="N797" s="75"/>
      <c r="O797" s="75"/>
      <c r="P797" s="75"/>
    </row>
    <row r="798" spans="2:16" x14ac:dyDescent="0.3">
      <c r="B798" s="19" t="s">
        <v>14</v>
      </c>
      <c r="C798" s="60">
        <f>'EJE 15'!$L$22</f>
        <v>0.3508</v>
      </c>
      <c r="D798" s="16" t="s">
        <v>12</v>
      </c>
      <c r="E798" s="75"/>
      <c r="F798" s="75"/>
      <c r="G798" s="75"/>
      <c r="H798" s="75"/>
      <c r="I798" s="19" t="s">
        <v>72</v>
      </c>
      <c r="J798" s="16">
        <f>1.2*C798+C799+1.4*C800</f>
        <v>8.6007999999999996</v>
      </c>
      <c r="K798" s="16" t="s">
        <v>12</v>
      </c>
      <c r="L798" s="75"/>
      <c r="M798" s="75" t="s">
        <v>68</v>
      </c>
      <c r="N798" s="75"/>
      <c r="O798" s="75"/>
      <c r="P798" s="75"/>
    </row>
    <row r="799" spans="2:16" x14ac:dyDescent="0.3">
      <c r="B799" s="19" t="s">
        <v>13</v>
      </c>
      <c r="C799" s="60">
        <f>'EJE 15'!$M$22</f>
        <v>0.28370000000000001</v>
      </c>
      <c r="D799" s="16" t="s">
        <v>12</v>
      </c>
      <c r="E799" s="75"/>
      <c r="F799" s="75"/>
      <c r="G799" s="75"/>
      <c r="H799" s="75"/>
      <c r="I799" s="19" t="s">
        <v>69</v>
      </c>
      <c r="J799" s="16">
        <f>SUM(C798:C800)</f>
        <v>6.2746000000000004</v>
      </c>
      <c r="K799" s="16" t="s">
        <v>12</v>
      </c>
      <c r="L799" s="75"/>
      <c r="M799" s="75" t="s">
        <v>70</v>
      </c>
      <c r="N799" s="75"/>
      <c r="O799" s="75"/>
      <c r="P799" s="75"/>
    </row>
    <row r="800" spans="2:16" x14ac:dyDescent="0.3">
      <c r="B800" s="19" t="s">
        <v>15</v>
      </c>
      <c r="C800" s="60">
        <f>'EJE 15'!$N$22</f>
        <v>5.6401000000000003</v>
      </c>
      <c r="D800" s="16" t="s">
        <v>12</v>
      </c>
      <c r="E800" s="75"/>
      <c r="F800" s="75"/>
      <c r="G800" s="75"/>
      <c r="H800" s="75"/>
      <c r="I800" s="19" t="s">
        <v>73</v>
      </c>
      <c r="J800" s="16">
        <f>IF(C801=0,J798,C801)</f>
        <v>8.6007999999999996</v>
      </c>
      <c r="K800" s="16" t="s">
        <v>12</v>
      </c>
      <c r="L800" s="75"/>
      <c r="M800" s="40" t="s">
        <v>74</v>
      </c>
      <c r="N800" s="75"/>
      <c r="O800" s="75"/>
      <c r="P800" s="75"/>
    </row>
    <row r="801" spans="2:16" x14ac:dyDescent="0.3">
      <c r="B801" s="19" t="s">
        <v>55</v>
      </c>
      <c r="C801" s="16">
        <v>0</v>
      </c>
      <c r="D801" s="16" t="s">
        <v>12</v>
      </c>
      <c r="E801" s="75"/>
      <c r="F801" s="75"/>
      <c r="G801" s="75"/>
      <c r="H801" s="75"/>
      <c r="I801" s="19" t="s">
        <v>71</v>
      </c>
      <c r="J801" s="16">
        <f>IF(C801=0,J799,C801)</f>
        <v>6.2746000000000004</v>
      </c>
      <c r="K801" s="16" t="s">
        <v>12</v>
      </c>
      <c r="L801" s="75"/>
      <c r="M801" s="40" t="s">
        <v>75</v>
      </c>
      <c r="N801" s="75"/>
      <c r="O801" s="75"/>
      <c r="P801" s="75"/>
    </row>
    <row r="802" spans="2:16" x14ac:dyDescent="0.3">
      <c r="B802" s="75"/>
      <c r="C802" s="75"/>
      <c r="D802" s="75"/>
      <c r="E802" s="75"/>
      <c r="F802" s="75"/>
      <c r="G802" s="75"/>
      <c r="H802" s="75"/>
      <c r="J802" s="75"/>
      <c r="K802" s="75"/>
      <c r="L802" s="75"/>
      <c r="M802" s="75"/>
      <c r="N802" s="75"/>
      <c r="O802" s="75"/>
      <c r="P802" s="75"/>
    </row>
    <row r="803" spans="2:16" x14ac:dyDescent="0.3">
      <c r="B803" s="33" t="s">
        <v>42</v>
      </c>
      <c r="C803" s="75"/>
      <c r="D803" s="75"/>
      <c r="E803" s="75"/>
      <c r="F803" s="75"/>
      <c r="G803" s="75"/>
      <c r="H803" s="75"/>
      <c r="I803" s="27" t="s">
        <v>76</v>
      </c>
      <c r="J803" s="75"/>
      <c r="K803" s="75"/>
      <c r="L803" s="75"/>
      <c r="M803" s="75"/>
      <c r="N803" s="75"/>
      <c r="O803" s="75"/>
      <c r="P803" s="75"/>
    </row>
    <row r="804" spans="2:16" x14ac:dyDescent="0.3">
      <c r="B804" s="31" t="s">
        <v>41</v>
      </c>
      <c r="C804" s="16">
        <v>10</v>
      </c>
      <c r="D804" s="29" t="s">
        <v>35</v>
      </c>
      <c r="E804" s="75"/>
      <c r="F804" s="75"/>
      <c r="G804" s="75"/>
      <c r="H804" s="75"/>
      <c r="I804" s="19" t="s">
        <v>29</v>
      </c>
      <c r="J804" s="30">
        <f>J801*1000/J788</f>
        <v>0.74036578171091449</v>
      </c>
      <c r="K804" s="29" t="s">
        <v>8</v>
      </c>
      <c r="L804" s="75"/>
      <c r="M804" s="75"/>
      <c r="N804" s="75"/>
      <c r="O804" s="75"/>
      <c r="P804" s="75"/>
    </row>
    <row r="805" spans="2:16" x14ac:dyDescent="0.3">
      <c r="B805" s="31" t="s">
        <v>43</v>
      </c>
      <c r="C805" s="16">
        <v>14</v>
      </c>
      <c r="D805" s="29" t="s">
        <v>5</v>
      </c>
      <c r="E805" s="75"/>
      <c r="F805" s="39" t="str">
        <f>IF(OR(C805&gt;25,C805&lt;10),"[REDISEÑAR]",IF(AND(C805&lt;=J806,C805&lt;=J820),"[OK]","[REDISEÑAR]"))</f>
        <v>[OK]</v>
      </c>
      <c r="G805" s="75"/>
      <c r="H805" s="75"/>
      <c r="I805" s="19" t="s">
        <v>61</v>
      </c>
      <c r="J805" s="37">
        <f>MAX(J804*100*C792/(2*C789),C809)</f>
        <v>3.125</v>
      </c>
      <c r="K805" s="29" t="s">
        <v>32</v>
      </c>
      <c r="L805" s="75"/>
      <c r="M805" s="15"/>
      <c r="N805" s="15"/>
      <c r="O805" s="15"/>
      <c r="P805" s="75"/>
    </row>
    <row r="806" spans="2:16" x14ac:dyDescent="0.3">
      <c r="B806" s="75"/>
      <c r="C806" s="50" t="str">
        <f>"$\phi$"&amp;C804&amp;"@"&amp;C805</f>
        <v>$\phi$10@14</v>
      </c>
      <c r="D806" s="75"/>
      <c r="E806" s="75"/>
      <c r="F806" s="39" t="str">
        <f>IF(OR(J805=C809,J816=C809),"[ÁREA MINIMA]","[]")</f>
        <v>[ÁREA MINIMA]</v>
      </c>
      <c r="G806" s="75"/>
      <c r="H806" s="75"/>
      <c r="I806" s="63" t="s">
        <v>34</v>
      </c>
      <c r="J806" s="63">
        <f>ROUNDDOWN((1/J805)*C808*100,0)</f>
        <v>25</v>
      </c>
      <c r="K806" s="64" t="s">
        <v>5</v>
      </c>
      <c r="L806" s="75"/>
      <c r="M806" s="39" t="str">
        <f>IF(OR(J806&lt;10,J806&gt;25),"[REDISEÑAR]","[OK")</f>
        <v>[OK</v>
      </c>
      <c r="N806" s="41" t="s">
        <v>80</v>
      </c>
      <c r="O806" s="42">
        <f>1/J805*(C804/2)^2*PI()</f>
        <v>25.132741228718345</v>
      </c>
      <c r="P806" s="75" t="str">
        <f>"$\phi$"&amp;C804&amp;"@"&amp;J806</f>
        <v>$\phi$10@25</v>
      </c>
    </row>
    <row r="807" spans="2:16" x14ac:dyDescent="0.3">
      <c r="B807" s="18" t="s">
        <v>52</v>
      </c>
      <c r="C807" s="75"/>
      <c r="D807" s="75"/>
      <c r="E807" s="75"/>
      <c r="F807" s="62" t="str">
        <f>IF(J795&lt;J794,IF(J823&gt;J812,"[OK]","[REDISEÑAR]"),"[REDISEÑAR]")</f>
        <v>[OK]</v>
      </c>
      <c r="G807" s="75"/>
      <c r="H807" s="75"/>
      <c r="I807" s="31" t="s">
        <v>48</v>
      </c>
      <c r="J807" s="30">
        <f>C808*2*IF(C793/C805&gt;=1,C793/C805,0)</f>
        <v>38.035711055962139</v>
      </c>
      <c r="K807" s="29" t="s">
        <v>17</v>
      </c>
      <c r="L807" s="75"/>
      <c r="M807" s="75"/>
      <c r="N807" s="15"/>
      <c r="O807" s="44"/>
      <c r="P807" s="75"/>
    </row>
    <row r="808" spans="2:16" x14ac:dyDescent="0.3">
      <c r="B808" s="31" t="s">
        <v>66</v>
      </c>
      <c r="C808" s="30">
        <f>(C804/(2*10))^2*PI()</f>
        <v>0.78539816339744828</v>
      </c>
      <c r="D808" s="29" t="s">
        <v>17</v>
      </c>
      <c r="E808" s="75"/>
      <c r="F808" s="75"/>
      <c r="G808" s="75"/>
      <c r="H808" s="75"/>
      <c r="I808" s="19" t="s">
        <v>49</v>
      </c>
      <c r="J808" s="34">
        <f>C789*J807/1000</f>
        <v>106.49999095669399</v>
      </c>
      <c r="K808" s="16" t="s">
        <v>12</v>
      </c>
      <c r="L808" s="75"/>
      <c r="M808" s="39" t="str">
        <f>IF(J808&gt;J801,"[OK]","[REDISEÑAR]")</f>
        <v>[OK]</v>
      </c>
      <c r="N808" s="41" t="str">
        <f>IF(O808&gt;0,"Sobrado","Faltan")</f>
        <v>Sobrado</v>
      </c>
      <c r="O808" s="43">
        <f>J808-J801</f>
        <v>100.22539095669399</v>
      </c>
      <c r="P808" s="75"/>
    </row>
    <row r="809" spans="2:16" x14ac:dyDescent="0.3">
      <c r="B809" s="31" t="s">
        <v>78</v>
      </c>
      <c r="C809" s="37">
        <f>2.5/1000*100*C792/2</f>
        <v>3.125</v>
      </c>
      <c r="D809" s="16" t="s">
        <v>17</v>
      </c>
      <c r="E809" s="75"/>
      <c r="F809" s="75"/>
      <c r="G809" s="75"/>
      <c r="H809" s="75"/>
      <c r="J809" s="75"/>
      <c r="K809" s="75"/>
      <c r="L809" s="75"/>
      <c r="M809" s="75"/>
      <c r="N809" s="75"/>
      <c r="O809" s="15"/>
      <c r="P809" s="75"/>
    </row>
    <row r="810" spans="2:16" x14ac:dyDescent="0.3">
      <c r="B810" s="31" t="s">
        <v>114</v>
      </c>
      <c r="C810" s="37">
        <f>C808*100/C805</f>
        <v>5.6099868814103448</v>
      </c>
      <c r="D810" s="29" t="s">
        <v>32</v>
      </c>
      <c r="E810" s="75"/>
      <c r="F810" s="75"/>
      <c r="G810" s="75"/>
      <c r="H810" s="75"/>
      <c r="I810" s="18" t="s">
        <v>77</v>
      </c>
      <c r="J810" s="75"/>
      <c r="K810" s="75"/>
      <c r="L810" s="75"/>
      <c r="M810" s="17" t="s">
        <v>67</v>
      </c>
      <c r="N810" s="75"/>
      <c r="O810" s="75"/>
      <c r="P810" s="75"/>
    </row>
    <row r="811" spans="2:16" x14ac:dyDescent="0.3">
      <c r="B811" s="75"/>
      <c r="C811" s="75"/>
      <c r="D811" s="75"/>
      <c r="E811" s="75"/>
      <c r="F811" s="75"/>
      <c r="G811" s="75"/>
      <c r="H811" s="75"/>
      <c r="I811" s="19" t="s">
        <v>33</v>
      </c>
      <c r="J811" s="16">
        <v>0.6</v>
      </c>
      <c r="K811" s="16" t="s">
        <v>50</v>
      </c>
      <c r="L811" s="75"/>
      <c r="M811" s="19" t="s">
        <v>64</v>
      </c>
      <c r="N811" s="30">
        <f>SQRT(C787*0.0980665)*(1/0.0980665)/1000*J813*0.17</f>
        <v>51.211241914522745</v>
      </c>
      <c r="O811" s="16" t="s">
        <v>12</v>
      </c>
      <c r="P811" s="75"/>
    </row>
    <row r="812" spans="2:16" x14ac:dyDescent="0.3">
      <c r="B812" s="17" t="s">
        <v>37</v>
      </c>
      <c r="C812" s="75"/>
      <c r="D812" s="75"/>
      <c r="E812" s="75"/>
      <c r="F812" s="75"/>
      <c r="G812" s="75"/>
      <c r="H812" s="75"/>
      <c r="I812" s="19" t="s">
        <v>46</v>
      </c>
      <c r="J812" s="34">
        <f>J800/J811</f>
        <v>14.334666666666667</v>
      </c>
      <c r="K812" s="16" t="s">
        <v>12</v>
      </c>
      <c r="L812" s="75"/>
      <c r="M812" s="19" t="s">
        <v>57</v>
      </c>
      <c r="N812" s="16">
        <f>IF(C794/J791&lt;=1.5,0.25,IF(C794/J791&gt;=2,0.17,0.17+(0.25-0.17)/(C794/J791-1.5)*C794/J791))</f>
        <v>0.25</v>
      </c>
      <c r="O812" s="29" t="s">
        <v>50</v>
      </c>
      <c r="P812" s="75"/>
    </row>
    <row r="813" spans="2:16" x14ac:dyDescent="0.3">
      <c r="B813" s="31" t="s">
        <v>115</v>
      </c>
      <c r="C813" s="37">
        <f>O808</f>
        <v>100.22539095669399</v>
      </c>
      <c r="D813" s="29" t="s">
        <v>12</v>
      </c>
      <c r="E813" s="75"/>
      <c r="F813" s="75"/>
      <c r="G813" s="75"/>
      <c r="H813" s="75"/>
      <c r="I813" s="19" t="s">
        <v>36</v>
      </c>
      <c r="J813" s="35">
        <f>J791*C792*0.8-J821</f>
        <v>5393.5714311552301</v>
      </c>
      <c r="K813" s="16" t="s">
        <v>17</v>
      </c>
      <c r="L813" s="75"/>
      <c r="M813" s="19" t="s">
        <v>59</v>
      </c>
      <c r="N813" s="30">
        <f>SQRT(C787*0.0980665)*(1/0.0980665)/1000*J813*N812</f>
        <v>75.31064987429815</v>
      </c>
      <c r="O813" s="29" t="s">
        <v>12</v>
      </c>
      <c r="P813" s="75"/>
    </row>
    <row r="814" spans="2:16" x14ac:dyDescent="0.3">
      <c r="B814" s="31" t="s">
        <v>116</v>
      </c>
      <c r="C814" s="37">
        <f>O823</f>
        <v>164.67656439588885</v>
      </c>
      <c r="D814" s="29" t="s">
        <v>12</v>
      </c>
      <c r="E814" s="75"/>
      <c r="F814" s="75"/>
      <c r="G814" s="75"/>
      <c r="H814" s="75"/>
      <c r="I814" s="19" t="s">
        <v>60</v>
      </c>
      <c r="J814" s="34">
        <f>MIN(N813,N811)</f>
        <v>51.211241914522745</v>
      </c>
      <c r="K814" s="29" t="s">
        <v>12</v>
      </c>
      <c r="L814" s="75"/>
      <c r="M814" s="75"/>
      <c r="N814" s="75"/>
      <c r="O814" s="75"/>
      <c r="P814" s="75"/>
    </row>
    <row r="815" spans="2:16" x14ac:dyDescent="0.3">
      <c r="B815" s="19" t="s">
        <v>117</v>
      </c>
      <c r="C815" s="36">
        <f>C808*2*C793/C805/J788</f>
        <v>4.4879895051282755E-3</v>
      </c>
      <c r="D815" s="16" t="s">
        <v>50</v>
      </c>
      <c r="E815" s="75"/>
      <c r="F815" s="75"/>
      <c r="G815" s="75"/>
      <c r="H815" s="75"/>
      <c r="I815" s="19" t="s">
        <v>39</v>
      </c>
      <c r="J815" s="34">
        <f>J812-J814</f>
        <v>-36.876575247856081</v>
      </c>
      <c r="K815" s="16" t="s">
        <v>12</v>
      </c>
      <c r="L815" s="75"/>
      <c r="M815" s="75"/>
      <c r="N815" s="75"/>
      <c r="O815" s="75"/>
      <c r="P815" s="75"/>
    </row>
    <row r="816" spans="2:16" x14ac:dyDescent="0.3">
      <c r="B816" s="75"/>
      <c r="C816" s="75"/>
      <c r="D816" s="75"/>
      <c r="E816" s="75"/>
      <c r="F816" s="75"/>
      <c r="G816" s="75"/>
      <c r="H816" s="75"/>
      <c r="I816" s="19" t="s">
        <v>61</v>
      </c>
      <c r="J816" s="37">
        <f>MAX(J815/(C788*J791/1000/100)/2,C809)</f>
        <v>3.125</v>
      </c>
      <c r="K816" s="29" t="s">
        <v>32</v>
      </c>
      <c r="L816" s="75"/>
      <c r="M816" s="75"/>
      <c r="N816" s="75"/>
      <c r="O816" s="75"/>
      <c r="P816" s="75"/>
    </row>
    <row r="817" spans="2:33" x14ac:dyDescent="0.3">
      <c r="B817" s="75"/>
      <c r="C817" s="75"/>
      <c r="D817" s="75"/>
      <c r="E817" s="75"/>
      <c r="F817" s="75"/>
      <c r="G817" s="75"/>
      <c r="H817" s="75"/>
      <c r="I817" s="19" t="s">
        <v>65</v>
      </c>
      <c r="J817" s="36">
        <f>J816/C792/100*2</f>
        <v>2.5000000000000001E-3</v>
      </c>
      <c r="K817" s="16" t="s">
        <v>50</v>
      </c>
      <c r="L817" s="75"/>
      <c r="M817" s="75"/>
      <c r="N817" s="75"/>
      <c r="O817" s="75"/>
      <c r="P817" s="75"/>
    </row>
    <row r="818" spans="2:33" x14ac:dyDescent="0.3">
      <c r="B818" s="75"/>
      <c r="C818" s="75"/>
      <c r="D818" s="75"/>
      <c r="E818" s="75"/>
      <c r="F818" s="75"/>
      <c r="G818" s="75"/>
      <c r="H818" s="75"/>
      <c r="I818" s="19" t="s">
        <v>53</v>
      </c>
      <c r="J818" s="16">
        <f>MAX(0.0025,0.0025*0.5*(2.5-C792/(C793*0.8))*(J817-0.0025))</f>
        <v>2.5000000000000001E-3</v>
      </c>
      <c r="K818" s="29" t="s">
        <v>50</v>
      </c>
      <c r="L818" s="75"/>
      <c r="M818" s="39" t="str">
        <f>IF(OR(J817&gt;J818,ABS(J817-J818)&lt;0.0001),"[OK]","[REDISEÑAR]")</f>
        <v>[OK]</v>
      </c>
      <c r="N818" s="75"/>
      <c r="O818" s="75"/>
      <c r="P818" s="75"/>
    </row>
    <row r="819" spans="2:33" x14ac:dyDescent="0.3">
      <c r="B819" s="75"/>
      <c r="C819" s="75"/>
      <c r="D819" s="75"/>
      <c r="E819" s="75"/>
      <c r="F819" s="75"/>
      <c r="G819" s="75"/>
      <c r="H819" s="75"/>
      <c r="I819" s="19" t="s">
        <v>47</v>
      </c>
      <c r="J819" s="34">
        <f>SQRT(C787*0.0980665)*(1/0.0980665)/1000*0.66*0.8*C793*C792</f>
        <v>249.92723308409288</v>
      </c>
      <c r="K819" s="16" t="s">
        <v>12</v>
      </c>
      <c r="L819" s="75"/>
      <c r="M819" s="40" t="s">
        <v>44</v>
      </c>
      <c r="N819" s="75"/>
      <c r="O819" s="15"/>
      <c r="P819" s="75"/>
    </row>
    <row r="820" spans="2:33" x14ac:dyDescent="0.3">
      <c r="B820" s="75"/>
      <c r="C820" s="75"/>
      <c r="D820" s="75"/>
      <c r="E820" s="75"/>
      <c r="F820" s="75"/>
      <c r="G820" s="75"/>
      <c r="H820" s="75"/>
      <c r="I820" s="63" t="s">
        <v>34</v>
      </c>
      <c r="J820" s="63">
        <f>ROUNDDOWN(1/J816*C808*100,0)</f>
        <v>25</v>
      </c>
      <c r="K820" s="64" t="s">
        <v>5</v>
      </c>
      <c r="L820" s="75"/>
      <c r="M820" s="39" t="str">
        <f>IF(OR(J820&lt;10,J820&gt;25),"[REDISEÑAR]","[OK")</f>
        <v>[OK</v>
      </c>
      <c r="N820" s="41" t="s">
        <v>80</v>
      </c>
      <c r="O820" s="42">
        <f>1/J816*(C804/2)^2*PI()</f>
        <v>25.132741228718345</v>
      </c>
      <c r="P820" s="75" t="str">
        <f>"$\phi$"&amp;C804&amp;"@"&amp;J820</f>
        <v>$\phi$10@25</v>
      </c>
    </row>
    <row r="821" spans="2:33" x14ac:dyDescent="0.3">
      <c r="B821" s="75"/>
      <c r="C821" s="75"/>
      <c r="D821" s="75"/>
      <c r="E821" s="75"/>
      <c r="F821" s="75"/>
      <c r="G821" s="75"/>
      <c r="H821" s="75"/>
      <c r="I821" s="31" t="s">
        <v>48</v>
      </c>
      <c r="J821" s="30">
        <f>C808*2*IF(J791/C805&gt;=1,J791/C805,0)</f>
        <v>30.428568844769707</v>
      </c>
      <c r="K821" s="29" t="s">
        <v>17</v>
      </c>
      <c r="L821" s="75"/>
      <c r="M821" s="75"/>
      <c r="N821" s="15"/>
      <c r="O821" s="15"/>
      <c r="P821" s="75"/>
    </row>
    <row r="822" spans="2:33" x14ac:dyDescent="0.3">
      <c r="B822" s="75"/>
      <c r="C822" s="75"/>
      <c r="D822" s="75"/>
      <c r="E822" s="75"/>
      <c r="F822" s="75"/>
      <c r="G822" s="75"/>
      <c r="H822" s="75"/>
      <c r="I822" s="19" t="s">
        <v>81</v>
      </c>
      <c r="J822" s="34">
        <f>MIN(J821*C788/1000,J819)</f>
        <v>127.79998914803276</v>
      </c>
      <c r="K822" s="16" t="s">
        <v>12</v>
      </c>
      <c r="L822" s="75"/>
      <c r="M822" s="40" t="s">
        <v>82</v>
      </c>
      <c r="N822" s="15"/>
      <c r="O822" s="15"/>
      <c r="P822" s="75"/>
    </row>
    <row r="823" spans="2:33" x14ac:dyDescent="0.3">
      <c r="B823" s="75"/>
      <c r="C823" s="75"/>
      <c r="D823" s="75"/>
      <c r="E823" s="75"/>
      <c r="F823" s="75"/>
      <c r="G823" s="75"/>
      <c r="H823" s="75"/>
      <c r="I823" s="19" t="s">
        <v>79</v>
      </c>
      <c r="J823" s="34">
        <f>J822+J814</f>
        <v>179.01123106255551</v>
      </c>
      <c r="K823" s="16" t="s">
        <v>12</v>
      </c>
      <c r="L823" s="75"/>
      <c r="M823" s="39" t="str">
        <f>IF(J823&gt;J812,"[OK]","[REDISEÑAR]")</f>
        <v>[OK]</v>
      </c>
      <c r="N823" s="41" t="str">
        <f>IF(O823&gt;0,"Sobrado","Faltan")</f>
        <v>Sobrado</v>
      </c>
      <c r="O823" s="43">
        <f>J823-J812</f>
        <v>164.67656439588885</v>
      </c>
      <c r="P823" s="75"/>
    </row>
    <row r="824" spans="2:33" x14ac:dyDescent="0.3">
      <c r="B824" s="75"/>
      <c r="C824" s="75"/>
      <c r="D824" s="75"/>
      <c r="E824" s="75"/>
      <c r="F824" s="75"/>
      <c r="G824" s="75"/>
      <c r="H824" s="75"/>
      <c r="J824" s="75"/>
      <c r="K824" s="75"/>
      <c r="L824" s="75"/>
      <c r="M824" s="75"/>
      <c r="N824" s="75"/>
      <c r="O824" s="75"/>
      <c r="P824" s="75"/>
    </row>
    <row r="825" spans="2:33" x14ac:dyDescent="0.3">
      <c r="B825" s="75"/>
      <c r="C825" s="75"/>
      <c r="D825" s="75"/>
      <c r="E825" s="75"/>
      <c r="F825" s="75"/>
      <c r="G825" s="75"/>
      <c r="H825" s="75"/>
      <c r="I825" s="18" t="s">
        <v>45</v>
      </c>
      <c r="J825" s="75"/>
      <c r="K825" s="75"/>
      <c r="L825" s="75"/>
      <c r="M825" s="75"/>
      <c r="N825" s="75"/>
      <c r="O825" s="15"/>
      <c r="P825" s="75"/>
    </row>
    <row r="826" spans="2:33" x14ac:dyDescent="0.3">
      <c r="B826" s="75"/>
      <c r="C826" s="75"/>
      <c r="D826" s="75"/>
      <c r="E826" s="75"/>
      <c r="F826" s="75"/>
      <c r="G826" s="75"/>
      <c r="H826" s="75"/>
      <c r="I826" s="19" t="s">
        <v>40</v>
      </c>
      <c r="J826" s="16">
        <f>J800</f>
        <v>8.6007999999999996</v>
      </c>
      <c r="K826" s="16" t="s">
        <v>12</v>
      </c>
      <c r="L826" s="75"/>
      <c r="M826" s="75"/>
      <c r="N826" s="75"/>
      <c r="O826" s="26"/>
      <c r="P826" s="75"/>
    </row>
    <row r="827" spans="2:33" x14ac:dyDescent="0.3">
      <c r="B827" s="75"/>
      <c r="C827" s="75"/>
      <c r="D827" s="75"/>
      <c r="E827" s="75"/>
      <c r="F827" s="75"/>
      <c r="G827" s="75"/>
      <c r="H827" s="75"/>
      <c r="I827" s="19" t="s">
        <v>46</v>
      </c>
      <c r="J827" s="34">
        <f>J812</f>
        <v>14.334666666666667</v>
      </c>
      <c r="K827" s="16" t="s">
        <v>12</v>
      </c>
      <c r="L827" s="75"/>
      <c r="M827" s="75"/>
      <c r="N827" s="75"/>
      <c r="O827" s="75"/>
      <c r="P827" s="75"/>
    </row>
    <row r="828" spans="2:33" x14ac:dyDescent="0.3">
      <c r="B828" s="75"/>
      <c r="C828" s="75"/>
      <c r="D828" s="75"/>
      <c r="E828" s="75"/>
      <c r="F828" s="75"/>
      <c r="G828" s="75"/>
      <c r="H828" s="75"/>
      <c r="I828" s="19" t="s">
        <v>38</v>
      </c>
      <c r="J828" s="34">
        <f>2/3*J813*SQRT(C787*0.0980665)*(1/0.0980665)/1000</f>
        <v>200.82839966479511</v>
      </c>
      <c r="K828" s="16" t="s">
        <v>12</v>
      </c>
      <c r="L828" s="75"/>
      <c r="M828" s="39" t="str">
        <f>IF(J828&gt;J827,"[OK]","[REDISEÑAR]")</f>
        <v>[OK]</v>
      </c>
      <c r="N828" s="41" t="str">
        <f>IF(O828&gt;0,"Sobrado","Faltan")</f>
        <v>Sobrado</v>
      </c>
      <c r="O828" s="43">
        <f>J828-J827</f>
        <v>186.49373299812845</v>
      </c>
      <c r="P828" s="75"/>
    </row>
    <row r="830" spans="2:33" ht="18" x14ac:dyDescent="0.35">
      <c r="B830" s="48" t="str">
        <f>'EJE 15'!$S$22</f>
        <v>EJE 15.C-C1 | PIER F31X | PISO 9</v>
      </c>
      <c r="C830" s="75"/>
      <c r="D830" s="75"/>
      <c r="E830" s="75"/>
      <c r="F830" s="75"/>
      <c r="G830" s="75"/>
      <c r="H830" s="75"/>
      <c r="J830" s="75"/>
      <c r="K830" s="75"/>
      <c r="L830" s="75"/>
      <c r="M830" s="75"/>
      <c r="N830" s="75"/>
      <c r="O830" s="75"/>
      <c r="P830" s="75"/>
      <c r="R830" s="48" t="str">
        <f>'EJE 15'!$S$23</f>
        <v>EJE 15.G-L | PIER F33X | PISO 9</v>
      </c>
      <c r="S830" s="75"/>
      <c r="T830" s="75"/>
      <c r="U830" s="75"/>
      <c r="V830" s="75"/>
      <c r="W830" s="75"/>
      <c r="X830" s="75"/>
      <c r="Y830" s="15"/>
      <c r="Z830" s="75"/>
      <c r="AA830" s="75"/>
      <c r="AB830" s="75"/>
      <c r="AC830" s="75"/>
      <c r="AD830" s="75"/>
      <c r="AE830" s="75"/>
      <c r="AF830" s="75"/>
      <c r="AG830" s="75"/>
    </row>
    <row r="831" spans="2:33" x14ac:dyDescent="0.3">
      <c r="B831" s="75"/>
      <c r="C831" s="75"/>
      <c r="D831" s="75"/>
      <c r="E831" s="75"/>
      <c r="F831" s="75"/>
      <c r="G831" s="75"/>
      <c r="H831" s="75"/>
      <c r="J831" s="75"/>
      <c r="K831" s="75"/>
      <c r="L831" s="75"/>
      <c r="M831" s="75"/>
      <c r="N831" s="75"/>
      <c r="O831" s="75"/>
      <c r="P831" s="75"/>
      <c r="R831" s="75"/>
      <c r="S831" s="75"/>
      <c r="T831" s="75"/>
      <c r="U831" s="75"/>
      <c r="V831" s="75"/>
      <c r="W831" s="75"/>
      <c r="X831" s="75"/>
      <c r="Y831" s="15"/>
      <c r="Z831" s="75"/>
      <c r="AA831" s="75"/>
      <c r="AB831" s="75"/>
      <c r="AC831" s="75"/>
      <c r="AD831" s="75"/>
      <c r="AE831" s="75"/>
      <c r="AF831" s="75"/>
      <c r="AG831" s="75"/>
    </row>
    <row r="832" spans="2:33" x14ac:dyDescent="0.3">
      <c r="B832" s="17" t="s">
        <v>6</v>
      </c>
      <c r="C832" s="75"/>
      <c r="D832" s="75"/>
      <c r="E832" s="75"/>
      <c r="F832" s="75"/>
      <c r="G832" s="75"/>
      <c r="H832" s="75"/>
      <c r="I832" s="18" t="s">
        <v>25</v>
      </c>
      <c r="J832" s="75"/>
      <c r="K832" s="75"/>
      <c r="L832" s="75"/>
      <c r="M832" s="75"/>
      <c r="N832" s="75"/>
      <c r="O832" s="75"/>
      <c r="P832" s="75"/>
      <c r="R832" s="17" t="s">
        <v>6</v>
      </c>
      <c r="S832" s="75"/>
      <c r="T832" s="75"/>
      <c r="U832" s="75"/>
      <c r="V832" s="75"/>
      <c r="W832" s="75"/>
      <c r="X832" s="75"/>
      <c r="Y832" s="18" t="s">
        <v>25</v>
      </c>
      <c r="Z832" s="75"/>
      <c r="AA832" s="75"/>
      <c r="AB832" s="75"/>
      <c r="AC832" s="75"/>
      <c r="AD832" s="75"/>
      <c r="AE832" s="75"/>
      <c r="AF832" s="75"/>
      <c r="AG832" s="75"/>
    </row>
    <row r="833" spans="2:33" x14ac:dyDescent="0.3">
      <c r="B833" s="19" t="s">
        <v>99</v>
      </c>
      <c r="C833" s="61">
        <f>10.1971621297793*'EJE 15'!$G$22</f>
        <v>305.91486389337899</v>
      </c>
      <c r="D833" s="16" t="s">
        <v>8</v>
      </c>
      <c r="E833" s="75"/>
      <c r="F833" s="75"/>
      <c r="G833" s="75"/>
      <c r="H833" s="75"/>
      <c r="I833" s="19" t="s">
        <v>58</v>
      </c>
      <c r="J833" s="16">
        <f>C840/16</f>
        <v>14.375</v>
      </c>
      <c r="K833" s="16" t="s">
        <v>5</v>
      </c>
      <c r="L833" s="21"/>
      <c r="M833" s="39" t="str">
        <f>IF(J833&lt;C838,"[OK]","[REDISEÑAR]")</f>
        <v>[OK]</v>
      </c>
      <c r="N833" s="75"/>
      <c r="O833" s="75"/>
      <c r="P833" s="75"/>
      <c r="R833" s="19" t="s">
        <v>99</v>
      </c>
      <c r="S833" s="61">
        <f>10.1971621297793*'EJE 15'!$G$23</f>
        <v>305.91486389337899</v>
      </c>
      <c r="T833" s="16" t="s">
        <v>8</v>
      </c>
      <c r="U833" s="75"/>
      <c r="V833" s="75"/>
      <c r="W833" s="75"/>
      <c r="X833" s="75"/>
      <c r="Y833" s="19" t="s">
        <v>58</v>
      </c>
      <c r="Z833" s="16">
        <f>S840/16</f>
        <v>14.375</v>
      </c>
      <c r="AA833" s="16" t="s">
        <v>5</v>
      </c>
      <c r="AB833" s="21"/>
      <c r="AC833" s="39" t="str">
        <f>IF(Z833&lt;S838,"[OK]","[REDISEÑAR]")</f>
        <v>[OK]</v>
      </c>
      <c r="AD833" s="75"/>
      <c r="AE833" s="75"/>
      <c r="AF833" s="75"/>
      <c r="AG833" s="75"/>
    </row>
    <row r="834" spans="2:33" x14ac:dyDescent="0.3">
      <c r="B834" s="19" t="s">
        <v>30</v>
      </c>
      <c r="C834" s="16">
        <v>4200</v>
      </c>
      <c r="D834" s="16" t="s">
        <v>8</v>
      </c>
      <c r="E834" s="75"/>
      <c r="F834" s="75"/>
      <c r="G834" s="75"/>
      <c r="H834" s="75"/>
      <c r="I834" s="19" t="s">
        <v>16</v>
      </c>
      <c r="J834" s="16">
        <f>C838*C839</f>
        <v>4800</v>
      </c>
      <c r="K834" s="16" t="s">
        <v>17</v>
      </c>
      <c r="L834" s="21"/>
      <c r="M834" s="75"/>
      <c r="N834" s="75"/>
      <c r="O834" s="75"/>
      <c r="P834" s="75"/>
      <c r="R834" s="19" t="s">
        <v>30</v>
      </c>
      <c r="S834" s="16">
        <v>4200</v>
      </c>
      <c r="T834" s="16" t="s">
        <v>8</v>
      </c>
      <c r="U834" s="75"/>
      <c r="V834" s="75"/>
      <c r="W834" s="75"/>
      <c r="X834" s="75"/>
      <c r="Y834" s="19" t="s">
        <v>16</v>
      </c>
      <c r="Z834" s="16">
        <f>S838*S839</f>
        <v>8475</v>
      </c>
      <c r="AA834" s="16" t="s">
        <v>17</v>
      </c>
      <c r="AB834" s="21"/>
      <c r="AC834" s="75"/>
      <c r="AD834" s="75"/>
      <c r="AE834" s="75"/>
      <c r="AF834" s="75"/>
      <c r="AG834" s="75"/>
    </row>
    <row r="835" spans="2:33" x14ac:dyDescent="0.3">
      <c r="B835" s="19" t="s">
        <v>31</v>
      </c>
      <c r="C835" s="16">
        <v>2800</v>
      </c>
      <c r="D835" s="16" t="s">
        <v>8</v>
      </c>
      <c r="E835" s="75"/>
      <c r="F835" s="75"/>
      <c r="G835" s="75"/>
      <c r="H835" s="75"/>
      <c r="I835" s="19" t="s">
        <v>51</v>
      </c>
      <c r="J835" s="16">
        <f>MIN(0.8*C839/5,3*C838,45)</f>
        <v>30.720000000000006</v>
      </c>
      <c r="K835" s="16" t="s">
        <v>5</v>
      </c>
      <c r="L835" s="21"/>
      <c r="M835" s="39" t="str">
        <f>IF(J835&gt;C851,"[OK]","[REDISEÑAR]")</f>
        <v>[OK]</v>
      </c>
      <c r="N835" s="75"/>
      <c r="O835" s="75"/>
      <c r="P835" s="75"/>
      <c r="R835" s="19" t="s">
        <v>31</v>
      </c>
      <c r="S835" s="16">
        <v>2800</v>
      </c>
      <c r="T835" s="16" t="s">
        <v>8</v>
      </c>
      <c r="U835" s="75"/>
      <c r="V835" s="75"/>
      <c r="W835" s="75"/>
      <c r="X835" s="75"/>
      <c r="Y835" s="19" t="s">
        <v>51</v>
      </c>
      <c r="Z835" s="16">
        <f>MIN(0.8*S839/5,3*S838,45)</f>
        <v>45</v>
      </c>
      <c r="AA835" s="16" t="s">
        <v>5</v>
      </c>
      <c r="AB835" s="21"/>
      <c r="AC835" s="39" t="str">
        <f>IF(Z835&gt;S851,"[OK]","[REDISEÑAR]")</f>
        <v>[OK]</v>
      </c>
      <c r="AD835" s="75"/>
      <c r="AE835" s="75"/>
      <c r="AF835" s="75"/>
      <c r="AG835" s="75"/>
    </row>
    <row r="836" spans="2:33" x14ac:dyDescent="0.3">
      <c r="B836" s="75"/>
      <c r="C836" s="75"/>
      <c r="D836" s="75"/>
      <c r="E836" s="75"/>
      <c r="F836" s="75"/>
      <c r="G836" s="75"/>
      <c r="H836" s="75"/>
      <c r="I836" s="19" t="s">
        <v>56</v>
      </c>
      <c r="J836" s="16">
        <f>MIN(0.8*C840/3,3*C839,45)</f>
        <v>45</v>
      </c>
      <c r="K836" s="16" t="s">
        <v>5</v>
      </c>
      <c r="L836" s="21"/>
      <c r="M836" s="39" t="str">
        <f>IF(J836&gt;C851,"[OK]","[REDISEÑAR]")</f>
        <v>[OK]</v>
      </c>
      <c r="N836" s="75"/>
      <c r="O836" s="75"/>
      <c r="P836" s="75"/>
      <c r="R836" s="75"/>
      <c r="S836" s="75"/>
      <c r="T836" s="75"/>
      <c r="U836" s="75"/>
      <c r="V836" s="75"/>
      <c r="W836" s="75"/>
      <c r="X836" s="75"/>
      <c r="Y836" s="19" t="s">
        <v>56</v>
      </c>
      <c r="Z836" s="16">
        <f>MIN(0.8*S840/3,3*S839,45)</f>
        <v>45</v>
      </c>
      <c r="AA836" s="16" t="s">
        <v>5</v>
      </c>
      <c r="AB836" s="21"/>
      <c r="AC836" s="39" t="str">
        <f>IF(Z836&gt;S851,"[OK]","[REDISEÑAR]")</f>
        <v>[OK]</v>
      </c>
      <c r="AD836" s="75"/>
      <c r="AE836" s="75"/>
      <c r="AF836" s="75"/>
      <c r="AG836" s="75"/>
    </row>
    <row r="837" spans="2:33" x14ac:dyDescent="0.3">
      <c r="B837" s="17" t="s">
        <v>3</v>
      </c>
      <c r="C837" s="75"/>
      <c r="D837" s="75"/>
      <c r="E837" s="75"/>
      <c r="F837" s="75"/>
      <c r="G837" s="75"/>
      <c r="H837" s="75"/>
      <c r="I837" s="19" t="s">
        <v>62</v>
      </c>
      <c r="J837" s="16">
        <f>0.8*C839</f>
        <v>153.60000000000002</v>
      </c>
      <c r="K837" s="29" t="s">
        <v>5</v>
      </c>
      <c r="L837" s="75"/>
      <c r="M837" s="75"/>
      <c r="N837" s="75"/>
      <c r="O837" s="75"/>
      <c r="P837" s="75"/>
      <c r="R837" s="17" t="s">
        <v>3</v>
      </c>
      <c r="S837" s="75"/>
      <c r="T837" s="75"/>
      <c r="U837" s="75"/>
      <c r="V837" s="75"/>
      <c r="W837" s="75"/>
      <c r="X837" s="75"/>
      <c r="Y837" s="19" t="s">
        <v>62</v>
      </c>
      <c r="Z837" s="16">
        <f>0.8*S839</f>
        <v>271.2</v>
      </c>
      <c r="AA837" s="29" t="s">
        <v>5</v>
      </c>
      <c r="AB837" s="75"/>
      <c r="AC837" s="75"/>
      <c r="AD837" s="75"/>
      <c r="AE837" s="75"/>
      <c r="AF837" s="75"/>
      <c r="AG837" s="75"/>
    </row>
    <row r="838" spans="2:33" x14ac:dyDescent="0.3">
      <c r="B838" s="19" t="str">
        <f>"Espesor del muro (h)"</f>
        <v>Espesor del muro (h)</v>
      </c>
      <c r="C838" s="49">
        <f>'EJE 15'!$H$22</f>
        <v>25</v>
      </c>
      <c r="D838" s="16" t="s">
        <v>5</v>
      </c>
      <c r="E838" s="75"/>
      <c r="F838" s="75"/>
      <c r="G838" s="75"/>
      <c r="H838" s="75"/>
      <c r="J838" s="75"/>
      <c r="K838" s="75"/>
      <c r="L838" s="75"/>
      <c r="M838" s="75"/>
      <c r="N838" s="75"/>
      <c r="O838" s="75"/>
      <c r="P838" s="75"/>
      <c r="R838" s="19" t="str">
        <f>"Espesor del muro (h)"</f>
        <v>Espesor del muro (h)</v>
      </c>
      <c r="S838" s="49">
        <f>'EJE 15'!$H$23</f>
        <v>25</v>
      </c>
      <c r="T838" s="16" t="s">
        <v>5</v>
      </c>
      <c r="U838" s="75"/>
      <c r="V838" s="75"/>
      <c r="W838" s="75"/>
      <c r="X838" s="75"/>
      <c r="Y838" s="15"/>
      <c r="Z838" s="75"/>
      <c r="AA838" s="75"/>
      <c r="AB838" s="75"/>
      <c r="AC838" s="75"/>
      <c r="AD838" s="75"/>
      <c r="AE838" s="75"/>
      <c r="AF838" s="75"/>
      <c r="AG838" s="75"/>
    </row>
    <row r="839" spans="2:33" x14ac:dyDescent="0.3">
      <c r="B839" s="19" t="s">
        <v>63</v>
      </c>
      <c r="C839" s="49">
        <f>'EJE 15'!$I$22</f>
        <v>192</v>
      </c>
      <c r="D839" s="16" t="s">
        <v>5</v>
      </c>
      <c r="E839" s="75"/>
      <c r="F839" s="75"/>
      <c r="G839" s="75"/>
      <c r="H839" s="75"/>
      <c r="I839" s="18" t="s">
        <v>26</v>
      </c>
      <c r="J839" s="75"/>
      <c r="K839" s="75"/>
      <c r="L839" s="75"/>
      <c r="M839" s="75"/>
      <c r="N839" s="75"/>
      <c r="O839" s="75"/>
      <c r="P839" s="75"/>
      <c r="R839" s="19" t="s">
        <v>63</v>
      </c>
      <c r="S839" s="49">
        <f>'EJE 15'!$I$23</f>
        <v>339</v>
      </c>
      <c r="T839" s="16" t="s">
        <v>5</v>
      </c>
      <c r="U839" s="75"/>
      <c r="V839" s="75"/>
      <c r="W839" s="75"/>
      <c r="X839" s="75"/>
      <c r="Y839" s="18" t="s">
        <v>26</v>
      </c>
      <c r="Z839" s="75"/>
      <c r="AA839" s="75"/>
      <c r="AB839" s="75"/>
      <c r="AC839" s="75"/>
      <c r="AD839" s="75"/>
      <c r="AE839" s="75"/>
      <c r="AF839" s="75"/>
      <c r="AG839" s="75"/>
    </row>
    <row r="840" spans="2:33" x14ac:dyDescent="0.3">
      <c r="B840" s="19" t="s">
        <v>10</v>
      </c>
      <c r="C840" s="49">
        <f>'EJE 15'!$J$22</f>
        <v>230</v>
      </c>
      <c r="D840" s="16" t="s">
        <v>5</v>
      </c>
      <c r="E840" s="75"/>
      <c r="F840" s="75"/>
      <c r="G840" s="75"/>
      <c r="H840" s="75"/>
      <c r="I840" s="19" t="s">
        <v>28</v>
      </c>
      <c r="J840" s="16">
        <f>0.35*C833</f>
        <v>107.07020236268264</v>
      </c>
      <c r="K840" s="16" t="s">
        <v>8</v>
      </c>
      <c r="L840" s="21"/>
      <c r="M840" s="75"/>
      <c r="N840" s="75"/>
      <c r="O840" s="75"/>
      <c r="P840" s="75"/>
      <c r="R840" s="19" t="s">
        <v>10</v>
      </c>
      <c r="S840" s="49">
        <f>'EJE 15'!$J$23</f>
        <v>230</v>
      </c>
      <c r="T840" s="16" t="s">
        <v>5</v>
      </c>
      <c r="U840" s="75"/>
      <c r="V840" s="75"/>
      <c r="W840" s="75"/>
      <c r="X840" s="75"/>
      <c r="Y840" s="19" t="s">
        <v>28</v>
      </c>
      <c r="Z840" s="16">
        <f>0.35*S833</f>
        <v>107.07020236268264</v>
      </c>
      <c r="AA840" s="16" t="s">
        <v>8</v>
      </c>
      <c r="AB840" s="21"/>
      <c r="AC840" s="75"/>
      <c r="AD840" s="75"/>
      <c r="AE840" s="75"/>
      <c r="AF840" s="75"/>
      <c r="AG840" s="75"/>
    </row>
    <row r="841" spans="2:33" x14ac:dyDescent="0.3">
      <c r="B841" s="75"/>
      <c r="C841" s="75"/>
      <c r="D841" s="75"/>
      <c r="E841" s="75"/>
      <c r="F841" s="75"/>
      <c r="G841" s="75"/>
      <c r="H841" s="75"/>
      <c r="I841" s="19" t="s">
        <v>27</v>
      </c>
      <c r="J841" s="30">
        <f>C843*1000/J834</f>
        <v>23.182666666666663</v>
      </c>
      <c r="K841" s="16" t="s">
        <v>8</v>
      </c>
      <c r="L841" s="21"/>
      <c r="M841" s="39" t="str">
        <f>IF(J841&lt;J840,"[OK]","[REDISEÑAR]")</f>
        <v>[OK]</v>
      </c>
      <c r="N841" s="41" t="s">
        <v>112</v>
      </c>
      <c r="O841" s="59">
        <f>J841/J840</f>
        <v>0.21651837911111071</v>
      </c>
      <c r="P841" s="75"/>
      <c r="R841" s="75"/>
      <c r="S841" s="75"/>
      <c r="T841" s="75"/>
      <c r="U841" s="75"/>
      <c r="V841" s="75"/>
      <c r="W841" s="75"/>
      <c r="X841" s="75"/>
      <c r="Y841" s="19" t="s">
        <v>27</v>
      </c>
      <c r="Z841" s="30">
        <f>S843*1000/Z834</f>
        <v>20.285356932153391</v>
      </c>
      <c r="AA841" s="16" t="s">
        <v>8</v>
      </c>
      <c r="AB841" s="21"/>
      <c r="AC841" s="39" t="str">
        <f>IF(Z841&lt;Z840,"[OK]","[REDISEÑAR]")</f>
        <v>[OK]</v>
      </c>
      <c r="AD841" s="41" t="s">
        <v>112</v>
      </c>
      <c r="AE841" s="59">
        <f>Z841/Z840</f>
        <v>0.18945847196066831</v>
      </c>
      <c r="AF841" s="75"/>
      <c r="AG841" s="75"/>
    </row>
    <row r="842" spans="2:33" x14ac:dyDescent="0.3">
      <c r="B842" s="17" t="s">
        <v>11</v>
      </c>
      <c r="C842" s="75"/>
      <c r="D842" s="75"/>
      <c r="E842" s="75"/>
      <c r="F842" s="75"/>
      <c r="G842" s="75"/>
      <c r="H842" s="75"/>
      <c r="J842" s="75"/>
      <c r="K842" s="75"/>
      <c r="L842" s="75"/>
      <c r="M842" s="75"/>
      <c r="N842" s="75"/>
      <c r="O842" s="75"/>
      <c r="P842" s="75"/>
      <c r="R842" s="17" t="s">
        <v>11</v>
      </c>
      <c r="S842" s="75"/>
      <c r="T842" s="75"/>
      <c r="U842" s="75"/>
      <c r="V842" s="75"/>
      <c r="W842" s="75"/>
      <c r="X842" s="75"/>
      <c r="Y842" s="15"/>
      <c r="Z842" s="75"/>
      <c r="AA842" s="75"/>
      <c r="AB842" s="75"/>
      <c r="AC842" s="75"/>
      <c r="AD842" s="75"/>
      <c r="AE842" s="75"/>
      <c r="AF842" s="75"/>
      <c r="AG842" s="75"/>
    </row>
    <row r="843" spans="2:33" x14ac:dyDescent="0.3">
      <c r="B843" s="19" t="str">
        <f>"$N_U$"</f>
        <v>$N_U$</v>
      </c>
      <c r="C843" s="60">
        <f>'EJE 15'!$K$22</f>
        <v>111.27679999999999</v>
      </c>
      <c r="D843" s="16" t="s">
        <v>12</v>
      </c>
      <c r="E843" s="75"/>
      <c r="F843" s="75"/>
      <c r="G843" s="75"/>
      <c r="H843" s="75"/>
      <c r="I843" s="18" t="s">
        <v>54</v>
      </c>
      <c r="J843" s="75"/>
      <c r="K843" s="75"/>
      <c r="L843" s="75"/>
      <c r="M843" s="75"/>
      <c r="N843" s="75"/>
      <c r="O843" s="75"/>
      <c r="P843" s="75"/>
      <c r="R843" s="19" t="str">
        <f>"$N_U$"</f>
        <v>$N_U$</v>
      </c>
      <c r="S843" s="60">
        <f>'EJE 15'!$K$23</f>
        <v>171.91839999999999</v>
      </c>
      <c r="T843" s="16" t="s">
        <v>12</v>
      </c>
      <c r="U843" s="75"/>
      <c r="V843" s="75"/>
      <c r="W843" s="75"/>
      <c r="X843" s="75"/>
      <c r="Y843" s="18" t="s">
        <v>54</v>
      </c>
      <c r="Z843" s="75"/>
      <c r="AA843" s="75"/>
      <c r="AB843" s="75"/>
      <c r="AC843" s="75"/>
      <c r="AD843" s="75"/>
      <c r="AE843" s="75"/>
      <c r="AF843" s="75"/>
      <c r="AG843" s="75"/>
    </row>
    <row r="844" spans="2:33" x14ac:dyDescent="0.3">
      <c r="B844" s="19" t="s">
        <v>14</v>
      </c>
      <c r="C844" s="60">
        <f>'EJE 15'!$L$22</f>
        <v>0.3508</v>
      </c>
      <c r="D844" s="16" t="s">
        <v>12</v>
      </c>
      <c r="E844" s="75"/>
      <c r="F844" s="75"/>
      <c r="G844" s="75"/>
      <c r="H844" s="75"/>
      <c r="I844" s="19" t="s">
        <v>72</v>
      </c>
      <c r="J844" s="16">
        <f>1.2*C844+C845+1.4*C846</f>
        <v>8.6007999999999996</v>
      </c>
      <c r="K844" s="16" t="s">
        <v>12</v>
      </c>
      <c r="L844" s="75"/>
      <c r="M844" s="75" t="s">
        <v>68</v>
      </c>
      <c r="N844" s="75"/>
      <c r="O844" s="75"/>
      <c r="P844" s="75"/>
      <c r="R844" s="19" t="s">
        <v>14</v>
      </c>
      <c r="S844" s="60">
        <f>'EJE 15'!$L$23</f>
        <v>2.5295999999999998</v>
      </c>
      <c r="T844" s="16" t="s">
        <v>12</v>
      </c>
      <c r="U844" s="75"/>
      <c r="V844" s="75"/>
      <c r="W844" s="75"/>
      <c r="X844" s="75"/>
      <c r="Y844" s="19" t="s">
        <v>72</v>
      </c>
      <c r="Z844" s="16">
        <f>1.2*S844+S845+1.4*S846</f>
        <v>28.760079999999995</v>
      </c>
      <c r="AA844" s="16" t="s">
        <v>12</v>
      </c>
      <c r="AB844" s="75"/>
      <c r="AC844" s="75" t="s">
        <v>68</v>
      </c>
      <c r="AD844" s="75"/>
      <c r="AE844" s="75"/>
      <c r="AF844" s="75"/>
      <c r="AG844" s="75"/>
    </row>
    <row r="845" spans="2:33" x14ac:dyDescent="0.3">
      <c r="B845" s="19" t="s">
        <v>13</v>
      </c>
      <c r="C845" s="60">
        <f>'EJE 15'!$M$22</f>
        <v>0.28370000000000001</v>
      </c>
      <c r="D845" s="16" t="s">
        <v>12</v>
      </c>
      <c r="E845" s="75"/>
      <c r="F845" s="75"/>
      <c r="G845" s="75"/>
      <c r="H845" s="75"/>
      <c r="I845" s="19" t="s">
        <v>69</v>
      </c>
      <c r="J845" s="16">
        <f>SUM(C844:C846)</f>
        <v>6.2746000000000004</v>
      </c>
      <c r="K845" s="16" t="s">
        <v>12</v>
      </c>
      <c r="L845" s="75"/>
      <c r="M845" s="75" t="s">
        <v>70</v>
      </c>
      <c r="N845" s="75"/>
      <c r="O845" s="75"/>
      <c r="P845" s="75"/>
      <c r="R845" s="19" t="s">
        <v>13</v>
      </c>
      <c r="S845" s="60">
        <f>'EJE 15'!$M$23</f>
        <v>1.37E-2</v>
      </c>
      <c r="T845" s="16" t="s">
        <v>12</v>
      </c>
      <c r="U845" s="75"/>
      <c r="V845" s="75"/>
      <c r="W845" s="75"/>
      <c r="X845" s="75"/>
      <c r="Y845" s="19" t="s">
        <v>69</v>
      </c>
      <c r="Z845" s="16">
        <f>SUM(S844:S846)</f>
        <v>20.908199999999997</v>
      </c>
      <c r="AA845" s="16" t="s">
        <v>12</v>
      </c>
      <c r="AB845" s="75"/>
      <c r="AC845" s="75" t="s">
        <v>70</v>
      </c>
      <c r="AD845" s="75"/>
      <c r="AE845" s="75"/>
      <c r="AF845" s="75"/>
      <c r="AG845" s="75"/>
    </row>
    <row r="846" spans="2:33" x14ac:dyDescent="0.3">
      <c r="B846" s="19" t="s">
        <v>15</v>
      </c>
      <c r="C846" s="60">
        <f>'EJE 15'!$N$22</f>
        <v>5.6401000000000003</v>
      </c>
      <c r="D846" s="16" t="s">
        <v>12</v>
      </c>
      <c r="E846" s="75"/>
      <c r="F846" s="75"/>
      <c r="G846" s="75"/>
      <c r="H846" s="75"/>
      <c r="I846" s="19" t="s">
        <v>73</v>
      </c>
      <c r="J846" s="16">
        <f>IF(C847=0,J844,C847)</f>
        <v>8.6007999999999996</v>
      </c>
      <c r="K846" s="16" t="s">
        <v>12</v>
      </c>
      <c r="L846" s="75"/>
      <c r="M846" s="40" t="s">
        <v>74</v>
      </c>
      <c r="N846" s="75"/>
      <c r="O846" s="75"/>
      <c r="P846" s="75"/>
      <c r="R846" s="19" t="s">
        <v>15</v>
      </c>
      <c r="S846" s="60">
        <f>'EJE 15'!$N$23</f>
        <v>18.364899999999999</v>
      </c>
      <c r="T846" s="16" t="s">
        <v>12</v>
      </c>
      <c r="U846" s="75"/>
      <c r="V846" s="75"/>
      <c r="W846" s="75"/>
      <c r="X846" s="75"/>
      <c r="Y846" s="19" t="s">
        <v>73</v>
      </c>
      <c r="Z846" s="16">
        <f>IF(S847=0,Z844,S847)</f>
        <v>28.760079999999995</v>
      </c>
      <c r="AA846" s="16" t="s">
        <v>12</v>
      </c>
      <c r="AB846" s="75"/>
      <c r="AC846" s="40" t="s">
        <v>74</v>
      </c>
      <c r="AD846" s="75"/>
      <c r="AE846" s="75"/>
      <c r="AF846" s="75"/>
      <c r="AG846" s="75"/>
    </row>
    <row r="847" spans="2:33" x14ac:dyDescent="0.3">
      <c r="B847" s="19" t="s">
        <v>55</v>
      </c>
      <c r="C847" s="16">
        <v>0</v>
      </c>
      <c r="D847" s="16" t="s">
        <v>12</v>
      </c>
      <c r="E847" s="75"/>
      <c r="F847" s="75"/>
      <c r="G847" s="75"/>
      <c r="H847" s="75"/>
      <c r="I847" s="19" t="s">
        <v>71</v>
      </c>
      <c r="J847" s="16">
        <f>IF(C847=0,J845,C847)</f>
        <v>6.2746000000000004</v>
      </c>
      <c r="K847" s="16" t="s">
        <v>12</v>
      </c>
      <c r="L847" s="75"/>
      <c r="M847" s="40" t="s">
        <v>75</v>
      </c>
      <c r="N847" s="75"/>
      <c r="O847" s="75"/>
      <c r="P847" s="75"/>
      <c r="R847" s="19" t="s">
        <v>55</v>
      </c>
      <c r="S847" s="16">
        <v>0</v>
      </c>
      <c r="T847" s="16" t="s">
        <v>12</v>
      </c>
      <c r="U847" s="75"/>
      <c r="V847" s="75"/>
      <c r="W847" s="75"/>
      <c r="X847" s="75"/>
      <c r="Y847" s="19" t="s">
        <v>71</v>
      </c>
      <c r="Z847" s="16">
        <f>IF(S847=0,Z845,S847)</f>
        <v>20.908199999999997</v>
      </c>
      <c r="AA847" s="16" t="s">
        <v>12</v>
      </c>
      <c r="AB847" s="75"/>
      <c r="AC847" s="40" t="s">
        <v>75</v>
      </c>
      <c r="AD847" s="75"/>
      <c r="AE847" s="75"/>
      <c r="AF847" s="75"/>
      <c r="AG847" s="75"/>
    </row>
    <row r="848" spans="2:33" x14ac:dyDescent="0.3">
      <c r="B848" s="75"/>
      <c r="C848" s="75"/>
      <c r="D848" s="75"/>
      <c r="E848" s="75"/>
      <c r="F848" s="75"/>
      <c r="G848" s="75"/>
      <c r="H848" s="75"/>
      <c r="J848" s="75"/>
      <c r="K848" s="75"/>
      <c r="L848" s="75"/>
      <c r="M848" s="75"/>
      <c r="N848" s="75"/>
      <c r="O848" s="75"/>
      <c r="P848" s="75"/>
      <c r="R848" s="75"/>
      <c r="S848" s="75"/>
      <c r="T848" s="75"/>
      <c r="U848" s="75"/>
      <c r="V848" s="75"/>
      <c r="W848" s="75"/>
      <c r="X848" s="75"/>
      <c r="Y848" s="15"/>
      <c r="Z848" s="75"/>
      <c r="AA848" s="75"/>
      <c r="AB848" s="75"/>
      <c r="AC848" s="75"/>
      <c r="AD848" s="75"/>
      <c r="AE848" s="75"/>
      <c r="AF848" s="75"/>
      <c r="AG848" s="75"/>
    </row>
    <row r="849" spans="2:33" x14ac:dyDescent="0.3">
      <c r="B849" s="33" t="s">
        <v>42</v>
      </c>
      <c r="C849" s="75"/>
      <c r="D849" s="75"/>
      <c r="E849" s="75"/>
      <c r="F849" s="75"/>
      <c r="G849" s="75"/>
      <c r="H849" s="75"/>
      <c r="I849" s="27" t="s">
        <v>76</v>
      </c>
      <c r="J849" s="75"/>
      <c r="K849" s="75"/>
      <c r="L849" s="75"/>
      <c r="M849" s="75"/>
      <c r="N849" s="75"/>
      <c r="O849" s="75"/>
      <c r="P849" s="75"/>
      <c r="R849" s="33" t="s">
        <v>42</v>
      </c>
      <c r="S849" s="75"/>
      <c r="T849" s="75"/>
      <c r="U849" s="75"/>
      <c r="V849" s="75"/>
      <c r="W849" s="75"/>
      <c r="X849" s="75"/>
      <c r="Y849" s="27" t="s">
        <v>76</v>
      </c>
      <c r="Z849" s="75"/>
      <c r="AA849" s="75"/>
      <c r="AB849" s="75"/>
      <c r="AC849" s="75"/>
      <c r="AD849" s="75"/>
      <c r="AE849" s="75"/>
      <c r="AF849" s="75"/>
      <c r="AG849" s="75"/>
    </row>
    <row r="850" spans="2:33" x14ac:dyDescent="0.3">
      <c r="B850" s="31" t="s">
        <v>41</v>
      </c>
      <c r="C850" s="16">
        <v>12</v>
      </c>
      <c r="D850" s="29" t="s">
        <v>35</v>
      </c>
      <c r="E850" s="75"/>
      <c r="F850" s="75"/>
      <c r="G850" s="75"/>
      <c r="H850" s="75"/>
      <c r="I850" s="19" t="s">
        <v>29</v>
      </c>
      <c r="J850" s="30">
        <f>J847*1000/J834</f>
        <v>1.3072083333333333</v>
      </c>
      <c r="K850" s="29" t="s">
        <v>8</v>
      </c>
      <c r="L850" s="75"/>
      <c r="M850" s="75"/>
      <c r="N850" s="75"/>
      <c r="O850" s="75"/>
      <c r="P850" s="75"/>
      <c r="R850" s="31" t="s">
        <v>41</v>
      </c>
      <c r="S850" s="16">
        <v>12</v>
      </c>
      <c r="T850" s="29" t="s">
        <v>35</v>
      </c>
      <c r="U850" s="75"/>
      <c r="V850" s="75"/>
      <c r="W850" s="75"/>
      <c r="X850" s="75"/>
      <c r="Y850" s="19" t="s">
        <v>29</v>
      </c>
      <c r="Z850" s="30">
        <f>Z847*1000/Z834</f>
        <v>2.4670442477876104</v>
      </c>
      <c r="AA850" s="29" t="s">
        <v>8</v>
      </c>
      <c r="AB850" s="75"/>
      <c r="AC850" s="75"/>
      <c r="AD850" s="75"/>
      <c r="AE850" s="75"/>
      <c r="AF850" s="75"/>
      <c r="AG850" s="75"/>
    </row>
    <row r="851" spans="2:33" x14ac:dyDescent="0.3">
      <c r="B851" s="31" t="s">
        <v>43</v>
      </c>
      <c r="C851" s="16">
        <v>14</v>
      </c>
      <c r="D851" s="29" t="s">
        <v>5</v>
      </c>
      <c r="E851" s="75"/>
      <c r="F851" s="39" t="str">
        <f>IF(OR(C851&gt;25,C851&lt;10),"[REDISEÑAR]",IF(AND(C851&lt;=J852,C851&lt;=J866),"[OK]","[REDISEÑAR]"))</f>
        <v>[OK]</v>
      </c>
      <c r="G851" s="75"/>
      <c r="H851" s="75"/>
      <c r="I851" s="19" t="s">
        <v>61</v>
      </c>
      <c r="J851" s="37">
        <f>MAX(J850*100*C838/(2*C835),C855)</f>
        <v>3.125</v>
      </c>
      <c r="K851" s="29" t="s">
        <v>32</v>
      </c>
      <c r="L851" s="75"/>
      <c r="M851" s="15"/>
      <c r="N851" s="15"/>
      <c r="O851" s="15"/>
      <c r="P851" s="75"/>
      <c r="R851" s="31" t="s">
        <v>43</v>
      </c>
      <c r="S851" s="16">
        <v>14</v>
      </c>
      <c r="T851" s="29" t="s">
        <v>5</v>
      </c>
      <c r="U851" s="75"/>
      <c r="V851" s="39" t="str">
        <f>IF(OR(S851&gt;25,S851&lt;10),"[REDISEÑAR]",IF(AND(S851&lt;=Z852,S851&lt;=Z866),"[OK]","[REDISEÑAR]"))</f>
        <v>[OK]</v>
      </c>
      <c r="W851" s="75"/>
      <c r="X851" s="75"/>
      <c r="Y851" s="19" t="s">
        <v>61</v>
      </c>
      <c r="Z851" s="37">
        <f>MAX(Z850*100*S838/(2*S835),S855)</f>
        <v>3.125</v>
      </c>
      <c r="AA851" s="29" t="s">
        <v>32</v>
      </c>
      <c r="AB851" s="75"/>
      <c r="AC851" s="15"/>
      <c r="AD851" s="15"/>
      <c r="AE851" s="15"/>
      <c r="AF851" s="75"/>
      <c r="AG851" s="75"/>
    </row>
    <row r="852" spans="2:33" x14ac:dyDescent="0.3">
      <c r="B852" s="75"/>
      <c r="C852" s="50" t="str">
        <f>"$\phi$"&amp;C850&amp;"@"&amp;C851</f>
        <v>$\phi$12@14</v>
      </c>
      <c r="D852" s="75"/>
      <c r="E852" s="75"/>
      <c r="F852" s="39" t="str">
        <f>IF(OR(J851=C855,J862=C855),"[ÁREA MINIMA]","[]")</f>
        <v>[ÁREA MINIMA]</v>
      </c>
      <c r="G852" s="75"/>
      <c r="H852" s="75"/>
      <c r="I852" s="63" t="s">
        <v>34</v>
      </c>
      <c r="J852" s="63">
        <f>ROUNDDOWN((1/J851)*C854*100,0)</f>
        <v>36</v>
      </c>
      <c r="K852" s="64" t="s">
        <v>5</v>
      </c>
      <c r="L852" s="75"/>
      <c r="M852" s="39" t="str">
        <f>IF(OR(J852&lt;10,J852&gt;25),"[REDISEÑAR]","[OK")</f>
        <v>[REDISEÑAR]</v>
      </c>
      <c r="N852" s="41" t="s">
        <v>80</v>
      </c>
      <c r="O852" s="42">
        <f>1/J851*(C850/2)^2*PI()</f>
        <v>36.191147369354418</v>
      </c>
      <c r="P852" s="75" t="str">
        <f>"$\phi$"&amp;C850&amp;"@"&amp;J852</f>
        <v>$\phi$12@36</v>
      </c>
      <c r="R852" s="75"/>
      <c r="S852" s="50" t="str">
        <f>"$\phi$"&amp;S850&amp;"@"&amp;S851</f>
        <v>$\phi$12@14</v>
      </c>
      <c r="T852" s="75"/>
      <c r="U852" s="75"/>
      <c r="V852" s="39" t="str">
        <f>IF(OR(Z851=S855,Z862=S855),"[ÁREA MINIMA]","[]")</f>
        <v>[ÁREA MINIMA]</v>
      </c>
      <c r="W852" s="75"/>
      <c r="X852" s="75"/>
      <c r="Y852" s="63" t="s">
        <v>34</v>
      </c>
      <c r="Z852" s="63">
        <f>ROUNDDOWN((1/Z851)*S854*100,0)</f>
        <v>36</v>
      </c>
      <c r="AA852" s="64" t="s">
        <v>5</v>
      </c>
      <c r="AB852" s="75"/>
      <c r="AC852" s="39" t="str">
        <f>IF(OR(Z852&lt;10,Z852&gt;25),"[REDISEÑAR]","[OK")</f>
        <v>[REDISEÑAR]</v>
      </c>
      <c r="AD852" s="41" t="s">
        <v>80</v>
      </c>
      <c r="AE852" s="42">
        <f>1/Z851*(S850/2)^2*PI()</f>
        <v>36.191147369354418</v>
      </c>
      <c r="AF852" s="75" t="str">
        <f>"$\phi$"&amp;S850&amp;"@"&amp;Z852</f>
        <v>$\phi$12@36</v>
      </c>
      <c r="AG852" s="75"/>
    </row>
    <row r="853" spans="2:33" x14ac:dyDescent="0.3">
      <c r="B853" s="18" t="s">
        <v>52</v>
      </c>
      <c r="C853" s="75"/>
      <c r="D853" s="75"/>
      <c r="E853" s="75"/>
      <c r="F853" s="62" t="str">
        <f>IF(J841&lt;J840,IF(J869&gt;J858,"[OK]","[REDISEÑAR]"),"[REDISEÑAR]")</f>
        <v>[OK]</v>
      </c>
      <c r="G853" s="75"/>
      <c r="H853" s="75"/>
      <c r="I853" s="31" t="s">
        <v>48</v>
      </c>
      <c r="J853" s="30">
        <f>C854*2*IF(C839/C851&gt;=1,C839/C851,0)</f>
        <v>31.020983459446644</v>
      </c>
      <c r="K853" s="29" t="s">
        <v>17</v>
      </c>
      <c r="L853" s="75"/>
      <c r="M853" s="75"/>
      <c r="N853" s="15"/>
      <c r="O853" s="44"/>
      <c r="P853" s="75"/>
      <c r="R853" s="18" t="s">
        <v>52</v>
      </c>
      <c r="S853" s="75"/>
      <c r="T853" s="75"/>
      <c r="U853" s="75"/>
      <c r="V853" s="62" t="str">
        <f>IF(Z841&lt;Z840,IF(Z869&gt;Z858,"[OK]","[REDISEÑAR]"),"[REDISEÑAR]")</f>
        <v>[OK]</v>
      </c>
      <c r="W853" s="75"/>
      <c r="X853" s="75"/>
      <c r="Y853" s="31" t="s">
        <v>48</v>
      </c>
      <c r="Z853" s="30">
        <f>S854*2*IF(S839/S851&gt;=1,S839/S851,0)</f>
        <v>54.771423920585484</v>
      </c>
      <c r="AA853" s="29" t="s">
        <v>17</v>
      </c>
      <c r="AB853" s="75"/>
      <c r="AC853" s="75"/>
      <c r="AD853" s="15"/>
      <c r="AE853" s="44"/>
      <c r="AF853" s="75"/>
      <c r="AG853" s="75"/>
    </row>
    <row r="854" spans="2:33" x14ac:dyDescent="0.3">
      <c r="B854" s="31" t="s">
        <v>66</v>
      </c>
      <c r="C854" s="30">
        <f>(C850/(2*10))^2*PI()</f>
        <v>1.1309733552923256</v>
      </c>
      <c r="D854" s="29" t="s">
        <v>17</v>
      </c>
      <c r="E854" s="75"/>
      <c r="F854" s="75"/>
      <c r="G854" s="75"/>
      <c r="H854" s="75"/>
      <c r="I854" s="19" t="s">
        <v>49</v>
      </c>
      <c r="J854" s="34">
        <f>C835*J853/1000</f>
        <v>86.858753686450598</v>
      </c>
      <c r="K854" s="16" t="s">
        <v>12</v>
      </c>
      <c r="L854" s="75"/>
      <c r="M854" s="39" t="str">
        <f>IF(J854&gt;J847,"[OK]","[REDISEÑAR]")</f>
        <v>[OK]</v>
      </c>
      <c r="N854" s="41" t="str">
        <f>IF(O854&gt;0,"Sobrado","Faltan")</f>
        <v>Sobrado</v>
      </c>
      <c r="O854" s="43">
        <f>J854-J847</f>
        <v>80.584153686450591</v>
      </c>
      <c r="P854" s="75"/>
      <c r="R854" s="31" t="s">
        <v>66</v>
      </c>
      <c r="S854" s="30">
        <f>(S850/(2*10))^2*PI()</f>
        <v>1.1309733552923256</v>
      </c>
      <c r="T854" s="29" t="s">
        <v>17</v>
      </c>
      <c r="U854" s="75"/>
      <c r="V854" s="75"/>
      <c r="W854" s="75"/>
      <c r="X854" s="75"/>
      <c r="Y854" s="19" t="s">
        <v>49</v>
      </c>
      <c r="Z854" s="34">
        <f>S835*Z853/1000</f>
        <v>153.35998697763935</v>
      </c>
      <c r="AA854" s="16" t="s">
        <v>12</v>
      </c>
      <c r="AB854" s="75"/>
      <c r="AC854" s="39" t="str">
        <f>IF(Z854&gt;Z847,"[OK]","[REDISEÑAR]")</f>
        <v>[OK]</v>
      </c>
      <c r="AD854" s="41" t="str">
        <f>IF(AE854&gt;0,"Sobrado","Faltan")</f>
        <v>Sobrado</v>
      </c>
      <c r="AE854" s="43">
        <f>Z854-Z847</f>
        <v>132.45178697763936</v>
      </c>
      <c r="AF854" s="75"/>
      <c r="AG854" s="75"/>
    </row>
    <row r="855" spans="2:33" x14ac:dyDescent="0.3">
      <c r="B855" s="31" t="s">
        <v>78</v>
      </c>
      <c r="C855" s="37">
        <f>2.5/1000*100*C838/2</f>
        <v>3.125</v>
      </c>
      <c r="D855" s="16" t="s">
        <v>17</v>
      </c>
      <c r="E855" s="75"/>
      <c r="F855" s="75"/>
      <c r="G855" s="75"/>
      <c r="H855" s="75"/>
      <c r="J855" s="75"/>
      <c r="K855" s="75"/>
      <c r="L855" s="75"/>
      <c r="M855" s="75"/>
      <c r="N855" s="75"/>
      <c r="O855" s="15"/>
      <c r="P855" s="75"/>
      <c r="R855" s="31" t="s">
        <v>78</v>
      </c>
      <c r="S855" s="37">
        <f>2.5/1000*100*S838/2</f>
        <v>3.125</v>
      </c>
      <c r="T855" s="16" t="s">
        <v>17</v>
      </c>
      <c r="U855" s="75"/>
      <c r="V855" s="75"/>
      <c r="W855" s="75"/>
      <c r="X855" s="75"/>
      <c r="Y855" s="15"/>
      <c r="Z855" s="75"/>
      <c r="AA855" s="75"/>
      <c r="AB855" s="75"/>
      <c r="AC855" s="75"/>
      <c r="AD855" s="75"/>
      <c r="AE855" s="15"/>
      <c r="AF855" s="75"/>
      <c r="AG855" s="75"/>
    </row>
    <row r="856" spans="2:33" x14ac:dyDescent="0.3">
      <c r="B856" s="31" t="s">
        <v>114</v>
      </c>
      <c r="C856" s="37">
        <f>C854*100/C851</f>
        <v>8.0783811092308966</v>
      </c>
      <c r="D856" s="29" t="s">
        <v>32</v>
      </c>
      <c r="E856" s="75"/>
      <c r="F856" s="75"/>
      <c r="G856" s="75"/>
      <c r="H856" s="75"/>
      <c r="I856" s="18" t="s">
        <v>77</v>
      </c>
      <c r="J856" s="75"/>
      <c r="K856" s="75"/>
      <c r="L856" s="75"/>
      <c r="M856" s="17" t="s">
        <v>67</v>
      </c>
      <c r="N856" s="75"/>
      <c r="O856" s="75"/>
      <c r="P856" s="75"/>
      <c r="R856" s="31" t="s">
        <v>114</v>
      </c>
      <c r="S856" s="37">
        <f>S854*100/S851</f>
        <v>8.0783811092308966</v>
      </c>
      <c r="T856" s="29" t="s">
        <v>32</v>
      </c>
      <c r="U856" s="75"/>
      <c r="V856" s="75"/>
      <c r="W856" s="75"/>
      <c r="X856" s="75"/>
      <c r="Y856" s="18" t="s">
        <v>77</v>
      </c>
      <c r="Z856" s="75"/>
      <c r="AA856" s="75"/>
      <c r="AB856" s="75"/>
      <c r="AC856" s="17" t="s">
        <v>67</v>
      </c>
      <c r="AD856" s="75"/>
      <c r="AE856" s="75"/>
      <c r="AF856" s="75"/>
      <c r="AG856" s="75"/>
    </row>
    <row r="857" spans="2:33" x14ac:dyDescent="0.3">
      <c r="B857" s="75"/>
      <c r="C857" s="75"/>
      <c r="D857" s="75"/>
      <c r="E857" s="75"/>
      <c r="F857" s="75"/>
      <c r="G857" s="75"/>
      <c r="H857" s="75"/>
      <c r="I857" s="19" t="s">
        <v>33</v>
      </c>
      <c r="J857" s="16">
        <v>0.6</v>
      </c>
      <c r="K857" s="16" t="s">
        <v>50</v>
      </c>
      <c r="L857" s="75"/>
      <c r="M857" s="19" t="s">
        <v>64</v>
      </c>
      <c r="N857" s="30">
        <f>SQRT(C833*0.0980665)*(1/0.0980665)/1000*J859*0.17</f>
        <v>28.932598498523195</v>
      </c>
      <c r="O857" s="16" t="s">
        <v>12</v>
      </c>
      <c r="P857" s="75"/>
      <c r="R857" s="75"/>
      <c r="S857" s="75"/>
      <c r="T857" s="75"/>
      <c r="U857" s="75"/>
      <c r="V857" s="75"/>
      <c r="W857" s="75"/>
      <c r="X857" s="75"/>
      <c r="Y857" s="19" t="s">
        <v>33</v>
      </c>
      <c r="Z857" s="16">
        <v>0.6</v>
      </c>
      <c r="AA857" s="16" t="s">
        <v>50</v>
      </c>
      <c r="AB857" s="75"/>
      <c r="AC857" s="19" t="s">
        <v>64</v>
      </c>
      <c r="AD857" s="30">
        <f>SQRT(S833*0.0980665)*(1/0.0980665)/1000*Z859*0.17</f>
        <v>51.084119223955007</v>
      </c>
      <c r="AE857" s="16" t="s">
        <v>12</v>
      </c>
      <c r="AF857" s="75"/>
      <c r="AG857" s="75"/>
    </row>
    <row r="858" spans="2:33" x14ac:dyDescent="0.3">
      <c r="B858" s="17" t="s">
        <v>37</v>
      </c>
      <c r="C858" s="75"/>
      <c r="D858" s="75"/>
      <c r="E858" s="75"/>
      <c r="F858" s="75"/>
      <c r="G858" s="75"/>
      <c r="H858" s="75"/>
      <c r="I858" s="19" t="s">
        <v>46</v>
      </c>
      <c r="J858" s="34">
        <f>J846/J857</f>
        <v>14.334666666666667</v>
      </c>
      <c r="K858" s="16" t="s">
        <v>12</v>
      </c>
      <c r="L858" s="75"/>
      <c r="M858" s="19" t="s">
        <v>57</v>
      </c>
      <c r="N858" s="16">
        <f>IF(C840/J837&lt;=1.5,0.25,IF(C840/J837&gt;=2,0.17,0.17+(0.25-0.17)/(C840/J837-1.5)*C840/J837))</f>
        <v>0.25</v>
      </c>
      <c r="O858" s="29" t="s">
        <v>50</v>
      </c>
      <c r="P858" s="75"/>
      <c r="R858" s="17" t="s">
        <v>37</v>
      </c>
      <c r="S858" s="75"/>
      <c r="T858" s="75"/>
      <c r="U858" s="75"/>
      <c r="V858" s="75"/>
      <c r="W858" s="75"/>
      <c r="X858" s="75"/>
      <c r="Y858" s="19" t="s">
        <v>46</v>
      </c>
      <c r="Z858" s="34">
        <f>Z846/Z857</f>
        <v>47.933466666666661</v>
      </c>
      <c r="AA858" s="16" t="s">
        <v>12</v>
      </c>
      <c r="AB858" s="75"/>
      <c r="AC858" s="19" t="s">
        <v>57</v>
      </c>
      <c r="AD858" s="16">
        <f>IF(S840/Z837&lt;=1.5,0.25,IF(S840/Z837&gt;=2,0.17,0.17+(0.25-0.17)/(S840/Z837-1.5)*S840/Z837))</f>
        <v>0.25</v>
      </c>
      <c r="AE858" s="29" t="s">
        <v>50</v>
      </c>
      <c r="AF858" s="75"/>
      <c r="AG858" s="75"/>
    </row>
    <row r="859" spans="2:33" x14ac:dyDescent="0.3">
      <c r="B859" s="31" t="s">
        <v>115</v>
      </c>
      <c r="C859" s="37">
        <f>O854</f>
        <v>80.584153686450591</v>
      </c>
      <c r="D859" s="29" t="s">
        <v>12</v>
      </c>
      <c r="E859" s="75"/>
      <c r="F859" s="75"/>
      <c r="G859" s="75"/>
      <c r="H859" s="75"/>
      <c r="I859" s="19" t="s">
        <v>36</v>
      </c>
      <c r="J859" s="35">
        <f>J837*C838*0.8-J867</f>
        <v>3047.183213232443</v>
      </c>
      <c r="K859" s="16" t="s">
        <v>17</v>
      </c>
      <c r="L859" s="75"/>
      <c r="M859" s="19" t="s">
        <v>59</v>
      </c>
      <c r="N859" s="30">
        <f>SQRT(C833*0.0980665)*(1/0.0980665)/1000*J859*N858</f>
        <v>42.54793896841646</v>
      </c>
      <c r="O859" s="29" t="s">
        <v>12</v>
      </c>
      <c r="P859" s="75"/>
      <c r="R859" s="31" t="s">
        <v>115</v>
      </c>
      <c r="S859" s="37">
        <f>AE854</f>
        <v>132.45178697763936</v>
      </c>
      <c r="T859" s="29" t="s">
        <v>12</v>
      </c>
      <c r="U859" s="75"/>
      <c r="V859" s="75"/>
      <c r="W859" s="75"/>
      <c r="X859" s="75"/>
      <c r="Y859" s="19" t="s">
        <v>36</v>
      </c>
      <c r="Z859" s="35">
        <f>Z837*S838*0.8-Z867</f>
        <v>5380.1828608635315</v>
      </c>
      <c r="AA859" s="16" t="s">
        <v>17</v>
      </c>
      <c r="AB859" s="75"/>
      <c r="AC859" s="19" t="s">
        <v>59</v>
      </c>
      <c r="AD859" s="30">
        <f>SQRT(S833*0.0980665)*(1/0.0980665)/1000*Z859*AD858</f>
        <v>75.123704741110302</v>
      </c>
      <c r="AE859" s="29" t="s">
        <v>12</v>
      </c>
      <c r="AF859" s="75"/>
      <c r="AG859" s="75"/>
    </row>
    <row r="860" spans="2:33" x14ac:dyDescent="0.3">
      <c r="B860" s="31" t="s">
        <v>116</v>
      </c>
      <c r="C860" s="37">
        <f>O869</f>
        <v>118.8284362555973</v>
      </c>
      <c r="D860" s="29" t="s">
        <v>12</v>
      </c>
      <c r="E860" s="75"/>
      <c r="F860" s="75"/>
      <c r="G860" s="75"/>
      <c r="H860" s="75"/>
      <c r="I860" s="19" t="s">
        <v>60</v>
      </c>
      <c r="J860" s="34">
        <f>MIN(N859,N857)</f>
        <v>28.932598498523195</v>
      </c>
      <c r="K860" s="29" t="s">
        <v>12</v>
      </c>
      <c r="L860" s="75"/>
      <c r="M860" s="75"/>
      <c r="N860" s="75"/>
      <c r="O860" s="75"/>
      <c r="P860" s="75"/>
      <c r="R860" s="31" t="s">
        <v>116</v>
      </c>
      <c r="S860" s="37">
        <f>AE869</f>
        <v>187.18263693045554</v>
      </c>
      <c r="T860" s="29" t="s">
        <v>12</v>
      </c>
      <c r="U860" s="75"/>
      <c r="V860" s="75"/>
      <c r="W860" s="75"/>
      <c r="X860" s="75"/>
      <c r="Y860" s="19" t="s">
        <v>60</v>
      </c>
      <c r="Z860" s="34">
        <f>MIN(AD859,AD857)</f>
        <v>51.084119223955007</v>
      </c>
      <c r="AA860" s="29" t="s">
        <v>12</v>
      </c>
      <c r="AB860" s="75"/>
      <c r="AC860" s="75"/>
      <c r="AD860" s="75"/>
      <c r="AE860" s="75"/>
      <c r="AF860" s="75"/>
      <c r="AG860" s="75"/>
    </row>
    <row r="861" spans="2:33" x14ac:dyDescent="0.3">
      <c r="B861" s="19" t="s">
        <v>117</v>
      </c>
      <c r="C861" s="36">
        <f>C854*2*C839/C851/J834</f>
        <v>6.4627048873847183E-3</v>
      </c>
      <c r="D861" s="16" t="s">
        <v>50</v>
      </c>
      <c r="E861" s="75"/>
      <c r="F861" s="75"/>
      <c r="G861" s="75"/>
      <c r="H861" s="75"/>
      <c r="I861" s="19" t="s">
        <v>39</v>
      </c>
      <c r="J861" s="34">
        <f>J858-J860</f>
        <v>-14.597931831856528</v>
      </c>
      <c r="K861" s="16" t="s">
        <v>12</v>
      </c>
      <c r="L861" s="75"/>
      <c r="M861" s="75"/>
      <c r="N861" s="75"/>
      <c r="O861" s="75"/>
      <c r="P861" s="75"/>
      <c r="R861" s="19" t="s">
        <v>117</v>
      </c>
      <c r="S861" s="36">
        <f>S854*2*S839/S851/Z834</f>
        <v>6.4627048873847175E-3</v>
      </c>
      <c r="T861" s="16" t="s">
        <v>50</v>
      </c>
      <c r="U861" s="75"/>
      <c r="V861" s="75"/>
      <c r="W861" s="75"/>
      <c r="X861" s="75"/>
      <c r="Y861" s="19" t="s">
        <v>39</v>
      </c>
      <c r="Z861" s="34">
        <f>Z858-Z860</f>
        <v>-3.1506525572883461</v>
      </c>
      <c r="AA861" s="16" t="s">
        <v>12</v>
      </c>
      <c r="AB861" s="75"/>
      <c r="AC861" s="75"/>
      <c r="AD861" s="75"/>
      <c r="AE861" s="75"/>
      <c r="AF861" s="75"/>
      <c r="AG861" s="75"/>
    </row>
    <row r="862" spans="2:33" x14ac:dyDescent="0.3">
      <c r="B862" s="75"/>
      <c r="C862" s="75"/>
      <c r="D862" s="75"/>
      <c r="E862" s="75"/>
      <c r="F862" s="75"/>
      <c r="G862" s="75"/>
      <c r="H862" s="75"/>
      <c r="I862" s="19" t="s">
        <v>61</v>
      </c>
      <c r="J862" s="37">
        <f>MAX(J861/(C834*J837/1000/100)/2,C855)</f>
        <v>3.125</v>
      </c>
      <c r="K862" s="29" t="s">
        <v>32</v>
      </c>
      <c r="L862" s="75"/>
      <c r="M862" s="75"/>
      <c r="N862" s="75"/>
      <c r="O862" s="75"/>
      <c r="P862" s="75"/>
      <c r="R862" s="75"/>
      <c r="S862" s="75"/>
      <c r="T862" s="75"/>
      <c r="U862" s="75"/>
      <c r="V862" s="75"/>
      <c r="W862" s="75"/>
      <c r="X862" s="75"/>
      <c r="Y862" s="19" t="s">
        <v>61</v>
      </c>
      <c r="Z862" s="37">
        <f>MAX(Z861/(S834*Z837/1000/100)/2,S855)</f>
        <v>3.125</v>
      </c>
      <c r="AA862" s="29" t="s">
        <v>32</v>
      </c>
      <c r="AB862" s="75"/>
      <c r="AC862" s="75"/>
      <c r="AD862" s="75"/>
      <c r="AE862" s="75"/>
      <c r="AF862" s="75"/>
      <c r="AG862" s="75"/>
    </row>
    <row r="863" spans="2:33" x14ac:dyDescent="0.3">
      <c r="B863" s="75"/>
      <c r="C863" s="75"/>
      <c r="D863" s="75"/>
      <c r="E863" s="75"/>
      <c r="F863" s="75"/>
      <c r="G863" s="75"/>
      <c r="H863" s="75"/>
      <c r="I863" s="19" t="s">
        <v>65</v>
      </c>
      <c r="J863" s="36">
        <f>J862/C838/100*2</f>
        <v>2.5000000000000001E-3</v>
      </c>
      <c r="K863" s="16" t="s">
        <v>50</v>
      </c>
      <c r="L863" s="75"/>
      <c r="M863" s="75"/>
      <c r="N863" s="75"/>
      <c r="O863" s="75"/>
      <c r="P863" s="75"/>
      <c r="R863" s="75"/>
      <c r="S863" s="75"/>
      <c r="T863" s="75"/>
      <c r="U863" s="75"/>
      <c r="V863" s="75"/>
      <c r="W863" s="75"/>
      <c r="X863" s="75"/>
      <c r="Y863" s="19" t="s">
        <v>65</v>
      </c>
      <c r="Z863" s="36">
        <f>Z862/S838/100*2</f>
        <v>2.5000000000000001E-3</v>
      </c>
      <c r="AA863" s="16" t="s">
        <v>50</v>
      </c>
      <c r="AB863" s="75"/>
      <c r="AC863" s="75"/>
      <c r="AD863" s="75"/>
      <c r="AE863" s="75"/>
      <c r="AF863" s="75"/>
      <c r="AG863" s="75"/>
    </row>
    <row r="864" spans="2:33" x14ac:dyDescent="0.3">
      <c r="B864" s="75"/>
      <c r="C864" s="75"/>
      <c r="D864" s="75"/>
      <c r="E864" s="75"/>
      <c r="F864" s="75"/>
      <c r="G864" s="75"/>
      <c r="H864" s="75"/>
      <c r="I864" s="19" t="s">
        <v>53</v>
      </c>
      <c r="J864" s="16">
        <f>MAX(0.0025,0.0025*0.5*(2.5-C838/(C839*0.8))*(J863-0.0025))</f>
        <v>2.5000000000000001E-3</v>
      </c>
      <c r="K864" s="29" t="s">
        <v>50</v>
      </c>
      <c r="L864" s="75"/>
      <c r="M864" s="39" t="str">
        <f>IF(OR(J863&gt;J864,ABS(J863-J864)&lt;0.0001),"[OK]","[REDISEÑAR]")</f>
        <v>[OK]</v>
      </c>
      <c r="N864" s="75"/>
      <c r="O864" s="75"/>
      <c r="P864" s="75"/>
      <c r="R864" s="75"/>
      <c r="S864" s="75"/>
      <c r="T864" s="75"/>
      <c r="U864" s="75"/>
      <c r="V864" s="75"/>
      <c r="W864" s="75"/>
      <c r="X864" s="75"/>
      <c r="Y864" s="19" t="s">
        <v>53</v>
      </c>
      <c r="Z864" s="16">
        <f>MAX(0.0025,0.0025*0.5*(2.5-S838/(S839*0.8))*(Z863-0.0025))</f>
        <v>2.5000000000000001E-3</v>
      </c>
      <c r="AA864" s="29" t="s">
        <v>50</v>
      </c>
      <c r="AB864" s="75"/>
      <c r="AC864" s="39" t="str">
        <f>IF(OR(Z863&gt;Z864,ABS(Z863-Z864)&lt;0.0001),"[OK]","[REDISEÑAR]")</f>
        <v>[OK]</v>
      </c>
      <c r="AD864" s="75"/>
      <c r="AE864" s="75"/>
      <c r="AF864" s="75"/>
      <c r="AG864" s="75"/>
    </row>
    <row r="865" spans="2:33" x14ac:dyDescent="0.3">
      <c r="B865" s="75"/>
      <c r="C865" s="75"/>
      <c r="D865" s="75"/>
      <c r="E865" s="75"/>
      <c r="F865" s="75"/>
      <c r="G865" s="75"/>
      <c r="H865" s="75"/>
      <c r="I865" s="19" t="s">
        <v>47</v>
      </c>
      <c r="J865" s="34">
        <f>SQRT(C833*0.0980665)*(1/0.0980665)/1000*0.66*0.8*C839*C838</f>
        <v>141.55170723346853</v>
      </c>
      <c r="K865" s="16" t="s">
        <v>12</v>
      </c>
      <c r="L865" s="75"/>
      <c r="M865" s="40" t="s">
        <v>44</v>
      </c>
      <c r="N865" s="75"/>
      <c r="O865" s="15"/>
      <c r="P865" s="75"/>
      <c r="R865" s="75"/>
      <c r="S865" s="75"/>
      <c r="T865" s="75"/>
      <c r="U865" s="75"/>
      <c r="V865" s="75"/>
      <c r="W865" s="75"/>
      <c r="X865" s="75"/>
      <c r="Y865" s="19" t="s">
        <v>47</v>
      </c>
      <c r="Z865" s="34">
        <f>SQRT(S833*0.0980665)*(1/0.0980665)/1000*0.66*0.8*S839*S838</f>
        <v>249.92723308409288</v>
      </c>
      <c r="AA865" s="16" t="s">
        <v>12</v>
      </c>
      <c r="AB865" s="75"/>
      <c r="AC865" s="40" t="s">
        <v>44</v>
      </c>
      <c r="AD865" s="75"/>
      <c r="AE865" s="15"/>
      <c r="AF865" s="75"/>
      <c r="AG865" s="75"/>
    </row>
    <row r="866" spans="2:33" x14ac:dyDescent="0.3">
      <c r="B866" s="75"/>
      <c r="C866" s="75"/>
      <c r="D866" s="75"/>
      <c r="E866" s="75"/>
      <c r="F866" s="75"/>
      <c r="G866" s="75"/>
      <c r="H866" s="75"/>
      <c r="I866" s="63" t="s">
        <v>34</v>
      </c>
      <c r="J866" s="63">
        <f>ROUNDDOWN(1/J862*C854*100,0)</f>
        <v>36</v>
      </c>
      <c r="K866" s="64" t="s">
        <v>5</v>
      </c>
      <c r="L866" s="75"/>
      <c r="M866" s="39" t="str">
        <f>IF(OR(J866&lt;10,J866&gt;25),"[REDISEÑAR]","[OK")</f>
        <v>[REDISEÑAR]</v>
      </c>
      <c r="N866" s="41" t="s">
        <v>80</v>
      </c>
      <c r="O866" s="42">
        <f>1/J862*(C850/2)^2*PI()</f>
        <v>36.191147369354418</v>
      </c>
      <c r="P866" s="75" t="str">
        <f>"$\phi$"&amp;C850&amp;"@"&amp;J866</f>
        <v>$\phi$12@36</v>
      </c>
      <c r="R866" s="75"/>
      <c r="S866" s="75"/>
      <c r="T866" s="75"/>
      <c r="U866" s="75"/>
      <c r="V866" s="75"/>
      <c r="W866" s="75"/>
      <c r="X866" s="75"/>
      <c r="Y866" s="63" t="s">
        <v>34</v>
      </c>
      <c r="Z866" s="63">
        <f>ROUNDDOWN(1/Z862*S854*100,0)</f>
        <v>36</v>
      </c>
      <c r="AA866" s="64" t="s">
        <v>5</v>
      </c>
      <c r="AB866" s="75"/>
      <c r="AC866" s="39" t="str">
        <f>IF(OR(Z866&lt;10,Z866&gt;25),"[REDISEÑAR]","[OK")</f>
        <v>[REDISEÑAR]</v>
      </c>
      <c r="AD866" s="41" t="s">
        <v>80</v>
      </c>
      <c r="AE866" s="42">
        <f>1/Z862*(S850/2)^2*PI()</f>
        <v>36.191147369354418</v>
      </c>
      <c r="AF866" s="75" t="str">
        <f>"$\phi$"&amp;S850&amp;"@"&amp;Z866</f>
        <v>$\phi$12@36</v>
      </c>
      <c r="AG866" s="75"/>
    </row>
    <row r="867" spans="2:33" x14ac:dyDescent="0.3">
      <c r="B867" s="75"/>
      <c r="C867" s="75"/>
      <c r="D867" s="75"/>
      <c r="E867" s="75"/>
      <c r="F867" s="75"/>
      <c r="G867" s="75"/>
      <c r="H867" s="75"/>
      <c r="I867" s="31" t="s">
        <v>48</v>
      </c>
      <c r="J867" s="30">
        <f>C854*2*IF(J837/C851&gt;=1,J837/C851,0)</f>
        <v>24.816786767557321</v>
      </c>
      <c r="K867" s="29" t="s">
        <v>17</v>
      </c>
      <c r="L867" s="75"/>
      <c r="M867" s="75"/>
      <c r="N867" s="15"/>
      <c r="O867" s="15"/>
      <c r="P867" s="75"/>
      <c r="R867" s="75"/>
      <c r="S867" s="75"/>
      <c r="T867" s="75"/>
      <c r="U867" s="75"/>
      <c r="V867" s="75"/>
      <c r="W867" s="75"/>
      <c r="X867" s="75"/>
      <c r="Y867" s="31" t="s">
        <v>48</v>
      </c>
      <c r="Z867" s="30">
        <f>S854*2*IF(Z837/S851&gt;=1,Z837/S851,0)</f>
        <v>43.817139136468384</v>
      </c>
      <c r="AA867" s="29" t="s">
        <v>17</v>
      </c>
      <c r="AB867" s="75"/>
      <c r="AC867" s="75"/>
      <c r="AD867" s="15"/>
      <c r="AE867" s="15"/>
      <c r="AF867" s="75"/>
      <c r="AG867" s="75"/>
    </row>
    <row r="868" spans="2:33" x14ac:dyDescent="0.3">
      <c r="B868" s="75"/>
      <c r="C868" s="75"/>
      <c r="D868" s="75"/>
      <c r="E868" s="75"/>
      <c r="F868" s="75"/>
      <c r="G868" s="75"/>
      <c r="H868" s="75"/>
      <c r="I868" s="19" t="s">
        <v>81</v>
      </c>
      <c r="J868" s="34">
        <f>MIN(J867*C834/1000,J865)</f>
        <v>104.23050442374075</v>
      </c>
      <c r="K868" s="16" t="s">
        <v>12</v>
      </c>
      <c r="L868" s="75"/>
      <c r="M868" s="40" t="s">
        <v>82</v>
      </c>
      <c r="N868" s="15"/>
      <c r="O868" s="15"/>
      <c r="P868" s="75"/>
      <c r="R868" s="75"/>
      <c r="S868" s="75"/>
      <c r="T868" s="75"/>
      <c r="U868" s="75"/>
      <c r="V868" s="75"/>
      <c r="W868" s="75"/>
      <c r="X868" s="75"/>
      <c r="Y868" s="19" t="s">
        <v>81</v>
      </c>
      <c r="Z868" s="34">
        <f>MIN(Z867*S834/1000,Z865)</f>
        <v>184.03198437316721</v>
      </c>
      <c r="AA868" s="16" t="s">
        <v>12</v>
      </c>
      <c r="AB868" s="75"/>
      <c r="AC868" s="40" t="s">
        <v>82</v>
      </c>
      <c r="AD868" s="15"/>
      <c r="AE868" s="15"/>
      <c r="AF868" s="75"/>
      <c r="AG868" s="75"/>
    </row>
    <row r="869" spans="2:33" x14ac:dyDescent="0.3">
      <c r="B869" s="75"/>
      <c r="C869" s="75"/>
      <c r="D869" s="75"/>
      <c r="E869" s="75"/>
      <c r="F869" s="75"/>
      <c r="G869" s="75"/>
      <c r="H869" s="75"/>
      <c r="I869" s="19" t="s">
        <v>79</v>
      </c>
      <c r="J869" s="34">
        <f>J868+J860</f>
        <v>133.16310292226396</v>
      </c>
      <c r="K869" s="16" t="s">
        <v>12</v>
      </c>
      <c r="L869" s="75"/>
      <c r="M869" s="39" t="str">
        <f>IF(J869&gt;J858,"[OK]","[REDISEÑAR]")</f>
        <v>[OK]</v>
      </c>
      <c r="N869" s="41" t="str">
        <f>IF(O869&gt;0,"Sobrado","Faltan")</f>
        <v>Sobrado</v>
      </c>
      <c r="O869" s="43">
        <f>J869-J858</f>
        <v>118.8284362555973</v>
      </c>
      <c r="P869" s="75"/>
      <c r="R869" s="75"/>
      <c r="S869" s="75"/>
      <c r="T869" s="75"/>
      <c r="U869" s="75"/>
      <c r="V869" s="75"/>
      <c r="W869" s="75"/>
      <c r="X869" s="75"/>
      <c r="Y869" s="19" t="s">
        <v>79</v>
      </c>
      <c r="Z869" s="34">
        <f>Z868+Z860</f>
        <v>235.11610359712222</v>
      </c>
      <c r="AA869" s="16" t="s">
        <v>12</v>
      </c>
      <c r="AB869" s="75"/>
      <c r="AC869" s="39" t="str">
        <f>IF(Z869&gt;Z858,"[OK]","[REDISEÑAR]")</f>
        <v>[OK]</v>
      </c>
      <c r="AD869" s="41" t="str">
        <f>IF(AE869&gt;0,"Sobrado","Faltan")</f>
        <v>Sobrado</v>
      </c>
      <c r="AE869" s="43">
        <f>Z869-Z858</f>
        <v>187.18263693045554</v>
      </c>
      <c r="AF869" s="75"/>
      <c r="AG869" s="75"/>
    </row>
    <row r="870" spans="2:33" x14ac:dyDescent="0.3">
      <c r="B870" s="75"/>
      <c r="C870" s="75"/>
      <c r="D870" s="75"/>
      <c r="E870" s="75"/>
      <c r="F870" s="75"/>
      <c r="G870" s="75"/>
      <c r="H870" s="75"/>
      <c r="J870" s="75"/>
      <c r="K870" s="75"/>
      <c r="L870" s="75"/>
      <c r="M870" s="75"/>
      <c r="N870" s="75"/>
      <c r="O870" s="75"/>
      <c r="P870" s="75"/>
      <c r="R870" s="75"/>
      <c r="S870" s="75"/>
      <c r="T870" s="75"/>
      <c r="U870" s="75"/>
      <c r="V870" s="75"/>
      <c r="W870" s="75"/>
      <c r="X870" s="75"/>
      <c r="Y870" s="15"/>
      <c r="Z870" s="75"/>
      <c r="AA870" s="75"/>
      <c r="AB870" s="75"/>
      <c r="AC870" s="75"/>
      <c r="AD870" s="75"/>
      <c r="AE870" s="75"/>
      <c r="AF870" s="75"/>
      <c r="AG870" s="75"/>
    </row>
    <row r="871" spans="2:33" x14ac:dyDescent="0.3">
      <c r="B871" s="75"/>
      <c r="C871" s="75"/>
      <c r="D871" s="75"/>
      <c r="E871" s="75"/>
      <c r="F871" s="75"/>
      <c r="G871" s="75"/>
      <c r="H871" s="75"/>
      <c r="I871" s="18" t="s">
        <v>45</v>
      </c>
      <c r="J871" s="75"/>
      <c r="K871" s="75"/>
      <c r="L871" s="75"/>
      <c r="M871" s="75"/>
      <c r="N871" s="75"/>
      <c r="O871" s="15"/>
      <c r="P871" s="75"/>
      <c r="R871" s="75"/>
      <c r="S871" s="75"/>
      <c r="T871" s="75"/>
      <c r="U871" s="75"/>
      <c r="V871" s="75"/>
      <c r="W871" s="75"/>
      <c r="X871" s="75"/>
      <c r="Y871" s="18" t="s">
        <v>45</v>
      </c>
      <c r="Z871" s="75"/>
      <c r="AA871" s="75"/>
      <c r="AB871" s="75"/>
      <c r="AC871" s="75"/>
      <c r="AD871" s="75"/>
      <c r="AE871" s="15"/>
      <c r="AF871" s="75"/>
      <c r="AG871" s="75"/>
    </row>
    <row r="872" spans="2:33" x14ac:dyDescent="0.3">
      <c r="B872" s="75"/>
      <c r="C872" s="75"/>
      <c r="D872" s="75"/>
      <c r="E872" s="75"/>
      <c r="F872" s="75"/>
      <c r="G872" s="75"/>
      <c r="H872" s="75"/>
      <c r="I872" s="19" t="s">
        <v>40</v>
      </c>
      <c r="J872" s="16">
        <f>J846</f>
        <v>8.6007999999999996</v>
      </c>
      <c r="K872" s="16" t="s">
        <v>12</v>
      </c>
      <c r="L872" s="75"/>
      <c r="M872" s="75"/>
      <c r="N872" s="75"/>
      <c r="O872" s="26"/>
      <c r="P872" s="75"/>
      <c r="R872" s="75"/>
      <c r="S872" s="75"/>
      <c r="T872" s="75"/>
      <c r="U872" s="75"/>
      <c r="V872" s="75"/>
      <c r="W872" s="75"/>
      <c r="X872" s="75"/>
      <c r="Y872" s="19" t="s">
        <v>40</v>
      </c>
      <c r="Z872" s="16">
        <f>Z846</f>
        <v>28.760079999999995</v>
      </c>
      <c r="AA872" s="16" t="s">
        <v>12</v>
      </c>
      <c r="AB872" s="75"/>
      <c r="AC872" s="75"/>
      <c r="AD872" s="75"/>
      <c r="AE872" s="26"/>
      <c r="AF872" s="75"/>
      <c r="AG872" s="75"/>
    </row>
    <row r="873" spans="2:33" x14ac:dyDescent="0.3">
      <c r="B873" s="75"/>
      <c r="C873" s="75"/>
      <c r="D873" s="75"/>
      <c r="E873" s="75"/>
      <c r="F873" s="75"/>
      <c r="G873" s="75"/>
      <c r="H873" s="75"/>
      <c r="I873" s="19" t="s">
        <v>46</v>
      </c>
      <c r="J873" s="34">
        <f>J858</f>
        <v>14.334666666666667</v>
      </c>
      <c r="K873" s="16" t="s">
        <v>12</v>
      </c>
      <c r="L873" s="75"/>
      <c r="M873" s="75"/>
      <c r="N873" s="75"/>
      <c r="O873" s="75"/>
      <c r="P873" s="75"/>
      <c r="R873" s="75"/>
      <c r="S873" s="75"/>
      <c r="T873" s="75"/>
      <c r="U873" s="75"/>
      <c r="V873" s="75"/>
      <c r="W873" s="75"/>
      <c r="X873" s="75"/>
      <c r="Y873" s="19" t="s">
        <v>46</v>
      </c>
      <c r="Z873" s="34">
        <f>Z858</f>
        <v>47.933466666666661</v>
      </c>
      <c r="AA873" s="16" t="s">
        <v>12</v>
      </c>
      <c r="AB873" s="75"/>
      <c r="AC873" s="75"/>
      <c r="AD873" s="75"/>
      <c r="AE873" s="75"/>
      <c r="AF873" s="75"/>
      <c r="AG873" s="75"/>
    </row>
    <row r="874" spans="2:33" x14ac:dyDescent="0.3">
      <c r="B874" s="75"/>
      <c r="C874" s="75"/>
      <c r="D874" s="75"/>
      <c r="E874" s="75"/>
      <c r="F874" s="75"/>
      <c r="G874" s="75"/>
      <c r="H874" s="75"/>
      <c r="I874" s="19" t="s">
        <v>38</v>
      </c>
      <c r="J874" s="34">
        <f>2/3*J859*SQRT(C833*0.0980665)*(1/0.0980665)/1000</f>
        <v>113.46117058244388</v>
      </c>
      <c r="K874" s="16" t="s">
        <v>12</v>
      </c>
      <c r="L874" s="75"/>
      <c r="M874" s="39" t="str">
        <f>IF(J874&gt;J873,"[OK]","[REDISEÑAR]")</f>
        <v>[OK]</v>
      </c>
      <c r="N874" s="41" t="str">
        <f>IF(O874&gt;0,"Sobrado","Faltan")</f>
        <v>Sobrado</v>
      </c>
      <c r="O874" s="43">
        <f>J874-J873</f>
        <v>99.126503915777221</v>
      </c>
      <c r="P874" s="75"/>
      <c r="R874" s="75"/>
      <c r="S874" s="75"/>
      <c r="T874" s="75"/>
      <c r="U874" s="75"/>
      <c r="V874" s="75"/>
      <c r="W874" s="75"/>
      <c r="X874" s="75"/>
      <c r="Y874" s="19" t="s">
        <v>38</v>
      </c>
      <c r="Z874" s="34">
        <f>2/3*Z859*SQRT(S833*0.0980665)*(1/0.0980665)/1000</f>
        <v>200.32987930962747</v>
      </c>
      <c r="AA874" s="16" t="s">
        <v>12</v>
      </c>
      <c r="AB874" s="75"/>
      <c r="AC874" s="39" t="str">
        <f>IF(Z874&gt;Z873,"[OK]","[REDISEÑAR]")</f>
        <v>[OK]</v>
      </c>
      <c r="AD874" s="41" t="str">
        <f>IF(AE874&gt;0,"Sobrado","Faltan")</f>
        <v>Sobrado</v>
      </c>
      <c r="AE874" s="43">
        <f>Z874-Z873</f>
        <v>152.3964126429608</v>
      </c>
      <c r="AF874" s="75"/>
      <c r="AG874" s="75"/>
    </row>
    <row r="876" spans="2:33" ht="18" x14ac:dyDescent="0.35">
      <c r="B876" s="48" t="str">
        <f>'EJE 15'!$S$24</f>
        <v>EJE 15.C-C1 | PIER F31X | PISO 10</v>
      </c>
      <c r="C876" s="75"/>
      <c r="D876" s="75"/>
      <c r="E876" s="75"/>
      <c r="F876" s="75"/>
      <c r="G876" s="75"/>
      <c r="H876" s="75"/>
      <c r="J876" s="75"/>
      <c r="K876" s="75"/>
      <c r="L876" s="75"/>
      <c r="M876" s="75"/>
      <c r="N876" s="75"/>
      <c r="O876" s="75"/>
      <c r="P876" s="75"/>
    </row>
    <row r="877" spans="2:33" x14ac:dyDescent="0.3">
      <c r="B877" s="75"/>
      <c r="C877" s="75"/>
      <c r="D877" s="75"/>
      <c r="E877" s="75"/>
      <c r="F877" s="75"/>
      <c r="G877" s="75"/>
      <c r="H877" s="75"/>
      <c r="J877" s="75"/>
      <c r="K877" s="75"/>
      <c r="L877" s="75"/>
      <c r="M877" s="75"/>
      <c r="N877" s="75"/>
      <c r="O877" s="75"/>
      <c r="P877" s="75"/>
    </row>
    <row r="878" spans="2:33" x14ac:dyDescent="0.3">
      <c r="B878" s="17" t="s">
        <v>6</v>
      </c>
      <c r="C878" s="75"/>
      <c r="D878" s="75"/>
      <c r="E878" s="75"/>
      <c r="F878" s="75"/>
      <c r="G878" s="75"/>
      <c r="H878" s="75"/>
      <c r="I878" s="18" t="s">
        <v>25</v>
      </c>
      <c r="J878" s="75"/>
      <c r="K878" s="75"/>
      <c r="L878" s="75"/>
      <c r="M878" s="75"/>
      <c r="N878" s="75"/>
      <c r="O878" s="75"/>
      <c r="P878" s="75"/>
    </row>
    <row r="879" spans="2:33" x14ac:dyDescent="0.3">
      <c r="B879" s="19" t="s">
        <v>99</v>
      </c>
      <c r="C879" s="61">
        <f>10.1971621297793*'EJE 15'!$G$24</f>
        <v>305.91486389337899</v>
      </c>
      <c r="D879" s="16" t="s">
        <v>8</v>
      </c>
      <c r="E879" s="75"/>
      <c r="F879" s="75"/>
      <c r="G879" s="75"/>
      <c r="H879" s="75"/>
      <c r="I879" s="19" t="s">
        <v>58</v>
      </c>
      <c r="J879" s="16">
        <f>C886/16</f>
        <v>14.375</v>
      </c>
      <c r="K879" s="16" t="s">
        <v>5</v>
      </c>
      <c r="L879" s="21"/>
      <c r="M879" s="39" t="str">
        <f>IF(J879&lt;C884,"[OK]","[REDISEÑAR]")</f>
        <v>[OK]</v>
      </c>
      <c r="N879" s="75"/>
      <c r="O879" s="75"/>
      <c r="P879" s="75"/>
    </row>
    <row r="880" spans="2:33" x14ac:dyDescent="0.3">
      <c r="B880" s="19" t="s">
        <v>30</v>
      </c>
      <c r="C880" s="16">
        <v>4200</v>
      </c>
      <c r="D880" s="16" t="s">
        <v>8</v>
      </c>
      <c r="E880" s="75"/>
      <c r="F880" s="75"/>
      <c r="G880" s="75"/>
      <c r="H880" s="75"/>
      <c r="I880" s="19" t="s">
        <v>16</v>
      </c>
      <c r="J880" s="16">
        <f>C884*C885</f>
        <v>4800</v>
      </c>
      <c r="K880" s="16" t="s">
        <v>17</v>
      </c>
      <c r="L880" s="21"/>
      <c r="M880" s="75"/>
      <c r="N880" s="75"/>
      <c r="O880" s="75"/>
      <c r="P880" s="75"/>
    </row>
    <row r="881" spans="2:16" x14ac:dyDescent="0.3">
      <c r="B881" s="19" t="s">
        <v>31</v>
      </c>
      <c r="C881" s="16">
        <v>2800</v>
      </c>
      <c r="D881" s="16" t="s">
        <v>8</v>
      </c>
      <c r="E881" s="75"/>
      <c r="F881" s="75"/>
      <c r="G881" s="75"/>
      <c r="H881" s="75"/>
      <c r="I881" s="19" t="s">
        <v>51</v>
      </c>
      <c r="J881" s="16">
        <f>MIN(0.8*C885/5,3*C884,45)</f>
        <v>30.720000000000006</v>
      </c>
      <c r="K881" s="16" t="s">
        <v>5</v>
      </c>
      <c r="L881" s="21"/>
      <c r="M881" s="39" t="str">
        <f>IF(J881&gt;C897,"[OK]","[REDISEÑAR]")</f>
        <v>[OK]</v>
      </c>
      <c r="N881" s="75"/>
      <c r="O881" s="75"/>
      <c r="P881" s="75"/>
    </row>
    <row r="882" spans="2:16" x14ac:dyDescent="0.3">
      <c r="B882" s="75"/>
      <c r="C882" s="75"/>
      <c r="D882" s="75"/>
      <c r="E882" s="75"/>
      <c r="F882" s="75"/>
      <c r="G882" s="75"/>
      <c r="H882" s="75"/>
      <c r="I882" s="19" t="s">
        <v>56</v>
      </c>
      <c r="J882" s="16">
        <f>MIN(0.8*C886/3,3*C885,45)</f>
        <v>45</v>
      </c>
      <c r="K882" s="16" t="s">
        <v>5</v>
      </c>
      <c r="L882" s="21"/>
      <c r="M882" s="39" t="str">
        <f>IF(J882&gt;C897,"[OK]","[REDISEÑAR]")</f>
        <v>[OK]</v>
      </c>
      <c r="N882" s="75"/>
      <c r="O882" s="75"/>
      <c r="P882" s="75"/>
    </row>
    <row r="883" spans="2:16" x14ac:dyDescent="0.3">
      <c r="B883" s="17" t="s">
        <v>3</v>
      </c>
      <c r="C883" s="75"/>
      <c r="D883" s="75"/>
      <c r="E883" s="75"/>
      <c r="F883" s="75"/>
      <c r="G883" s="75"/>
      <c r="H883" s="75"/>
      <c r="I883" s="19" t="s">
        <v>62</v>
      </c>
      <c r="J883" s="16">
        <f>0.8*C885</f>
        <v>153.60000000000002</v>
      </c>
      <c r="K883" s="29" t="s">
        <v>5</v>
      </c>
      <c r="L883" s="75"/>
      <c r="M883" s="75"/>
      <c r="N883" s="75"/>
      <c r="O883" s="75"/>
      <c r="P883" s="75"/>
    </row>
    <row r="884" spans="2:16" x14ac:dyDescent="0.3">
      <c r="B884" s="19" t="str">
        <f>"Espesor del muro (h)"</f>
        <v>Espesor del muro (h)</v>
      </c>
      <c r="C884" s="49">
        <f>'EJE 15'!$H$24</f>
        <v>25</v>
      </c>
      <c r="D884" s="16" t="s">
        <v>5</v>
      </c>
      <c r="E884" s="75"/>
      <c r="F884" s="75"/>
      <c r="G884" s="75"/>
      <c r="H884" s="75"/>
      <c r="J884" s="75"/>
      <c r="K884" s="75"/>
      <c r="L884" s="75"/>
      <c r="M884" s="75"/>
      <c r="N884" s="75"/>
      <c r="O884" s="75"/>
      <c r="P884" s="75"/>
    </row>
    <row r="885" spans="2:16" x14ac:dyDescent="0.3">
      <c r="B885" s="19" t="s">
        <v>63</v>
      </c>
      <c r="C885" s="49">
        <f>'EJE 15'!$I$24</f>
        <v>192</v>
      </c>
      <c r="D885" s="16" t="s">
        <v>5</v>
      </c>
      <c r="E885" s="75"/>
      <c r="F885" s="75"/>
      <c r="G885" s="75"/>
      <c r="H885" s="75"/>
      <c r="I885" s="18" t="s">
        <v>26</v>
      </c>
      <c r="J885" s="75"/>
      <c r="K885" s="75"/>
      <c r="L885" s="75"/>
      <c r="M885" s="75"/>
      <c r="N885" s="75"/>
      <c r="O885" s="75"/>
      <c r="P885" s="75"/>
    </row>
    <row r="886" spans="2:16" x14ac:dyDescent="0.3">
      <c r="B886" s="19" t="s">
        <v>10</v>
      </c>
      <c r="C886" s="49">
        <f>'EJE 15'!$J$24</f>
        <v>230</v>
      </c>
      <c r="D886" s="16" t="s">
        <v>5</v>
      </c>
      <c r="E886" s="75"/>
      <c r="F886" s="75"/>
      <c r="G886" s="75"/>
      <c r="H886" s="75"/>
      <c r="I886" s="19" t="s">
        <v>28</v>
      </c>
      <c r="J886" s="16">
        <f>0.35*C879</f>
        <v>107.07020236268264</v>
      </c>
      <c r="K886" s="16" t="s">
        <v>8</v>
      </c>
      <c r="L886" s="21"/>
      <c r="M886" s="75"/>
      <c r="N886" s="75"/>
      <c r="O886" s="75"/>
      <c r="P886" s="75"/>
    </row>
    <row r="887" spans="2:16" x14ac:dyDescent="0.3">
      <c r="B887" s="75"/>
      <c r="C887" s="75"/>
      <c r="D887" s="75"/>
      <c r="E887" s="75"/>
      <c r="F887" s="75"/>
      <c r="G887" s="75"/>
      <c r="H887" s="75"/>
      <c r="I887" s="19" t="s">
        <v>27</v>
      </c>
      <c r="J887" s="30">
        <f>C889*1000/J880</f>
        <v>21.523854166666666</v>
      </c>
      <c r="K887" s="16" t="s">
        <v>8</v>
      </c>
      <c r="L887" s="21"/>
      <c r="M887" s="39" t="str">
        <f>IF(J887&lt;J886,"[OK]","[REDISEÑAR]")</f>
        <v>[OK]</v>
      </c>
      <c r="N887" s="41" t="s">
        <v>112</v>
      </c>
      <c r="O887" s="59">
        <f>J887/J886</f>
        <v>0.20102562329861079</v>
      </c>
      <c r="P887" s="75"/>
    </row>
    <row r="888" spans="2:16" x14ac:dyDescent="0.3">
      <c r="B888" s="17" t="s">
        <v>11</v>
      </c>
      <c r="C888" s="75"/>
      <c r="D888" s="75"/>
      <c r="E888" s="75"/>
      <c r="F888" s="75"/>
      <c r="G888" s="75"/>
      <c r="H888" s="75"/>
      <c r="J888" s="75"/>
      <c r="K888" s="75"/>
      <c r="L888" s="75"/>
      <c r="M888" s="75"/>
      <c r="N888" s="75"/>
      <c r="O888" s="75"/>
      <c r="P888" s="75"/>
    </row>
    <row r="889" spans="2:16" x14ac:dyDescent="0.3">
      <c r="B889" s="19" t="str">
        <f>"$N_U$"</f>
        <v>$N_U$</v>
      </c>
      <c r="C889" s="60">
        <f>'EJE 15'!$K$24</f>
        <v>103.3145</v>
      </c>
      <c r="D889" s="16" t="s">
        <v>12</v>
      </c>
      <c r="E889" s="75"/>
      <c r="F889" s="75"/>
      <c r="G889" s="75"/>
      <c r="H889" s="75"/>
      <c r="I889" s="18" t="s">
        <v>54</v>
      </c>
      <c r="J889" s="75"/>
      <c r="K889" s="75"/>
      <c r="L889" s="75"/>
      <c r="M889" s="75"/>
      <c r="N889" s="75"/>
      <c r="O889" s="75"/>
      <c r="P889" s="75"/>
    </row>
    <row r="890" spans="2:16" x14ac:dyDescent="0.3">
      <c r="B890" s="19" t="s">
        <v>14</v>
      </c>
      <c r="C890" s="60">
        <f>'EJE 15'!$L$24</f>
        <v>0.35670000000000002</v>
      </c>
      <c r="D890" s="16" t="s">
        <v>12</v>
      </c>
      <c r="E890" s="75"/>
      <c r="F890" s="75"/>
      <c r="G890" s="75"/>
      <c r="H890" s="75"/>
      <c r="I890" s="19" t="s">
        <v>72</v>
      </c>
      <c r="J890" s="16">
        <f>1.2*C890+C891+1.4*C892</f>
        <v>8.4889200000000002</v>
      </c>
      <c r="K890" s="16" t="s">
        <v>12</v>
      </c>
      <c r="L890" s="75"/>
      <c r="M890" s="75" t="s">
        <v>68</v>
      </c>
      <c r="N890" s="75"/>
      <c r="O890" s="75"/>
      <c r="P890" s="75"/>
    </row>
    <row r="891" spans="2:16" x14ac:dyDescent="0.3">
      <c r="B891" s="19" t="s">
        <v>13</v>
      </c>
      <c r="C891" s="60">
        <f>'EJE 15'!$M$24</f>
        <v>0.27939999999999998</v>
      </c>
      <c r="D891" s="16" t="s">
        <v>12</v>
      </c>
      <c r="E891" s="75"/>
      <c r="F891" s="75"/>
      <c r="G891" s="75"/>
      <c r="H891" s="75"/>
      <c r="I891" s="19" t="s">
        <v>69</v>
      </c>
      <c r="J891" s="16">
        <f>SUM(C890:C892)</f>
        <v>6.1943000000000001</v>
      </c>
      <c r="K891" s="16" t="s">
        <v>12</v>
      </c>
      <c r="L891" s="75"/>
      <c r="M891" s="75" t="s">
        <v>70</v>
      </c>
      <c r="N891" s="75"/>
      <c r="O891" s="75"/>
      <c r="P891" s="75"/>
    </row>
    <row r="892" spans="2:16" x14ac:dyDescent="0.3">
      <c r="B892" s="19" t="s">
        <v>15</v>
      </c>
      <c r="C892" s="60">
        <f>'EJE 15'!$N$24</f>
        <v>5.5582000000000003</v>
      </c>
      <c r="D892" s="16" t="s">
        <v>12</v>
      </c>
      <c r="E892" s="75"/>
      <c r="F892" s="75"/>
      <c r="G892" s="75"/>
      <c r="H892" s="75"/>
      <c r="I892" s="19" t="s">
        <v>73</v>
      </c>
      <c r="J892" s="16">
        <f>IF(C893=0,J890,C893)</f>
        <v>8.4889200000000002</v>
      </c>
      <c r="K892" s="16" t="s">
        <v>12</v>
      </c>
      <c r="L892" s="75"/>
      <c r="M892" s="40" t="s">
        <v>74</v>
      </c>
      <c r="N892" s="75"/>
      <c r="O892" s="75"/>
      <c r="P892" s="75"/>
    </row>
    <row r="893" spans="2:16" x14ac:dyDescent="0.3">
      <c r="B893" s="19" t="s">
        <v>55</v>
      </c>
      <c r="C893" s="16">
        <v>0</v>
      </c>
      <c r="D893" s="16" t="s">
        <v>12</v>
      </c>
      <c r="E893" s="75"/>
      <c r="F893" s="75"/>
      <c r="G893" s="75"/>
      <c r="H893" s="75"/>
      <c r="I893" s="19" t="s">
        <v>71</v>
      </c>
      <c r="J893" s="16">
        <f>IF(C893=0,J891,C893)</f>
        <v>6.1943000000000001</v>
      </c>
      <c r="K893" s="16" t="s">
        <v>12</v>
      </c>
      <c r="L893" s="75"/>
      <c r="M893" s="40" t="s">
        <v>75</v>
      </c>
      <c r="N893" s="75"/>
      <c r="O893" s="75"/>
      <c r="P893" s="75"/>
    </row>
    <row r="894" spans="2:16" x14ac:dyDescent="0.3">
      <c r="B894" s="75"/>
      <c r="C894" s="75"/>
      <c r="D894" s="75"/>
      <c r="E894" s="75"/>
      <c r="F894" s="75"/>
      <c r="G894" s="75"/>
      <c r="H894" s="75"/>
      <c r="J894" s="75"/>
      <c r="K894" s="75"/>
      <c r="L894" s="75"/>
      <c r="M894" s="75"/>
      <c r="N894" s="75"/>
      <c r="O894" s="75"/>
      <c r="P894" s="75"/>
    </row>
    <row r="895" spans="2:16" x14ac:dyDescent="0.3">
      <c r="B895" s="33" t="s">
        <v>42</v>
      </c>
      <c r="C895" s="75"/>
      <c r="D895" s="75"/>
      <c r="E895" s="75"/>
      <c r="F895" s="75"/>
      <c r="G895" s="75"/>
      <c r="H895" s="75"/>
      <c r="I895" s="27" t="s">
        <v>76</v>
      </c>
      <c r="J895" s="75"/>
      <c r="K895" s="75"/>
      <c r="L895" s="75"/>
      <c r="M895" s="75"/>
      <c r="N895" s="75"/>
      <c r="O895" s="75"/>
      <c r="P895" s="75"/>
    </row>
    <row r="896" spans="2:16" x14ac:dyDescent="0.3">
      <c r="B896" s="31" t="s">
        <v>41</v>
      </c>
      <c r="C896" s="16">
        <v>10</v>
      </c>
      <c r="D896" s="29" t="s">
        <v>35</v>
      </c>
      <c r="E896" s="75"/>
      <c r="F896" s="75"/>
      <c r="G896" s="75"/>
      <c r="H896" s="75"/>
      <c r="I896" s="19" t="s">
        <v>29</v>
      </c>
      <c r="J896" s="30">
        <f>J893*1000/J880</f>
        <v>1.2904791666666666</v>
      </c>
      <c r="K896" s="29" t="s">
        <v>8</v>
      </c>
      <c r="L896" s="75"/>
      <c r="M896" s="75"/>
      <c r="N896" s="75"/>
      <c r="O896" s="75"/>
      <c r="P896" s="75"/>
    </row>
    <row r="897" spans="2:16" x14ac:dyDescent="0.3">
      <c r="B897" s="31" t="s">
        <v>43</v>
      </c>
      <c r="C897" s="16">
        <v>14</v>
      </c>
      <c r="D897" s="29" t="s">
        <v>5</v>
      </c>
      <c r="E897" s="75"/>
      <c r="F897" s="39" t="str">
        <f>IF(OR(C897&gt;25,C897&lt;10),"[REDISEÑAR]",IF(AND(C897&lt;=J898,C897&lt;=J912),"[OK]","[REDISEÑAR]"))</f>
        <v>[OK]</v>
      </c>
      <c r="G897" s="75"/>
      <c r="H897" s="75"/>
      <c r="I897" s="19" t="s">
        <v>61</v>
      </c>
      <c r="J897" s="37">
        <f>MAX(J896*100*C884/(2*C881),C901)</f>
        <v>3.125</v>
      </c>
      <c r="K897" s="29" t="s">
        <v>32</v>
      </c>
      <c r="L897" s="75"/>
      <c r="M897" s="15"/>
      <c r="N897" s="15"/>
      <c r="O897" s="15"/>
      <c r="P897" s="75"/>
    </row>
    <row r="898" spans="2:16" x14ac:dyDescent="0.3">
      <c r="B898" s="75"/>
      <c r="C898" s="50" t="str">
        <f>"$\phi$"&amp;C896&amp;"@"&amp;C897</f>
        <v>$\phi$10@14</v>
      </c>
      <c r="D898" s="75"/>
      <c r="E898" s="75"/>
      <c r="F898" s="39" t="str">
        <f>IF(OR(J897=C901,J908=C901),"[ÁREA MINIMA]","[]")</f>
        <v>[ÁREA MINIMA]</v>
      </c>
      <c r="G898" s="75"/>
      <c r="H898" s="75"/>
      <c r="I898" s="63" t="s">
        <v>34</v>
      </c>
      <c r="J898" s="63">
        <f>ROUNDDOWN((1/J897)*C900*100,0)</f>
        <v>25</v>
      </c>
      <c r="K898" s="64" t="s">
        <v>5</v>
      </c>
      <c r="L898" s="75"/>
      <c r="M898" s="39" t="str">
        <f>IF(OR(J898&lt;10,J898&gt;25),"[REDISEÑAR]","[OK")</f>
        <v>[OK</v>
      </c>
      <c r="N898" s="41" t="s">
        <v>80</v>
      </c>
      <c r="O898" s="42">
        <f>1/J897*(C896/2)^2*PI()</f>
        <v>25.132741228718345</v>
      </c>
      <c r="P898" s="75" t="str">
        <f>"$\phi$"&amp;C896&amp;"@"&amp;J898</f>
        <v>$\phi$10@25</v>
      </c>
    </row>
    <row r="899" spans="2:16" x14ac:dyDescent="0.3">
      <c r="B899" s="18" t="s">
        <v>52</v>
      </c>
      <c r="C899" s="75"/>
      <c r="D899" s="75"/>
      <c r="E899" s="75"/>
      <c r="F899" s="62" t="str">
        <f>IF(J887&lt;J886,IF(J915&gt;J904,"[OK]","[REDISEÑAR]"),"[REDISEÑAR]")</f>
        <v>[OK]</v>
      </c>
      <c r="G899" s="75"/>
      <c r="H899" s="75"/>
      <c r="I899" s="31" t="s">
        <v>48</v>
      </c>
      <c r="J899" s="30">
        <f>C900*2*IF(C885/C897&gt;=1,C885/C897,0)</f>
        <v>21.542349624615724</v>
      </c>
      <c r="K899" s="29" t="s">
        <v>17</v>
      </c>
      <c r="L899" s="75"/>
      <c r="M899" s="75"/>
      <c r="N899" s="15"/>
      <c r="O899" s="44"/>
      <c r="P899" s="75"/>
    </row>
    <row r="900" spans="2:16" x14ac:dyDescent="0.3">
      <c r="B900" s="31" t="s">
        <v>66</v>
      </c>
      <c r="C900" s="30">
        <f>(C896/(2*10))^2*PI()</f>
        <v>0.78539816339744828</v>
      </c>
      <c r="D900" s="29" t="s">
        <v>17</v>
      </c>
      <c r="E900" s="75"/>
      <c r="F900" s="75"/>
      <c r="G900" s="75"/>
      <c r="H900" s="75"/>
      <c r="I900" s="19" t="s">
        <v>49</v>
      </c>
      <c r="J900" s="34">
        <f>C881*J899/1000</f>
        <v>60.318578948924028</v>
      </c>
      <c r="K900" s="16" t="s">
        <v>12</v>
      </c>
      <c r="L900" s="75"/>
      <c r="M900" s="39" t="str">
        <f>IF(J900&gt;J893,"[OK]","[REDISEÑAR]")</f>
        <v>[OK]</v>
      </c>
      <c r="N900" s="41" t="str">
        <f>IF(O900&gt;0,"Sobrado","Faltan")</f>
        <v>Sobrado</v>
      </c>
      <c r="O900" s="43">
        <f>J900-J893</f>
        <v>54.124278948924029</v>
      </c>
      <c r="P900" s="75"/>
    </row>
    <row r="901" spans="2:16" x14ac:dyDescent="0.3">
      <c r="B901" s="31" t="s">
        <v>78</v>
      </c>
      <c r="C901" s="37">
        <f>2.5/1000*100*C884/2</f>
        <v>3.125</v>
      </c>
      <c r="D901" s="16" t="s">
        <v>17</v>
      </c>
      <c r="E901" s="75"/>
      <c r="F901" s="75"/>
      <c r="G901" s="75"/>
      <c r="H901" s="75"/>
      <c r="J901" s="75"/>
      <c r="K901" s="75"/>
      <c r="L901" s="75"/>
      <c r="M901" s="75"/>
      <c r="N901" s="75"/>
      <c r="O901" s="15"/>
      <c r="P901" s="75"/>
    </row>
    <row r="902" spans="2:16" x14ac:dyDescent="0.3">
      <c r="B902" s="31" t="s">
        <v>114</v>
      </c>
      <c r="C902" s="37">
        <f>C900*100/C897</f>
        <v>5.6099868814103448</v>
      </c>
      <c r="D902" s="29" t="s">
        <v>32</v>
      </c>
      <c r="E902" s="75"/>
      <c r="F902" s="75"/>
      <c r="G902" s="75"/>
      <c r="H902" s="75"/>
      <c r="I902" s="18" t="s">
        <v>77</v>
      </c>
      <c r="J902" s="75"/>
      <c r="K902" s="75"/>
      <c r="L902" s="75"/>
      <c r="M902" s="17" t="s">
        <v>67</v>
      </c>
      <c r="N902" s="75"/>
      <c r="O902" s="75"/>
      <c r="P902" s="75"/>
    </row>
    <row r="903" spans="2:16" x14ac:dyDescent="0.3">
      <c r="B903" s="75"/>
      <c r="C903" s="75"/>
      <c r="D903" s="75"/>
      <c r="E903" s="75"/>
      <c r="F903" s="75"/>
      <c r="G903" s="75"/>
      <c r="H903" s="75"/>
      <c r="I903" s="19" t="s">
        <v>33</v>
      </c>
      <c r="J903" s="16">
        <v>0.6</v>
      </c>
      <c r="K903" s="16" t="s">
        <v>50</v>
      </c>
      <c r="L903" s="75"/>
      <c r="M903" s="19" t="s">
        <v>64</v>
      </c>
      <c r="N903" s="30">
        <f>SQRT(C879*0.0980665)*(1/0.0980665)/1000*J905*0.17</f>
        <v>29.004597190526159</v>
      </c>
      <c r="O903" s="16" t="s">
        <v>12</v>
      </c>
      <c r="P903" s="75"/>
    </row>
    <row r="904" spans="2:16" x14ac:dyDescent="0.3">
      <c r="B904" s="17" t="s">
        <v>37</v>
      </c>
      <c r="C904" s="75"/>
      <c r="D904" s="75"/>
      <c r="E904" s="75"/>
      <c r="F904" s="75"/>
      <c r="G904" s="75"/>
      <c r="H904" s="75"/>
      <c r="I904" s="19" t="s">
        <v>46</v>
      </c>
      <c r="J904" s="34">
        <f>J892/J903</f>
        <v>14.148200000000001</v>
      </c>
      <c r="K904" s="16" t="s">
        <v>12</v>
      </c>
      <c r="L904" s="75"/>
      <c r="M904" s="19" t="s">
        <v>57</v>
      </c>
      <c r="N904" s="16">
        <f>IF(C886/J883&lt;=1.5,0.25,IF(C886/J883&gt;=2,0.17,0.17+(0.25-0.17)/(C886/J883-1.5)*C886/J883))</f>
        <v>0.25</v>
      </c>
      <c r="O904" s="29" t="s">
        <v>50</v>
      </c>
      <c r="P904" s="75"/>
    </row>
    <row r="905" spans="2:16" x14ac:dyDescent="0.3">
      <c r="B905" s="31" t="s">
        <v>115</v>
      </c>
      <c r="C905" s="37">
        <f>O900</f>
        <v>54.124278948924029</v>
      </c>
      <c r="D905" s="29" t="s">
        <v>12</v>
      </c>
      <c r="E905" s="75"/>
      <c r="F905" s="75"/>
      <c r="G905" s="75"/>
      <c r="H905" s="75"/>
      <c r="I905" s="19" t="s">
        <v>36</v>
      </c>
      <c r="J905" s="35">
        <f>J883*C884*0.8-J913</f>
        <v>3054.7661203003076</v>
      </c>
      <c r="K905" s="16" t="s">
        <v>17</v>
      </c>
      <c r="L905" s="75"/>
      <c r="M905" s="19" t="s">
        <v>59</v>
      </c>
      <c r="N905" s="30">
        <f>SQRT(C879*0.0980665)*(1/0.0980665)/1000*J905*N904</f>
        <v>42.653819397832585</v>
      </c>
      <c r="O905" s="29" t="s">
        <v>12</v>
      </c>
      <c r="P905" s="75"/>
    </row>
    <row r="906" spans="2:16" x14ac:dyDescent="0.3">
      <c r="B906" s="31" t="s">
        <v>116</v>
      </c>
      <c r="C906" s="37">
        <f>O915</f>
        <v>87.238691929235003</v>
      </c>
      <c r="D906" s="29" t="s">
        <v>12</v>
      </c>
      <c r="E906" s="75"/>
      <c r="F906" s="75"/>
      <c r="G906" s="75"/>
      <c r="H906" s="75"/>
      <c r="I906" s="19" t="s">
        <v>60</v>
      </c>
      <c r="J906" s="34">
        <f>MIN(N905,N903)</f>
        <v>29.004597190526159</v>
      </c>
      <c r="K906" s="29" t="s">
        <v>12</v>
      </c>
      <c r="L906" s="75"/>
      <c r="M906" s="75"/>
      <c r="N906" s="75"/>
      <c r="O906" s="75"/>
      <c r="P906" s="75"/>
    </row>
    <row r="907" spans="2:16" x14ac:dyDescent="0.3">
      <c r="B907" s="19" t="s">
        <v>117</v>
      </c>
      <c r="C907" s="36">
        <f>C900*2*C885/C897/J880</f>
        <v>4.4879895051282755E-3</v>
      </c>
      <c r="D907" s="16" t="s">
        <v>50</v>
      </c>
      <c r="E907" s="75"/>
      <c r="F907" s="75"/>
      <c r="G907" s="75"/>
      <c r="H907" s="75"/>
      <c r="I907" s="19" t="s">
        <v>39</v>
      </c>
      <c r="J907" s="34">
        <f>J904-J906</f>
        <v>-14.856397190526158</v>
      </c>
      <c r="K907" s="16" t="s">
        <v>12</v>
      </c>
      <c r="L907" s="75"/>
      <c r="M907" s="75"/>
      <c r="N907" s="75"/>
      <c r="O907" s="75"/>
      <c r="P907" s="75"/>
    </row>
    <row r="908" spans="2:16" x14ac:dyDescent="0.3">
      <c r="B908" s="75"/>
      <c r="C908" s="75"/>
      <c r="D908" s="75"/>
      <c r="E908" s="75"/>
      <c r="F908" s="75"/>
      <c r="G908" s="75"/>
      <c r="H908" s="75"/>
      <c r="I908" s="19" t="s">
        <v>61</v>
      </c>
      <c r="J908" s="37">
        <f>MAX(J907/(C880*J883/1000/100)/2,C901)</f>
        <v>3.125</v>
      </c>
      <c r="K908" s="29" t="s">
        <v>32</v>
      </c>
      <c r="L908" s="75"/>
      <c r="M908" s="75"/>
      <c r="N908" s="75"/>
      <c r="O908" s="75"/>
      <c r="P908" s="75"/>
    </row>
    <row r="909" spans="2:16" x14ac:dyDescent="0.3">
      <c r="B909" s="75"/>
      <c r="C909" s="75"/>
      <c r="D909" s="75"/>
      <c r="E909" s="75"/>
      <c r="F909" s="75"/>
      <c r="G909" s="75"/>
      <c r="H909" s="75"/>
      <c r="I909" s="19" t="s">
        <v>65</v>
      </c>
      <c r="J909" s="36">
        <f>J908/C884/100*2</f>
        <v>2.5000000000000001E-3</v>
      </c>
      <c r="K909" s="16" t="s">
        <v>50</v>
      </c>
      <c r="L909" s="75"/>
      <c r="M909" s="75"/>
      <c r="N909" s="75"/>
      <c r="O909" s="75"/>
      <c r="P909" s="75"/>
    </row>
    <row r="910" spans="2:16" x14ac:dyDescent="0.3">
      <c r="B910" s="75"/>
      <c r="C910" s="75"/>
      <c r="D910" s="75"/>
      <c r="E910" s="75"/>
      <c r="F910" s="75"/>
      <c r="G910" s="75"/>
      <c r="H910" s="75"/>
      <c r="I910" s="19" t="s">
        <v>53</v>
      </c>
      <c r="J910" s="16">
        <f>MAX(0.0025,0.0025*0.5*(2.5-C884/(C885*0.8))*(J909-0.0025))</f>
        <v>2.5000000000000001E-3</v>
      </c>
      <c r="K910" s="29" t="s">
        <v>50</v>
      </c>
      <c r="L910" s="75"/>
      <c r="M910" s="39" t="str">
        <f>IF(OR(J909&gt;J910,ABS(J909-J910)&lt;0.0001),"[OK]","[REDISEÑAR]")</f>
        <v>[OK]</v>
      </c>
      <c r="N910" s="75"/>
      <c r="O910" s="75"/>
      <c r="P910" s="75"/>
    </row>
    <row r="911" spans="2:16" x14ac:dyDescent="0.3">
      <c r="B911" s="75"/>
      <c r="C911" s="75"/>
      <c r="D911" s="75"/>
      <c r="E911" s="75"/>
      <c r="F911" s="75"/>
      <c r="G911" s="75"/>
      <c r="H911" s="75"/>
      <c r="I911" s="19" t="s">
        <v>47</v>
      </c>
      <c r="J911" s="34">
        <f>SQRT(C879*0.0980665)*(1/0.0980665)/1000*0.66*0.8*C885*C884</f>
        <v>141.55170723346853</v>
      </c>
      <c r="K911" s="16" t="s">
        <v>12</v>
      </c>
      <c r="L911" s="75"/>
      <c r="M911" s="40" t="s">
        <v>44</v>
      </c>
      <c r="N911" s="75"/>
      <c r="O911" s="15"/>
      <c r="P911" s="75"/>
    </row>
    <row r="912" spans="2:16" x14ac:dyDescent="0.3">
      <c r="B912" s="75"/>
      <c r="C912" s="75"/>
      <c r="D912" s="75"/>
      <c r="E912" s="75"/>
      <c r="F912" s="75"/>
      <c r="G912" s="75"/>
      <c r="H912" s="75"/>
      <c r="I912" s="63" t="s">
        <v>34</v>
      </c>
      <c r="J912" s="63">
        <f>ROUNDDOWN(1/J908*C900*100,0)</f>
        <v>25</v>
      </c>
      <c r="K912" s="64" t="s">
        <v>5</v>
      </c>
      <c r="L912" s="75"/>
      <c r="M912" s="39" t="str">
        <f>IF(OR(J912&lt;10,J912&gt;25),"[REDISEÑAR]","[OK")</f>
        <v>[OK</v>
      </c>
      <c r="N912" s="41" t="s">
        <v>80</v>
      </c>
      <c r="O912" s="42">
        <f>1/J908*(C896/2)^2*PI()</f>
        <v>25.132741228718345</v>
      </c>
      <c r="P912" s="75" t="str">
        <f>"$\phi$"&amp;C896&amp;"@"&amp;J912</f>
        <v>$\phi$10@25</v>
      </c>
    </row>
    <row r="913" spans="2:16" x14ac:dyDescent="0.3">
      <c r="B913" s="75"/>
      <c r="C913" s="75"/>
      <c r="D913" s="75"/>
      <c r="E913" s="75"/>
      <c r="F913" s="75"/>
      <c r="G913" s="75"/>
      <c r="H913" s="75"/>
      <c r="I913" s="31" t="s">
        <v>48</v>
      </c>
      <c r="J913" s="30">
        <f>C900*2*IF(J883/C897&gt;=1,J883/C897,0)</f>
        <v>17.233879699692583</v>
      </c>
      <c r="K913" s="29" t="s">
        <v>17</v>
      </c>
      <c r="L913" s="75"/>
      <c r="M913" s="75"/>
      <c r="N913" s="15"/>
      <c r="O913" s="15"/>
      <c r="P913" s="75"/>
    </row>
    <row r="914" spans="2:16" x14ac:dyDescent="0.3">
      <c r="B914" s="75"/>
      <c r="C914" s="75"/>
      <c r="D914" s="75"/>
      <c r="E914" s="75"/>
      <c r="F914" s="75"/>
      <c r="G914" s="75"/>
      <c r="H914" s="75"/>
      <c r="I914" s="19" t="s">
        <v>81</v>
      </c>
      <c r="J914" s="34">
        <f>MIN(J913*C880/1000,J911)</f>
        <v>72.38229473870885</v>
      </c>
      <c r="K914" s="16" t="s">
        <v>12</v>
      </c>
      <c r="L914" s="75"/>
      <c r="M914" s="40" t="s">
        <v>82</v>
      </c>
      <c r="N914" s="15"/>
      <c r="O914" s="15"/>
      <c r="P914" s="75"/>
    </row>
    <row r="915" spans="2:16" x14ac:dyDescent="0.3">
      <c r="B915" s="75"/>
      <c r="C915" s="75"/>
      <c r="D915" s="75"/>
      <c r="E915" s="75"/>
      <c r="F915" s="75"/>
      <c r="G915" s="75"/>
      <c r="H915" s="75"/>
      <c r="I915" s="19" t="s">
        <v>79</v>
      </c>
      <c r="J915" s="34">
        <f>J914+J906</f>
        <v>101.38689192923501</v>
      </c>
      <c r="K915" s="16" t="s">
        <v>12</v>
      </c>
      <c r="L915" s="75"/>
      <c r="M915" s="39" t="str">
        <f>IF(J915&gt;J904,"[OK]","[REDISEÑAR]")</f>
        <v>[OK]</v>
      </c>
      <c r="N915" s="41" t="str">
        <f>IF(O915&gt;0,"Sobrado","Faltan")</f>
        <v>Sobrado</v>
      </c>
      <c r="O915" s="43">
        <f>J915-J904</f>
        <v>87.238691929235003</v>
      </c>
      <c r="P915" s="75"/>
    </row>
    <row r="916" spans="2:16" x14ac:dyDescent="0.3">
      <c r="B916" s="75"/>
      <c r="C916" s="75"/>
      <c r="D916" s="75"/>
      <c r="E916" s="75"/>
      <c r="F916" s="75"/>
      <c r="G916" s="75"/>
      <c r="H916" s="75"/>
      <c r="J916" s="75"/>
      <c r="K916" s="75"/>
      <c r="L916" s="75"/>
      <c r="M916" s="75"/>
      <c r="N916" s="75"/>
      <c r="O916" s="75"/>
      <c r="P916" s="75"/>
    </row>
    <row r="917" spans="2:16" x14ac:dyDescent="0.3">
      <c r="B917" s="75"/>
      <c r="C917" s="75"/>
      <c r="D917" s="75"/>
      <c r="E917" s="75"/>
      <c r="F917" s="75"/>
      <c r="G917" s="75"/>
      <c r="H917" s="75"/>
      <c r="I917" s="18" t="s">
        <v>45</v>
      </c>
      <c r="J917" s="75"/>
      <c r="K917" s="75"/>
      <c r="L917" s="75"/>
      <c r="M917" s="75"/>
      <c r="N917" s="75"/>
      <c r="O917" s="15"/>
      <c r="P917" s="75"/>
    </row>
    <row r="918" spans="2:16" x14ac:dyDescent="0.3">
      <c r="B918" s="75"/>
      <c r="C918" s="75"/>
      <c r="D918" s="75"/>
      <c r="E918" s="75"/>
      <c r="F918" s="75"/>
      <c r="G918" s="75"/>
      <c r="H918" s="75"/>
      <c r="I918" s="19" t="s">
        <v>40</v>
      </c>
      <c r="J918" s="16">
        <f>J892</f>
        <v>8.4889200000000002</v>
      </c>
      <c r="K918" s="16" t="s">
        <v>12</v>
      </c>
      <c r="L918" s="75"/>
      <c r="M918" s="75"/>
      <c r="N918" s="75"/>
      <c r="O918" s="26"/>
      <c r="P918" s="75"/>
    </row>
    <row r="919" spans="2:16" x14ac:dyDescent="0.3">
      <c r="B919" s="75"/>
      <c r="C919" s="75"/>
      <c r="D919" s="75"/>
      <c r="E919" s="75"/>
      <c r="F919" s="75"/>
      <c r="G919" s="75"/>
      <c r="H919" s="75"/>
      <c r="I919" s="19" t="s">
        <v>46</v>
      </c>
      <c r="J919" s="34">
        <f>J904</f>
        <v>14.148200000000001</v>
      </c>
      <c r="K919" s="16" t="s">
        <v>12</v>
      </c>
      <c r="L919" s="75"/>
      <c r="M919" s="75"/>
      <c r="N919" s="75"/>
      <c r="O919" s="75"/>
      <c r="P919" s="75"/>
    </row>
    <row r="920" spans="2:16" x14ac:dyDescent="0.3">
      <c r="B920" s="75"/>
      <c r="C920" s="75"/>
      <c r="D920" s="75"/>
      <c r="E920" s="75"/>
      <c r="F920" s="75"/>
      <c r="G920" s="75"/>
      <c r="H920" s="75"/>
      <c r="I920" s="19" t="s">
        <v>38</v>
      </c>
      <c r="J920" s="34">
        <f>2/3*J905*SQRT(C879*0.0980665)*(1/0.0980665)/1000</f>
        <v>113.74351839422023</v>
      </c>
      <c r="K920" s="16" t="s">
        <v>12</v>
      </c>
      <c r="L920" s="75"/>
      <c r="M920" s="39" t="str">
        <f>IF(J920&gt;J919,"[OK]","[REDISEÑAR]")</f>
        <v>[OK]</v>
      </c>
      <c r="N920" s="41" t="str">
        <f>IF(O920&gt;0,"Sobrado","Faltan")</f>
        <v>Sobrado</v>
      </c>
      <c r="O920" s="43">
        <f>J920-J919</f>
        <v>99.595318394220229</v>
      </c>
      <c r="P920" s="75"/>
    </row>
    <row r="922" spans="2:16" ht="18" x14ac:dyDescent="0.35">
      <c r="B922" s="48" t="str">
        <f>'EJE 15'!$S$25</f>
        <v>EJE 15.G-L | PIER F33X | PISO 10</v>
      </c>
      <c r="C922" s="75"/>
      <c r="D922" s="75"/>
      <c r="E922" s="75"/>
      <c r="F922" s="75"/>
      <c r="G922" s="75"/>
      <c r="H922" s="75"/>
      <c r="J922" s="75"/>
      <c r="K922" s="75"/>
      <c r="L922" s="75"/>
      <c r="M922" s="75"/>
      <c r="N922" s="75"/>
      <c r="O922" s="75"/>
      <c r="P922" s="75"/>
    </row>
    <row r="923" spans="2:16" x14ac:dyDescent="0.3">
      <c r="B923" s="75"/>
      <c r="C923" s="75"/>
      <c r="D923" s="75"/>
      <c r="E923" s="75"/>
      <c r="F923" s="75"/>
      <c r="G923" s="75"/>
      <c r="H923" s="75"/>
      <c r="J923" s="75"/>
      <c r="K923" s="75"/>
      <c r="L923" s="75"/>
      <c r="M923" s="75"/>
      <c r="N923" s="75"/>
      <c r="O923" s="75"/>
      <c r="P923" s="75"/>
    </row>
    <row r="924" spans="2:16" x14ac:dyDescent="0.3">
      <c r="B924" s="17" t="s">
        <v>6</v>
      </c>
      <c r="C924" s="75"/>
      <c r="D924" s="75"/>
      <c r="E924" s="75"/>
      <c r="F924" s="75"/>
      <c r="G924" s="75"/>
      <c r="H924" s="75"/>
      <c r="I924" s="18" t="s">
        <v>25</v>
      </c>
      <c r="J924" s="75"/>
      <c r="K924" s="75"/>
      <c r="L924" s="75"/>
      <c r="M924" s="75"/>
      <c r="N924" s="75"/>
      <c r="O924" s="75"/>
      <c r="P924" s="75"/>
    </row>
    <row r="925" spans="2:16" x14ac:dyDescent="0.3">
      <c r="B925" s="19" t="s">
        <v>99</v>
      </c>
      <c r="C925" s="61">
        <f>10.1971621297793*'EJE 15'!$G$25</f>
        <v>305.91486389337899</v>
      </c>
      <c r="D925" s="16" t="s">
        <v>8</v>
      </c>
      <c r="E925" s="75"/>
      <c r="F925" s="75"/>
      <c r="G925" s="75"/>
      <c r="H925" s="75"/>
      <c r="I925" s="19" t="s">
        <v>58</v>
      </c>
      <c r="J925" s="16">
        <f>C932/16</f>
        <v>14.375</v>
      </c>
      <c r="K925" s="16" t="s">
        <v>5</v>
      </c>
      <c r="L925" s="21"/>
      <c r="M925" s="39" t="str">
        <f>IF(J925&lt;C930,"[OK]","[REDISEÑAR]")</f>
        <v>[OK]</v>
      </c>
      <c r="N925" s="75"/>
      <c r="O925" s="75"/>
      <c r="P925" s="75"/>
    </row>
    <row r="926" spans="2:16" x14ac:dyDescent="0.3">
      <c r="B926" s="19" t="s">
        <v>30</v>
      </c>
      <c r="C926" s="16">
        <v>4200</v>
      </c>
      <c r="D926" s="16" t="s">
        <v>8</v>
      </c>
      <c r="E926" s="75"/>
      <c r="F926" s="75"/>
      <c r="G926" s="75"/>
      <c r="H926" s="75"/>
      <c r="I926" s="19" t="s">
        <v>16</v>
      </c>
      <c r="J926" s="16">
        <f>C930*C931</f>
        <v>8475</v>
      </c>
      <c r="K926" s="16" t="s">
        <v>17</v>
      </c>
      <c r="L926" s="21"/>
      <c r="M926" s="75"/>
      <c r="N926" s="75"/>
      <c r="O926" s="75"/>
      <c r="P926" s="75"/>
    </row>
    <row r="927" spans="2:16" x14ac:dyDescent="0.3">
      <c r="B927" s="19" t="s">
        <v>31</v>
      </c>
      <c r="C927" s="16">
        <v>2800</v>
      </c>
      <c r="D927" s="16" t="s">
        <v>8</v>
      </c>
      <c r="E927" s="75"/>
      <c r="F927" s="75"/>
      <c r="G927" s="75"/>
      <c r="H927" s="75"/>
      <c r="I927" s="19" t="s">
        <v>51</v>
      </c>
      <c r="J927" s="16">
        <f>MIN(0.8*C931/5,3*C930,45)</f>
        <v>45</v>
      </c>
      <c r="K927" s="16" t="s">
        <v>5</v>
      </c>
      <c r="L927" s="21"/>
      <c r="M927" s="39" t="str">
        <f>IF(J927&gt;C943,"[OK]","[REDISEÑAR]")</f>
        <v>[OK]</v>
      </c>
      <c r="N927" s="75"/>
      <c r="O927" s="75"/>
      <c r="P927" s="75"/>
    </row>
    <row r="928" spans="2:16" x14ac:dyDescent="0.3">
      <c r="B928" s="75"/>
      <c r="C928" s="75"/>
      <c r="D928" s="75"/>
      <c r="E928" s="75"/>
      <c r="F928" s="75"/>
      <c r="G928" s="75"/>
      <c r="H928" s="75"/>
      <c r="I928" s="19" t="s">
        <v>56</v>
      </c>
      <c r="J928" s="16">
        <f>MIN(0.8*C932/3,3*C931,45)</f>
        <v>45</v>
      </c>
      <c r="K928" s="16" t="s">
        <v>5</v>
      </c>
      <c r="L928" s="21"/>
      <c r="M928" s="39" t="str">
        <f>IF(J928&gt;C943,"[OK]","[REDISEÑAR]")</f>
        <v>[OK]</v>
      </c>
      <c r="N928" s="75"/>
      <c r="O928" s="75"/>
      <c r="P928" s="75"/>
    </row>
    <row r="929" spans="2:16" x14ac:dyDescent="0.3">
      <c r="B929" s="17" t="s">
        <v>3</v>
      </c>
      <c r="C929" s="75"/>
      <c r="D929" s="75"/>
      <c r="E929" s="75"/>
      <c r="F929" s="75"/>
      <c r="G929" s="75"/>
      <c r="H929" s="75"/>
      <c r="I929" s="19" t="s">
        <v>62</v>
      </c>
      <c r="J929" s="16">
        <f>0.8*C931</f>
        <v>271.2</v>
      </c>
      <c r="K929" s="29" t="s">
        <v>5</v>
      </c>
      <c r="L929" s="75"/>
      <c r="M929" s="75"/>
      <c r="N929" s="75"/>
      <c r="O929" s="75"/>
      <c r="P929" s="75"/>
    </row>
    <row r="930" spans="2:16" x14ac:dyDescent="0.3">
      <c r="B930" s="19" t="str">
        <f>"Espesor del muro (h)"</f>
        <v>Espesor del muro (h)</v>
      </c>
      <c r="C930" s="49">
        <f>'EJE 15'!$H$25</f>
        <v>25</v>
      </c>
      <c r="D930" s="16" t="s">
        <v>5</v>
      </c>
      <c r="E930" s="75"/>
      <c r="F930" s="75"/>
      <c r="G930" s="75"/>
      <c r="H930" s="75"/>
      <c r="J930" s="75"/>
      <c r="K930" s="75"/>
      <c r="L930" s="75"/>
      <c r="M930" s="75"/>
      <c r="N930" s="75"/>
      <c r="O930" s="75"/>
      <c r="P930" s="75"/>
    </row>
    <row r="931" spans="2:16" x14ac:dyDescent="0.3">
      <c r="B931" s="19" t="s">
        <v>63</v>
      </c>
      <c r="C931" s="49">
        <f>'EJE 15'!$I$25</f>
        <v>339</v>
      </c>
      <c r="D931" s="16" t="s">
        <v>5</v>
      </c>
      <c r="E931" s="75"/>
      <c r="F931" s="75"/>
      <c r="G931" s="75"/>
      <c r="H931" s="75"/>
      <c r="I931" s="18" t="s">
        <v>26</v>
      </c>
      <c r="J931" s="75"/>
      <c r="K931" s="75"/>
      <c r="L931" s="75"/>
      <c r="M931" s="75"/>
      <c r="N931" s="75"/>
      <c r="O931" s="75"/>
      <c r="P931" s="75"/>
    </row>
    <row r="932" spans="2:16" x14ac:dyDescent="0.3">
      <c r="B932" s="19" t="s">
        <v>10</v>
      </c>
      <c r="C932" s="49">
        <f>'EJE 15'!$J$25</f>
        <v>230</v>
      </c>
      <c r="D932" s="16" t="s">
        <v>5</v>
      </c>
      <c r="E932" s="75"/>
      <c r="F932" s="75"/>
      <c r="G932" s="75"/>
      <c r="H932" s="75"/>
      <c r="I932" s="19" t="s">
        <v>28</v>
      </c>
      <c r="J932" s="16">
        <f>0.35*C925</f>
        <v>107.07020236268264</v>
      </c>
      <c r="K932" s="16" t="s">
        <v>8</v>
      </c>
      <c r="L932" s="21"/>
      <c r="M932" s="75"/>
      <c r="N932" s="75"/>
      <c r="O932" s="75"/>
      <c r="P932" s="75"/>
    </row>
    <row r="933" spans="2:16" x14ac:dyDescent="0.3">
      <c r="B933" s="75"/>
      <c r="C933" s="75"/>
      <c r="D933" s="75"/>
      <c r="E933" s="75"/>
      <c r="F933" s="75"/>
      <c r="G933" s="75"/>
      <c r="H933" s="75"/>
      <c r="I933" s="19" t="s">
        <v>27</v>
      </c>
      <c r="J933" s="30">
        <f>C935*1000/J926</f>
        <v>18.850029498525075</v>
      </c>
      <c r="K933" s="16" t="s">
        <v>8</v>
      </c>
      <c r="L933" s="21"/>
      <c r="M933" s="39" t="str">
        <f>IF(J933&lt;J932,"[OK]","[REDISEÑAR]")</f>
        <v>[OK]</v>
      </c>
      <c r="N933" s="41" t="s">
        <v>112</v>
      </c>
      <c r="O933" s="59">
        <f>J933/J932</f>
        <v>0.17605299217305775</v>
      </c>
      <c r="P933" s="75"/>
    </row>
    <row r="934" spans="2:16" x14ac:dyDescent="0.3">
      <c r="B934" s="17" t="s">
        <v>11</v>
      </c>
      <c r="C934" s="75"/>
      <c r="D934" s="75"/>
      <c r="E934" s="75"/>
      <c r="F934" s="75"/>
      <c r="G934" s="75"/>
      <c r="H934" s="75"/>
      <c r="J934" s="75"/>
      <c r="K934" s="75"/>
      <c r="L934" s="75"/>
      <c r="M934" s="75"/>
      <c r="N934" s="75"/>
      <c r="O934" s="75"/>
      <c r="P934" s="75"/>
    </row>
    <row r="935" spans="2:16" x14ac:dyDescent="0.3">
      <c r="B935" s="19" t="str">
        <f>"$N_U$"</f>
        <v>$N_U$</v>
      </c>
      <c r="C935" s="60">
        <f>'EJE 15'!$K$25</f>
        <v>159.75399999999999</v>
      </c>
      <c r="D935" s="16" t="s">
        <v>12</v>
      </c>
      <c r="E935" s="75"/>
      <c r="F935" s="75"/>
      <c r="G935" s="75"/>
      <c r="H935" s="75"/>
      <c r="I935" s="18" t="s">
        <v>54</v>
      </c>
      <c r="J935" s="75"/>
      <c r="K935" s="75"/>
      <c r="L935" s="75"/>
      <c r="M935" s="75"/>
      <c r="N935" s="75"/>
      <c r="O935" s="75"/>
      <c r="P935" s="75"/>
    </row>
    <row r="936" spans="2:16" x14ac:dyDescent="0.3">
      <c r="B936" s="19" t="s">
        <v>14</v>
      </c>
      <c r="C936" s="60">
        <f>'EJE 15'!$L$25</f>
        <v>2.5272000000000001</v>
      </c>
      <c r="D936" s="16" t="s">
        <v>12</v>
      </c>
      <c r="E936" s="75"/>
      <c r="F936" s="75"/>
      <c r="G936" s="75"/>
      <c r="H936" s="75"/>
      <c r="I936" s="19" t="s">
        <v>72</v>
      </c>
      <c r="J936" s="16">
        <f>1.2*C936+C937+1.4*C938</f>
        <v>26.56664</v>
      </c>
      <c r="K936" s="16" t="s">
        <v>12</v>
      </c>
      <c r="L936" s="75"/>
      <c r="M936" s="75" t="s">
        <v>68</v>
      </c>
      <c r="N936" s="75"/>
      <c r="O936" s="75"/>
      <c r="P936" s="75"/>
    </row>
    <row r="937" spans="2:16" x14ac:dyDescent="0.3">
      <c r="B937" s="19" t="s">
        <v>13</v>
      </c>
      <c r="C937" s="60">
        <f>'EJE 15'!$M$25</f>
        <v>2.8E-3</v>
      </c>
      <c r="D937" s="16" t="s">
        <v>12</v>
      </c>
      <c r="E937" s="75"/>
      <c r="F937" s="75"/>
      <c r="G937" s="75"/>
      <c r="H937" s="75"/>
      <c r="I937" s="19" t="s">
        <v>69</v>
      </c>
      <c r="J937" s="16">
        <f>SUM(C936:C938)</f>
        <v>19.338000000000001</v>
      </c>
      <c r="K937" s="16" t="s">
        <v>12</v>
      </c>
      <c r="L937" s="75"/>
      <c r="M937" s="75" t="s">
        <v>70</v>
      </c>
      <c r="N937" s="75"/>
      <c r="O937" s="75"/>
      <c r="P937" s="75"/>
    </row>
    <row r="938" spans="2:16" x14ac:dyDescent="0.3">
      <c r="B938" s="19" t="s">
        <v>15</v>
      </c>
      <c r="C938" s="60">
        <f>'EJE 15'!$N$25</f>
        <v>16.808</v>
      </c>
      <c r="D938" s="16" t="s">
        <v>12</v>
      </c>
      <c r="E938" s="75"/>
      <c r="F938" s="75"/>
      <c r="G938" s="75"/>
      <c r="H938" s="75"/>
      <c r="I938" s="19" t="s">
        <v>73</v>
      </c>
      <c r="J938" s="16">
        <f>IF(C939=0,J936,C939)</f>
        <v>26.56664</v>
      </c>
      <c r="K938" s="16" t="s">
        <v>12</v>
      </c>
      <c r="L938" s="75"/>
      <c r="M938" s="40" t="s">
        <v>74</v>
      </c>
      <c r="N938" s="75"/>
      <c r="O938" s="75"/>
      <c r="P938" s="75"/>
    </row>
    <row r="939" spans="2:16" x14ac:dyDescent="0.3">
      <c r="B939" s="19" t="s">
        <v>55</v>
      </c>
      <c r="C939" s="16">
        <v>0</v>
      </c>
      <c r="D939" s="16" t="s">
        <v>12</v>
      </c>
      <c r="E939" s="75"/>
      <c r="F939" s="75"/>
      <c r="G939" s="75"/>
      <c r="H939" s="75"/>
      <c r="I939" s="19" t="s">
        <v>71</v>
      </c>
      <c r="J939" s="16">
        <f>IF(C939=0,J937,C939)</f>
        <v>19.338000000000001</v>
      </c>
      <c r="K939" s="16" t="s">
        <v>12</v>
      </c>
      <c r="L939" s="75"/>
      <c r="M939" s="40" t="s">
        <v>75</v>
      </c>
      <c r="N939" s="75"/>
      <c r="O939" s="75"/>
      <c r="P939" s="75"/>
    </row>
    <row r="940" spans="2:16" x14ac:dyDescent="0.3">
      <c r="B940" s="75"/>
      <c r="C940" s="75"/>
      <c r="D940" s="75"/>
      <c r="E940" s="75"/>
      <c r="F940" s="75"/>
      <c r="G940" s="75"/>
      <c r="H940" s="75"/>
      <c r="J940" s="75"/>
      <c r="K940" s="75"/>
      <c r="L940" s="75"/>
      <c r="M940" s="75"/>
      <c r="N940" s="75"/>
      <c r="O940" s="75"/>
      <c r="P940" s="75"/>
    </row>
    <row r="941" spans="2:16" x14ac:dyDescent="0.3">
      <c r="B941" s="33" t="s">
        <v>42</v>
      </c>
      <c r="C941" s="75"/>
      <c r="D941" s="75"/>
      <c r="E941" s="75"/>
      <c r="F941" s="75"/>
      <c r="G941" s="75"/>
      <c r="H941" s="75"/>
      <c r="I941" s="27" t="s">
        <v>76</v>
      </c>
      <c r="J941" s="75"/>
      <c r="K941" s="75"/>
      <c r="L941" s="75"/>
      <c r="M941" s="75"/>
      <c r="N941" s="75"/>
      <c r="O941" s="75"/>
      <c r="P941" s="75"/>
    </row>
    <row r="942" spans="2:16" x14ac:dyDescent="0.3">
      <c r="B942" s="31" t="s">
        <v>41</v>
      </c>
      <c r="C942" s="16">
        <v>10</v>
      </c>
      <c r="D942" s="29" t="s">
        <v>35</v>
      </c>
      <c r="E942" s="75"/>
      <c r="F942" s="75"/>
      <c r="G942" s="75"/>
      <c r="H942" s="75"/>
      <c r="I942" s="19" t="s">
        <v>29</v>
      </c>
      <c r="J942" s="30">
        <f>J939*1000/J926</f>
        <v>2.281769911504425</v>
      </c>
      <c r="K942" s="29" t="s">
        <v>8</v>
      </c>
      <c r="L942" s="75"/>
      <c r="M942" s="75"/>
      <c r="N942" s="75"/>
      <c r="O942" s="75"/>
      <c r="P942" s="75"/>
    </row>
    <row r="943" spans="2:16" x14ac:dyDescent="0.3">
      <c r="B943" s="31" t="s">
        <v>43</v>
      </c>
      <c r="C943" s="16">
        <v>14</v>
      </c>
      <c r="D943" s="29" t="s">
        <v>5</v>
      </c>
      <c r="E943" s="75"/>
      <c r="F943" s="39" t="str">
        <f>IF(OR(C943&gt;25,C943&lt;10),"[REDISEÑAR]",IF(AND(C943&lt;=J944,C943&lt;=J958),"[OK]","[REDISEÑAR]"))</f>
        <v>[OK]</v>
      </c>
      <c r="G943" s="75"/>
      <c r="H943" s="75"/>
      <c r="I943" s="19" t="s">
        <v>61</v>
      </c>
      <c r="J943" s="37">
        <f>MAX(J942*100*C930/(2*C927),C947)</f>
        <v>3.125</v>
      </c>
      <c r="K943" s="29" t="s">
        <v>32</v>
      </c>
      <c r="L943" s="75"/>
      <c r="M943" s="15"/>
      <c r="N943" s="15"/>
      <c r="O943" s="15"/>
      <c r="P943" s="75"/>
    </row>
    <row r="944" spans="2:16" x14ac:dyDescent="0.3">
      <c r="B944" s="75"/>
      <c r="C944" s="50" t="str">
        <f>"$\phi$"&amp;C942&amp;"@"&amp;C943</f>
        <v>$\phi$10@14</v>
      </c>
      <c r="D944" s="75"/>
      <c r="E944" s="75"/>
      <c r="F944" s="39" t="str">
        <f>IF(OR(J943=C947,J954=C947),"[ÁREA MINIMA]","[]")</f>
        <v>[ÁREA MINIMA]</v>
      </c>
      <c r="G944" s="75"/>
      <c r="H944" s="75"/>
      <c r="I944" s="63" t="s">
        <v>34</v>
      </c>
      <c r="J944" s="63">
        <f>ROUNDDOWN((1/J943)*C946*100,0)</f>
        <v>25</v>
      </c>
      <c r="K944" s="64" t="s">
        <v>5</v>
      </c>
      <c r="L944" s="75"/>
      <c r="M944" s="39" t="str">
        <f>IF(OR(J944&lt;10,J944&gt;25),"[REDISEÑAR]","[OK")</f>
        <v>[OK</v>
      </c>
      <c r="N944" s="41" t="s">
        <v>80</v>
      </c>
      <c r="O944" s="42">
        <f>1/J943*(C942/2)^2*PI()</f>
        <v>25.132741228718345</v>
      </c>
      <c r="P944" s="75" t="str">
        <f>"$\phi$"&amp;C942&amp;"@"&amp;J944</f>
        <v>$\phi$10@25</v>
      </c>
    </row>
    <row r="945" spans="2:16" x14ac:dyDescent="0.3">
      <c r="B945" s="18" t="s">
        <v>52</v>
      </c>
      <c r="C945" s="75"/>
      <c r="D945" s="75"/>
      <c r="E945" s="75"/>
      <c r="F945" s="62" t="str">
        <f>IF(J933&lt;J932,IF(J961&gt;J950,"[OK]","[REDISEÑAR]"),"[REDISEÑAR]")</f>
        <v>[OK]</v>
      </c>
      <c r="G945" s="75"/>
      <c r="H945" s="75"/>
      <c r="I945" s="31" t="s">
        <v>48</v>
      </c>
      <c r="J945" s="30">
        <f>C946*2*IF(C931/C943&gt;=1,C931/C943,0)</f>
        <v>38.035711055962139</v>
      </c>
      <c r="K945" s="29" t="s">
        <v>17</v>
      </c>
      <c r="L945" s="75"/>
      <c r="M945" s="75"/>
      <c r="N945" s="15"/>
      <c r="O945" s="44"/>
      <c r="P945" s="75"/>
    </row>
    <row r="946" spans="2:16" x14ac:dyDescent="0.3">
      <c r="B946" s="31" t="s">
        <v>66</v>
      </c>
      <c r="C946" s="30">
        <f>(C942/(2*10))^2*PI()</f>
        <v>0.78539816339744828</v>
      </c>
      <c r="D946" s="29" t="s">
        <v>17</v>
      </c>
      <c r="E946" s="75"/>
      <c r="F946" s="75"/>
      <c r="G946" s="75"/>
      <c r="H946" s="75"/>
      <c r="I946" s="19" t="s">
        <v>49</v>
      </c>
      <c r="J946" s="34">
        <f>C927*J945/1000</f>
        <v>106.49999095669399</v>
      </c>
      <c r="K946" s="16" t="s">
        <v>12</v>
      </c>
      <c r="L946" s="75"/>
      <c r="M946" s="39" t="str">
        <f>IF(J946&gt;J939,"[OK]","[REDISEÑAR]")</f>
        <v>[OK]</v>
      </c>
      <c r="N946" s="41" t="str">
        <f>IF(O946&gt;0,"Sobrado","Faltan")</f>
        <v>Sobrado</v>
      </c>
      <c r="O946" s="43">
        <f>J946-J939</f>
        <v>87.161990956693984</v>
      </c>
      <c r="P946" s="75"/>
    </row>
    <row r="947" spans="2:16" x14ac:dyDescent="0.3">
      <c r="B947" s="31" t="s">
        <v>78</v>
      </c>
      <c r="C947" s="37">
        <f>2.5/1000*100*C930/2</f>
        <v>3.125</v>
      </c>
      <c r="D947" s="16" t="s">
        <v>17</v>
      </c>
      <c r="E947" s="75"/>
      <c r="F947" s="75"/>
      <c r="G947" s="75"/>
      <c r="H947" s="75"/>
      <c r="J947" s="75"/>
      <c r="K947" s="75"/>
      <c r="L947" s="75"/>
      <c r="M947" s="75"/>
      <c r="N947" s="75"/>
      <c r="O947" s="15"/>
      <c r="P947" s="75"/>
    </row>
    <row r="948" spans="2:16" x14ac:dyDescent="0.3">
      <c r="B948" s="31" t="s">
        <v>114</v>
      </c>
      <c r="C948" s="37">
        <f>C946*100/C943</f>
        <v>5.6099868814103448</v>
      </c>
      <c r="D948" s="29" t="s">
        <v>32</v>
      </c>
      <c r="E948" s="75"/>
      <c r="F948" s="75"/>
      <c r="G948" s="75"/>
      <c r="H948" s="75"/>
      <c r="I948" s="18" t="s">
        <v>77</v>
      </c>
      <c r="J948" s="75"/>
      <c r="K948" s="75"/>
      <c r="L948" s="75"/>
      <c r="M948" s="17" t="s">
        <v>67</v>
      </c>
      <c r="N948" s="75"/>
      <c r="O948" s="75"/>
      <c r="P948" s="75"/>
    </row>
    <row r="949" spans="2:16" x14ac:dyDescent="0.3">
      <c r="B949" s="75"/>
      <c r="C949" s="75"/>
      <c r="D949" s="75"/>
      <c r="E949" s="75"/>
      <c r="F949" s="75"/>
      <c r="G949" s="75"/>
      <c r="H949" s="75"/>
      <c r="I949" s="19" t="s">
        <v>33</v>
      </c>
      <c r="J949" s="16">
        <v>0.6</v>
      </c>
      <c r="K949" s="16" t="s">
        <v>50</v>
      </c>
      <c r="L949" s="75"/>
      <c r="M949" s="19" t="s">
        <v>64</v>
      </c>
      <c r="N949" s="30">
        <f>SQRT(C925*0.0980665)*(1/0.0980665)/1000*J951*0.17</f>
        <v>51.211241914522745</v>
      </c>
      <c r="O949" s="16" t="s">
        <v>12</v>
      </c>
      <c r="P949" s="75"/>
    </row>
    <row r="950" spans="2:16" x14ac:dyDescent="0.3">
      <c r="B950" s="17" t="s">
        <v>37</v>
      </c>
      <c r="C950" s="75"/>
      <c r="D950" s="75"/>
      <c r="E950" s="75"/>
      <c r="F950" s="75"/>
      <c r="G950" s="75"/>
      <c r="H950" s="75"/>
      <c r="I950" s="19" t="s">
        <v>46</v>
      </c>
      <c r="J950" s="34">
        <f>J938/J949</f>
        <v>44.277733333333337</v>
      </c>
      <c r="K950" s="16" t="s">
        <v>12</v>
      </c>
      <c r="L950" s="75"/>
      <c r="M950" s="19" t="s">
        <v>57</v>
      </c>
      <c r="N950" s="16">
        <f>IF(C932/J929&lt;=1.5,0.25,IF(C932/J929&gt;=2,0.17,0.17+(0.25-0.17)/(C932/J929-1.5)*C932/J929))</f>
        <v>0.25</v>
      </c>
      <c r="O950" s="29" t="s">
        <v>50</v>
      </c>
      <c r="P950" s="75"/>
    </row>
    <row r="951" spans="2:16" x14ac:dyDescent="0.3">
      <c r="B951" s="31" t="s">
        <v>115</v>
      </c>
      <c r="C951" s="37">
        <f>O946</f>
        <v>87.161990956693984</v>
      </c>
      <c r="D951" s="29" t="s">
        <v>12</v>
      </c>
      <c r="E951" s="75"/>
      <c r="F951" s="75"/>
      <c r="G951" s="75"/>
      <c r="H951" s="75"/>
      <c r="I951" s="19" t="s">
        <v>36</v>
      </c>
      <c r="J951" s="35">
        <f>J929*C930*0.8-J959</f>
        <v>5393.5714311552301</v>
      </c>
      <c r="K951" s="16" t="s">
        <v>17</v>
      </c>
      <c r="L951" s="75"/>
      <c r="M951" s="19" t="s">
        <v>59</v>
      </c>
      <c r="N951" s="30">
        <f>SQRT(C925*0.0980665)*(1/0.0980665)/1000*J951*N950</f>
        <v>75.31064987429815</v>
      </c>
      <c r="O951" s="29" t="s">
        <v>12</v>
      </c>
      <c r="P951" s="75"/>
    </row>
    <row r="952" spans="2:16" x14ac:dyDescent="0.3">
      <c r="B952" s="31" t="s">
        <v>116</v>
      </c>
      <c r="C952" s="37">
        <f>O961</f>
        <v>134.73349772922217</v>
      </c>
      <c r="D952" s="29" t="s">
        <v>12</v>
      </c>
      <c r="E952" s="75"/>
      <c r="F952" s="75"/>
      <c r="G952" s="75"/>
      <c r="H952" s="75"/>
      <c r="I952" s="19" t="s">
        <v>60</v>
      </c>
      <c r="J952" s="34">
        <f>MIN(N951,N949)</f>
        <v>51.211241914522745</v>
      </c>
      <c r="K952" s="29" t="s">
        <v>12</v>
      </c>
      <c r="L952" s="75"/>
      <c r="M952" s="75"/>
      <c r="N952" s="75"/>
      <c r="O952" s="75"/>
      <c r="P952" s="75"/>
    </row>
    <row r="953" spans="2:16" x14ac:dyDescent="0.3">
      <c r="B953" s="19" t="s">
        <v>117</v>
      </c>
      <c r="C953" s="36">
        <f>C946*2*C931/C943/J926</f>
        <v>4.4879895051282755E-3</v>
      </c>
      <c r="D953" s="16" t="s">
        <v>50</v>
      </c>
      <c r="E953" s="75"/>
      <c r="F953" s="75"/>
      <c r="G953" s="75"/>
      <c r="H953" s="75"/>
      <c r="I953" s="19" t="s">
        <v>39</v>
      </c>
      <c r="J953" s="34">
        <f>J950-J952</f>
        <v>-6.9335085811894075</v>
      </c>
      <c r="K953" s="16" t="s">
        <v>12</v>
      </c>
      <c r="L953" s="75"/>
      <c r="M953" s="75"/>
      <c r="N953" s="75"/>
      <c r="O953" s="75"/>
      <c r="P953" s="75"/>
    </row>
    <row r="954" spans="2:16" x14ac:dyDescent="0.3">
      <c r="B954" s="75"/>
      <c r="C954" s="75"/>
      <c r="D954" s="75"/>
      <c r="E954" s="75"/>
      <c r="F954" s="75"/>
      <c r="G954" s="75"/>
      <c r="H954" s="75"/>
      <c r="I954" s="19" t="s">
        <v>61</v>
      </c>
      <c r="J954" s="37">
        <f>MAX(J953/(C926*J929/1000/100)/2,C947)</f>
        <v>3.125</v>
      </c>
      <c r="K954" s="29" t="s">
        <v>32</v>
      </c>
      <c r="L954" s="75"/>
      <c r="M954" s="75"/>
      <c r="N954" s="75"/>
      <c r="O954" s="75"/>
      <c r="P954" s="75"/>
    </row>
    <row r="955" spans="2:16" x14ac:dyDescent="0.3">
      <c r="B955" s="75"/>
      <c r="C955" s="75"/>
      <c r="D955" s="75"/>
      <c r="E955" s="75"/>
      <c r="F955" s="75"/>
      <c r="G955" s="75"/>
      <c r="H955" s="75"/>
      <c r="I955" s="19" t="s">
        <v>65</v>
      </c>
      <c r="J955" s="36">
        <f>J954/C930/100*2</f>
        <v>2.5000000000000001E-3</v>
      </c>
      <c r="K955" s="16" t="s">
        <v>50</v>
      </c>
      <c r="L955" s="75"/>
      <c r="M955" s="75"/>
      <c r="N955" s="75"/>
      <c r="O955" s="75"/>
      <c r="P955" s="75"/>
    </row>
    <row r="956" spans="2:16" x14ac:dyDescent="0.3">
      <c r="B956" s="75"/>
      <c r="C956" s="75"/>
      <c r="D956" s="75"/>
      <c r="E956" s="75"/>
      <c r="F956" s="75"/>
      <c r="G956" s="75"/>
      <c r="H956" s="75"/>
      <c r="I956" s="19" t="s">
        <v>53</v>
      </c>
      <c r="J956" s="16">
        <f>MAX(0.0025,0.0025*0.5*(2.5-C930/(C931*0.8))*(J955-0.0025))</f>
        <v>2.5000000000000001E-3</v>
      </c>
      <c r="K956" s="29" t="s">
        <v>50</v>
      </c>
      <c r="L956" s="75"/>
      <c r="M956" s="39" t="str">
        <f>IF(OR(J955&gt;J956,ABS(J955-J956)&lt;0.0001),"[OK]","[REDISEÑAR]")</f>
        <v>[OK]</v>
      </c>
      <c r="N956" s="75"/>
      <c r="O956" s="75"/>
      <c r="P956" s="75"/>
    </row>
    <row r="957" spans="2:16" x14ac:dyDescent="0.3">
      <c r="B957" s="75"/>
      <c r="C957" s="75"/>
      <c r="D957" s="75"/>
      <c r="E957" s="75"/>
      <c r="F957" s="75"/>
      <c r="G957" s="75"/>
      <c r="H957" s="75"/>
      <c r="I957" s="19" t="s">
        <v>47</v>
      </c>
      <c r="J957" s="34">
        <f>SQRT(C925*0.0980665)*(1/0.0980665)/1000*0.66*0.8*C931*C930</f>
        <v>249.92723308409288</v>
      </c>
      <c r="K957" s="16" t="s">
        <v>12</v>
      </c>
      <c r="L957" s="75"/>
      <c r="M957" s="40" t="s">
        <v>44</v>
      </c>
      <c r="N957" s="75"/>
      <c r="O957" s="15"/>
      <c r="P957" s="75"/>
    </row>
    <row r="958" spans="2:16" x14ac:dyDescent="0.3">
      <c r="B958" s="75"/>
      <c r="C958" s="75"/>
      <c r="D958" s="75"/>
      <c r="E958" s="75"/>
      <c r="F958" s="75"/>
      <c r="G958" s="75"/>
      <c r="H958" s="75"/>
      <c r="I958" s="63" t="s">
        <v>34</v>
      </c>
      <c r="J958" s="63">
        <f>ROUNDDOWN(1/J954*C946*100,0)</f>
        <v>25</v>
      </c>
      <c r="K958" s="64" t="s">
        <v>5</v>
      </c>
      <c r="L958" s="75"/>
      <c r="M958" s="39" t="str">
        <f>IF(OR(J958&lt;10,J958&gt;25),"[REDISEÑAR]","[OK")</f>
        <v>[OK</v>
      </c>
      <c r="N958" s="41" t="s">
        <v>80</v>
      </c>
      <c r="O958" s="42">
        <f>1/J954*(C942/2)^2*PI()</f>
        <v>25.132741228718345</v>
      </c>
      <c r="P958" s="75" t="str">
        <f>"$\phi$"&amp;C942&amp;"@"&amp;J958</f>
        <v>$\phi$10@25</v>
      </c>
    </row>
    <row r="959" spans="2:16" x14ac:dyDescent="0.3">
      <c r="B959" s="75"/>
      <c r="C959" s="75"/>
      <c r="D959" s="75"/>
      <c r="E959" s="75"/>
      <c r="F959" s="75"/>
      <c r="G959" s="75"/>
      <c r="H959" s="75"/>
      <c r="I959" s="31" t="s">
        <v>48</v>
      </c>
      <c r="J959" s="30">
        <f>C946*2*IF(J929/C943&gt;=1,J929/C943,0)</f>
        <v>30.428568844769707</v>
      </c>
      <c r="K959" s="29" t="s">
        <v>17</v>
      </c>
      <c r="L959" s="75"/>
      <c r="M959" s="75"/>
      <c r="N959" s="15"/>
      <c r="O959" s="15"/>
      <c r="P959" s="75"/>
    </row>
    <row r="960" spans="2:16" x14ac:dyDescent="0.3">
      <c r="B960" s="75"/>
      <c r="C960" s="75"/>
      <c r="D960" s="75"/>
      <c r="E960" s="75"/>
      <c r="F960" s="75"/>
      <c r="G960" s="75"/>
      <c r="H960" s="75"/>
      <c r="I960" s="19" t="s">
        <v>81</v>
      </c>
      <c r="J960" s="34">
        <f>MIN(J959*C926/1000,J957)</f>
        <v>127.79998914803276</v>
      </c>
      <c r="K960" s="16" t="s">
        <v>12</v>
      </c>
      <c r="L960" s="75"/>
      <c r="M960" s="40" t="s">
        <v>82</v>
      </c>
      <c r="N960" s="15"/>
      <c r="O960" s="15"/>
      <c r="P960" s="75"/>
    </row>
    <row r="961" spans="2:16" x14ac:dyDescent="0.3">
      <c r="B961" s="75"/>
      <c r="C961" s="75"/>
      <c r="D961" s="75"/>
      <c r="E961" s="75"/>
      <c r="F961" s="75"/>
      <c r="G961" s="75"/>
      <c r="H961" s="75"/>
      <c r="I961" s="19" t="s">
        <v>79</v>
      </c>
      <c r="J961" s="34">
        <f>J960+J952</f>
        <v>179.01123106255551</v>
      </c>
      <c r="K961" s="16" t="s">
        <v>12</v>
      </c>
      <c r="L961" s="75"/>
      <c r="M961" s="39" t="str">
        <f>IF(J961&gt;J950,"[OK]","[REDISEÑAR]")</f>
        <v>[OK]</v>
      </c>
      <c r="N961" s="41" t="str">
        <f>IF(O961&gt;0,"Sobrado","Faltan")</f>
        <v>Sobrado</v>
      </c>
      <c r="O961" s="43">
        <f>J961-J950</f>
        <v>134.73349772922217</v>
      </c>
      <c r="P961" s="75"/>
    </row>
    <row r="962" spans="2:16" x14ac:dyDescent="0.3">
      <c r="B962" s="75"/>
      <c r="C962" s="75"/>
      <c r="D962" s="75"/>
      <c r="E962" s="75"/>
      <c r="F962" s="75"/>
      <c r="G962" s="75"/>
      <c r="H962" s="75"/>
      <c r="J962" s="75"/>
      <c r="K962" s="75"/>
      <c r="L962" s="75"/>
      <c r="M962" s="75"/>
      <c r="N962" s="75"/>
      <c r="O962" s="75"/>
      <c r="P962" s="75"/>
    </row>
    <row r="963" spans="2:16" x14ac:dyDescent="0.3">
      <c r="B963" s="75"/>
      <c r="C963" s="75"/>
      <c r="D963" s="75"/>
      <c r="E963" s="75"/>
      <c r="F963" s="75"/>
      <c r="G963" s="75"/>
      <c r="H963" s="75"/>
      <c r="I963" s="18" t="s">
        <v>45</v>
      </c>
      <c r="J963" s="75"/>
      <c r="K963" s="75"/>
      <c r="L963" s="75"/>
      <c r="M963" s="75"/>
      <c r="N963" s="75"/>
      <c r="O963" s="15"/>
      <c r="P963" s="75"/>
    </row>
    <row r="964" spans="2:16" x14ac:dyDescent="0.3">
      <c r="B964" s="75"/>
      <c r="C964" s="75"/>
      <c r="D964" s="75"/>
      <c r="E964" s="75"/>
      <c r="F964" s="75"/>
      <c r="G964" s="75"/>
      <c r="H964" s="75"/>
      <c r="I964" s="19" t="s">
        <v>40</v>
      </c>
      <c r="J964" s="16">
        <f>J938</f>
        <v>26.56664</v>
      </c>
      <c r="K964" s="16" t="s">
        <v>12</v>
      </c>
      <c r="L964" s="75"/>
      <c r="M964" s="75"/>
      <c r="N964" s="75"/>
      <c r="O964" s="26"/>
      <c r="P964" s="75"/>
    </row>
    <row r="965" spans="2:16" x14ac:dyDescent="0.3">
      <c r="B965" s="75"/>
      <c r="C965" s="75"/>
      <c r="D965" s="75"/>
      <c r="E965" s="75"/>
      <c r="F965" s="75"/>
      <c r="G965" s="75"/>
      <c r="H965" s="75"/>
      <c r="I965" s="19" t="s">
        <v>46</v>
      </c>
      <c r="J965" s="34">
        <f>J950</f>
        <v>44.277733333333337</v>
      </c>
      <c r="K965" s="16" t="s">
        <v>12</v>
      </c>
      <c r="L965" s="75"/>
      <c r="M965" s="75"/>
      <c r="N965" s="75"/>
      <c r="O965" s="75"/>
      <c r="P965" s="75"/>
    </row>
    <row r="966" spans="2:16" x14ac:dyDescent="0.3">
      <c r="B966" s="75"/>
      <c r="C966" s="75"/>
      <c r="D966" s="75"/>
      <c r="E966" s="75"/>
      <c r="F966" s="75"/>
      <c r="G966" s="75"/>
      <c r="H966" s="75"/>
      <c r="I966" s="19" t="s">
        <v>38</v>
      </c>
      <c r="J966" s="34">
        <f>2/3*J951*SQRT(C925*0.0980665)*(1/0.0980665)/1000</f>
        <v>200.82839966479511</v>
      </c>
      <c r="K966" s="16" t="s">
        <v>12</v>
      </c>
      <c r="L966" s="75"/>
      <c r="M966" s="39" t="str">
        <f>IF(J966&gt;J965,"[OK]","[REDISEÑAR]")</f>
        <v>[OK]</v>
      </c>
      <c r="N966" s="41" t="str">
        <f>IF(O966&gt;0,"Sobrado","Faltan")</f>
        <v>Sobrado</v>
      </c>
      <c r="O966" s="43">
        <f>J966-J965</f>
        <v>156.55066633146177</v>
      </c>
      <c r="P966" s="75"/>
    </row>
    <row r="968" spans="2:16" ht="18" x14ac:dyDescent="0.35">
      <c r="B968" s="48" t="str">
        <f>'EJE 15'!$S$26</f>
        <v>EJE 15.C-C1 | PIER F31X | PISO 11</v>
      </c>
      <c r="C968" s="75"/>
      <c r="D968" s="75"/>
      <c r="E968" s="75"/>
      <c r="F968" s="75"/>
      <c r="G968" s="75"/>
      <c r="H968" s="75"/>
      <c r="J968" s="75"/>
      <c r="K968" s="75"/>
      <c r="L968" s="75"/>
      <c r="M968" s="75"/>
      <c r="N968" s="75"/>
      <c r="O968" s="75"/>
      <c r="P968" s="75"/>
    </row>
    <row r="969" spans="2:16" x14ac:dyDescent="0.3">
      <c r="B969" s="75"/>
      <c r="C969" s="75"/>
      <c r="D969" s="75"/>
      <c r="E969" s="75"/>
      <c r="F969" s="75"/>
      <c r="G969" s="75"/>
      <c r="H969" s="75"/>
      <c r="J969" s="75"/>
      <c r="K969" s="75"/>
      <c r="L969" s="75"/>
      <c r="M969" s="75"/>
      <c r="N969" s="75"/>
      <c r="O969" s="75"/>
      <c r="P969" s="75"/>
    </row>
    <row r="970" spans="2:16" x14ac:dyDescent="0.3">
      <c r="B970" s="17" t="s">
        <v>6</v>
      </c>
      <c r="C970" s="75"/>
      <c r="D970" s="75"/>
      <c r="E970" s="75"/>
      <c r="F970" s="75"/>
      <c r="G970" s="75"/>
      <c r="H970" s="75"/>
      <c r="I970" s="18" t="s">
        <v>25</v>
      </c>
      <c r="J970" s="75"/>
      <c r="K970" s="75"/>
      <c r="L970" s="75"/>
      <c r="M970" s="75"/>
      <c r="N970" s="75"/>
      <c r="O970" s="75"/>
      <c r="P970" s="75"/>
    </row>
    <row r="971" spans="2:16" x14ac:dyDescent="0.3">
      <c r="B971" s="19" t="s">
        <v>99</v>
      </c>
      <c r="C971" s="61">
        <f>10.1971621297793*'EJE 15'!$G$26</f>
        <v>305.91486389337899</v>
      </c>
      <c r="D971" s="16" t="s">
        <v>8</v>
      </c>
      <c r="E971" s="75"/>
      <c r="F971" s="75"/>
      <c r="G971" s="75"/>
      <c r="H971" s="75"/>
      <c r="I971" s="19" t="s">
        <v>58</v>
      </c>
      <c r="J971" s="16">
        <f>C978/16</f>
        <v>14.375</v>
      </c>
      <c r="K971" s="16" t="s">
        <v>5</v>
      </c>
      <c r="L971" s="21"/>
      <c r="M971" s="39" t="str">
        <f>IF(J971&lt;C976,"[OK]","[REDISEÑAR]")</f>
        <v>[OK]</v>
      </c>
      <c r="N971" s="75"/>
      <c r="O971" s="75"/>
      <c r="P971" s="75"/>
    </row>
    <row r="972" spans="2:16" x14ac:dyDescent="0.3">
      <c r="B972" s="19" t="s">
        <v>30</v>
      </c>
      <c r="C972" s="16">
        <v>4200</v>
      </c>
      <c r="D972" s="16" t="s">
        <v>8</v>
      </c>
      <c r="E972" s="75"/>
      <c r="F972" s="75"/>
      <c r="G972" s="75"/>
      <c r="H972" s="75"/>
      <c r="I972" s="19" t="s">
        <v>16</v>
      </c>
      <c r="J972" s="16">
        <f>C976*C977</f>
        <v>650</v>
      </c>
      <c r="K972" s="16" t="s">
        <v>17</v>
      </c>
      <c r="L972" s="21"/>
      <c r="M972" s="75"/>
      <c r="N972" s="75"/>
      <c r="O972" s="75"/>
      <c r="P972" s="75"/>
    </row>
    <row r="973" spans="2:16" x14ac:dyDescent="0.3">
      <c r="B973" s="19" t="s">
        <v>31</v>
      </c>
      <c r="C973" s="16">
        <v>2800</v>
      </c>
      <c r="D973" s="16" t="s">
        <v>8</v>
      </c>
      <c r="E973" s="75"/>
      <c r="F973" s="75"/>
      <c r="G973" s="75"/>
      <c r="H973" s="75"/>
      <c r="I973" s="19" t="s">
        <v>51</v>
      </c>
      <c r="J973" s="16">
        <f>MIN(0.8*C977/5,3*C976,45)</f>
        <v>4.16</v>
      </c>
      <c r="K973" s="16" t="s">
        <v>5</v>
      </c>
      <c r="L973" s="21"/>
      <c r="M973" s="39" t="str">
        <f>IF(J973&gt;C989,"[OK]","[REDISEÑAR]")</f>
        <v>[REDISEÑAR]</v>
      </c>
      <c r="N973" s="75"/>
      <c r="O973" s="75"/>
      <c r="P973" s="75"/>
    </row>
    <row r="974" spans="2:16" x14ac:dyDescent="0.3">
      <c r="B974" s="75"/>
      <c r="C974" s="75"/>
      <c r="D974" s="75"/>
      <c r="E974" s="75"/>
      <c r="F974" s="75"/>
      <c r="G974" s="75"/>
      <c r="H974" s="75"/>
      <c r="I974" s="19" t="s">
        <v>56</v>
      </c>
      <c r="J974" s="16">
        <f>MIN(0.8*C978/3,3*C977,45)</f>
        <v>45</v>
      </c>
      <c r="K974" s="16" t="s">
        <v>5</v>
      </c>
      <c r="L974" s="21"/>
      <c r="M974" s="39" t="str">
        <f>IF(J974&gt;C989,"[OK]","[REDISEÑAR]")</f>
        <v>[OK]</v>
      </c>
      <c r="N974" s="75"/>
      <c r="O974" s="75"/>
      <c r="P974" s="75"/>
    </row>
    <row r="975" spans="2:16" x14ac:dyDescent="0.3">
      <c r="B975" s="17" t="s">
        <v>3</v>
      </c>
      <c r="C975" s="75"/>
      <c r="D975" s="75"/>
      <c r="E975" s="75"/>
      <c r="F975" s="75"/>
      <c r="G975" s="75"/>
      <c r="H975" s="75"/>
      <c r="I975" s="19" t="s">
        <v>62</v>
      </c>
      <c r="J975" s="16">
        <f>0.8*C977</f>
        <v>20.8</v>
      </c>
      <c r="K975" s="29" t="s">
        <v>5</v>
      </c>
      <c r="L975" s="75"/>
      <c r="M975" s="75"/>
      <c r="N975" s="75"/>
      <c r="O975" s="75"/>
      <c r="P975" s="75"/>
    </row>
    <row r="976" spans="2:16" x14ac:dyDescent="0.3">
      <c r="B976" s="19" t="str">
        <f>"Espesor del muro (h)"</f>
        <v>Espesor del muro (h)</v>
      </c>
      <c r="C976" s="49">
        <f>'EJE 15'!$H$26</f>
        <v>25</v>
      </c>
      <c r="D976" s="16" t="s">
        <v>5</v>
      </c>
      <c r="E976" s="75"/>
      <c r="F976" s="75"/>
      <c r="G976" s="75"/>
      <c r="H976" s="75"/>
      <c r="J976" s="75"/>
      <c r="K976" s="75"/>
      <c r="L976" s="75"/>
      <c r="M976" s="75"/>
      <c r="N976" s="75"/>
      <c r="O976" s="75"/>
      <c r="P976" s="75"/>
    </row>
    <row r="977" spans="2:16" x14ac:dyDescent="0.3">
      <c r="B977" s="19" t="s">
        <v>63</v>
      </c>
      <c r="C977" s="49">
        <v>26</v>
      </c>
      <c r="D977" s="16" t="s">
        <v>5</v>
      </c>
      <c r="E977" s="75"/>
      <c r="F977" s="75"/>
      <c r="G977" s="75"/>
      <c r="H977" s="75"/>
      <c r="I977" s="18" t="s">
        <v>26</v>
      </c>
      <c r="J977" s="75"/>
      <c r="K977" s="75"/>
      <c r="L977" s="75"/>
      <c r="M977" s="75"/>
      <c r="N977" s="75"/>
      <c r="O977" s="75"/>
      <c r="P977" s="75"/>
    </row>
    <row r="978" spans="2:16" x14ac:dyDescent="0.3">
      <c r="B978" s="19" t="s">
        <v>10</v>
      </c>
      <c r="C978" s="49">
        <f>'EJE 15'!$J$26</f>
        <v>230</v>
      </c>
      <c r="D978" s="16" t="s">
        <v>5</v>
      </c>
      <c r="E978" s="75"/>
      <c r="F978" s="75"/>
      <c r="G978" s="75"/>
      <c r="H978" s="75"/>
      <c r="I978" s="19" t="s">
        <v>28</v>
      </c>
      <c r="J978" s="16">
        <f>0.35*C971</f>
        <v>107.07020236268264</v>
      </c>
      <c r="K978" s="16" t="s">
        <v>8</v>
      </c>
      <c r="L978" s="21"/>
      <c r="M978" s="75"/>
      <c r="N978" s="75"/>
      <c r="O978" s="75"/>
      <c r="P978" s="75"/>
    </row>
    <row r="979" spans="2:16" x14ac:dyDescent="0.3">
      <c r="B979" s="75"/>
      <c r="C979" s="75"/>
      <c r="D979" s="75"/>
      <c r="E979" s="75"/>
      <c r="F979" s="75"/>
      <c r="G979" s="75"/>
      <c r="H979" s="75"/>
      <c r="I979" s="19" t="s">
        <v>27</v>
      </c>
      <c r="J979" s="30">
        <f>C981*1000/J972</f>
        <v>146.74230769230769</v>
      </c>
      <c r="K979" s="16" t="s">
        <v>8</v>
      </c>
      <c r="L979" s="21"/>
      <c r="M979" s="39" t="str">
        <f>IF(J979&lt;J978,"[OK]","[REDISEÑAR]")</f>
        <v>[REDISEÑAR]</v>
      </c>
      <c r="N979" s="41" t="s">
        <v>112</v>
      </c>
      <c r="O979" s="59">
        <f>J979/J978</f>
        <v>1.3705242397435875</v>
      </c>
      <c r="P979" s="75"/>
    </row>
    <row r="980" spans="2:16" x14ac:dyDescent="0.3">
      <c r="B980" s="17" t="s">
        <v>11</v>
      </c>
      <c r="C980" s="75"/>
      <c r="D980" s="75"/>
      <c r="E980" s="75"/>
      <c r="F980" s="75"/>
      <c r="G980" s="75"/>
      <c r="H980" s="75"/>
      <c r="J980" s="75"/>
      <c r="K980" s="75"/>
      <c r="L980" s="75"/>
      <c r="M980" s="75"/>
      <c r="N980" s="75"/>
      <c r="O980" s="75"/>
      <c r="P980" s="75"/>
    </row>
    <row r="981" spans="2:16" x14ac:dyDescent="0.3">
      <c r="B981" s="19" t="str">
        <f>"$N_U$"</f>
        <v>$N_U$</v>
      </c>
      <c r="C981" s="60">
        <f>'EJE 15'!$K$26</f>
        <v>95.382499999999993</v>
      </c>
      <c r="D981" s="16" t="s">
        <v>12</v>
      </c>
      <c r="E981" s="75"/>
      <c r="F981" s="75"/>
      <c r="G981" s="75"/>
      <c r="H981" s="75"/>
      <c r="I981" s="18" t="s">
        <v>54</v>
      </c>
      <c r="J981" s="75"/>
      <c r="K981" s="75"/>
      <c r="L981" s="75"/>
      <c r="M981" s="75"/>
      <c r="N981" s="75"/>
      <c r="O981" s="75"/>
      <c r="P981" s="75"/>
    </row>
    <row r="982" spans="2:16" x14ac:dyDescent="0.3">
      <c r="B982" s="19" t="s">
        <v>14</v>
      </c>
      <c r="C982" s="60">
        <f>'EJE 15'!$L$26</f>
        <v>0.36720000000000003</v>
      </c>
      <c r="D982" s="16" t="s">
        <v>12</v>
      </c>
      <c r="E982" s="75"/>
      <c r="F982" s="75"/>
      <c r="G982" s="75"/>
      <c r="H982" s="75"/>
      <c r="I982" s="19" t="s">
        <v>72</v>
      </c>
      <c r="J982" s="16">
        <f>1.2*C982+C983+1.4*C984</f>
        <v>8.33324</v>
      </c>
      <c r="K982" s="16" t="s">
        <v>12</v>
      </c>
      <c r="L982" s="75"/>
      <c r="M982" s="75" t="s">
        <v>68</v>
      </c>
      <c r="N982" s="75"/>
      <c r="O982" s="75"/>
      <c r="P982" s="75"/>
    </row>
    <row r="983" spans="2:16" x14ac:dyDescent="0.3">
      <c r="B983" s="19" t="s">
        <v>13</v>
      </c>
      <c r="C983" s="60">
        <f>'EJE 15'!$M$26</f>
        <v>0.2752</v>
      </c>
      <c r="D983" s="16" t="s">
        <v>12</v>
      </c>
      <c r="E983" s="75"/>
      <c r="F983" s="75"/>
      <c r="G983" s="75"/>
      <c r="H983" s="75"/>
      <c r="I983" s="19" t="s">
        <v>69</v>
      </c>
      <c r="J983" s="16">
        <f>SUM(C982:C984)</f>
        <v>6.0834000000000001</v>
      </c>
      <c r="K983" s="16" t="s">
        <v>12</v>
      </c>
      <c r="L983" s="75"/>
      <c r="M983" s="75" t="s">
        <v>70</v>
      </c>
      <c r="N983" s="75"/>
      <c r="O983" s="75"/>
      <c r="P983" s="75"/>
    </row>
    <row r="984" spans="2:16" x14ac:dyDescent="0.3">
      <c r="B984" s="19" t="s">
        <v>15</v>
      </c>
      <c r="C984" s="60">
        <f>'EJE 15'!$N$26</f>
        <v>5.4409999999999998</v>
      </c>
      <c r="D984" s="16" t="s">
        <v>12</v>
      </c>
      <c r="E984" s="75"/>
      <c r="F984" s="75"/>
      <c r="G984" s="75"/>
      <c r="H984" s="75"/>
      <c r="I984" s="19" t="s">
        <v>73</v>
      </c>
      <c r="J984" s="16">
        <f>IF(C985=0,J982,C985)</f>
        <v>8.33324</v>
      </c>
      <c r="K984" s="16" t="s">
        <v>12</v>
      </c>
      <c r="L984" s="75"/>
      <c r="M984" s="40" t="s">
        <v>74</v>
      </c>
      <c r="N984" s="75"/>
      <c r="O984" s="75"/>
      <c r="P984" s="75"/>
    </row>
    <row r="985" spans="2:16" x14ac:dyDescent="0.3">
      <c r="B985" s="19" t="s">
        <v>55</v>
      </c>
      <c r="C985" s="16">
        <v>0</v>
      </c>
      <c r="D985" s="16" t="s">
        <v>12</v>
      </c>
      <c r="E985" s="75"/>
      <c r="F985" s="75"/>
      <c r="G985" s="75"/>
      <c r="H985" s="75"/>
      <c r="I985" s="19" t="s">
        <v>71</v>
      </c>
      <c r="J985" s="16">
        <f>IF(C985=0,J983,C985)</f>
        <v>6.0834000000000001</v>
      </c>
      <c r="K985" s="16" t="s">
        <v>12</v>
      </c>
      <c r="L985" s="75"/>
      <c r="M985" s="40" t="s">
        <v>75</v>
      </c>
      <c r="N985" s="75"/>
      <c r="O985" s="75"/>
      <c r="P985" s="75"/>
    </row>
    <row r="986" spans="2:16" x14ac:dyDescent="0.3">
      <c r="B986" s="75"/>
      <c r="C986" s="75"/>
      <c r="D986" s="75"/>
      <c r="E986" s="75"/>
      <c r="F986" s="75"/>
      <c r="G986" s="75"/>
      <c r="H986" s="75"/>
      <c r="J986" s="75"/>
      <c r="K986" s="75"/>
      <c r="L986" s="75"/>
      <c r="M986" s="75"/>
      <c r="N986" s="75"/>
      <c r="O986" s="75"/>
      <c r="P986" s="75"/>
    </row>
    <row r="987" spans="2:16" x14ac:dyDescent="0.3">
      <c r="B987" s="33" t="s">
        <v>42</v>
      </c>
      <c r="C987" s="75"/>
      <c r="D987" s="75"/>
      <c r="E987" s="75"/>
      <c r="F987" s="75"/>
      <c r="G987" s="75"/>
      <c r="H987" s="75"/>
      <c r="I987" s="27" t="s">
        <v>76</v>
      </c>
      <c r="J987" s="75"/>
      <c r="K987" s="75"/>
      <c r="L987" s="75"/>
      <c r="M987" s="75"/>
      <c r="N987" s="75"/>
      <c r="O987" s="75"/>
      <c r="P987" s="75"/>
    </row>
    <row r="988" spans="2:16" x14ac:dyDescent="0.3">
      <c r="B988" s="84" t="s">
        <v>41</v>
      </c>
      <c r="C988" s="85">
        <v>12</v>
      </c>
      <c r="D988" s="85" t="s">
        <v>35</v>
      </c>
      <c r="E988" s="75"/>
      <c r="F988" s="75"/>
      <c r="G988" s="75"/>
      <c r="H988" s="75"/>
      <c r="I988" s="19" t="s">
        <v>29</v>
      </c>
      <c r="J988" s="30">
        <f>J985*1000/J972</f>
        <v>9.3590769230769233</v>
      </c>
      <c r="K988" s="29" t="s">
        <v>8</v>
      </c>
      <c r="L988" s="75"/>
      <c r="M988" s="75"/>
      <c r="N988" s="75"/>
      <c r="O988" s="75"/>
      <c r="P988" s="75"/>
    </row>
    <row r="989" spans="2:16" x14ac:dyDescent="0.3">
      <c r="B989" s="31" t="s">
        <v>43</v>
      </c>
      <c r="C989" s="16">
        <v>14</v>
      </c>
      <c r="D989" s="29" t="s">
        <v>5</v>
      </c>
      <c r="E989" s="75"/>
      <c r="F989" s="39" t="str">
        <f>IF(OR(C989&gt;25,C989&lt;10),"[REDISEÑAR]",IF(AND(C989&lt;=J990,C989&lt;=J1004),"[OK]","[REDISEÑAR]"))</f>
        <v>[OK]</v>
      </c>
      <c r="G989" s="75"/>
      <c r="H989" s="75"/>
      <c r="I989" s="19" t="s">
        <v>61</v>
      </c>
      <c r="J989" s="37">
        <f>MAX(J988*100*C976/(2*C973),C993)</f>
        <v>4.1781593406593407</v>
      </c>
      <c r="K989" s="29" t="s">
        <v>32</v>
      </c>
      <c r="L989" s="75"/>
      <c r="M989" s="15"/>
      <c r="N989" s="15"/>
      <c r="O989" s="15"/>
      <c r="P989" s="75"/>
    </row>
    <row r="990" spans="2:16" x14ac:dyDescent="0.3">
      <c r="B990" s="75"/>
      <c r="C990" s="50" t="str">
        <f>"$\phi$"&amp;C988&amp;"@"&amp;C989</f>
        <v>$\phi$12@14</v>
      </c>
      <c r="D990" s="75"/>
      <c r="E990" s="75"/>
      <c r="F990" s="39" t="str">
        <f>IF(OR(J989=C993,J1000=C993),"[ÁREA MINIMA]","[]")</f>
        <v>[]</v>
      </c>
      <c r="G990" s="75"/>
      <c r="H990" s="75"/>
      <c r="I990" s="63" t="s">
        <v>34</v>
      </c>
      <c r="J990" s="63">
        <f>ROUNDDOWN((1/J989)*C992*100,0)</f>
        <v>27</v>
      </c>
      <c r="K990" s="64" t="s">
        <v>5</v>
      </c>
      <c r="L990" s="75"/>
      <c r="M990" s="39" t="str">
        <f>IF(OR(J990&lt;10,J990&gt;25),"[REDISEÑAR]","[OK")</f>
        <v>[REDISEÑAR]</v>
      </c>
      <c r="N990" s="41" t="s">
        <v>80</v>
      </c>
      <c r="O990" s="42">
        <f>1/J989*(C988/2)^2*PI()</f>
        <v>27.06869851243755</v>
      </c>
      <c r="P990" s="75" t="str">
        <f>"$\phi$"&amp;C988&amp;"@"&amp;J990</f>
        <v>$\phi$12@27</v>
      </c>
    </row>
    <row r="991" spans="2:16" x14ac:dyDescent="0.3">
      <c r="B991" s="18" t="s">
        <v>52</v>
      </c>
      <c r="C991" s="75"/>
      <c r="D991" s="75"/>
      <c r="E991" s="75"/>
      <c r="F991" s="62" t="str">
        <f>IF(J979&lt;J978,IF(J1007&gt;J996,"[OK]","[REDISEÑAR]"),"[REDISEÑAR]")</f>
        <v>[REDISEÑAR]</v>
      </c>
      <c r="G991" s="75"/>
      <c r="H991" s="75"/>
      <c r="I991" s="31" t="s">
        <v>48</v>
      </c>
      <c r="J991" s="30">
        <f>C992*2*IF(C977/C989&gt;=1,C977/C989,0)</f>
        <v>4.2007581768000666</v>
      </c>
      <c r="K991" s="29" t="s">
        <v>17</v>
      </c>
      <c r="L991" s="75"/>
      <c r="M991" s="75"/>
      <c r="N991" s="15"/>
      <c r="O991" s="44"/>
      <c r="P991" s="75"/>
    </row>
    <row r="992" spans="2:16" x14ac:dyDescent="0.3">
      <c r="B992" s="31" t="s">
        <v>66</v>
      </c>
      <c r="C992" s="30">
        <f>(C988/(2*10))^2*PI()</f>
        <v>1.1309733552923256</v>
      </c>
      <c r="D992" s="29" t="s">
        <v>17</v>
      </c>
      <c r="E992" s="75"/>
      <c r="F992" s="75"/>
      <c r="G992" s="75"/>
      <c r="H992" s="75"/>
      <c r="I992" s="19" t="s">
        <v>49</v>
      </c>
      <c r="J992" s="34">
        <f>C973*J991/1000</f>
        <v>11.762122895040186</v>
      </c>
      <c r="K992" s="16" t="s">
        <v>12</v>
      </c>
      <c r="L992" s="75"/>
      <c r="M992" s="39" t="str">
        <f>IF(J992&gt;J985,"[OK]","[REDISEÑAR]")</f>
        <v>[OK]</v>
      </c>
      <c r="N992" s="41" t="str">
        <f>IF(O992&gt;0,"Sobrado","Faltan")</f>
        <v>Sobrado</v>
      </c>
      <c r="O992" s="43">
        <f>J992-J985</f>
        <v>5.6787228950401856</v>
      </c>
      <c r="P992" s="75"/>
    </row>
    <row r="993" spans="2:16" x14ac:dyDescent="0.3">
      <c r="B993" s="31" t="s">
        <v>78</v>
      </c>
      <c r="C993" s="37">
        <f>2.5/1000*100*C976/2</f>
        <v>3.125</v>
      </c>
      <c r="D993" s="16" t="s">
        <v>17</v>
      </c>
      <c r="E993" s="75"/>
      <c r="F993" s="75"/>
      <c r="G993" s="75"/>
      <c r="H993" s="75"/>
      <c r="J993" s="75"/>
      <c r="K993" s="75"/>
      <c r="L993" s="75"/>
      <c r="M993" s="75"/>
      <c r="N993" s="75"/>
      <c r="O993" s="15"/>
      <c r="P993" s="75"/>
    </row>
    <row r="994" spans="2:16" x14ac:dyDescent="0.3">
      <c r="B994" s="31" t="s">
        <v>114</v>
      </c>
      <c r="C994" s="37">
        <f>C992*100/C989</f>
        <v>8.0783811092308966</v>
      </c>
      <c r="D994" s="29" t="s">
        <v>32</v>
      </c>
      <c r="E994" s="75"/>
      <c r="F994" s="75"/>
      <c r="G994" s="75"/>
      <c r="H994" s="75"/>
      <c r="I994" s="18" t="s">
        <v>77</v>
      </c>
      <c r="J994" s="75"/>
      <c r="K994" s="75"/>
      <c r="L994" s="75"/>
      <c r="M994" s="17" t="s">
        <v>67</v>
      </c>
      <c r="N994" s="75"/>
      <c r="O994" s="75"/>
      <c r="P994" s="75"/>
    </row>
    <row r="995" spans="2:16" x14ac:dyDescent="0.3">
      <c r="B995" s="75"/>
      <c r="C995" s="75"/>
      <c r="D995" s="75"/>
      <c r="E995" s="75"/>
      <c r="F995" s="75"/>
      <c r="G995" s="75"/>
      <c r="H995" s="75"/>
      <c r="I995" s="19" t="s">
        <v>33</v>
      </c>
      <c r="J995" s="16">
        <v>0.6</v>
      </c>
      <c r="K995" s="16" t="s">
        <v>50</v>
      </c>
      <c r="L995" s="75"/>
      <c r="M995" s="19" t="s">
        <v>64</v>
      </c>
      <c r="N995" s="30">
        <f>SQRT(C971*0.0980665)*(1/0.0980665)/1000*J997*0.17</f>
        <v>3.9179560466750152</v>
      </c>
      <c r="O995" s="16" t="s">
        <v>12</v>
      </c>
      <c r="P995" s="75"/>
    </row>
    <row r="996" spans="2:16" x14ac:dyDescent="0.3">
      <c r="B996" s="17" t="s">
        <v>37</v>
      </c>
      <c r="C996" s="75"/>
      <c r="D996" s="75"/>
      <c r="E996" s="75"/>
      <c r="F996" s="75"/>
      <c r="G996" s="75"/>
      <c r="H996" s="75"/>
      <c r="I996" s="19" t="s">
        <v>46</v>
      </c>
      <c r="J996" s="34">
        <f>J984/J995</f>
        <v>13.888733333333334</v>
      </c>
      <c r="K996" s="16" t="s">
        <v>12</v>
      </c>
      <c r="L996" s="75"/>
      <c r="M996" s="19" t="s">
        <v>57</v>
      </c>
      <c r="N996" s="16">
        <f>IF(C978/J975&lt;=1.5,0.25,IF(C978/J975&gt;=2,0.17,0.17+(0.25-0.17)/(C978/J975-1.5)*C978/J975))</f>
        <v>0.17</v>
      </c>
      <c r="O996" s="29" t="s">
        <v>50</v>
      </c>
      <c r="P996" s="75"/>
    </row>
    <row r="997" spans="2:16" x14ac:dyDescent="0.3">
      <c r="B997" s="31" t="s">
        <v>115</v>
      </c>
      <c r="C997" s="37">
        <f>O992</f>
        <v>5.6787228950401856</v>
      </c>
      <c r="D997" s="29" t="s">
        <v>12</v>
      </c>
      <c r="E997" s="75"/>
      <c r="F997" s="75"/>
      <c r="G997" s="75"/>
      <c r="H997" s="75"/>
      <c r="I997" s="19" t="s">
        <v>36</v>
      </c>
      <c r="J997" s="35">
        <f>J975*C976*0.8-J1005</f>
        <v>412.63939345855994</v>
      </c>
      <c r="K997" s="16" t="s">
        <v>17</v>
      </c>
      <c r="L997" s="75"/>
      <c r="M997" s="19" t="s">
        <v>59</v>
      </c>
      <c r="N997" s="30">
        <f>SQRT(C971*0.0980665)*(1/0.0980665)/1000*J997*N996</f>
        <v>3.9179560466750152</v>
      </c>
      <c r="O997" s="29" t="s">
        <v>12</v>
      </c>
      <c r="P997" s="75"/>
    </row>
    <row r="998" spans="2:16" x14ac:dyDescent="0.3">
      <c r="B998" s="31" t="s">
        <v>116</v>
      </c>
      <c r="C998" s="37">
        <f>O1007</f>
        <v>4.1437701873899044</v>
      </c>
      <c r="D998" s="29" t="s">
        <v>12</v>
      </c>
      <c r="E998" s="75"/>
      <c r="F998" s="75"/>
      <c r="G998" s="75"/>
      <c r="H998" s="75"/>
      <c r="I998" s="19" t="s">
        <v>60</v>
      </c>
      <c r="J998" s="34">
        <f>MIN(N997,N995)</f>
        <v>3.9179560466750152</v>
      </c>
      <c r="K998" s="29" t="s">
        <v>12</v>
      </c>
      <c r="L998" s="75"/>
      <c r="M998" s="75"/>
      <c r="N998" s="75"/>
      <c r="O998" s="75"/>
      <c r="P998" s="75"/>
    </row>
    <row r="999" spans="2:16" x14ac:dyDescent="0.3">
      <c r="B999" s="19" t="s">
        <v>117</v>
      </c>
      <c r="C999" s="36">
        <f>C992*2*C977/C989/J972</f>
        <v>6.4627048873847175E-3</v>
      </c>
      <c r="D999" s="16" t="s">
        <v>50</v>
      </c>
      <c r="E999" s="75"/>
      <c r="F999" s="75"/>
      <c r="G999" s="75"/>
      <c r="H999" s="75"/>
      <c r="I999" s="19" t="s">
        <v>39</v>
      </c>
      <c r="J999" s="34">
        <f>J996-J998</f>
        <v>9.9707772866583184</v>
      </c>
      <c r="K999" s="16" t="s">
        <v>12</v>
      </c>
      <c r="L999" s="75"/>
      <c r="M999" s="75"/>
      <c r="N999" s="75"/>
      <c r="O999" s="75"/>
      <c r="P999" s="75"/>
    </row>
    <row r="1000" spans="2:16" x14ac:dyDescent="0.3">
      <c r="B1000" s="75"/>
      <c r="C1000" s="75"/>
      <c r="D1000" s="75"/>
      <c r="E1000" s="75"/>
      <c r="F1000" s="75"/>
      <c r="G1000" s="75"/>
      <c r="H1000" s="75"/>
      <c r="I1000" s="19" t="s">
        <v>61</v>
      </c>
      <c r="J1000" s="37">
        <f>MAX(J999/(C972*J975/1000/100)/2,C993)</f>
        <v>5.7067177693786162</v>
      </c>
      <c r="K1000" s="29" t="s">
        <v>32</v>
      </c>
      <c r="L1000" s="75"/>
      <c r="M1000" s="75"/>
      <c r="N1000" s="75"/>
      <c r="O1000" s="75"/>
      <c r="P1000" s="75"/>
    </row>
    <row r="1001" spans="2:16" x14ac:dyDescent="0.3">
      <c r="B1001" s="75"/>
      <c r="C1001" s="75"/>
      <c r="D1001" s="75"/>
      <c r="E1001" s="75"/>
      <c r="F1001" s="75"/>
      <c r="G1001" s="75"/>
      <c r="H1001" s="75"/>
      <c r="I1001" s="19" t="s">
        <v>65</v>
      </c>
      <c r="J1001" s="36">
        <f>J1000/C976/100*2</f>
        <v>4.565374215502893E-3</v>
      </c>
      <c r="K1001" s="16" t="s">
        <v>50</v>
      </c>
      <c r="L1001" s="75"/>
      <c r="M1001" s="75"/>
      <c r="N1001" s="75"/>
      <c r="O1001" s="75"/>
      <c r="P1001" s="75"/>
    </row>
    <row r="1002" spans="2:16" x14ac:dyDescent="0.3">
      <c r="B1002" s="75"/>
      <c r="C1002" s="75"/>
      <c r="D1002" s="75"/>
      <c r="E1002" s="75"/>
      <c r="F1002" s="75"/>
      <c r="G1002" s="75"/>
      <c r="H1002" s="75"/>
      <c r="I1002" s="19" t="s">
        <v>53</v>
      </c>
      <c r="J1002" s="16">
        <f>MAX(0.0025,0.0025*0.5*(2.5-C976/(C977*0.8))*(J1001-0.0025))</f>
        <v>2.5000000000000001E-3</v>
      </c>
      <c r="K1002" s="29" t="s">
        <v>50</v>
      </c>
      <c r="L1002" s="75"/>
      <c r="M1002" s="39" t="str">
        <f>IF(OR(J1001&gt;J1002,ABS(J1001-J1002)&lt;0.0001),"[OK]","[REDISEÑAR]")</f>
        <v>[OK]</v>
      </c>
      <c r="N1002" s="75"/>
      <c r="O1002" s="75"/>
      <c r="P1002" s="75"/>
    </row>
    <row r="1003" spans="2:16" x14ac:dyDescent="0.3">
      <c r="B1003" s="75"/>
      <c r="C1003" s="75"/>
      <c r="D1003" s="75"/>
      <c r="E1003" s="75"/>
      <c r="F1003" s="75"/>
      <c r="G1003" s="75"/>
      <c r="H1003" s="75"/>
      <c r="I1003" s="19" t="s">
        <v>47</v>
      </c>
      <c r="J1003" s="34">
        <f>SQRT(C971*0.0980665)*(1/0.0980665)/1000*0.66*0.8*C977*C976</f>
        <v>19.168460354532197</v>
      </c>
      <c r="K1003" s="16" t="s">
        <v>12</v>
      </c>
      <c r="L1003" s="75"/>
      <c r="M1003" s="40" t="s">
        <v>44</v>
      </c>
      <c r="N1003" s="75"/>
      <c r="O1003" s="15"/>
      <c r="P1003" s="75"/>
    </row>
    <row r="1004" spans="2:16" x14ac:dyDescent="0.3">
      <c r="B1004" s="75"/>
      <c r="C1004" s="75"/>
      <c r="D1004" s="75"/>
      <c r="E1004" s="75"/>
      <c r="F1004" s="75"/>
      <c r="G1004" s="75"/>
      <c r="H1004" s="75"/>
      <c r="I1004" s="63" t="s">
        <v>34</v>
      </c>
      <c r="J1004" s="63">
        <f>ROUNDDOWN(1/J1000*C992*100,0)</f>
        <v>19</v>
      </c>
      <c r="K1004" s="64" t="s">
        <v>5</v>
      </c>
      <c r="L1004" s="75"/>
      <c r="M1004" s="39" t="str">
        <f>IF(OR(J1004&lt;10,J1004&gt;25),"[REDISEÑAR]","[OK")</f>
        <v>[OK</v>
      </c>
      <c r="N1004" s="41" t="s">
        <v>80</v>
      </c>
      <c r="O1004" s="42">
        <f>1/J1000*(C988/2)^2*PI()</f>
        <v>19.818280857710491</v>
      </c>
      <c r="P1004" s="75" t="str">
        <f>"$\phi$"&amp;C988&amp;"@"&amp;J1004</f>
        <v>$\phi$12@19</v>
      </c>
    </row>
    <row r="1005" spans="2:16" x14ac:dyDescent="0.3">
      <c r="B1005" s="75"/>
      <c r="C1005" s="75"/>
      <c r="D1005" s="75"/>
      <c r="E1005" s="75"/>
      <c r="F1005" s="75"/>
      <c r="G1005" s="75"/>
      <c r="H1005" s="75"/>
      <c r="I1005" s="31" t="s">
        <v>48</v>
      </c>
      <c r="J1005" s="30">
        <f>C992*2*IF(J975/C989&gt;=1,J975/C989,0)</f>
        <v>3.3606065414400534</v>
      </c>
      <c r="K1005" s="29" t="s">
        <v>17</v>
      </c>
      <c r="L1005" s="75"/>
      <c r="M1005" s="75"/>
      <c r="N1005" s="15"/>
      <c r="O1005" s="15"/>
      <c r="P1005" s="75"/>
    </row>
    <row r="1006" spans="2:16" x14ac:dyDescent="0.3">
      <c r="B1006" s="75"/>
      <c r="C1006" s="75"/>
      <c r="D1006" s="75"/>
      <c r="E1006" s="75"/>
      <c r="F1006" s="75"/>
      <c r="G1006" s="75"/>
      <c r="H1006" s="75"/>
      <c r="I1006" s="19" t="s">
        <v>81</v>
      </c>
      <c r="J1006" s="34">
        <f>MIN(J1005*C972/1000,J1003)</f>
        <v>14.114547474048225</v>
      </c>
      <c r="K1006" s="16" t="s">
        <v>12</v>
      </c>
      <c r="L1006" s="75"/>
      <c r="M1006" s="40" t="s">
        <v>82</v>
      </c>
      <c r="N1006" s="15"/>
      <c r="O1006" s="15"/>
      <c r="P1006" s="75"/>
    </row>
    <row r="1007" spans="2:16" x14ac:dyDescent="0.3">
      <c r="B1007" s="75"/>
      <c r="C1007" s="75"/>
      <c r="D1007" s="75"/>
      <c r="E1007" s="75"/>
      <c r="F1007" s="75"/>
      <c r="G1007" s="75"/>
      <c r="H1007" s="75"/>
      <c r="I1007" s="19" t="s">
        <v>79</v>
      </c>
      <c r="J1007" s="34">
        <f>J1006+J998</f>
        <v>18.032503520723239</v>
      </c>
      <c r="K1007" s="16" t="s">
        <v>12</v>
      </c>
      <c r="L1007" s="75"/>
      <c r="M1007" s="39" t="str">
        <f>IF(J1007&gt;J996,"[OK]","[REDISEÑAR]")</f>
        <v>[OK]</v>
      </c>
      <c r="N1007" s="41" t="str">
        <f>IF(O1007&gt;0,"Sobrado","Faltan")</f>
        <v>Sobrado</v>
      </c>
      <c r="O1007" s="43">
        <f>J1007-J996</f>
        <v>4.1437701873899044</v>
      </c>
      <c r="P1007" s="75"/>
    </row>
    <row r="1008" spans="2:16" x14ac:dyDescent="0.3">
      <c r="B1008" s="75"/>
      <c r="C1008" s="75"/>
      <c r="D1008" s="75"/>
      <c r="E1008" s="75"/>
      <c r="F1008" s="75"/>
      <c r="G1008" s="75"/>
      <c r="H1008" s="75"/>
      <c r="J1008" s="75"/>
      <c r="K1008" s="75"/>
      <c r="L1008" s="75"/>
      <c r="M1008" s="75"/>
      <c r="N1008" s="75"/>
      <c r="O1008" s="75"/>
      <c r="P1008" s="75"/>
    </row>
    <row r="1009" spans="2:16" x14ac:dyDescent="0.3">
      <c r="B1009" s="75"/>
      <c r="C1009" s="75"/>
      <c r="D1009" s="75"/>
      <c r="E1009" s="75"/>
      <c r="F1009" s="75"/>
      <c r="G1009" s="75"/>
      <c r="H1009" s="75"/>
      <c r="I1009" s="18" t="s">
        <v>45</v>
      </c>
      <c r="J1009" s="75"/>
      <c r="K1009" s="75"/>
      <c r="L1009" s="75"/>
      <c r="M1009" s="75"/>
      <c r="N1009" s="75"/>
      <c r="O1009" s="15"/>
      <c r="P1009" s="75"/>
    </row>
    <row r="1010" spans="2:16" x14ac:dyDescent="0.3">
      <c r="B1010" s="75"/>
      <c r="C1010" s="75"/>
      <c r="D1010" s="75"/>
      <c r="E1010" s="75"/>
      <c r="F1010" s="75"/>
      <c r="G1010" s="75"/>
      <c r="H1010" s="75"/>
      <c r="I1010" s="19" t="s">
        <v>40</v>
      </c>
      <c r="J1010" s="16">
        <f>J984</f>
        <v>8.33324</v>
      </c>
      <c r="K1010" s="16" t="s">
        <v>12</v>
      </c>
      <c r="L1010" s="75"/>
      <c r="M1010" s="75"/>
      <c r="N1010" s="75"/>
      <c r="O1010" s="26"/>
      <c r="P1010" s="75"/>
    </row>
    <row r="1011" spans="2:16" x14ac:dyDescent="0.3">
      <c r="B1011" s="75"/>
      <c r="C1011" s="75"/>
      <c r="D1011" s="75"/>
      <c r="E1011" s="75"/>
      <c r="F1011" s="75"/>
      <c r="G1011" s="75"/>
      <c r="H1011" s="75"/>
      <c r="I1011" s="19" t="s">
        <v>46</v>
      </c>
      <c r="J1011" s="34">
        <f>J996</f>
        <v>13.888733333333334</v>
      </c>
      <c r="K1011" s="16" t="s">
        <v>12</v>
      </c>
      <c r="L1011" s="75"/>
      <c r="M1011" s="75"/>
      <c r="N1011" s="75"/>
      <c r="O1011" s="75"/>
      <c r="P1011" s="75"/>
    </row>
    <row r="1012" spans="2:16" x14ac:dyDescent="0.3">
      <c r="B1012" s="75"/>
      <c r="C1012" s="75"/>
      <c r="D1012" s="75"/>
      <c r="E1012" s="75"/>
      <c r="F1012" s="75"/>
      <c r="G1012" s="75"/>
      <c r="H1012" s="75"/>
      <c r="I1012" s="19" t="s">
        <v>38</v>
      </c>
      <c r="J1012" s="34">
        <f>2/3*J997*SQRT(C971*0.0980665)*(1/0.0980665)/1000</f>
        <v>15.364533516372608</v>
      </c>
      <c r="K1012" s="16" t="s">
        <v>12</v>
      </c>
      <c r="L1012" s="75"/>
      <c r="M1012" s="39" t="str">
        <f>IF(J1012&gt;J1011,"[OK]","[REDISEÑAR]")</f>
        <v>[OK]</v>
      </c>
      <c r="N1012" s="41" t="str">
        <f>IF(O1012&gt;0,"Sobrado","Faltan")</f>
        <v>Sobrado</v>
      </c>
      <c r="O1012" s="43">
        <f>J1012-J1011</f>
        <v>1.475800183039274</v>
      </c>
      <c r="P1012" s="75"/>
    </row>
    <row r="1014" spans="2:16" ht="18" x14ac:dyDescent="0.35">
      <c r="B1014" s="48" t="str">
        <f>'EJE 15'!$S$27</f>
        <v>EJE 15.G-L | PIER F33X | PISO 11</v>
      </c>
      <c r="C1014" s="75"/>
      <c r="D1014" s="75"/>
      <c r="E1014" s="75"/>
      <c r="F1014" s="75"/>
      <c r="G1014" s="75"/>
      <c r="H1014" s="75"/>
      <c r="J1014" s="75"/>
      <c r="K1014" s="75"/>
      <c r="L1014" s="75"/>
      <c r="M1014" s="75"/>
      <c r="N1014" s="75"/>
      <c r="O1014" s="75"/>
      <c r="P1014" s="75"/>
    </row>
    <row r="1015" spans="2:16" x14ac:dyDescent="0.3">
      <c r="B1015" s="75"/>
      <c r="C1015" s="75"/>
      <c r="D1015" s="75"/>
      <c r="E1015" s="75"/>
      <c r="F1015" s="75"/>
      <c r="G1015" s="75"/>
      <c r="H1015" s="75"/>
      <c r="J1015" s="75"/>
      <c r="K1015" s="75"/>
      <c r="L1015" s="75"/>
      <c r="M1015" s="75"/>
      <c r="N1015" s="75"/>
      <c r="O1015" s="75"/>
      <c r="P1015" s="75"/>
    </row>
    <row r="1016" spans="2:16" x14ac:dyDescent="0.3">
      <c r="B1016" s="17" t="s">
        <v>6</v>
      </c>
      <c r="C1016" s="75"/>
      <c r="D1016" s="75"/>
      <c r="E1016" s="75"/>
      <c r="F1016" s="75"/>
      <c r="G1016" s="75"/>
      <c r="H1016" s="75"/>
      <c r="I1016" s="18" t="s">
        <v>25</v>
      </c>
      <c r="J1016" s="75"/>
      <c r="K1016" s="75"/>
      <c r="L1016" s="75"/>
      <c r="M1016" s="75"/>
      <c r="N1016" s="75"/>
      <c r="O1016" s="75"/>
      <c r="P1016" s="75"/>
    </row>
    <row r="1017" spans="2:16" x14ac:dyDescent="0.3">
      <c r="B1017" s="19" t="s">
        <v>99</v>
      </c>
      <c r="C1017" s="61">
        <f>10.1971621297793*'EJE 15'!$G$27</f>
        <v>305.91486389337899</v>
      </c>
      <c r="D1017" s="16" t="s">
        <v>8</v>
      </c>
      <c r="E1017" s="75"/>
      <c r="F1017" s="75"/>
      <c r="G1017" s="75"/>
      <c r="H1017" s="75"/>
      <c r="I1017" s="19" t="s">
        <v>58</v>
      </c>
      <c r="J1017" s="16">
        <f>C1024/16</f>
        <v>14.375</v>
      </c>
      <c r="K1017" s="16" t="s">
        <v>5</v>
      </c>
      <c r="L1017" s="21"/>
      <c r="M1017" s="39" t="str">
        <f>IF(J1017&lt;C1022,"[OK]","[REDISEÑAR]")</f>
        <v>[OK]</v>
      </c>
      <c r="N1017" s="75"/>
      <c r="O1017" s="75"/>
      <c r="P1017" s="75"/>
    </row>
    <row r="1018" spans="2:16" x14ac:dyDescent="0.3">
      <c r="B1018" s="19" t="s">
        <v>30</v>
      </c>
      <c r="C1018" s="16">
        <v>4200</v>
      </c>
      <c r="D1018" s="16" t="s">
        <v>8</v>
      </c>
      <c r="E1018" s="75"/>
      <c r="F1018" s="75"/>
      <c r="G1018" s="75"/>
      <c r="H1018" s="75"/>
      <c r="I1018" s="19" t="s">
        <v>16</v>
      </c>
      <c r="J1018" s="16">
        <f>C1022*C1023</f>
        <v>8475</v>
      </c>
      <c r="K1018" s="16" t="s">
        <v>17</v>
      </c>
      <c r="L1018" s="21"/>
      <c r="M1018" s="75"/>
      <c r="N1018" s="75"/>
      <c r="O1018" s="75"/>
      <c r="P1018" s="75"/>
    </row>
    <row r="1019" spans="2:16" x14ac:dyDescent="0.3">
      <c r="B1019" s="19" t="s">
        <v>31</v>
      </c>
      <c r="C1019" s="16">
        <v>2800</v>
      </c>
      <c r="D1019" s="16" t="s">
        <v>8</v>
      </c>
      <c r="E1019" s="75"/>
      <c r="F1019" s="75"/>
      <c r="G1019" s="75"/>
      <c r="H1019" s="75"/>
      <c r="I1019" s="19" t="s">
        <v>51</v>
      </c>
      <c r="J1019" s="16">
        <f>MIN(0.8*C1023/5,3*C1022,45)</f>
        <v>45</v>
      </c>
      <c r="K1019" s="16" t="s">
        <v>5</v>
      </c>
      <c r="L1019" s="21"/>
      <c r="M1019" s="39" t="str">
        <f>IF(J1019&gt;C1035,"[OK]","[REDISEÑAR]")</f>
        <v>[OK]</v>
      </c>
      <c r="N1019" s="75"/>
      <c r="O1019" s="75"/>
      <c r="P1019" s="75"/>
    </row>
    <row r="1020" spans="2:16" x14ac:dyDescent="0.3">
      <c r="B1020" s="75"/>
      <c r="C1020" s="75"/>
      <c r="D1020" s="75"/>
      <c r="E1020" s="75"/>
      <c r="F1020" s="75"/>
      <c r="G1020" s="75"/>
      <c r="H1020" s="75"/>
      <c r="I1020" s="19" t="s">
        <v>56</v>
      </c>
      <c r="J1020" s="16">
        <f>MIN(0.8*C1024/3,3*C1023,45)</f>
        <v>45</v>
      </c>
      <c r="K1020" s="16" t="s">
        <v>5</v>
      </c>
      <c r="L1020" s="21"/>
      <c r="M1020" s="39" t="str">
        <f>IF(J1020&gt;C1035,"[OK]","[REDISEÑAR]")</f>
        <v>[OK]</v>
      </c>
      <c r="N1020" s="75"/>
      <c r="O1020" s="75"/>
      <c r="P1020" s="75"/>
    </row>
    <row r="1021" spans="2:16" x14ac:dyDescent="0.3">
      <c r="B1021" s="17" t="s">
        <v>3</v>
      </c>
      <c r="C1021" s="75"/>
      <c r="D1021" s="75"/>
      <c r="E1021" s="75"/>
      <c r="F1021" s="75"/>
      <c r="G1021" s="75"/>
      <c r="H1021" s="75"/>
      <c r="I1021" s="19" t="s">
        <v>62</v>
      </c>
      <c r="J1021" s="16">
        <f>0.8*C1023</f>
        <v>271.2</v>
      </c>
      <c r="K1021" s="29" t="s">
        <v>5</v>
      </c>
      <c r="L1021" s="75"/>
      <c r="M1021" s="75"/>
      <c r="N1021" s="75"/>
      <c r="O1021" s="75"/>
      <c r="P1021" s="75"/>
    </row>
    <row r="1022" spans="2:16" x14ac:dyDescent="0.3">
      <c r="B1022" s="19" t="str">
        <f>"Espesor del muro (h)"</f>
        <v>Espesor del muro (h)</v>
      </c>
      <c r="C1022" s="49">
        <f>'EJE 15'!$H$27</f>
        <v>25</v>
      </c>
      <c r="D1022" s="16" t="s">
        <v>5</v>
      </c>
      <c r="E1022" s="75"/>
      <c r="F1022" s="75"/>
      <c r="G1022" s="75"/>
      <c r="H1022" s="75"/>
      <c r="J1022" s="75"/>
      <c r="K1022" s="75"/>
      <c r="L1022" s="75"/>
      <c r="M1022" s="75"/>
      <c r="N1022" s="75"/>
      <c r="O1022" s="75"/>
      <c r="P1022" s="75"/>
    </row>
    <row r="1023" spans="2:16" x14ac:dyDescent="0.3">
      <c r="B1023" s="19" t="s">
        <v>63</v>
      </c>
      <c r="C1023" s="49">
        <f>'EJE 15'!$I$27</f>
        <v>339</v>
      </c>
      <c r="D1023" s="16" t="s">
        <v>5</v>
      </c>
      <c r="E1023" s="75"/>
      <c r="F1023" s="75"/>
      <c r="G1023" s="75"/>
      <c r="H1023" s="75"/>
      <c r="I1023" s="18" t="s">
        <v>26</v>
      </c>
      <c r="J1023" s="75"/>
      <c r="K1023" s="75"/>
      <c r="L1023" s="75"/>
      <c r="M1023" s="75"/>
      <c r="N1023" s="75"/>
      <c r="O1023" s="75"/>
      <c r="P1023" s="75"/>
    </row>
    <row r="1024" spans="2:16" x14ac:dyDescent="0.3">
      <c r="B1024" s="19" t="s">
        <v>10</v>
      </c>
      <c r="C1024" s="49">
        <f>'EJE 15'!$J$27</f>
        <v>230</v>
      </c>
      <c r="D1024" s="16" t="s">
        <v>5</v>
      </c>
      <c r="E1024" s="75"/>
      <c r="F1024" s="75"/>
      <c r="G1024" s="75"/>
      <c r="H1024" s="75"/>
      <c r="I1024" s="19" t="s">
        <v>28</v>
      </c>
      <c r="J1024" s="16">
        <f>0.35*C1017</f>
        <v>107.07020236268264</v>
      </c>
      <c r="K1024" s="16" t="s">
        <v>8</v>
      </c>
      <c r="L1024" s="21"/>
      <c r="M1024" s="75"/>
      <c r="N1024" s="75"/>
      <c r="O1024" s="75"/>
      <c r="P1024" s="75"/>
    </row>
    <row r="1025" spans="2:16" x14ac:dyDescent="0.3">
      <c r="B1025" s="75"/>
      <c r="C1025" s="75"/>
      <c r="D1025" s="75"/>
      <c r="E1025" s="75"/>
      <c r="F1025" s="75"/>
      <c r="G1025" s="75"/>
      <c r="H1025" s="75"/>
      <c r="I1025" s="19" t="s">
        <v>27</v>
      </c>
      <c r="J1025" s="30">
        <f>C1027*1000/J1018</f>
        <v>17.409085545722714</v>
      </c>
      <c r="K1025" s="16" t="s">
        <v>8</v>
      </c>
      <c r="L1025" s="21"/>
      <c r="M1025" s="39" t="str">
        <f>IF(J1025&lt;J1024,"[OK]","[REDISEÑAR]")</f>
        <v>[OK]</v>
      </c>
      <c r="N1025" s="41" t="s">
        <v>112</v>
      </c>
      <c r="O1025" s="59">
        <f>J1025/J1024</f>
        <v>0.16259505596853466</v>
      </c>
      <c r="P1025" s="75"/>
    </row>
    <row r="1026" spans="2:16" x14ac:dyDescent="0.3">
      <c r="B1026" s="17" t="s">
        <v>11</v>
      </c>
      <c r="C1026" s="75"/>
      <c r="D1026" s="75"/>
      <c r="E1026" s="75"/>
      <c r="F1026" s="75"/>
      <c r="G1026" s="75"/>
      <c r="H1026" s="75"/>
      <c r="J1026" s="75"/>
      <c r="K1026" s="75"/>
      <c r="L1026" s="75"/>
      <c r="M1026" s="75"/>
      <c r="N1026" s="75"/>
      <c r="O1026" s="75"/>
      <c r="P1026" s="75"/>
    </row>
    <row r="1027" spans="2:16" x14ac:dyDescent="0.3">
      <c r="B1027" s="19" t="str">
        <f>"$N_U$"</f>
        <v>$N_U$</v>
      </c>
      <c r="C1027" s="60">
        <f>'EJE 15'!$K$27</f>
        <v>147.542</v>
      </c>
      <c r="D1027" s="16" t="s">
        <v>12</v>
      </c>
      <c r="E1027" s="75"/>
      <c r="F1027" s="75"/>
      <c r="G1027" s="75"/>
      <c r="H1027" s="75"/>
      <c r="I1027" s="18" t="s">
        <v>54</v>
      </c>
      <c r="J1027" s="75"/>
      <c r="K1027" s="75"/>
      <c r="L1027" s="75"/>
      <c r="M1027" s="75"/>
      <c r="N1027" s="75"/>
      <c r="O1027" s="75"/>
      <c r="P1027" s="75"/>
    </row>
    <row r="1028" spans="2:16" x14ac:dyDescent="0.3">
      <c r="B1028" s="19" t="s">
        <v>14</v>
      </c>
      <c r="C1028" s="60">
        <f>'EJE 15'!$L$27</f>
        <v>2.5470000000000002</v>
      </c>
      <c r="D1028" s="16" t="s">
        <v>12</v>
      </c>
      <c r="E1028" s="75"/>
      <c r="F1028" s="75"/>
      <c r="G1028" s="75"/>
      <c r="H1028" s="75"/>
      <c r="I1028" s="19" t="s">
        <v>72</v>
      </c>
      <c r="J1028" s="16">
        <f>1.2*C1028+C1029+1.4*C1030</f>
        <v>24.644719999999996</v>
      </c>
      <c r="K1028" s="16" t="s">
        <v>12</v>
      </c>
      <c r="L1028" s="75"/>
      <c r="M1028" s="75" t="s">
        <v>68</v>
      </c>
      <c r="N1028" s="75"/>
      <c r="O1028" s="75"/>
      <c r="P1028" s="75"/>
    </row>
    <row r="1029" spans="2:16" x14ac:dyDescent="0.3">
      <c r="B1029" s="19" t="s">
        <v>13</v>
      </c>
      <c r="C1029" s="60">
        <f>'EJE 15'!$M$27</f>
        <v>1.7399999999999999E-2</v>
      </c>
      <c r="D1029" s="16" t="s">
        <v>12</v>
      </c>
      <c r="E1029" s="75"/>
      <c r="F1029" s="75"/>
      <c r="G1029" s="75"/>
      <c r="H1029" s="75"/>
      <c r="I1029" s="19" t="s">
        <v>69</v>
      </c>
      <c r="J1029" s="16">
        <f>SUM(C1028:C1030)</f>
        <v>17.972200000000001</v>
      </c>
      <c r="K1029" s="16" t="s">
        <v>12</v>
      </c>
      <c r="L1029" s="75"/>
      <c r="M1029" s="75" t="s">
        <v>70</v>
      </c>
      <c r="N1029" s="75"/>
      <c r="O1029" s="75"/>
      <c r="P1029" s="75"/>
    </row>
    <row r="1030" spans="2:16" x14ac:dyDescent="0.3">
      <c r="B1030" s="19" t="s">
        <v>15</v>
      </c>
      <c r="C1030" s="60">
        <f>'EJE 15'!$N$27</f>
        <v>15.4078</v>
      </c>
      <c r="D1030" s="16" t="s">
        <v>12</v>
      </c>
      <c r="E1030" s="75"/>
      <c r="F1030" s="75"/>
      <c r="G1030" s="75"/>
      <c r="H1030" s="75"/>
      <c r="I1030" s="19" t="s">
        <v>73</v>
      </c>
      <c r="J1030" s="16">
        <f>IF(C1031=0,J1028,C1031)</f>
        <v>24.644719999999996</v>
      </c>
      <c r="K1030" s="16" t="s">
        <v>12</v>
      </c>
      <c r="L1030" s="75"/>
      <c r="M1030" s="40" t="s">
        <v>74</v>
      </c>
      <c r="N1030" s="75"/>
      <c r="O1030" s="75"/>
      <c r="P1030" s="75"/>
    </row>
    <row r="1031" spans="2:16" x14ac:dyDescent="0.3">
      <c r="B1031" s="19" t="s">
        <v>55</v>
      </c>
      <c r="C1031" s="16">
        <v>0</v>
      </c>
      <c r="D1031" s="16" t="s">
        <v>12</v>
      </c>
      <c r="E1031" s="75"/>
      <c r="F1031" s="75"/>
      <c r="G1031" s="75"/>
      <c r="H1031" s="75"/>
      <c r="I1031" s="19" t="s">
        <v>71</v>
      </c>
      <c r="J1031" s="16">
        <f>IF(C1031=0,J1029,C1031)</f>
        <v>17.972200000000001</v>
      </c>
      <c r="K1031" s="16" t="s">
        <v>12</v>
      </c>
      <c r="L1031" s="75"/>
      <c r="M1031" s="40" t="s">
        <v>75</v>
      </c>
      <c r="N1031" s="75"/>
      <c r="O1031" s="75"/>
      <c r="P1031" s="75"/>
    </row>
    <row r="1032" spans="2:16" x14ac:dyDescent="0.3">
      <c r="B1032" s="75"/>
      <c r="C1032" s="75"/>
      <c r="D1032" s="75"/>
      <c r="E1032" s="75"/>
      <c r="F1032" s="75"/>
      <c r="G1032" s="75"/>
      <c r="H1032" s="75"/>
      <c r="J1032" s="75"/>
      <c r="K1032" s="75"/>
      <c r="L1032" s="75"/>
      <c r="M1032" s="75"/>
      <c r="N1032" s="75"/>
      <c r="O1032" s="75"/>
      <c r="P1032" s="75"/>
    </row>
    <row r="1033" spans="2:16" x14ac:dyDescent="0.3">
      <c r="B1033" s="33" t="s">
        <v>42</v>
      </c>
      <c r="C1033" s="75"/>
      <c r="D1033" s="75"/>
      <c r="E1033" s="75"/>
      <c r="F1033" s="75"/>
      <c r="G1033" s="75"/>
      <c r="H1033" s="75"/>
      <c r="I1033" s="27" t="s">
        <v>76</v>
      </c>
      <c r="J1033" s="75"/>
      <c r="K1033" s="75"/>
      <c r="L1033" s="75"/>
      <c r="M1033" s="75"/>
      <c r="N1033" s="75"/>
      <c r="O1033" s="75"/>
      <c r="P1033" s="75"/>
    </row>
    <row r="1034" spans="2:16" x14ac:dyDescent="0.3">
      <c r="B1034" s="31" t="s">
        <v>41</v>
      </c>
      <c r="C1034" s="16">
        <v>10</v>
      </c>
      <c r="D1034" s="29" t="s">
        <v>35</v>
      </c>
      <c r="E1034" s="75"/>
      <c r="F1034" s="75"/>
      <c r="G1034" s="75"/>
      <c r="H1034" s="75"/>
      <c r="I1034" s="19" t="s">
        <v>29</v>
      </c>
      <c r="J1034" s="30">
        <f>J1031*1000/J1018</f>
        <v>2.120613569321534</v>
      </c>
      <c r="K1034" s="29" t="s">
        <v>8</v>
      </c>
      <c r="L1034" s="75"/>
      <c r="M1034" s="75"/>
      <c r="N1034" s="75"/>
      <c r="O1034" s="75"/>
      <c r="P1034" s="75"/>
    </row>
    <row r="1035" spans="2:16" x14ac:dyDescent="0.3">
      <c r="B1035" s="31" t="s">
        <v>43</v>
      </c>
      <c r="C1035" s="16">
        <v>14</v>
      </c>
      <c r="D1035" s="29" t="s">
        <v>5</v>
      </c>
      <c r="E1035" s="75"/>
      <c r="F1035" s="39" t="str">
        <f>IF(OR(C1035&gt;25,C1035&lt;10),"[REDISEÑAR]",IF(AND(C1035&lt;=J1036,C1035&lt;=J1050),"[OK]","[REDISEÑAR]"))</f>
        <v>[OK]</v>
      </c>
      <c r="G1035" s="75"/>
      <c r="H1035" s="75"/>
      <c r="I1035" s="19" t="s">
        <v>61</v>
      </c>
      <c r="J1035" s="37">
        <f>MAX(J1034*100*C1022/(2*C1019),C1039)</f>
        <v>3.125</v>
      </c>
      <c r="K1035" s="29" t="s">
        <v>32</v>
      </c>
      <c r="L1035" s="75"/>
      <c r="M1035" s="15"/>
      <c r="N1035" s="15"/>
      <c r="O1035" s="15"/>
      <c r="P1035" s="75"/>
    </row>
    <row r="1036" spans="2:16" x14ac:dyDescent="0.3">
      <c r="B1036" s="75"/>
      <c r="C1036" s="50" t="str">
        <f>"$\phi$"&amp;C1034&amp;"@"&amp;C1035</f>
        <v>$\phi$10@14</v>
      </c>
      <c r="D1036" s="75"/>
      <c r="E1036" s="75"/>
      <c r="F1036" s="39" t="str">
        <f>IF(OR(J1035=C1039,J1046=C1039),"[ÁREA MINIMA]","[]")</f>
        <v>[ÁREA MINIMA]</v>
      </c>
      <c r="G1036" s="75"/>
      <c r="H1036" s="75"/>
      <c r="I1036" s="63" t="s">
        <v>34</v>
      </c>
      <c r="J1036" s="63">
        <f>ROUNDDOWN((1/J1035)*C1038*100,0)</f>
        <v>25</v>
      </c>
      <c r="K1036" s="64" t="s">
        <v>5</v>
      </c>
      <c r="L1036" s="75"/>
      <c r="M1036" s="39" t="str">
        <f>IF(OR(J1036&lt;10,J1036&gt;25),"[REDISEÑAR]","[OK")</f>
        <v>[OK</v>
      </c>
      <c r="N1036" s="41" t="s">
        <v>80</v>
      </c>
      <c r="O1036" s="42">
        <f>1/J1035*(C1034/2)^2*PI()</f>
        <v>25.132741228718345</v>
      </c>
      <c r="P1036" s="75" t="str">
        <f>"$\phi$"&amp;C1034&amp;"@"&amp;J1036</f>
        <v>$\phi$10@25</v>
      </c>
    </row>
    <row r="1037" spans="2:16" x14ac:dyDescent="0.3">
      <c r="B1037" s="18" t="s">
        <v>52</v>
      </c>
      <c r="C1037" s="75"/>
      <c r="D1037" s="75"/>
      <c r="E1037" s="75"/>
      <c r="F1037" s="62" t="str">
        <f>IF(J1025&lt;J1024,IF(J1053&gt;J1042,"[OK]","[REDISEÑAR]"),"[REDISEÑAR]")</f>
        <v>[OK]</v>
      </c>
      <c r="G1037" s="75"/>
      <c r="H1037" s="75"/>
      <c r="I1037" s="31" t="s">
        <v>48</v>
      </c>
      <c r="J1037" s="30">
        <f>C1038*2*IF(C1023/C1035&gt;=1,C1023/C1035,0)</f>
        <v>38.035711055962139</v>
      </c>
      <c r="K1037" s="29" t="s">
        <v>17</v>
      </c>
      <c r="L1037" s="75"/>
      <c r="M1037" s="75"/>
      <c r="N1037" s="15"/>
      <c r="O1037" s="44"/>
      <c r="P1037" s="75"/>
    </row>
    <row r="1038" spans="2:16" x14ac:dyDescent="0.3">
      <c r="B1038" s="31" t="s">
        <v>66</v>
      </c>
      <c r="C1038" s="30">
        <f>(C1034/(2*10))^2*PI()</f>
        <v>0.78539816339744828</v>
      </c>
      <c r="D1038" s="29" t="s">
        <v>17</v>
      </c>
      <c r="E1038" s="75"/>
      <c r="F1038" s="75"/>
      <c r="G1038" s="75"/>
      <c r="H1038" s="75"/>
      <c r="I1038" s="19" t="s">
        <v>49</v>
      </c>
      <c r="J1038" s="34">
        <f>C1019*J1037/1000</f>
        <v>106.49999095669399</v>
      </c>
      <c r="K1038" s="16" t="s">
        <v>12</v>
      </c>
      <c r="L1038" s="75"/>
      <c r="M1038" s="39" t="str">
        <f>IF(J1038&gt;J1031,"[OK]","[REDISEÑAR]")</f>
        <v>[OK]</v>
      </c>
      <c r="N1038" s="41" t="str">
        <f>IF(O1038&gt;0,"Sobrado","Faltan")</f>
        <v>Sobrado</v>
      </c>
      <c r="O1038" s="43">
        <f>J1038-J1031</f>
        <v>88.527790956693991</v>
      </c>
      <c r="P1038" s="75"/>
    </row>
    <row r="1039" spans="2:16" x14ac:dyDescent="0.3">
      <c r="B1039" s="31" t="s">
        <v>78</v>
      </c>
      <c r="C1039" s="37">
        <f>2.5/1000*100*C1022/2</f>
        <v>3.125</v>
      </c>
      <c r="D1039" s="16" t="s">
        <v>17</v>
      </c>
      <c r="E1039" s="75"/>
      <c r="F1039" s="75"/>
      <c r="G1039" s="75"/>
      <c r="H1039" s="75"/>
      <c r="J1039" s="75"/>
      <c r="K1039" s="75"/>
      <c r="L1039" s="75"/>
      <c r="M1039" s="75"/>
      <c r="N1039" s="75"/>
      <c r="O1039" s="15"/>
      <c r="P1039" s="75"/>
    </row>
    <row r="1040" spans="2:16" x14ac:dyDescent="0.3">
      <c r="B1040" s="31" t="s">
        <v>114</v>
      </c>
      <c r="C1040" s="37">
        <f>C1038*100/C1035</f>
        <v>5.6099868814103448</v>
      </c>
      <c r="D1040" s="29" t="s">
        <v>32</v>
      </c>
      <c r="E1040" s="75"/>
      <c r="F1040" s="75"/>
      <c r="G1040" s="75"/>
      <c r="H1040" s="75"/>
      <c r="I1040" s="18" t="s">
        <v>77</v>
      </c>
      <c r="J1040" s="75"/>
      <c r="K1040" s="75"/>
      <c r="L1040" s="75"/>
      <c r="M1040" s="17" t="s">
        <v>67</v>
      </c>
      <c r="N1040" s="75"/>
      <c r="O1040" s="75"/>
      <c r="P1040" s="75"/>
    </row>
    <row r="1041" spans="2:16" x14ac:dyDescent="0.3">
      <c r="B1041" s="75"/>
      <c r="C1041" s="75"/>
      <c r="D1041" s="75"/>
      <c r="E1041" s="75"/>
      <c r="F1041" s="75"/>
      <c r="G1041" s="75"/>
      <c r="H1041" s="75"/>
      <c r="I1041" s="19" t="s">
        <v>33</v>
      </c>
      <c r="J1041" s="16">
        <v>0.6</v>
      </c>
      <c r="K1041" s="16" t="s">
        <v>50</v>
      </c>
      <c r="L1041" s="75"/>
      <c r="M1041" s="19" t="s">
        <v>64</v>
      </c>
      <c r="N1041" s="30">
        <f>SQRT(C1017*0.0980665)*(1/0.0980665)/1000*J1043*0.17</f>
        <v>51.211241914522745</v>
      </c>
      <c r="O1041" s="16" t="s">
        <v>12</v>
      </c>
      <c r="P1041" s="75"/>
    </row>
    <row r="1042" spans="2:16" x14ac:dyDescent="0.3">
      <c r="B1042" s="17" t="s">
        <v>37</v>
      </c>
      <c r="C1042" s="75"/>
      <c r="D1042" s="75"/>
      <c r="E1042" s="75"/>
      <c r="F1042" s="75"/>
      <c r="G1042" s="75"/>
      <c r="H1042" s="75"/>
      <c r="I1042" s="19" t="s">
        <v>46</v>
      </c>
      <c r="J1042" s="34">
        <f>J1030/J1041</f>
        <v>41.074533333333328</v>
      </c>
      <c r="K1042" s="16" t="s">
        <v>12</v>
      </c>
      <c r="L1042" s="75"/>
      <c r="M1042" s="19" t="s">
        <v>57</v>
      </c>
      <c r="N1042" s="16">
        <f>IF(C1024/J1021&lt;=1.5,0.25,IF(C1024/J1021&gt;=2,0.17,0.17+(0.25-0.17)/(C1024/J1021-1.5)*C1024/J1021))</f>
        <v>0.25</v>
      </c>
      <c r="O1042" s="29" t="s">
        <v>50</v>
      </c>
      <c r="P1042" s="75"/>
    </row>
    <row r="1043" spans="2:16" x14ac:dyDescent="0.3">
      <c r="B1043" s="31" t="s">
        <v>115</v>
      </c>
      <c r="C1043" s="37">
        <f>O1038</f>
        <v>88.527790956693991</v>
      </c>
      <c r="D1043" s="29" t="s">
        <v>12</v>
      </c>
      <c r="E1043" s="75"/>
      <c r="F1043" s="75"/>
      <c r="G1043" s="75"/>
      <c r="H1043" s="75"/>
      <c r="I1043" s="19" t="s">
        <v>36</v>
      </c>
      <c r="J1043" s="35">
        <f>J1021*C1022*0.8-J1051</f>
        <v>5393.5714311552301</v>
      </c>
      <c r="K1043" s="16" t="s">
        <v>17</v>
      </c>
      <c r="L1043" s="75"/>
      <c r="M1043" s="19" t="s">
        <v>59</v>
      </c>
      <c r="N1043" s="30">
        <f>SQRT(C1017*0.0980665)*(1/0.0980665)/1000*J1043*N1042</f>
        <v>75.31064987429815</v>
      </c>
      <c r="O1043" s="29" t="s">
        <v>12</v>
      </c>
      <c r="P1043" s="75"/>
    </row>
    <row r="1044" spans="2:16" x14ac:dyDescent="0.3">
      <c r="B1044" s="31" t="s">
        <v>116</v>
      </c>
      <c r="C1044" s="37">
        <f>O1053</f>
        <v>137.93669772922217</v>
      </c>
      <c r="D1044" s="29" t="s">
        <v>12</v>
      </c>
      <c r="E1044" s="75"/>
      <c r="F1044" s="75"/>
      <c r="G1044" s="75"/>
      <c r="H1044" s="75"/>
      <c r="I1044" s="19" t="s">
        <v>60</v>
      </c>
      <c r="J1044" s="34">
        <f>MIN(N1043,N1041)</f>
        <v>51.211241914522745</v>
      </c>
      <c r="K1044" s="29" t="s">
        <v>12</v>
      </c>
      <c r="L1044" s="75"/>
      <c r="M1044" s="75"/>
      <c r="N1044" s="75"/>
      <c r="O1044" s="75"/>
      <c r="P1044" s="75"/>
    </row>
    <row r="1045" spans="2:16" x14ac:dyDescent="0.3">
      <c r="B1045" s="19" t="s">
        <v>117</v>
      </c>
      <c r="C1045" s="36">
        <f>C1038*2*C1023/C1035/J1018</f>
        <v>4.4879895051282755E-3</v>
      </c>
      <c r="D1045" s="16" t="s">
        <v>50</v>
      </c>
      <c r="E1045" s="75"/>
      <c r="F1045" s="75"/>
      <c r="G1045" s="75"/>
      <c r="H1045" s="75"/>
      <c r="I1045" s="19" t="s">
        <v>39</v>
      </c>
      <c r="J1045" s="34">
        <f>J1042-J1044</f>
        <v>-10.136708581189417</v>
      </c>
      <c r="K1045" s="16" t="s">
        <v>12</v>
      </c>
      <c r="L1045" s="75"/>
      <c r="M1045" s="75"/>
      <c r="N1045" s="75"/>
      <c r="O1045" s="75"/>
      <c r="P1045" s="75"/>
    </row>
    <row r="1046" spans="2:16" x14ac:dyDescent="0.3">
      <c r="B1046" s="75"/>
      <c r="C1046" s="75"/>
      <c r="D1046" s="75"/>
      <c r="E1046" s="75"/>
      <c r="F1046" s="75"/>
      <c r="G1046" s="75"/>
      <c r="H1046" s="75"/>
      <c r="I1046" s="19" t="s">
        <v>61</v>
      </c>
      <c r="J1046" s="37">
        <f>MAX(J1045/(C1018*J1021/1000/100)/2,C1039)</f>
        <v>3.125</v>
      </c>
      <c r="K1046" s="29" t="s">
        <v>32</v>
      </c>
      <c r="L1046" s="75"/>
      <c r="M1046" s="75"/>
      <c r="N1046" s="75"/>
      <c r="O1046" s="75"/>
      <c r="P1046" s="75"/>
    </row>
    <row r="1047" spans="2:16" x14ac:dyDescent="0.3">
      <c r="B1047" s="75"/>
      <c r="C1047" s="75"/>
      <c r="D1047" s="75"/>
      <c r="E1047" s="75"/>
      <c r="F1047" s="75"/>
      <c r="G1047" s="75"/>
      <c r="H1047" s="75"/>
      <c r="I1047" s="19" t="s">
        <v>65</v>
      </c>
      <c r="J1047" s="36">
        <f>J1046/C1022/100*2</f>
        <v>2.5000000000000001E-3</v>
      </c>
      <c r="K1047" s="16" t="s">
        <v>50</v>
      </c>
      <c r="L1047" s="75"/>
      <c r="M1047" s="75"/>
      <c r="N1047" s="75"/>
      <c r="O1047" s="75"/>
      <c r="P1047" s="75"/>
    </row>
    <row r="1048" spans="2:16" x14ac:dyDescent="0.3">
      <c r="B1048" s="75"/>
      <c r="C1048" s="75"/>
      <c r="D1048" s="75"/>
      <c r="E1048" s="75"/>
      <c r="F1048" s="75"/>
      <c r="G1048" s="75"/>
      <c r="H1048" s="75"/>
      <c r="I1048" s="19" t="s">
        <v>53</v>
      </c>
      <c r="J1048" s="16">
        <f>MAX(0.0025,0.0025*0.5*(2.5-C1022/(C1023*0.8))*(J1047-0.0025))</f>
        <v>2.5000000000000001E-3</v>
      </c>
      <c r="K1048" s="29" t="s">
        <v>50</v>
      </c>
      <c r="L1048" s="75"/>
      <c r="M1048" s="39" t="str">
        <f>IF(OR(J1047&gt;J1048,ABS(J1047-J1048)&lt;0.0001),"[OK]","[REDISEÑAR]")</f>
        <v>[OK]</v>
      </c>
      <c r="N1048" s="75"/>
      <c r="O1048" s="75"/>
      <c r="P1048" s="75"/>
    </row>
    <row r="1049" spans="2:16" x14ac:dyDescent="0.3">
      <c r="B1049" s="75"/>
      <c r="C1049" s="75"/>
      <c r="D1049" s="75"/>
      <c r="E1049" s="75"/>
      <c r="F1049" s="75"/>
      <c r="G1049" s="75"/>
      <c r="H1049" s="75"/>
      <c r="I1049" s="19" t="s">
        <v>47</v>
      </c>
      <c r="J1049" s="34">
        <f>SQRT(C1017*0.0980665)*(1/0.0980665)/1000*0.66*0.8*C1023*C1022</f>
        <v>249.92723308409288</v>
      </c>
      <c r="K1049" s="16" t="s">
        <v>12</v>
      </c>
      <c r="L1049" s="75"/>
      <c r="M1049" s="40" t="s">
        <v>44</v>
      </c>
      <c r="N1049" s="75"/>
      <c r="O1049" s="15"/>
      <c r="P1049" s="75"/>
    </row>
    <row r="1050" spans="2:16" x14ac:dyDescent="0.3">
      <c r="B1050" s="75"/>
      <c r="C1050" s="75"/>
      <c r="D1050" s="75"/>
      <c r="E1050" s="75"/>
      <c r="F1050" s="75"/>
      <c r="G1050" s="75"/>
      <c r="H1050" s="75"/>
      <c r="I1050" s="63" t="s">
        <v>34</v>
      </c>
      <c r="J1050" s="63">
        <f>ROUNDDOWN(1/J1046*C1038*100,0)</f>
        <v>25</v>
      </c>
      <c r="K1050" s="64" t="s">
        <v>5</v>
      </c>
      <c r="L1050" s="75"/>
      <c r="M1050" s="39" t="str">
        <f>IF(OR(J1050&lt;10,J1050&gt;25),"[REDISEÑAR]","[OK")</f>
        <v>[OK</v>
      </c>
      <c r="N1050" s="41" t="s">
        <v>80</v>
      </c>
      <c r="O1050" s="42">
        <f>1/J1046*(C1034/2)^2*PI()</f>
        <v>25.132741228718345</v>
      </c>
      <c r="P1050" s="75" t="str">
        <f>"$\phi$"&amp;C1034&amp;"@"&amp;J1050</f>
        <v>$\phi$10@25</v>
      </c>
    </row>
    <row r="1051" spans="2:16" x14ac:dyDescent="0.3">
      <c r="B1051" s="75"/>
      <c r="C1051" s="75"/>
      <c r="D1051" s="75"/>
      <c r="E1051" s="75"/>
      <c r="F1051" s="75"/>
      <c r="G1051" s="75"/>
      <c r="H1051" s="75"/>
      <c r="I1051" s="31" t="s">
        <v>48</v>
      </c>
      <c r="J1051" s="30">
        <f>C1038*2*IF(J1021/C1035&gt;=1,J1021/C1035,0)</f>
        <v>30.428568844769707</v>
      </c>
      <c r="K1051" s="29" t="s">
        <v>17</v>
      </c>
      <c r="L1051" s="75"/>
      <c r="M1051" s="75"/>
      <c r="N1051" s="15"/>
      <c r="O1051" s="15"/>
      <c r="P1051" s="75"/>
    </row>
    <row r="1052" spans="2:16" x14ac:dyDescent="0.3">
      <c r="B1052" s="75"/>
      <c r="C1052" s="75"/>
      <c r="D1052" s="75"/>
      <c r="E1052" s="75"/>
      <c r="F1052" s="75"/>
      <c r="G1052" s="75"/>
      <c r="H1052" s="75"/>
      <c r="I1052" s="19" t="s">
        <v>81</v>
      </c>
      <c r="J1052" s="34">
        <f>MIN(J1051*C1018/1000,J1049)</f>
        <v>127.79998914803276</v>
      </c>
      <c r="K1052" s="16" t="s">
        <v>12</v>
      </c>
      <c r="L1052" s="75"/>
      <c r="M1052" s="40" t="s">
        <v>82</v>
      </c>
      <c r="N1052" s="15"/>
      <c r="O1052" s="15"/>
      <c r="P1052" s="75"/>
    </row>
    <row r="1053" spans="2:16" x14ac:dyDescent="0.3">
      <c r="B1053" s="75"/>
      <c r="C1053" s="75"/>
      <c r="D1053" s="75"/>
      <c r="E1053" s="75"/>
      <c r="F1053" s="75"/>
      <c r="G1053" s="75"/>
      <c r="H1053" s="75"/>
      <c r="I1053" s="19" t="s">
        <v>79</v>
      </c>
      <c r="J1053" s="34">
        <f>J1052+J1044</f>
        <v>179.01123106255551</v>
      </c>
      <c r="K1053" s="16" t="s">
        <v>12</v>
      </c>
      <c r="L1053" s="75"/>
      <c r="M1053" s="39" t="str">
        <f>IF(J1053&gt;J1042,"[OK]","[REDISEÑAR]")</f>
        <v>[OK]</v>
      </c>
      <c r="N1053" s="41" t="str">
        <f>IF(O1053&gt;0,"Sobrado","Faltan")</f>
        <v>Sobrado</v>
      </c>
      <c r="O1053" s="43">
        <f>J1053-J1042</f>
        <v>137.93669772922217</v>
      </c>
      <c r="P1053" s="75"/>
    </row>
    <row r="1054" spans="2:16" x14ac:dyDescent="0.3">
      <c r="B1054" s="75"/>
      <c r="C1054" s="75"/>
      <c r="D1054" s="75"/>
      <c r="E1054" s="75"/>
      <c r="F1054" s="75"/>
      <c r="G1054" s="75"/>
      <c r="H1054" s="75"/>
      <c r="J1054" s="75"/>
      <c r="K1054" s="75"/>
      <c r="L1054" s="75"/>
      <c r="M1054" s="75"/>
      <c r="N1054" s="75"/>
      <c r="O1054" s="75"/>
      <c r="P1054" s="75"/>
    </row>
    <row r="1055" spans="2:16" x14ac:dyDescent="0.3">
      <c r="B1055" s="75"/>
      <c r="C1055" s="75"/>
      <c r="D1055" s="75"/>
      <c r="E1055" s="75"/>
      <c r="F1055" s="75"/>
      <c r="G1055" s="75"/>
      <c r="H1055" s="75"/>
      <c r="I1055" s="18" t="s">
        <v>45</v>
      </c>
      <c r="J1055" s="75"/>
      <c r="K1055" s="75"/>
      <c r="L1055" s="75"/>
      <c r="M1055" s="75"/>
      <c r="N1055" s="75"/>
      <c r="O1055" s="15"/>
      <c r="P1055" s="75"/>
    </row>
    <row r="1056" spans="2:16" x14ac:dyDescent="0.3">
      <c r="B1056" s="75"/>
      <c r="C1056" s="75"/>
      <c r="D1056" s="75"/>
      <c r="E1056" s="75"/>
      <c r="F1056" s="75"/>
      <c r="G1056" s="75"/>
      <c r="H1056" s="75"/>
      <c r="I1056" s="19" t="s">
        <v>40</v>
      </c>
      <c r="J1056" s="16">
        <f>J1030</f>
        <v>24.644719999999996</v>
      </c>
      <c r="K1056" s="16" t="s">
        <v>12</v>
      </c>
      <c r="L1056" s="75"/>
      <c r="M1056" s="75"/>
      <c r="N1056" s="75"/>
      <c r="O1056" s="26"/>
      <c r="P1056" s="75"/>
    </row>
    <row r="1057" spans="2:16" x14ac:dyDescent="0.3">
      <c r="B1057" s="75"/>
      <c r="C1057" s="75"/>
      <c r="D1057" s="75"/>
      <c r="E1057" s="75"/>
      <c r="F1057" s="75"/>
      <c r="G1057" s="75"/>
      <c r="H1057" s="75"/>
      <c r="I1057" s="19" t="s">
        <v>46</v>
      </c>
      <c r="J1057" s="34">
        <f>J1042</f>
        <v>41.074533333333328</v>
      </c>
      <c r="K1057" s="16" t="s">
        <v>12</v>
      </c>
      <c r="L1057" s="75"/>
      <c r="M1057" s="75"/>
      <c r="N1057" s="75"/>
      <c r="O1057" s="75"/>
      <c r="P1057" s="75"/>
    </row>
    <row r="1058" spans="2:16" x14ac:dyDescent="0.3">
      <c r="B1058" s="75"/>
      <c r="C1058" s="75"/>
      <c r="D1058" s="75"/>
      <c r="E1058" s="75"/>
      <c r="F1058" s="75"/>
      <c r="G1058" s="75"/>
      <c r="H1058" s="75"/>
      <c r="I1058" s="19" t="s">
        <v>38</v>
      </c>
      <c r="J1058" s="34">
        <f>2/3*J1043*SQRT(C1017*0.0980665)*(1/0.0980665)/1000</f>
        <v>200.82839966479511</v>
      </c>
      <c r="K1058" s="16" t="s">
        <v>12</v>
      </c>
      <c r="L1058" s="75"/>
      <c r="M1058" s="39" t="str">
        <f>IF(J1058&gt;J1057,"[OK]","[REDISEÑAR]")</f>
        <v>[OK]</v>
      </c>
      <c r="N1058" s="41" t="str">
        <f>IF(O1058&gt;0,"Sobrado","Faltan")</f>
        <v>Sobrado</v>
      </c>
      <c r="O1058" s="43">
        <f>J1058-J1057</f>
        <v>159.75386633146178</v>
      </c>
      <c r="P1058" s="75"/>
    </row>
    <row r="1060" spans="2:16" ht="18" x14ac:dyDescent="0.35">
      <c r="B1060" s="48" t="str">
        <f>'EJE 15'!$S$28</f>
        <v>EJE 15.C-C1 | PIER F31X | PISO 12</v>
      </c>
      <c r="C1060" s="75"/>
      <c r="D1060" s="75"/>
      <c r="E1060" s="75"/>
      <c r="F1060" s="75"/>
      <c r="G1060" s="75"/>
      <c r="H1060" s="75"/>
      <c r="J1060" s="75"/>
      <c r="K1060" s="75"/>
      <c r="L1060" s="75"/>
      <c r="M1060" s="75"/>
      <c r="N1060" s="75"/>
      <c r="O1060" s="75"/>
      <c r="P1060" s="75"/>
    </row>
    <row r="1061" spans="2:16" x14ac:dyDescent="0.3">
      <c r="B1061" s="75"/>
      <c r="C1061" s="75"/>
      <c r="D1061" s="75"/>
      <c r="E1061" s="75"/>
      <c r="F1061" s="75"/>
      <c r="G1061" s="75"/>
      <c r="H1061" s="75"/>
      <c r="J1061" s="75"/>
      <c r="K1061" s="75"/>
      <c r="L1061" s="75"/>
      <c r="M1061" s="75"/>
      <c r="N1061" s="75"/>
      <c r="O1061" s="75"/>
      <c r="P1061" s="75"/>
    </row>
    <row r="1062" spans="2:16" x14ac:dyDescent="0.3">
      <c r="B1062" s="17" t="s">
        <v>6</v>
      </c>
      <c r="C1062" s="75"/>
      <c r="D1062" s="75"/>
      <c r="E1062" s="75"/>
      <c r="F1062" s="75"/>
      <c r="G1062" s="75"/>
      <c r="H1062" s="75"/>
      <c r="I1062" s="18" t="s">
        <v>25</v>
      </c>
      <c r="J1062" s="75"/>
      <c r="K1062" s="75"/>
      <c r="L1062" s="75"/>
      <c r="M1062" s="75"/>
      <c r="N1062" s="75"/>
      <c r="O1062" s="75"/>
      <c r="P1062" s="75"/>
    </row>
    <row r="1063" spans="2:16" x14ac:dyDescent="0.3">
      <c r="B1063" s="19" t="s">
        <v>99</v>
      </c>
      <c r="C1063" s="61">
        <f>10.1971621297793*'EJE 15'!$G$28</f>
        <v>305.91486389337899</v>
      </c>
      <c r="D1063" s="16" t="s">
        <v>8</v>
      </c>
      <c r="E1063" s="75"/>
      <c r="F1063" s="75"/>
      <c r="G1063" s="75"/>
      <c r="H1063" s="75"/>
      <c r="I1063" s="19" t="s">
        <v>58</v>
      </c>
      <c r="J1063" s="16">
        <f>C1070/16</f>
        <v>14.375</v>
      </c>
      <c r="K1063" s="16" t="s">
        <v>5</v>
      </c>
      <c r="L1063" s="21"/>
      <c r="M1063" s="39" t="str">
        <f>IF(J1063&lt;C1068,"[OK]","[REDISEÑAR]")</f>
        <v>[OK]</v>
      </c>
      <c r="N1063" s="75"/>
      <c r="O1063" s="75"/>
      <c r="P1063" s="75"/>
    </row>
    <row r="1064" spans="2:16" x14ac:dyDescent="0.3">
      <c r="B1064" s="19" t="s">
        <v>30</v>
      </c>
      <c r="C1064" s="16">
        <v>4200</v>
      </c>
      <c r="D1064" s="16" t="s">
        <v>8</v>
      </c>
      <c r="E1064" s="75"/>
      <c r="F1064" s="75"/>
      <c r="G1064" s="75"/>
      <c r="H1064" s="75"/>
      <c r="I1064" s="19" t="s">
        <v>16</v>
      </c>
      <c r="J1064" s="16">
        <f>C1068*C1069</f>
        <v>4800</v>
      </c>
      <c r="K1064" s="16" t="s">
        <v>17</v>
      </c>
      <c r="L1064" s="21"/>
      <c r="M1064" s="75"/>
      <c r="N1064" s="75"/>
      <c r="O1064" s="75"/>
      <c r="P1064" s="75"/>
    </row>
    <row r="1065" spans="2:16" x14ac:dyDescent="0.3">
      <c r="B1065" s="19" t="s">
        <v>31</v>
      </c>
      <c r="C1065" s="16">
        <v>2800</v>
      </c>
      <c r="D1065" s="16" t="s">
        <v>8</v>
      </c>
      <c r="E1065" s="75"/>
      <c r="F1065" s="75"/>
      <c r="G1065" s="75"/>
      <c r="H1065" s="75"/>
      <c r="I1065" s="19" t="s">
        <v>51</v>
      </c>
      <c r="J1065" s="16">
        <f>MIN(0.8*C1069/5,3*C1068,45)</f>
        <v>30.720000000000006</v>
      </c>
      <c r="K1065" s="16" t="s">
        <v>5</v>
      </c>
      <c r="L1065" s="21"/>
      <c r="M1065" s="39" t="str">
        <f>IF(J1065&gt;C1081,"[OK]","[REDISEÑAR]")</f>
        <v>[OK]</v>
      </c>
      <c r="N1065" s="75"/>
      <c r="O1065" s="75"/>
      <c r="P1065" s="75"/>
    </row>
    <row r="1066" spans="2:16" x14ac:dyDescent="0.3">
      <c r="B1066" s="75"/>
      <c r="C1066" s="75"/>
      <c r="D1066" s="75"/>
      <c r="E1066" s="75"/>
      <c r="F1066" s="75"/>
      <c r="G1066" s="75"/>
      <c r="H1066" s="75"/>
      <c r="I1066" s="19" t="s">
        <v>56</v>
      </c>
      <c r="J1066" s="16">
        <f>MIN(0.8*C1070/3,3*C1069,45)</f>
        <v>45</v>
      </c>
      <c r="K1066" s="16" t="s">
        <v>5</v>
      </c>
      <c r="L1066" s="21"/>
      <c r="M1066" s="39" t="str">
        <f>IF(J1066&gt;C1081,"[OK]","[REDISEÑAR]")</f>
        <v>[OK]</v>
      </c>
      <c r="N1066" s="75"/>
      <c r="O1066" s="75"/>
      <c r="P1066" s="75"/>
    </row>
    <row r="1067" spans="2:16" x14ac:dyDescent="0.3">
      <c r="B1067" s="17" t="s">
        <v>3</v>
      </c>
      <c r="C1067" s="75"/>
      <c r="D1067" s="75"/>
      <c r="E1067" s="75"/>
      <c r="F1067" s="75"/>
      <c r="G1067" s="75"/>
      <c r="H1067" s="75"/>
      <c r="I1067" s="19" t="s">
        <v>62</v>
      </c>
      <c r="J1067" s="16">
        <f>0.8*C1069</f>
        <v>153.60000000000002</v>
      </c>
      <c r="K1067" s="29" t="s">
        <v>5</v>
      </c>
      <c r="L1067" s="75"/>
      <c r="M1067" s="75"/>
      <c r="N1067" s="75"/>
      <c r="O1067" s="75"/>
      <c r="P1067" s="75"/>
    </row>
    <row r="1068" spans="2:16" x14ac:dyDescent="0.3">
      <c r="B1068" s="19" t="str">
        <f>"Espesor del muro (h)"</f>
        <v>Espesor del muro (h)</v>
      </c>
      <c r="C1068" s="49">
        <f>'EJE 15'!$H$28</f>
        <v>25</v>
      </c>
      <c r="D1068" s="16" t="s">
        <v>5</v>
      </c>
      <c r="E1068" s="75"/>
      <c r="F1068" s="75"/>
      <c r="G1068" s="75"/>
      <c r="H1068" s="75"/>
      <c r="J1068" s="75"/>
      <c r="K1068" s="75"/>
      <c r="L1068" s="75"/>
      <c r="M1068" s="75"/>
      <c r="N1068" s="75"/>
      <c r="O1068" s="75"/>
      <c r="P1068" s="75"/>
    </row>
    <row r="1069" spans="2:16" x14ac:dyDescent="0.3">
      <c r="B1069" s="19" t="s">
        <v>63</v>
      </c>
      <c r="C1069" s="49">
        <f>'EJE 15'!$I$28</f>
        <v>192</v>
      </c>
      <c r="D1069" s="16" t="s">
        <v>5</v>
      </c>
      <c r="E1069" s="75"/>
      <c r="F1069" s="75"/>
      <c r="G1069" s="75"/>
      <c r="H1069" s="75"/>
      <c r="I1069" s="18" t="s">
        <v>26</v>
      </c>
      <c r="J1069" s="75"/>
      <c r="K1069" s="75"/>
      <c r="L1069" s="75"/>
      <c r="M1069" s="75"/>
      <c r="N1069" s="75"/>
      <c r="O1069" s="75"/>
      <c r="P1069" s="75"/>
    </row>
    <row r="1070" spans="2:16" x14ac:dyDescent="0.3">
      <c r="B1070" s="19" t="s">
        <v>10</v>
      </c>
      <c r="C1070" s="49">
        <f>'EJE 15'!$J$28</f>
        <v>230</v>
      </c>
      <c r="D1070" s="16" t="s">
        <v>5</v>
      </c>
      <c r="E1070" s="75"/>
      <c r="F1070" s="75"/>
      <c r="G1070" s="75"/>
      <c r="H1070" s="75"/>
      <c r="I1070" s="19" t="s">
        <v>28</v>
      </c>
      <c r="J1070" s="16">
        <f>0.35*C1063</f>
        <v>107.07020236268264</v>
      </c>
      <c r="K1070" s="16" t="s">
        <v>8</v>
      </c>
      <c r="L1070" s="21"/>
      <c r="M1070" s="75"/>
      <c r="N1070" s="75"/>
      <c r="O1070" s="75"/>
      <c r="P1070" s="75"/>
    </row>
    <row r="1071" spans="2:16" x14ac:dyDescent="0.3">
      <c r="B1071" s="75"/>
      <c r="C1071" s="75"/>
      <c r="D1071" s="75"/>
      <c r="E1071" s="75"/>
      <c r="F1071" s="75"/>
      <c r="G1071" s="75"/>
      <c r="H1071" s="75"/>
      <c r="I1071" s="19" t="s">
        <v>27</v>
      </c>
      <c r="J1071" s="30">
        <f>C1073*1000/J1064</f>
        <v>18.224125000000001</v>
      </c>
      <c r="K1071" s="16" t="s">
        <v>8</v>
      </c>
      <c r="L1071" s="21"/>
      <c r="M1071" s="39" t="str">
        <f>IF(J1071&lt;J1070,"[OK]","[REDISEÑAR]")</f>
        <v>[OK]</v>
      </c>
      <c r="N1071" s="41" t="s">
        <v>112</v>
      </c>
      <c r="O1071" s="59">
        <f>J1071/J1070</f>
        <v>0.1702072527916664</v>
      </c>
      <c r="P1071" s="75"/>
    </row>
    <row r="1072" spans="2:16" x14ac:dyDescent="0.3">
      <c r="B1072" s="17" t="s">
        <v>11</v>
      </c>
      <c r="C1072" s="75"/>
      <c r="D1072" s="75"/>
      <c r="E1072" s="75"/>
      <c r="F1072" s="75"/>
      <c r="G1072" s="75"/>
      <c r="H1072" s="75"/>
      <c r="J1072" s="75"/>
      <c r="K1072" s="75"/>
      <c r="L1072" s="75"/>
      <c r="M1072" s="75"/>
      <c r="N1072" s="75"/>
      <c r="O1072" s="75"/>
      <c r="P1072" s="75"/>
    </row>
    <row r="1073" spans="2:16" x14ac:dyDescent="0.3">
      <c r="B1073" s="19" t="str">
        <f>"$N_U$"</f>
        <v>$N_U$</v>
      </c>
      <c r="C1073" s="60">
        <f>'EJE 15'!$K$28</f>
        <v>87.475800000000007</v>
      </c>
      <c r="D1073" s="16" t="s">
        <v>12</v>
      </c>
      <c r="E1073" s="75"/>
      <c r="F1073" s="75"/>
      <c r="G1073" s="75"/>
      <c r="H1073" s="75"/>
      <c r="I1073" s="18" t="s">
        <v>54</v>
      </c>
      <c r="J1073" s="75"/>
      <c r="K1073" s="75"/>
      <c r="L1073" s="75"/>
      <c r="M1073" s="75"/>
      <c r="N1073" s="75"/>
      <c r="O1073" s="75"/>
      <c r="P1073" s="75"/>
    </row>
    <row r="1074" spans="2:16" x14ac:dyDescent="0.3">
      <c r="B1074" s="19" t="s">
        <v>14</v>
      </c>
      <c r="C1074" s="60">
        <f>'EJE 15'!$L$28</f>
        <v>0.35639999999999999</v>
      </c>
      <c r="D1074" s="16" t="s">
        <v>12</v>
      </c>
      <c r="E1074" s="75"/>
      <c r="F1074" s="75"/>
      <c r="G1074" s="75"/>
      <c r="H1074" s="75"/>
      <c r="I1074" s="19" t="s">
        <v>72</v>
      </c>
      <c r="J1074" s="16">
        <f>1.2*C1074+C1075+1.4*C1076</f>
        <v>8.2762199999999986</v>
      </c>
      <c r="K1074" s="16" t="s">
        <v>12</v>
      </c>
      <c r="L1074" s="75"/>
      <c r="M1074" s="75" t="s">
        <v>68</v>
      </c>
      <c r="N1074" s="75"/>
      <c r="O1074" s="75"/>
      <c r="P1074" s="75"/>
    </row>
    <row r="1075" spans="2:16" x14ac:dyDescent="0.3">
      <c r="B1075" s="19" t="s">
        <v>13</v>
      </c>
      <c r="C1075" s="60">
        <f>'EJE 15'!$M$28</f>
        <v>0.27650000000000002</v>
      </c>
      <c r="D1075" s="16" t="s">
        <v>12</v>
      </c>
      <c r="E1075" s="75"/>
      <c r="F1075" s="75"/>
      <c r="G1075" s="75"/>
      <c r="H1075" s="75"/>
      <c r="I1075" s="19" t="s">
        <v>69</v>
      </c>
      <c r="J1075" s="16">
        <f>SUM(C1074:C1076)</f>
        <v>6.0415000000000001</v>
      </c>
      <c r="K1075" s="16" t="s">
        <v>12</v>
      </c>
      <c r="L1075" s="75"/>
      <c r="M1075" s="75" t="s">
        <v>70</v>
      </c>
      <c r="N1075" s="75"/>
      <c r="O1075" s="75"/>
      <c r="P1075" s="75"/>
    </row>
    <row r="1076" spans="2:16" x14ac:dyDescent="0.3">
      <c r="B1076" s="19" t="s">
        <v>15</v>
      </c>
      <c r="C1076" s="60">
        <f>'EJE 15'!$N$28</f>
        <v>5.4085999999999999</v>
      </c>
      <c r="D1076" s="16" t="s">
        <v>12</v>
      </c>
      <c r="E1076" s="75"/>
      <c r="F1076" s="75"/>
      <c r="G1076" s="75"/>
      <c r="H1076" s="75"/>
      <c r="I1076" s="19" t="s">
        <v>73</v>
      </c>
      <c r="J1076" s="16">
        <f>IF(C1077=0,J1074,C1077)</f>
        <v>8.2762199999999986</v>
      </c>
      <c r="K1076" s="16" t="s">
        <v>12</v>
      </c>
      <c r="L1076" s="75"/>
      <c r="M1076" s="40" t="s">
        <v>74</v>
      </c>
      <c r="N1076" s="75"/>
      <c r="O1076" s="75"/>
      <c r="P1076" s="75"/>
    </row>
    <row r="1077" spans="2:16" x14ac:dyDescent="0.3">
      <c r="B1077" s="19" t="s">
        <v>55</v>
      </c>
      <c r="C1077" s="16">
        <v>0</v>
      </c>
      <c r="D1077" s="16" t="s">
        <v>12</v>
      </c>
      <c r="E1077" s="75"/>
      <c r="F1077" s="75"/>
      <c r="G1077" s="75"/>
      <c r="H1077" s="75"/>
      <c r="I1077" s="19" t="s">
        <v>71</v>
      </c>
      <c r="J1077" s="16">
        <f>IF(C1077=0,J1075,C1077)</f>
        <v>6.0415000000000001</v>
      </c>
      <c r="K1077" s="16" t="s">
        <v>12</v>
      </c>
      <c r="L1077" s="75"/>
      <c r="M1077" s="40" t="s">
        <v>75</v>
      </c>
      <c r="N1077" s="75"/>
      <c r="O1077" s="75"/>
      <c r="P1077" s="75"/>
    </row>
    <row r="1078" spans="2:16" x14ac:dyDescent="0.3">
      <c r="B1078" s="75"/>
      <c r="C1078" s="75"/>
      <c r="D1078" s="75"/>
      <c r="E1078" s="75"/>
      <c r="F1078" s="75"/>
      <c r="G1078" s="75"/>
      <c r="H1078" s="75"/>
      <c r="J1078" s="75"/>
      <c r="K1078" s="75"/>
      <c r="L1078" s="75"/>
      <c r="M1078" s="75"/>
      <c r="N1078" s="75"/>
      <c r="O1078" s="75"/>
      <c r="P1078" s="75"/>
    </row>
    <row r="1079" spans="2:16" x14ac:dyDescent="0.3">
      <c r="B1079" s="33" t="s">
        <v>42</v>
      </c>
      <c r="C1079" s="75"/>
      <c r="D1079" s="75"/>
      <c r="E1079" s="75"/>
      <c r="F1079" s="75"/>
      <c r="G1079" s="75"/>
      <c r="H1079" s="75"/>
      <c r="I1079" s="27" t="s">
        <v>76</v>
      </c>
      <c r="J1079" s="75"/>
      <c r="K1079" s="75"/>
      <c r="L1079" s="75"/>
      <c r="M1079" s="75"/>
      <c r="N1079" s="75"/>
      <c r="O1079" s="75"/>
      <c r="P1079" s="75"/>
    </row>
    <row r="1080" spans="2:16" x14ac:dyDescent="0.3">
      <c r="B1080" s="31" t="s">
        <v>41</v>
      </c>
      <c r="C1080" s="16">
        <v>10</v>
      </c>
      <c r="D1080" s="29" t="s">
        <v>35</v>
      </c>
      <c r="E1080" s="75"/>
      <c r="F1080" s="75"/>
      <c r="G1080" s="75"/>
      <c r="H1080" s="75"/>
      <c r="I1080" s="19" t="s">
        <v>29</v>
      </c>
      <c r="J1080" s="30">
        <f>J1077*1000/J1064</f>
        <v>1.2586458333333332</v>
      </c>
      <c r="K1080" s="29" t="s">
        <v>8</v>
      </c>
      <c r="L1080" s="75"/>
      <c r="M1080" s="75"/>
      <c r="N1080" s="75"/>
      <c r="O1080" s="75"/>
      <c r="P1080" s="75"/>
    </row>
    <row r="1081" spans="2:16" x14ac:dyDescent="0.3">
      <c r="B1081" s="31" t="s">
        <v>43</v>
      </c>
      <c r="C1081" s="16">
        <v>14</v>
      </c>
      <c r="D1081" s="29" t="s">
        <v>5</v>
      </c>
      <c r="E1081" s="75"/>
      <c r="F1081" s="39" t="str">
        <f>IF(OR(C1081&gt;25,C1081&lt;10),"[REDISEÑAR]",IF(AND(C1081&lt;=J1082,C1081&lt;=J1096),"[OK]","[REDISEÑAR]"))</f>
        <v>[OK]</v>
      </c>
      <c r="G1081" s="75"/>
      <c r="H1081" s="75"/>
      <c r="I1081" s="19" t="s">
        <v>61</v>
      </c>
      <c r="J1081" s="37">
        <f>MAX(J1080*100*C1068/(2*C1065),C1085)</f>
        <v>3.125</v>
      </c>
      <c r="K1081" s="29" t="s">
        <v>32</v>
      </c>
      <c r="L1081" s="75"/>
      <c r="M1081" s="15"/>
      <c r="N1081" s="15"/>
      <c r="O1081" s="15"/>
      <c r="P1081" s="75"/>
    </row>
    <row r="1082" spans="2:16" x14ac:dyDescent="0.3">
      <c r="B1082" s="75"/>
      <c r="C1082" s="50" t="str">
        <f>"$\phi$"&amp;C1080&amp;"@"&amp;C1081</f>
        <v>$\phi$10@14</v>
      </c>
      <c r="D1082" s="75"/>
      <c r="E1082" s="75"/>
      <c r="F1082" s="39" t="str">
        <f>IF(OR(J1081=C1085,J1092=C1085),"[ÁREA MINIMA]","[]")</f>
        <v>[ÁREA MINIMA]</v>
      </c>
      <c r="G1082" s="75"/>
      <c r="H1082" s="75"/>
      <c r="I1082" s="63" t="s">
        <v>34</v>
      </c>
      <c r="J1082" s="63">
        <f>ROUNDDOWN((1/J1081)*C1084*100,0)</f>
        <v>25</v>
      </c>
      <c r="K1082" s="64" t="s">
        <v>5</v>
      </c>
      <c r="L1082" s="75"/>
      <c r="M1082" s="39" t="str">
        <f>IF(OR(J1082&lt;10,J1082&gt;25),"[REDISEÑAR]","[OK")</f>
        <v>[OK</v>
      </c>
      <c r="N1082" s="41" t="s">
        <v>80</v>
      </c>
      <c r="O1082" s="42">
        <f>1/J1081*(C1080/2)^2*PI()</f>
        <v>25.132741228718345</v>
      </c>
      <c r="P1082" s="75" t="str">
        <f>"$\phi$"&amp;C1080&amp;"@"&amp;J1082</f>
        <v>$\phi$10@25</v>
      </c>
    </row>
    <row r="1083" spans="2:16" x14ac:dyDescent="0.3">
      <c r="B1083" s="18" t="s">
        <v>52</v>
      </c>
      <c r="C1083" s="75"/>
      <c r="D1083" s="75"/>
      <c r="E1083" s="75"/>
      <c r="F1083" s="62" t="str">
        <f>IF(J1071&lt;J1070,IF(J1099&gt;J1088,"[OK]","[REDISEÑAR]"),"[REDISEÑAR]")</f>
        <v>[OK]</v>
      </c>
      <c r="G1083" s="75"/>
      <c r="H1083" s="75"/>
      <c r="I1083" s="31" t="s">
        <v>48</v>
      </c>
      <c r="J1083" s="30">
        <f>C1084*2*IF(C1069/C1081&gt;=1,C1069/C1081,0)</f>
        <v>21.542349624615724</v>
      </c>
      <c r="K1083" s="29" t="s">
        <v>17</v>
      </c>
      <c r="L1083" s="75"/>
      <c r="M1083" s="75"/>
      <c r="N1083" s="15"/>
      <c r="O1083" s="44"/>
      <c r="P1083" s="75"/>
    </row>
    <row r="1084" spans="2:16" x14ac:dyDescent="0.3">
      <c r="B1084" s="31" t="s">
        <v>66</v>
      </c>
      <c r="C1084" s="30">
        <f>(C1080/(2*10))^2*PI()</f>
        <v>0.78539816339744828</v>
      </c>
      <c r="D1084" s="29" t="s">
        <v>17</v>
      </c>
      <c r="E1084" s="75"/>
      <c r="F1084" s="75"/>
      <c r="G1084" s="75"/>
      <c r="H1084" s="75"/>
      <c r="I1084" s="19" t="s">
        <v>49</v>
      </c>
      <c r="J1084" s="34">
        <f>C1065*J1083/1000</f>
        <v>60.318578948924028</v>
      </c>
      <c r="K1084" s="16" t="s">
        <v>12</v>
      </c>
      <c r="L1084" s="75"/>
      <c r="M1084" s="39" t="str">
        <f>IF(J1084&gt;J1077,"[OK]","[REDISEÑAR]")</f>
        <v>[OK]</v>
      </c>
      <c r="N1084" s="41" t="str">
        <f>IF(O1084&gt;0,"Sobrado","Faltan")</f>
        <v>Sobrado</v>
      </c>
      <c r="O1084" s="43">
        <f>J1084-J1077</f>
        <v>54.277078948924029</v>
      </c>
      <c r="P1084" s="75"/>
    </row>
    <row r="1085" spans="2:16" x14ac:dyDescent="0.3">
      <c r="B1085" s="31" t="s">
        <v>78</v>
      </c>
      <c r="C1085" s="37">
        <f>2.5/1000*100*C1068/2</f>
        <v>3.125</v>
      </c>
      <c r="D1085" s="16" t="s">
        <v>17</v>
      </c>
      <c r="E1085" s="75"/>
      <c r="F1085" s="75"/>
      <c r="G1085" s="75"/>
      <c r="H1085" s="75"/>
      <c r="J1085" s="75"/>
      <c r="K1085" s="75"/>
      <c r="L1085" s="75"/>
      <c r="M1085" s="75"/>
      <c r="N1085" s="75"/>
      <c r="O1085" s="15"/>
      <c r="P1085" s="75"/>
    </row>
    <row r="1086" spans="2:16" x14ac:dyDescent="0.3">
      <c r="B1086" s="31" t="s">
        <v>114</v>
      </c>
      <c r="C1086" s="37">
        <f>C1084*100/C1081</f>
        <v>5.6099868814103448</v>
      </c>
      <c r="D1086" s="29" t="s">
        <v>32</v>
      </c>
      <c r="E1086" s="75"/>
      <c r="F1086" s="75"/>
      <c r="G1086" s="75"/>
      <c r="H1086" s="75"/>
      <c r="I1086" s="18" t="s">
        <v>77</v>
      </c>
      <c r="J1086" s="75"/>
      <c r="K1086" s="75"/>
      <c r="L1086" s="75"/>
      <c r="M1086" s="17" t="s">
        <v>67</v>
      </c>
      <c r="N1086" s="75"/>
      <c r="O1086" s="75"/>
      <c r="P1086" s="75"/>
    </row>
    <row r="1087" spans="2:16" x14ac:dyDescent="0.3">
      <c r="B1087" s="75"/>
      <c r="C1087" s="75"/>
      <c r="D1087" s="75"/>
      <c r="E1087" s="75"/>
      <c r="F1087" s="75"/>
      <c r="G1087" s="75"/>
      <c r="H1087" s="75"/>
      <c r="I1087" s="19" t="s">
        <v>33</v>
      </c>
      <c r="J1087" s="16">
        <v>0.6</v>
      </c>
      <c r="K1087" s="16" t="s">
        <v>50</v>
      </c>
      <c r="L1087" s="75"/>
      <c r="M1087" s="19" t="s">
        <v>64</v>
      </c>
      <c r="N1087" s="30">
        <f>SQRT(C1063*0.0980665)*(1/0.0980665)/1000*J1089*0.17</f>
        <v>29.004597190526159</v>
      </c>
      <c r="O1087" s="16" t="s">
        <v>12</v>
      </c>
      <c r="P1087" s="75"/>
    </row>
    <row r="1088" spans="2:16" x14ac:dyDescent="0.3">
      <c r="B1088" s="17" t="s">
        <v>37</v>
      </c>
      <c r="C1088" s="75"/>
      <c r="D1088" s="75"/>
      <c r="E1088" s="75"/>
      <c r="F1088" s="75"/>
      <c r="G1088" s="75"/>
      <c r="H1088" s="75"/>
      <c r="I1088" s="19" t="s">
        <v>46</v>
      </c>
      <c r="J1088" s="34">
        <f>J1076/J1087</f>
        <v>13.793699999999998</v>
      </c>
      <c r="K1088" s="16" t="s">
        <v>12</v>
      </c>
      <c r="L1088" s="75"/>
      <c r="M1088" s="19" t="s">
        <v>57</v>
      </c>
      <c r="N1088" s="16">
        <f>IF(C1070/J1067&lt;=1.5,0.25,IF(C1070/J1067&gt;=2,0.17,0.17+(0.25-0.17)/(C1070/J1067-1.5)*C1070/J1067))</f>
        <v>0.25</v>
      </c>
      <c r="O1088" s="29" t="s">
        <v>50</v>
      </c>
      <c r="P1088" s="75"/>
    </row>
    <row r="1089" spans="2:16" x14ac:dyDescent="0.3">
      <c r="B1089" s="31" t="s">
        <v>115</v>
      </c>
      <c r="C1089" s="37">
        <f>O1084</f>
        <v>54.277078948924029</v>
      </c>
      <c r="D1089" s="29" t="s">
        <v>12</v>
      </c>
      <c r="E1089" s="75"/>
      <c r="F1089" s="75"/>
      <c r="G1089" s="75"/>
      <c r="H1089" s="75"/>
      <c r="I1089" s="19" t="s">
        <v>36</v>
      </c>
      <c r="J1089" s="35">
        <f>J1067*C1068*0.8-J1097</f>
        <v>3054.7661203003076</v>
      </c>
      <c r="K1089" s="16" t="s">
        <v>17</v>
      </c>
      <c r="L1089" s="75"/>
      <c r="M1089" s="19" t="s">
        <v>59</v>
      </c>
      <c r="N1089" s="30">
        <f>SQRT(C1063*0.0980665)*(1/0.0980665)/1000*J1089*N1088</f>
        <v>42.653819397832585</v>
      </c>
      <c r="O1089" s="29" t="s">
        <v>12</v>
      </c>
      <c r="P1089" s="75"/>
    </row>
    <row r="1090" spans="2:16" x14ac:dyDescent="0.3">
      <c r="B1090" s="31" t="s">
        <v>116</v>
      </c>
      <c r="C1090" s="37">
        <f>O1099</f>
        <v>87.593191929235005</v>
      </c>
      <c r="D1090" s="29" t="s">
        <v>12</v>
      </c>
      <c r="E1090" s="75"/>
      <c r="F1090" s="75"/>
      <c r="G1090" s="75"/>
      <c r="H1090" s="75"/>
      <c r="I1090" s="19" t="s">
        <v>60</v>
      </c>
      <c r="J1090" s="34">
        <f>MIN(N1089,N1087)</f>
        <v>29.004597190526159</v>
      </c>
      <c r="K1090" s="29" t="s">
        <v>12</v>
      </c>
      <c r="L1090" s="75"/>
      <c r="M1090" s="75"/>
      <c r="N1090" s="75"/>
      <c r="O1090" s="75"/>
      <c r="P1090" s="75"/>
    </row>
    <row r="1091" spans="2:16" x14ac:dyDescent="0.3">
      <c r="B1091" s="19" t="s">
        <v>117</v>
      </c>
      <c r="C1091" s="36">
        <f>C1084*2*C1069/C1081/J1064</f>
        <v>4.4879895051282755E-3</v>
      </c>
      <c r="D1091" s="16" t="s">
        <v>50</v>
      </c>
      <c r="E1091" s="75"/>
      <c r="F1091" s="75"/>
      <c r="G1091" s="75"/>
      <c r="H1091" s="75"/>
      <c r="I1091" s="19" t="s">
        <v>39</v>
      </c>
      <c r="J1091" s="34">
        <f>J1088-J1090</f>
        <v>-15.210897190526161</v>
      </c>
      <c r="K1091" s="16" t="s">
        <v>12</v>
      </c>
      <c r="L1091" s="75"/>
      <c r="M1091" s="75"/>
      <c r="N1091" s="75"/>
      <c r="O1091" s="75"/>
      <c r="P1091" s="75"/>
    </row>
    <row r="1092" spans="2:16" x14ac:dyDescent="0.3">
      <c r="B1092" s="75"/>
      <c r="C1092" s="75"/>
      <c r="D1092" s="75"/>
      <c r="E1092" s="75"/>
      <c r="F1092" s="75"/>
      <c r="G1092" s="75"/>
      <c r="H1092" s="75"/>
      <c r="I1092" s="19" t="s">
        <v>61</v>
      </c>
      <c r="J1092" s="37">
        <f>MAX(J1091/(C1064*J1067/1000/100)/2,C1085)</f>
        <v>3.125</v>
      </c>
      <c r="K1092" s="29" t="s">
        <v>32</v>
      </c>
      <c r="L1092" s="75"/>
      <c r="M1092" s="75"/>
      <c r="N1092" s="75"/>
      <c r="O1092" s="75"/>
      <c r="P1092" s="75"/>
    </row>
    <row r="1093" spans="2:16" x14ac:dyDescent="0.3">
      <c r="B1093" s="75"/>
      <c r="C1093" s="75"/>
      <c r="D1093" s="75"/>
      <c r="E1093" s="75"/>
      <c r="F1093" s="75"/>
      <c r="G1093" s="75"/>
      <c r="H1093" s="75"/>
      <c r="I1093" s="19" t="s">
        <v>65</v>
      </c>
      <c r="J1093" s="36">
        <f>J1092/C1068/100*2</f>
        <v>2.5000000000000001E-3</v>
      </c>
      <c r="K1093" s="16" t="s">
        <v>50</v>
      </c>
      <c r="L1093" s="75"/>
      <c r="M1093" s="75"/>
      <c r="N1093" s="75"/>
      <c r="O1093" s="75"/>
      <c r="P1093" s="75"/>
    </row>
    <row r="1094" spans="2:16" x14ac:dyDescent="0.3">
      <c r="B1094" s="75"/>
      <c r="C1094" s="75"/>
      <c r="D1094" s="75"/>
      <c r="E1094" s="75"/>
      <c r="F1094" s="75"/>
      <c r="G1094" s="75"/>
      <c r="H1094" s="75"/>
      <c r="I1094" s="19" t="s">
        <v>53</v>
      </c>
      <c r="J1094" s="16">
        <f>MAX(0.0025,0.0025*0.5*(2.5-C1068/(C1069*0.8))*(J1093-0.0025))</f>
        <v>2.5000000000000001E-3</v>
      </c>
      <c r="K1094" s="29" t="s">
        <v>50</v>
      </c>
      <c r="L1094" s="75"/>
      <c r="M1094" s="39" t="str">
        <f>IF(OR(J1093&gt;J1094,ABS(J1093-J1094)&lt;0.0001),"[OK]","[REDISEÑAR]")</f>
        <v>[OK]</v>
      </c>
      <c r="N1094" s="75"/>
      <c r="O1094" s="75"/>
      <c r="P1094" s="75"/>
    </row>
    <row r="1095" spans="2:16" x14ac:dyDescent="0.3">
      <c r="B1095" s="75"/>
      <c r="C1095" s="75"/>
      <c r="D1095" s="75"/>
      <c r="E1095" s="75"/>
      <c r="F1095" s="75"/>
      <c r="G1095" s="75"/>
      <c r="H1095" s="75"/>
      <c r="I1095" s="19" t="s">
        <v>47</v>
      </c>
      <c r="J1095" s="34">
        <f>SQRT(C1063*0.0980665)*(1/0.0980665)/1000*0.66*0.8*C1069*C1068</f>
        <v>141.55170723346853</v>
      </c>
      <c r="K1095" s="16" t="s">
        <v>12</v>
      </c>
      <c r="L1095" s="75"/>
      <c r="M1095" s="40" t="s">
        <v>44</v>
      </c>
      <c r="N1095" s="75"/>
      <c r="O1095" s="15"/>
      <c r="P1095" s="75"/>
    </row>
    <row r="1096" spans="2:16" x14ac:dyDescent="0.3">
      <c r="B1096" s="75"/>
      <c r="C1096" s="75"/>
      <c r="D1096" s="75"/>
      <c r="E1096" s="75"/>
      <c r="F1096" s="75"/>
      <c r="G1096" s="75"/>
      <c r="H1096" s="75"/>
      <c r="I1096" s="63" t="s">
        <v>34</v>
      </c>
      <c r="J1096" s="63">
        <f>ROUNDDOWN(1/J1092*C1084*100,0)</f>
        <v>25</v>
      </c>
      <c r="K1096" s="64" t="s">
        <v>5</v>
      </c>
      <c r="L1096" s="75"/>
      <c r="M1096" s="39" t="str">
        <f>IF(OR(J1096&lt;10,J1096&gt;25),"[REDISEÑAR]","[OK")</f>
        <v>[OK</v>
      </c>
      <c r="N1096" s="41" t="s">
        <v>80</v>
      </c>
      <c r="O1096" s="42">
        <f>1/J1092*(C1080/2)^2*PI()</f>
        <v>25.132741228718345</v>
      </c>
      <c r="P1096" s="75" t="str">
        <f>"$\phi$"&amp;C1080&amp;"@"&amp;J1096</f>
        <v>$\phi$10@25</v>
      </c>
    </row>
    <row r="1097" spans="2:16" x14ac:dyDescent="0.3">
      <c r="B1097" s="75"/>
      <c r="C1097" s="75"/>
      <c r="D1097" s="75"/>
      <c r="E1097" s="75"/>
      <c r="F1097" s="75"/>
      <c r="G1097" s="75"/>
      <c r="H1097" s="75"/>
      <c r="I1097" s="31" t="s">
        <v>48</v>
      </c>
      <c r="J1097" s="30">
        <f>C1084*2*IF(J1067/C1081&gt;=1,J1067/C1081,0)</f>
        <v>17.233879699692583</v>
      </c>
      <c r="K1097" s="29" t="s">
        <v>17</v>
      </c>
      <c r="L1097" s="75"/>
      <c r="M1097" s="75"/>
      <c r="N1097" s="15"/>
      <c r="O1097" s="15"/>
      <c r="P1097" s="75"/>
    </row>
    <row r="1098" spans="2:16" x14ac:dyDescent="0.3">
      <c r="B1098" s="75"/>
      <c r="C1098" s="75"/>
      <c r="D1098" s="75"/>
      <c r="E1098" s="75"/>
      <c r="F1098" s="75"/>
      <c r="G1098" s="75"/>
      <c r="H1098" s="75"/>
      <c r="I1098" s="19" t="s">
        <v>81</v>
      </c>
      <c r="J1098" s="34">
        <f>MIN(J1097*C1064/1000,J1095)</f>
        <v>72.38229473870885</v>
      </c>
      <c r="K1098" s="16" t="s">
        <v>12</v>
      </c>
      <c r="L1098" s="75"/>
      <c r="M1098" s="40" t="s">
        <v>82</v>
      </c>
      <c r="N1098" s="15"/>
      <c r="O1098" s="15"/>
      <c r="P1098" s="75"/>
    </row>
    <row r="1099" spans="2:16" x14ac:dyDescent="0.3">
      <c r="B1099" s="75"/>
      <c r="C1099" s="75"/>
      <c r="D1099" s="75"/>
      <c r="E1099" s="75"/>
      <c r="F1099" s="75"/>
      <c r="G1099" s="75"/>
      <c r="H1099" s="75"/>
      <c r="I1099" s="19" t="s">
        <v>79</v>
      </c>
      <c r="J1099" s="34">
        <f>J1098+J1090</f>
        <v>101.38689192923501</v>
      </c>
      <c r="K1099" s="16" t="s">
        <v>12</v>
      </c>
      <c r="L1099" s="75"/>
      <c r="M1099" s="39" t="str">
        <f>IF(J1099&gt;J1088,"[OK]","[REDISEÑAR]")</f>
        <v>[OK]</v>
      </c>
      <c r="N1099" s="41" t="str">
        <f>IF(O1099&gt;0,"Sobrado","Faltan")</f>
        <v>Sobrado</v>
      </c>
      <c r="O1099" s="43">
        <f>J1099-J1088</f>
        <v>87.593191929235005</v>
      </c>
      <c r="P1099" s="75"/>
    </row>
    <row r="1100" spans="2:16" x14ac:dyDescent="0.3">
      <c r="B1100" s="75"/>
      <c r="C1100" s="75"/>
      <c r="D1100" s="75"/>
      <c r="E1100" s="75"/>
      <c r="F1100" s="75"/>
      <c r="G1100" s="75"/>
      <c r="H1100" s="75"/>
      <c r="J1100" s="75"/>
      <c r="K1100" s="75"/>
      <c r="L1100" s="75"/>
      <c r="M1100" s="75"/>
      <c r="N1100" s="75"/>
      <c r="O1100" s="75"/>
      <c r="P1100" s="75"/>
    </row>
    <row r="1101" spans="2:16" x14ac:dyDescent="0.3">
      <c r="B1101" s="75"/>
      <c r="C1101" s="75"/>
      <c r="D1101" s="75"/>
      <c r="E1101" s="75"/>
      <c r="F1101" s="75"/>
      <c r="G1101" s="75"/>
      <c r="H1101" s="75"/>
      <c r="I1101" s="18" t="s">
        <v>45</v>
      </c>
      <c r="J1101" s="75"/>
      <c r="K1101" s="75"/>
      <c r="L1101" s="75"/>
      <c r="M1101" s="75"/>
      <c r="N1101" s="75"/>
      <c r="O1101" s="15"/>
      <c r="P1101" s="75"/>
    </row>
    <row r="1102" spans="2:16" x14ac:dyDescent="0.3">
      <c r="B1102" s="75"/>
      <c r="C1102" s="75"/>
      <c r="D1102" s="75"/>
      <c r="E1102" s="75"/>
      <c r="F1102" s="75"/>
      <c r="G1102" s="75"/>
      <c r="H1102" s="75"/>
      <c r="I1102" s="19" t="s">
        <v>40</v>
      </c>
      <c r="J1102" s="16">
        <f>J1076</f>
        <v>8.2762199999999986</v>
      </c>
      <c r="K1102" s="16" t="s">
        <v>12</v>
      </c>
      <c r="L1102" s="75"/>
      <c r="M1102" s="75"/>
      <c r="N1102" s="75"/>
      <c r="O1102" s="26"/>
      <c r="P1102" s="75"/>
    </row>
    <row r="1103" spans="2:16" x14ac:dyDescent="0.3">
      <c r="B1103" s="75"/>
      <c r="C1103" s="75"/>
      <c r="D1103" s="75"/>
      <c r="E1103" s="75"/>
      <c r="F1103" s="75"/>
      <c r="G1103" s="75"/>
      <c r="H1103" s="75"/>
      <c r="I1103" s="19" t="s">
        <v>46</v>
      </c>
      <c r="J1103" s="34">
        <f>J1088</f>
        <v>13.793699999999998</v>
      </c>
      <c r="K1103" s="16" t="s">
        <v>12</v>
      </c>
      <c r="L1103" s="75"/>
      <c r="M1103" s="75"/>
      <c r="N1103" s="75"/>
      <c r="O1103" s="75"/>
      <c r="P1103" s="75"/>
    </row>
    <row r="1104" spans="2:16" x14ac:dyDescent="0.3">
      <c r="B1104" s="75"/>
      <c r="C1104" s="75"/>
      <c r="D1104" s="75"/>
      <c r="E1104" s="75"/>
      <c r="F1104" s="75"/>
      <c r="G1104" s="75"/>
      <c r="H1104" s="75"/>
      <c r="I1104" s="19" t="s">
        <v>38</v>
      </c>
      <c r="J1104" s="34">
        <f>2/3*J1089*SQRT(C1063*0.0980665)*(1/0.0980665)/1000</f>
        <v>113.74351839422023</v>
      </c>
      <c r="K1104" s="16" t="s">
        <v>12</v>
      </c>
      <c r="L1104" s="75"/>
      <c r="M1104" s="39" t="str">
        <f>IF(J1104&gt;J1103,"[OK]","[REDISEÑAR]")</f>
        <v>[OK]</v>
      </c>
      <c r="N1104" s="41" t="str">
        <f>IF(O1104&gt;0,"Sobrado","Faltan")</f>
        <v>Sobrado</v>
      </c>
      <c r="O1104" s="43">
        <f>J1104-J1103</f>
        <v>99.94981839422023</v>
      </c>
      <c r="P1104" s="75"/>
    </row>
    <row r="1106" spans="2:16" ht="18" x14ac:dyDescent="0.35">
      <c r="B1106" s="48" t="str">
        <f>'EJE 15'!$S$29</f>
        <v>EJE 15.G-L | PIER F33X | PISO 12</v>
      </c>
      <c r="C1106" s="75"/>
      <c r="D1106" s="75"/>
      <c r="E1106" s="75"/>
      <c r="F1106" s="75"/>
      <c r="G1106" s="75"/>
      <c r="H1106" s="75"/>
      <c r="J1106" s="75"/>
      <c r="K1106" s="75"/>
      <c r="L1106" s="75"/>
      <c r="M1106" s="75"/>
      <c r="N1106" s="75"/>
      <c r="O1106" s="75"/>
      <c r="P1106" s="75"/>
    </row>
    <row r="1107" spans="2:16" x14ac:dyDescent="0.3">
      <c r="B1107" s="75"/>
      <c r="C1107" s="75"/>
      <c r="D1107" s="75"/>
      <c r="E1107" s="75"/>
      <c r="F1107" s="75"/>
      <c r="G1107" s="75"/>
      <c r="H1107" s="75"/>
      <c r="J1107" s="75"/>
      <c r="K1107" s="75"/>
      <c r="L1107" s="75"/>
      <c r="M1107" s="75"/>
      <c r="N1107" s="75"/>
      <c r="O1107" s="75"/>
      <c r="P1107" s="75"/>
    </row>
    <row r="1108" spans="2:16" x14ac:dyDescent="0.3">
      <c r="B1108" s="17" t="s">
        <v>6</v>
      </c>
      <c r="C1108" s="75"/>
      <c r="D1108" s="75"/>
      <c r="E1108" s="75"/>
      <c r="F1108" s="75"/>
      <c r="G1108" s="75"/>
      <c r="H1108" s="75"/>
      <c r="I1108" s="18" t="s">
        <v>25</v>
      </c>
      <c r="J1108" s="75"/>
      <c r="K1108" s="75"/>
      <c r="L1108" s="75"/>
      <c r="M1108" s="75"/>
      <c r="N1108" s="75"/>
      <c r="O1108" s="75"/>
      <c r="P1108" s="75"/>
    </row>
    <row r="1109" spans="2:16" x14ac:dyDescent="0.3">
      <c r="B1109" s="19" t="s">
        <v>99</v>
      </c>
      <c r="C1109" s="61">
        <f>10.1971621297793*'EJE 15'!$G$29</f>
        <v>305.91486389337899</v>
      </c>
      <c r="D1109" s="16" t="s">
        <v>8</v>
      </c>
      <c r="E1109" s="75"/>
      <c r="F1109" s="75"/>
      <c r="G1109" s="75"/>
      <c r="H1109" s="75"/>
      <c r="I1109" s="19" t="s">
        <v>58</v>
      </c>
      <c r="J1109" s="16">
        <f>C1116/16</f>
        <v>14.375</v>
      </c>
      <c r="K1109" s="16" t="s">
        <v>5</v>
      </c>
      <c r="L1109" s="21"/>
      <c r="M1109" s="39" t="str">
        <f>IF(J1109&lt;C1114,"[OK]","[REDISEÑAR]")</f>
        <v>[OK]</v>
      </c>
      <c r="N1109" s="75"/>
      <c r="O1109" s="75"/>
      <c r="P1109" s="75"/>
    </row>
    <row r="1110" spans="2:16" x14ac:dyDescent="0.3">
      <c r="B1110" s="19" t="s">
        <v>30</v>
      </c>
      <c r="C1110" s="16">
        <v>4200</v>
      </c>
      <c r="D1110" s="16" t="s">
        <v>8</v>
      </c>
      <c r="E1110" s="75"/>
      <c r="F1110" s="75"/>
      <c r="G1110" s="75"/>
      <c r="H1110" s="75"/>
      <c r="I1110" s="19" t="s">
        <v>16</v>
      </c>
      <c r="J1110" s="16">
        <f>C1114*C1115</f>
        <v>8475</v>
      </c>
      <c r="K1110" s="16" t="s">
        <v>17</v>
      </c>
      <c r="L1110" s="21"/>
      <c r="M1110" s="75"/>
      <c r="N1110" s="75"/>
      <c r="O1110" s="75"/>
      <c r="P1110" s="75"/>
    </row>
    <row r="1111" spans="2:16" x14ac:dyDescent="0.3">
      <c r="B1111" s="19" t="s">
        <v>31</v>
      </c>
      <c r="C1111" s="16">
        <v>2800</v>
      </c>
      <c r="D1111" s="16" t="s">
        <v>8</v>
      </c>
      <c r="E1111" s="75"/>
      <c r="F1111" s="75"/>
      <c r="G1111" s="75"/>
      <c r="H1111" s="75"/>
      <c r="I1111" s="19" t="s">
        <v>51</v>
      </c>
      <c r="J1111" s="16">
        <f>MIN(0.8*C1115/5,3*C1114,45)</f>
        <v>45</v>
      </c>
      <c r="K1111" s="16" t="s">
        <v>5</v>
      </c>
      <c r="L1111" s="21"/>
      <c r="M1111" s="39" t="str">
        <f>IF(J1111&gt;C1127,"[OK]","[REDISEÑAR]")</f>
        <v>[OK]</v>
      </c>
      <c r="N1111" s="75"/>
      <c r="O1111" s="75"/>
      <c r="P1111" s="75"/>
    </row>
    <row r="1112" spans="2:16" x14ac:dyDescent="0.3">
      <c r="B1112" s="75"/>
      <c r="C1112" s="75"/>
      <c r="D1112" s="75"/>
      <c r="E1112" s="75"/>
      <c r="F1112" s="75"/>
      <c r="G1112" s="75"/>
      <c r="H1112" s="75"/>
      <c r="I1112" s="19" t="s">
        <v>56</v>
      </c>
      <c r="J1112" s="16">
        <f>MIN(0.8*C1116/3,3*C1115,45)</f>
        <v>45</v>
      </c>
      <c r="K1112" s="16" t="s">
        <v>5</v>
      </c>
      <c r="L1112" s="21"/>
      <c r="M1112" s="39" t="str">
        <f>IF(J1112&gt;C1127,"[OK]","[REDISEÑAR]")</f>
        <v>[OK]</v>
      </c>
      <c r="N1112" s="75"/>
      <c r="O1112" s="75"/>
      <c r="P1112" s="75"/>
    </row>
    <row r="1113" spans="2:16" x14ac:dyDescent="0.3">
      <c r="B1113" s="17" t="s">
        <v>3</v>
      </c>
      <c r="C1113" s="75"/>
      <c r="D1113" s="75"/>
      <c r="E1113" s="75"/>
      <c r="F1113" s="75"/>
      <c r="G1113" s="75"/>
      <c r="H1113" s="75"/>
      <c r="I1113" s="19" t="s">
        <v>62</v>
      </c>
      <c r="J1113" s="16">
        <f>0.8*C1115</f>
        <v>271.2</v>
      </c>
      <c r="K1113" s="29" t="s">
        <v>5</v>
      </c>
      <c r="L1113" s="75"/>
      <c r="M1113" s="75"/>
      <c r="N1113" s="75"/>
      <c r="O1113" s="75"/>
      <c r="P1113" s="75"/>
    </row>
    <row r="1114" spans="2:16" x14ac:dyDescent="0.3">
      <c r="B1114" s="19" t="str">
        <f>"Espesor del muro (h)"</f>
        <v>Espesor del muro (h)</v>
      </c>
      <c r="C1114" s="49">
        <f>'EJE 15'!$H$29</f>
        <v>25</v>
      </c>
      <c r="D1114" s="16" t="s">
        <v>5</v>
      </c>
      <c r="E1114" s="75"/>
      <c r="F1114" s="75"/>
      <c r="G1114" s="75"/>
      <c r="H1114" s="75"/>
      <c r="J1114" s="75"/>
      <c r="K1114" s="75"/>
      <c r="L1114" s="75"/>
      <c r="M1114" s="75"/>
      <c r="N1114" s="75"/>
      <c r="O1114" s="75"/>
      <c r="P1114" s="75"/>
    </row>
    <row r="1115" spans="2:16" x14ac:dyDescent="0.3">
      <c r="B1115" s="19" t="s">
        <v>63</v>
      </c>
      <c r="C1115" s="49">
        <f>'EJE 15'!$I$29</f>
        <v>339</v>
      </c>
      <c r="D1115" s="16" t="s">
        <v>5</v>
      </c>
      <c r="E1115" s="75"/>
      <c r="F1115" s="75"/>
      <c r="G1115" s="75"/>
      <c r="H1115" s="75"/>
      <c r="I1115" s="18" t="s">
        <v>26</v>
      </c>
      <c r="J1115" s="75"/>
      <c r="K1115" s="75"/>
      <c r="L1115" s="75"/>
      <c r="M1115" s="75"/>
      <c r="N1115" s="75"/>
      <c r="O1115" s="75"/>
      <c r="P1115" s="75"/>
    </row>
    <row r="1116" spans="2:16" x14ac:dyDescent="0.3">
      <c r="B1116" s="19" t="s">
        <v>10</v>
      </c>
      <c r="C1116" s="49">
        <f>'EJE 15'!$J$29</f>
        <v>230</v>
      </c>
      <c r="D1116" s="16" t="s">
        <v>5</v>
      </c>
      <c r="E1116" s="75"/>
      <c r="F1116" s="75"/>
      <c r="G1116" s="75"/>
      <c r="H1116" s="75"/>
      <c r="I1116" s="19" t="s">
        <v>28</v>
      </c>
      <c r="J1116" s="16">
        <f>0.35*C1109</f>
        <v>107.07020236268264</v>
      </c>
      <c r="K1116" s="16" t="s">
        <v>8</v>
      </c>
      <c r="L1116" s="21"/>
      <c r="M1116" s="75"/>
      <c r="N1116" s="75"/>
      <c r="O1116" s="75"/>
      <c r="P1116" s="75"/>
    </row>
    <row r="1117" spans="2:16" x14ac:dyDescent="0.3">
      <c r="B1117" s="75"/>
      <c r="C1117" s="75"/>
      <c r="D1117" s="75"/>
      <c r="E1117" s="75"/>
      <c r="F1117" s="75"/>
      <c r="G1117" s="75"/>
      <c r="H1117" s="75"/>
      <c r="I1117" s="19" t="s">
        <v>27</v>
      </c>
      <c r="J1117" s="30">
        <f>C1119*1000/J1110</f>
        <v>15.96075516224189</v>
      </c>
      <c r="K1117" s="16" t="s">
        <v>8</v>
      </c>
      <c r="L1117" s="21"/>
      <c r="M1117" s="39" t="str">
        <f>IF(J1117&lt;J1116,"[OK]","[REDISEÑAR]")</f>
        <v>[OK]</v>
      </c>
      <c r="N1117" s="41" t="s">
        <v>112</v>
      </c>
      <c r="O1117" s="59">
        <f>J1117/J1116</f>
        <v>0.14906813296361826</v>
      </c>
      <c r="P1117" s="75"/>
    </row>
    <row r="1118" spans="2:16" x14ac:dyDescent="0.3">
      <c r="B1118" s="17" t="s">
        <v>11</v>
      </c>
      <c r="C1118" s="75"/>
      <c r="D1118" s="75"/>
      <c r="E1118" s="75"/>
      <c r="F1118" s="75"/>
      <c r="G1118" s="75"/>
      <c r="H1118" s="75"/>
      <c r="J1118" s="75"/>
      <c r="K1118" s="75"/>
      <c r="L1118" s="75"/>
      <c r="M1118" s="75"/>
      <c r="N1118" s="75"/>
      <c r="O1118" s="75"/>
      <c r="P1118" s="75"/>
    </row>
    <row r="1119" spans="2:16" x14ac:dyDescent="0.3">
      <c r="B1119" s="19" t="str">
        <f>"$N_U$"</f>
        <v>$N_U$</v>
      </c>
      <c r="C1119" s="60">
        <f>'EJE 15'!$K$29</f>
        <v>135.26740000000001</v>
      </c>
      <c r="D1119" s="16" t="s">
        <v>12</v>
      </c>
      <c r="E1119" s="75"/>
      <c r="F1119" s="75"/>
      <c r="G1119" s="75"/>
      <c r="H1119" s="75"/>
      <c r="I1119" s="18" t="s">
        <v>54</v>
      </c>
      <c r="J1119" s="75"/>
      <c r="K1119" s="75"/>
      <c r="L1119" s="75"/>
      <c r="M1119" s="75"/>
      <c r="N1119" s="75"/>
      <c r="O1119" s="75"/>
      <c r="P1119" s="75"/>
    </row>
    <row r="1120" spans="2:16" x14ac:dyDescent="0.3">
      <c r="B1120" s="19" t="s">
        <v>14</v>
      </c>
      <c r="C1120" s="60">
        <f>'EJE 15'!$L$29</f>
        <v>2.5070000000000001</v>
      </c>
      <c r="D1120" s="16" t="s">
        <v>12</v>
      </c>
      <c r="E1120" s="75"/>
      <c r="F1120" s="75"/>
      <c r="G1120" s="75"/>
      <c r="H1120" s="75"/>
      <c r="I1120" s="19" t="s">
        <v>72</v>
      </c>
      <c r="J1120" s="16">
        <f>1.2*C1120+C1121+1.4*C1122</f>
        <v>22.833780000000001</v>
      </c>
      <c r="K1120" s="16" t="s">
        <v>12</v>
      </c>
      <c r="L1120" s="75"/>
      <c r="M1120" s="75" t="s">
        <v>68</v>
      </c>
      <c r="N1120" s="75"/>
      <c r="O1120" s="75"/>
      <c r="P1120" s="75"/>
    </row>
    <row r="1121" spans="2:16" x14ac:dyDescent="0.3">
      <c r="B1121" s="19" t="s">
        <v>13</v>
      </c>
      <c r="C1121" s="60">
        <f>'EJE 15'!$M$29</f>
        <v>5.0799999999999998E-2</v>
      </c>
      <c r="D1121" s="16" t="s">
        <v>12</v>
      </c>
      <c r="E1121" s="75"/>
      <c r="F1121" s="75"/>
      <c r="G1121" s="75"/>
      <c r="H1121" s="75"/>
      <c r="I1121" s="19" t="s">
        <v>69</v>
      </c>
      <c r="J1121" s="16">
        <f>SUM(C1120:C1122)</f>
        <v>16.682500000000001</v>
      </c>
      <c r="K1121" s="16" t="s">
        <v>12</v>
      </c>
      <c r="L1121" s="75"/>
      <c r="M1121" s="75" t="s">
        <v>70</v>
      </c>
      <c r="N1121" s="75"/>
      <c r="O1121" s="75"/>
      <c r="P1121" s="75"/>
    </row>
    <row r="1122" spans="2:16" x14ac:dyDescent="0.3">
      <c r="B1122" s="19" t="s">
        <v>15</v>
      </c>
      <c r="C1122" s="60">
        <f>'EJE 15'!$N$29</f>
        <v>14.124700000000001</v>
      </c>
      <c r="D1122" s="16" t="s">
        <v>12</v>
      </c>
      <c r="E1122" s="75"/>
      <c r="F1122" s="75"/>
      <c r="G1122" s="75"/>
      <c r="H1122" s="75"/>
      <c r="I1122" s="19" t="s">
        <v>73</v>
      </c>
      <c r="J1122" s="16">
        <f>IF(C1123=0,J1120,C1123)</f>
        <v>22.833780000000001</v>
      </c>
      <c r="K1122" s="16" t="s">
        <v>12</v>
      </c>
      <c r="L1122" s="75"/>
      <c r="M1122" s="40" t="s">
        <v>74</v>
      </c>
      <c r="N1122" s="75"/>
      <c r="O1122" s="75"/>
      <c r="P1122" s="75"/>
    </row>
    <row r="1123" spans="2:16" x14ac:dyDescent="0.3">
      <c r="B1123" s="19" t="s">
        <v>55</v>
      </c>
      <c r="C1123" s="16">
        <v>0</v>
      </c>
      <c r="D1123" s="16" t="s">
        <v>12</v>
      </c>
      <c r="E1123" s="75"/>
      <c r="F1123" s="75"/>
      <c r="G1123" s="75"/>
      <c r="H1123" s="75"/>
      <c r="I1123" s="19" t="s">
        <v>71</v>
      </c>
      <c r="J1123" s="16">
        <f>IF(C1123=0,J1121,C1123)</f>
        <v>16.682500000000001</v>
      </c>
      <c r="K1123" s="16" t="s">
        <v>12</v>
      </c>
      <c r="L1123" s="75"/>
      <c r="M1123" s="40" t="s">
        <v>75</v>
      </c>
      <c r="N1123" s="75"/>
      <c r="O1123" s="75"/>
      <c r="P1123" s="75"/>
    </row>
    <row r="1124" spans="2:16" x14ac:dyDescent="0.3">
      <c r="B1124" s="75"/>
      <c r="C1124" s="75"/>
      <c r="D1124" s="75"/>
      <c r="E1124" s="75"/>
      <c r="F1124" s="75"/>
      <c r="G1124" s="75"/>
      <c r="H1124" s="75"/>
      <c r="J1124" s="75"/>
      <c r="K1124" s="75"/>
      <c r="L1124" s="75"/>
      <c r="M1124" s="75"/>
      <c r="N1124" s="75"/>
      <c r="O1124" s="75"/>
      <c r="P1124" s="75"/>
    </row>
    <row r="1125" spans="2:16" x14ac:dyDescent="0.3">
      <c r="B1125" s="33" t="s">
        <v>42</v>
      </c>
      <c r="C1125" s="75"/>
      <c r="D1125" s="75"/>
      <c r="E1125" s="75"/>
      <c r="F1125" s="75"/>
      <c r="G1125" s="75"/>
      <c r="H1125" s="75"/>
      <c r="I1125" s="27" t="s">
        <v>76</v>
      </c>
      <c r="J1125" s="75"/>
      <c r="K1125" s="75"/>
      <c r="L1125" s="75"/>
      <c r="M1125" s="75"/>
      <c r="N1125" s="75"/>
      <c r="O1125" s="75"/>
      <c r="P1125" s="75"/>
    </row>
    <row r="1126" spans="2:16" x14ac:dyDescent="0.3">
      <c r="B1126" s="31" t="s">
        <v>41</v>
      </c>
      <c r="C1126" s="16">
        <v>10</v>
      </c>
      <c r="D1126" s="29" t="s">
        <v>35</v>
      </c>
      <c r="E1126" s="75"/>
      <c r="F1126" s="75"/>
      <c r="G1126" s="75"/>
      <c r="H1126" s="75"/>
      <c r="I1126" s="19" t="s">
        <v>29</v>
      </c>
      <c r="J1126" s="30">
        <f>J1123*1000/J1110</f>
        <v>1.9684365781710915</v>
      </c>
      <c r="K1126" s="29" t="s">
        <v>8</v>
      </c>
      <c r="L1126" s="75"/>
      <c r="M1126" s="75"/>
      <c r="N1126" s="75"/>
      <c r="O1126" s="75"/>
      <c r="P1126" s="75"/>
    </row>
    <row r="1127" spans="2:16" x14ac:dyDescent="0.3">
      <c r="B1127" s="31" t="s">
        <v>43</v>
      </c>
      <c r="C1127" s="16">
        <v>14</v>
      </c>
      <c r="D1127" s="29" t="s">
        <v>5</v>
      </c>
      <c r="E1127" s="75"/>
      <c r="F1127" s="39" t="str">
        <f>IF(OR(C1127&gt;25,C1127&lt;10),"[REDISEÑAR]",IF(AND(C1127&lt;=J1128,C1127&lt;=J1142),"[OK]","[REDISEÑAR]"))</f>
        <v>[OK]</v>
      </c>
      <c r="G1127" s="75"/>
      <c r="H1127" s="75"/>
      <c r="I1127" s="19" t="s">
        <v>61</v>
      </c>
      <c r="J1127" s="37">
        <f>MAX(J1126*100*C1114/(2*C1111),C1131)</f>
        <v>3.125</v>
      </c>
      <c r="K1127" s="29" t="s">
        <v>32</v>
      </c>
      <c r="L1127" s="75"/>
      <c r="M1127" s="15"/>
      <c r="N1127" s="15"/>
      <c r="O1127" s="15"/>
      <c r="P1127" s="75"/>
    </row>
    <row r="1128" spans="2:16" x14ac:dyDescent="0.3">
      <c r="B1128" s="75"/>
      <c r="C1128" s="50" t="str">
        <f>"$\phi$"&amp;C1126&amp;"@"&amp;C1127</f>
        <v>$\phi$10@14</v>
      </c>
      <c r="D1128" s="75"/>
      <c r="E1128" s="75"/>
      <c r="F1128" s="39" t="str">
        <f>IF(OR(J1127=C1131,J1138=C1131),"[ÁREA MINIMA]","[]")</f>
        <v>[ÁREA MINIMA]</v>
      </c>
      <c r="G1128" s="75"/>
      <c r="H1128" s="75"/>
      <c r="I1128" s="63" t="s">
        <v>34</v>
      </c>
      <c r="J1128" s="63">
        <f>ROUNDDOWN((1/J1127)*C1130*100,0)</f>
        <v>25</v>
      </c>
      <c r="K1128" s="64" t="s">
        <v>5</v>
      </c>
      <c r="L1128" s="75"/>
      <c r="M1128" s="39" t="str">
        <f>IF(OR(J1128&lt;10,J1128&gt;25),"[REDISEÑAR]","[OK")</f>
        <v>[OK</v>
      </c>
      <c r="N1128" s="41" t="s">
        <v>80</v>
      </c>
      <c r="O1128" s="42">
        <f>1/J1127*(C1126/2)^2*PI()</f>
        <v>25.132741228718345</v>
      </c>
      <c r="P1128" s="75" t="str">
        <f>"$\phi$"&amp;C1126&amp;"@"&amp;J1128</f>
        <v>$\phi$10@25</v>
      </c>
    </row>
    <row r="1129" spans="2:16" x14ac:dyDescent="0.3">
      <c r="B1129" s="18" t="s">
        <v>52</v>
      </c>
      <c r="C1129" s="75"/>
      <c r="D1129" s="75"/>
      <c r="E1129" s="75"/>
      <c r="F1129" s="62" t="str">
        <f>IF(J1117&lt;J1116,IF(J1145&gt;J1134,"[OK]","[REDISEÑAR]"),"[REDISEÑAR]")</f>
        <v>[OK]</v>
      </c>
      <c r="G1129" s="75"/>
      <c r="H1129" s="75"/>
      <c r="I1129" s="31" t="s">
        <v>48</v>
      </c>
      <c r="J1129" s="30">
        <f>C1130*2*IF(C1115/C1127&gt;=1,C1115/C1127,0)</f>
        <v>38.035711055962139</v>
      </c>
      <c r="K1129" s="29" t="s">
        <v>17</v>
      </c>
      <c r="L1129" s="75"/>
      <c r="M1129" s="75"/>
      <c r="N1129" s="15"/>
      <c r="O1129" s="44"/>
      <c r="P1129" s="75"/>
    </row>
    <row r="1130" spans="2:16" x14ac:dyDescent="0.3">
      <c r="B1130" s="31" t="s">
        <v>66</v>
      </c>
      <c r="C1130" s="30">
        <f>(C1126/(2*10))^2*PI()</f>
        <v>0.78539816339744828</v>
      </c>
      <c r="D1130" s="29" t="s">
        <v>17</v>
      </c>
      <c r="E1130" s="75"/>
      <c r="F1130" s="75"/>
      <c r="G1130" s="75"/>
      <c r="H1130" s="75"/>
      <c r="I1130" s="19" t="s">
        <v>49</v>
      </c>
      <c r="J1130" s="34">
        <f>C1111*J1129/1000</f>
        <v>106.49999095669399</v>
      </c>
      <c r="K1130" s="16" t="s">
        <v>12</v>
      </c>
      <c r="L1130" s="75"/>
      <c r="M1130" s="39" t="str">
        <f>IF(J1130&gt;J1123,"[OK]","[REDISEÑAR]")</f>
        <v>[OK]</v>
      </c>
      <c r="N1130" s="41" t="str">
        <f>IF(O1130&gt;0,"Sobrado","Faltan")</f>
        <v>Sobrado</v>
      </c>
      <c r="O1130" s="43">
        <f>J1130-J1123</f>
        <v>89.817490956693987</v>
      </c>
      <c r="P1130" s="75"/>
    </row>
    <row r="1131" spans="2:16" x14ac:dyDescent="0.3">
      <c r="B1131" s="31" t="s">
        <v>78</v>
      </c>
      <c r="C1131" s="37">
        <f>2.5/1000*100*C1114/2</f>
        <v>3.125</v>
      </c>
      <c r="D1131" s="16" t="s">
        <v>17</v>
      </c>
      <c r="E1131" s="75"/>
      <c r="F1131" s="75"/>
      <c r="G1131" s="75"/>
      <c r="H1131" s="75"/>
      <c r="J1131" s="75"/>
      <c r="K1131" s="75"/>
      <c r="L1131" s="75"/>
      <c r="M1131" s="75"/>
      <c r="N1131" s="75"/>
      <c r="O1131" s="15"/>
      <c r="P1131" s="75"/>
    </row>
    <row r="1132" spans="2:16" x14ac:dyDescent="0.3">
      <c r="B1132" s="31" t="s">
        <v>114</v>
      </c>
      <c r="C1132" s="37">
        <f>C1130*100/C1127</f>
        <v>5.6099868814103448</v>
      </c>
      <c r="D1132" s="29" t="s">
        <v>32</v>
      </c>
      <c r="E1132" s="75"/>
      <c r="F1132" s="75"/>
      <c r="G1132" s="75"/>
      <c r="H1132" s="75"/>
      <c r="I1132" s="18" t="s">
        <v>77</v>
      </c>
      <c r="J1132" s="75"/>
      <c r="K1132" s="75"/>
      <c r="L1132" s="75"/>
      <c r="M1132" s="17" t="s">
        <v>67</v>
      </c>
      <c r="N1132" s="75"/>
      <c r="O1132" s="75"/>
      <c r="P1132" s="75"/>
    </row>
    <row r="1133" spans="2:16" x14ac:dyDescent="0.3">
      <c r="B1133" s="75"/>
      <c r="C1133" s="75"/>
      <c r="D1133" s="75"/>
      <c r="E1133" s="75"/>
      <c r="F1133" s="75"/>
      <c r="G1133" s="75"/>
      <c r="H1133" s="75"/>
      <c r="I1133" s="19" t="s">
        <v>33</v>
      </c>
      <c r="J1133" s="16">
        <v>0.6</v>
      </c>
      <c r="K1133" s="16" t="s">
        <v>50</v>
      </c>
      <c r="L1133" s="75"/>
      <c r="M1133" s="19" t="s">
        <v>64</v>
      </c>
      <c r="N1133" s="30">
        <f>SQRT(C1109*0.0980665)*(1/0.0980665)/1000*J1135*0.17</f>
        <v>51.211241914522745</v>
      </c>
      <c r="O1133" s="16" t="s">
        <v>12</v>
      </c>
      <c r="P1133" s="75"/>
    </row>
    <row r="1134" spans="2:16" x14ac:dyDescent="0.3">
      <c r="B1134" s="17" t="s">
        <v>37</v>
      </c>
      <c r="C1134" s="75"/>
      <c r="D1134" s="75"/>
      <c r="E1134" s="75"/>
      <c r="F1134" s="75"/>
      <c r="G1134" s="75"/>
      <c r="H1134" s="75"/>
      <c r="I1134" s="19" t="s">
        <v>46</v>
      </c>
      <c r="J1134" s="34">
        <f>J1122/J1133</f>
        <v>38.0563</v>
      </c>
      <c r="K1134" s="16" t="s">
        <v>12</v>
      </c>
      <c r="L1134" s="75"/>
      <c r="M1134" s="19" t="s">
        <v>57</v>
      </c>
      <c r="N1134" s="16">
        <f>IF(C1116/J1113&lt;=1.5,0.25,IF(C1116/J1113&gt;=2,0.17,0.17+(0.25-0.17)/(C1116/J1113-1.5)*C1116/J1113))</f>
        <v>0.25</v>
      </c>
      <c r="O1134" s="29" t="s">
        <v>50</v>
      </c>
      <c r="P1134" s="75"/>
    </row>
    <row r="1135" spans="2:16" x14ac:dyDescent="0.3">
      <c r="B1135" s="31" t="s">
        <v>115</v>
      </c>
      <c r="C1135" s="37">
        <f>O1130</f>
        <v>89.817490956693987</v>
      </c>
      <c r="D1135" s="29" t="s">
        <v>12</v>
      </c>
      <c r="E1135" s="75"/>
      <c r="F1135" s="75"/>
      <c r="G1135" s="75"/>
      <c r="H1135" s="75"/>
      <c r="I1135" s="19" t="s">
        <v>36</v>
      </c>
      <c r="J1135" s="35">
        <f>J1113*C1114*0.8-J1143</f>
        <v>5393.5714311552301</v>
      </c>
      <c r="K1135" s="16" t="s">
        <v>17</v>
      </c>
      <c r="L1135" s="75"/>
      <c r="M1135" s="19" t="s">
        <v>59</v>
      </c>
      <c r="N1135" s="30">
        <f>SQRT(C1109*0.0980665)*(1/0.0980665)/1000*J1135*N1134</f>
        <v>75.31064987429815</v>
      </c>
      <c r="O1135" s="29" t="s">
        <v>12</v>
      </c>
      <c r="P1135" s="75"/>
    </row>
    <row r="1136" spans="2:16" x14ac:dyDescent="0.3">
      <c r="B1136" s="31" t="s">
        <v>116</v>
      </c>
      <c r="C1136" s="37">
        <f>O1145</f>
        <v>140.95493106255552</v>
      </c>
      <c r="D1136" s="29" t="s">
        <v>12</v>
      </c>
      <c r="E1136" s="75"/>
      <c r="F1136" s="75"/>
      <c r="G1136" s="75"/>
      <c r="H1136" s="75"/>
      <c r="I1136" s="19" t="s">
        <v>60</v>
      </c>
      <c r="J1136" s="34">
        <f>MIN(N1135,N1133)</f>
        <v>51.211241914522745</v>
      </c>
      <c r="K1136" s="29" t="s">
        <v>12</v>
      </c>
      <c r="L1136" s="75"/>
      <c r="M1136" s="75"/>
      <c r="N1136" s="75"/>
      <c r="O1136" s="75"/>
      <c r="P1136" s="75"/>
    </row>
    <row r="1137" spans="2:17" x14ac:dyDescent="0.3">
      <c r="B1137" s="19" t="s">
        <v>117</v>
      </c>
      <c r="C1137" s="36">
        <f>C1130*2*C1115/C1127/J1110</f>
        <v>4.4879895051282755E-3</v>
      </c>
      <c r="D1137" s="16" t="s">
        <v>50</v>
      </c>
      <c r="E1137" s="75"/>
      <c r="F1137" s="75"/>
      <c r="G1137" s="75"/>
      <c r="H1137" s="75"/>
      <c r="I1137" s="19" t="s">
        <v>39</v>
      </c>
      <c r="J1137" s="34">
        <f>J1134-J1136</f>
        <v>-13.154941914522745</v>
      </c>
      <c r="K1137" s="16" t="s">
        <v>12</v>
      </c>
      <c r="L1137" s="75"/>
      <c r="M1137" s="75"/>
      <c r="N1137" s="75"/>
      <c r="O1137" s="75"/>
      <c r="P1137" s="75"/>
    </row>
    <row r="1138" spans="2:17" x14ac:dyDescent="0.3">
      <c r="B1138" s="75"/>
      <c r="C1138" s="75"/>
      <c r="D1138" s="75"/>
      <c r="E1138" s="75"/>
      <c r="F1138" s="75"/>
      <c r="G1138" s="75"/>
      <c r="H1138" s="75"/>
      <c r="I1138" s="19" t="s">
        <v>61</v>
      </c>
      <c r="J1138" s="37">
        <f>MAX(J1137/(C1110*J1113/1000/100)/2,C1131)</f>
        <v>3.125</v>
      </c>
      <c r="K1138" s="29" t="s">
        <v>32</v>
      </c>
      <c r="L1138" s="75"/>
      <c r="M1138" s="75"/>
      <c r="N1138" s="75"/>
      <c r="O1138" s="75"/>
      <c r="P1138" s="75"/>
    </row>
    <row r="1139" spans="2:17" x14ac:dyDescent="0.3">
      <c r="B1139" s="75"/>
      <c r="C1139" s="75"/>
      <c r="D1139" s="75"/>
      <c r="E1139" s="75"/>
      <c r="F1139" s="75"/>
      <c r="G1139" s="75"/>
      <c r="H1139" s="75"/>
      <c r="I1139" s="19" t="s">
        <v>65</v>
      </c>
      <c r="J1139" s="36">
        <f>J1138/C1114/100*2</f>
        <v>2.5000000000000001E-3</v>
      </c>
      <c r="K1139" s="16" t="s">
        <v>50</v>
      </c>
      <c r="L1139" s="75"/>
      <c r="M1139" s="75"/>
      <c r="N1139" s="75"/>
      <c r="O1139" s="75"/>
      <c r="P1139" s="75"/>
    </row>
    <row r="1140" spans="2:17" x14ac:dyDescent="0.3">
      <c r="B1140" s="75"/>
      <c r="C1140" s="75"/>
      <c r="D1140" s="75"/>
      <c r="E1140" s="75"/>
      <c r="F1140" s="75"/>
      <c r="G1140" s="75"/>
      <c r="H1140" s="75"/>
      <c r="I1140" s="19" t="s">
        <v>53</v>
      </c>
      <c r="J1140" s="16">
        <f>MAX(0.0025,0.0025*0.5*(2.5-C1114/(C1115*0.8))*(J1139-0.0025))</f>
        <v>2.5000000000000001E-3</v>
      </c>
      <c r="K1140" s="29" t="s">
        <v>50</v>
      </c>
      <c r="L1140" s="75"/>
      <c r="M1140" s="39" t="str">
        <f>IF(OR(J1139&gt;J1140,ABS(J1139-J1140)&lt;0.0001),"[OK]","[REDISEÑAR]")</f>
        <v>[OK]</v>
      </c>
      <c r="N1140" s="75"/>
      <c r="O1140" s="75"/>
      <c r="P1140" s="75"/>
    </row>
    <row r="1141" spans="2:17" x14ac:dyDescent="0.3">
      <c r="B1141" s="75"/>
      <c r="C1141" s="75"/>
      <c r="D1141" s="75"/>
      <c r="E1141" s="75"/>
      <c r="F1141" s="75"/>
      <c r="G1141" s="75"/>
      <c r="H1141" s="75"/>
      <c r="I1141" s="19" t="s">
        <v>47</v>
      </c>
      <c r="J1141" s="34">
        <f>SQRT(C1109*0.0980665)*(1/0.0980665)/1000*0.66*0.8*C1115*C1114</f>
        <v>249.92723308409288</v>
      </c>
      <c r="K1141" s="16" t="s">
        <v>12</v>
      </c>
      <c r="L1141" s="75"/>
      <c r="M1141" s="40" t="s">
        <v>44</v>
      </c>
      <c r="N1141" s="75"/>
      <c r="O1141" s="15"/>
      <c r="P1141" s="75"/>
    </row>
    <row r="1142" spans="2:17" x14ac:dyDescent="0.3">
      <c r="B1142" s="75"/>
      <c r="C1142" s="75"/>
      <c r="D1142" s="75"/>
      <c r="E1142" s="75"/>
      <c r="F1142" s="75"/>
      <c r="G1142" s="75"/>
      <c r="H1142" s="75"/>
      <c r="I1142" s="63" t="s">
        <v>34</v>
      </c>
      <c r="J1142" s="63">
        <f>ROUNDDOWN(1/J1138*C1130*100,0)</f>
        <v>25</v>
      </c>
      <c r="K1142" s="64" t="s">
        <v>5</v>
      </c>
      <c r="L1142" s="75"/>
      <c r="M1142" s="39" t="str">
        <f>IF(OR(J1142&lt;10,J1142&gt;25),"[REDISEÑAR]","[OK")</f>
        <v>[OK</v>
      </c>
      <c r="N1142" s="41" t="s">
        <v>80</v>
      </c>
      <c r="O1142" s="42">
        <f>1/J1138*(C1126/2)^2*PI()</f>
        <v>25.132741228718345</v>
      </c>
      <c r="P1142" s="75" t="str">
        <f>"$\phi$"&amp;C1126&amp;"@"&amp;J1142</f>
        <v>$\phi$10@25</v>
      </c>
    </row>
    <row r="1143" spans="2:17" x14ac:dyDescent="0.3">
      <c r="B1143" s="75"/>
      <c r="C1143" s="75"/>
      <c r="D1143" s="75"/>
      <c r="E1143" s="75"/>
      <c r="F1143" s="75"/>
      <c r="G1143" s="75"/>
      <c r="H1143" s="75"/>
      <c r="I1143" s="31" t="s">
        <v>48</v>
      </c>
      <c r="J1143" s="30">
        <f>C1130*2*IF(J1113/C1127&gt;=1,J1113/C1127,0)</f>
        <v>30.428568844769707</v>
      </c>
      <c r="K1143" s="29" t="s">
        <v>17</v>
      </c>
      <c r="L1143" s="75"/>
      <c r="M1143" s="75"/>
      <c r="N1143" s="15"/>
      <c r="O1143" s="15"/>
      <c r="P1143" s="75"/>
    </row>
    <row r="1144" spans="2:17" x14ac:dyDescent="0.3">
      <c r="B1144" s="75"/>
      <c r="C1144" s="75"/>
      <c r="D1144" s="75"/>
      <c r="E1144" s="75"/>
      <c r="F1144" s="75"/>
      <c r="G1144" s="75"/>
      <c r="H1144" s="75"/>
      <c r="I1144" s="19" t="s">
        <v>81</v>
      </c>
      <c r="J1144" s="34">
        <f>MIN(J1143*C1110/1000,J1141)</f>
        <v>127.79998914803276</v>
      </c>
      <c r="K1144" s="16" t="s">
        <v>12</v>
      </c>
      <c r="L1144" s="75"/>
      <c r="M1144" s="40" t="s">
        <v>82</v>
      </c>
      <c r="N1144" s="15"/>
      <c r="O1144" s="15"/>
      <c r="P1144" s="75"/>
    </row>
    <row r="1145" spans="2:17" x14ac:dyDescent="0.3">
      <c r="B1145" s="75"/>
      <c r="C1145" s="75"/>
      <c r="D1145" s="75"/>
      <c r="E1145" s="75"/>
      <c r="F1145" s="75"/>
      <c r="G1145" s="75"/>
      <c r="H1145" s="75"/>
      <c r="I1145" s="19" t="s">
        <v>79</v>
      </c>
      <c r="J1145" s="34">
        <f>J1144+J1136</f>
        <v>179.01123106255551</v>
      </c>
      <c r="K1145" s="16" t="s">
        <v>12</v>
      </c>
      <c r="L1145" s="75"/>
      <c r="M1145" s="39" t="str">
        <f>IF(J1145&gt;J1134,"[OK]","[REDISEÑAR]")</f>
        <v>[OK]</v>
      </c>
      <c r="N1145" s="41" t="str">
        <f>IF(O1145&gt;0,"Sobrado","Faltan")</f>
        <v>Sobrado</v>
      </c>
      <c r="O1145" s="43">
        <f>J1145-J1134</f>
        <v>140.95493106255552</v>
      </c>
      <c r="P1145" s="75"/>
    </row>
    <row r="1146" spans="2:17" x14ac:dyDescent="0.3">
      <c r="B1146" s="75"/>
      <c r="C1146" s="75"/>
      <c r="D1146" s="75"/>
      <c r="E1146" s="75"/>
      <c r="F1146" s="75"/>
      <c r="G1146" s="75"/>
      <c r="H1146" s="75"/>
      <c r="J1146" s="75"/>
      <c r="K1146" s="75"/>
      <c r="L1146" s="75"/>
      <c r="M1146" s="75"/>
      <c r="N1146" s="75"/>
      <c r="O1146" s="75"/>
      <c r="P1146" s="75"/>
    </row>
    <row r="1147" spans="2:17" x14ac:dyDescent="0.3">
      <c r="B1147" s="75"/>
      <c r="C1147" s="75"/>
      <c r="D1147" s="75"/>
      <c r="E1147" s="75"/>
      <c r="F1147" s="75"/>
      <c r="G1147" s="75"/>
      <c r="H1147" s="75"/>
      <c r="I1147" s="18" t="s">
        <v>45</v>
      </c>
      <c r="J1147" s="75"/>
      <c r="K1147" s="75"/>
      <c r="L1147" s="75"/>
      <c r="M1147" s="75"/>
      <c r="N1147" s="75"/>
      <c r="O1147" s="15"/>
      <c r="P1147" s="75"/>
    </row>
    <row r="1148" spans="2:17" x14ac:dyDescent="0.3">
      <c r="B1148" s="75"/>
      <c r="C1148" s="75"/>
      <c r="D1148" s="75"/>
      <c r="E1148" s="75"/>
      <c r="F1148" s="75"/>
      <c r="G1148" s="75"/>
      <c r="H1148" s="75"/>
      <c r="I1148" s="19" t="s">
        <v>40</v>
      </c>
      <c r="J1148" s="16">
        <f>J1122</f>
        <v>22.833780000000001</v>
      </c>
      <c r="K1148" s="16" t="s">
        <v>12</v>
      </c>
      <c r="L1148" s="75"/>
      <c r="M1148" s="75"/>
      <c r="N1148" s="75"/>
      <c r="O1148" s="26"/>
      <c r="P1148" s="75"/>
    </row>
    <row r="1149" spans="2:17" x14ac:dyDescent="0.3">
      <c r="B1149" s="75"/>
      <c r="C1149" s="75"/>
      <c r="D1149" s="75"/>
      <c r="E1149" s="75"/>
      <c r="F1149" s="75"/>
      <c r="G1149" s="75"/>
      <c r="H1149" s="75"/>
      <c r="I1149" s="19" t="s">
        <v>46</v>
      </c>
      <c r="J1149" s="34">
        <f>J1134</f>
        <v>38.0563</v>
      </c>
      <c r="K1149" s="16" t="s">
        <v>12</v>
      </c>
      <c r="L1149" s="75"/>
      <c r="M1149" s="75"/>
      <c r="N1149" s="75"/>
      <c r="O1149" s="75"/>
      <c r="P1149" s="75"/>
    </row>
    <row r="1150" spans="2:17" x14ac:dyDescent="0.3">
      <c r="B1150" s="75"/>
      <c r="C1150" s="75"/>
      <c r="D1150" s="75"/>
      <c r="E1150" s="75"/>
      <c r="F1150" s="75"/>
      <c r="G1150" s="75"/>
      <c r="H1150" s="75"/>
      <c r="I1150" s="19" t="s">
        <v>38</v>
      </c>
      <c r="J1150" s="34">
        <f>2/3*J1135*SQRT(C1109*0.0980665)*(1/0.0980665)/1000</f>
        <v>200.82839966479511</v>
      </c>
      <c r="K1150" s="16" t="s">
        <v>12</v>
      </c>
      <c r="L1150" s="75"/>
      <c r="M1150" s="39" t="str">
        <f>IF(J1150&gt;J1149,"[OK]","[REDISEÑAR]")</f>
        <v>[OK]</v>
      </c>
      <c r="N1150" s="41" t="str">
        <f>IF(O1150&gt;0,"Sobrado","Faltan")</f>
        <v>Sobrado</v>
      </c>
      <c r="O1150" s="43">
        <f>J1150-J1149</f>
        <v>162.77209966479512</v>
      </c>
      <c r="P1150" s="75"/>
    </row>
    <row r="1152" spans="2:17" ht="18" x14ac:dyDescent="0.35">
      <c r="B1152" s="48" t="str">
        <f>'EJE 15'!$S$30</f>
        <v>EJE 15.C-C1 | PIER F31X | PISO 13</v>
      </c>
      <c r="C1152" s="75"/>
      <c r="D1152" s="75"/>
      <c r="E1152" s="75"/>
      <c r="F1152" s="75"/>
      <c r="G1152" s="75"/>
      <c r="H1152" s="75"/>
      <c r="J1152" s="75"/>
      <c r="K1152" s="75"/>
      <c r="L1152" s="75"/>
      <c r="M1152" s="75"/>
      <c r="N1152" s="75"/>
      <c r="O1152" s="75"/>
      <c r="P1152" s="75"/>
      <c r="Q1152" s="75"/>
    </row>
    <row r="1153" spans="2:17" x14ac:dyDescent="0.3">
      <c r="B1153" s="75"/>
      <c r="C1153" s="75"/>
      <c r="D1153" s="75"/>
      <c r="E1153" s="75"/>
      <c r="F1153" s="75"/>
      <c r="G1153" s="75"/>
      <c r="H1153" s="75"/>
      <c r="J1153" s="75"/>
      <c r="K1153" s="75"/>
      <c r="L1153" s="75"/>
      <c r="M1153" s="75"/>
      <c r="N1153" s="75"/>
      <c r="O1153" s="75"/>
      <c r="P1153" s="75"/>
      <c r="Q1153" s="75"/>
    </row>
    <row r="1154" spans="2:17" x14ac:dyDescent="0.3">
      <c r="B1154" s="17" t="s">
        <v>6</v>
      </c>
      <c r="C1154" s="75"/>
      <c r="D1154" s="75"/>
      <c r="E1154" s="75"/>
      <c r="F1154" s="75"/>
      <c r="G1154" s="75"/>
      <c r="H1154" s="75"/>
      <c r="I1154" s="18" t="s">
        <v>25</v>
      </c>
      <c r="J1154" s="75"/>
      <c r="K1154" s="75"/>
      <c r="L1154" s="75"/>
      <c r="M1154" s="75"/>
      <c r="N1154" s="75"/>
      <c r="O1154" s="75"/>
      <c r="P1154" s="75"/>
      <c r="Q1154" s="75"/>
    </row>
    <row r="1155" spans="2:17" x14ac:dyDescent="0.3">
      <c r="B1155" s="19" t="s">
        <v>99</v>
      </c>
      <c r="C1155" s="61">
        <f>10.1971621297793*'EJE 15'!$G$30</f>
        <v>305.91486389337899</v>
      </c>
      <c r="D1155" s="16" t="s">
        <v>8</v>
      </c>
      <c r="E1155" s="75"/>
      <c r="F1155" s="75"/>
      <c r="G1155" s="75"/>
      <c r="H1155" s="75"/>
      <c r="I1155" s="19" t="s">
        <v>58</v>
      </c>
      <c r="J1155" s="16">
        <f>C1162/16</f>
        <v>14.375</v>
      </c>
      <c r="K1155" s="16" t="s">
        <v>5</v>
      </c>
      <c r="L1155" s="21"/>
      <c r="M1155" s="39" t="str">
        <f>IF(J1155&lt;C1160,"[OK]","[REDISEÑAR]")</f>
        <v>[OK]</v>
      </c>
      <c r="N1155" s="75"/>
      <c r="O1155" s="75"/>
      <c r="P1155" s="75"/>
      <c r="Q1155" s="75"/>
    </row>
    <row r="1156" spans="2:17" x14ac:dyDescent="0.3">
      <c r="B1156" s="19" t="s">
        <v>30</v>
      </c>
      <c r="C1156" s="16">
        <v>4200</v>
      </c>
      <c r="D1156" s="16" t="s">
        <v>8</v>
      </c>
      <c r="E1156" s="75"/>
      <c r="F1156" s="75"/>
      <c r="G1156" s="75"/>
      <c r="H1156" s="75"/>
      <c r="I1156" s="19" t="s">
        <v>16</v>
      </c>
      <c r="J1156" s="16">
        <f>C1160*C1161</f>
        <v>4800</v>
      </c>
      <c r="K1156" s="16" t="s">
        <v>17</v>
      </c>
      <c r="L1156" s="21"/>
      <c r="M1156" s="75"/>
      <c r="N1156" s="75"/>
      <c r="O1156" s="75"/>
      <c r="P1156" s="75"/>
      <c r="Q1156" s="75"/>
    </row>
    <row r="1157" spans="2:17" x14ac:dyDescent="0.3">
      <c r="B1157" s="19" t="s">
        <v>31</v>
      </c>
      <c r="C1157" s="16">
        <v>2800</v>
      </c>
      <c r="D1157" s="16" t="s">
        <v>8</v>
      </c>
      <c r="E1157" s="75"/>
      <c r="F1157" s="75"/>
      <c r="G1157" s="75"/>
      <c r="H1157" s="75"/>
      <c r="I1157" s="19" t="s">
        <v>51</v>
      </c>
      <c r="J1157" s="16">
        <f>MIN(0.8*C1161/5,3*C1160,45)</f>
        <v>30.720000000000006</v>
      </c>
      <c r="K1157" s="16" t="s">
        <v>5</v>
      </c>
      <c r="L1157" s="21"/>
      <c r="M1157" s="39" t="str">
        <f>IF(J1157&gt;C1173,"[OK]","[REDISEÑAR]")</f>
        <v>[OK]</v>
      </c>
      <c r="N1157" s="75"/>
      <c r="O1157" s="75"/>
      <c r="P1157" s="75"/>
      <c r="Q1157" s="75"/>
    </row>
    <row r="1158" spans="2:17" x14ac:dyDescent="0.3">
      <c r="B1158" s="75"/>
      <c r="C1158" s="75"/>
      <c r="D1158" s="75"/>
      <c r="E1158" s="75"/>
      <c r="F1158" s="75"/>
      <c r="G1158" s="75"/>
      <c r="H1158" s="75"/>
      <c r="I1158" s="19" t="s">
        <v>56</v>
      </c>
      <c r="J1158" s="16">
        <f>MIN(0.8*C1162/3,3*C1161,45)</f>
        <v>45</v>
      </c>
      <c r="K1158" s="16" t="s">
        <v>5</v>
      </c>
      <c r="L1158" s="21"/>
      <c r="M1158" s="39" t="str">
        <f>IF(J1158&gt;C1173,"[OK]","[REDISEÑAR]")</f>
        <v>[OK]</v>
      </c>
      <c r="N1158" s="75"/>
      <c r="O1158" s="75"/>
      <c r="P1158" s="75"/>
      <c r="Q1158" s="75"/>
    </row>
    <row r="1159" spans="2:17" x14ac:dyDescent="0.3">
      <c r="B1159" s="17" t="s">
        <v>3</v>
      </c>
      <c r="C1159" s="75"/>
      <c r="D1159" s="75"/>
      <c r="E1159" s="75"/>
      <c r="F1159" s="75"/>
      <c r="G1159" s="75"/>
      <c r="H1159" s="75"/>
      <c r="I1159" s="19" t="s">
        <v>62</v>
      </c>
      <c r="J1159" s="16">
        <f>0.8*C1161</f>
        <v>153.60000000000002</v>
      </c>
      <c r="K1159" s="29" t="s">
        <v>5</v>
      </c>
      <c r="L1159" s="75"/>
      <c r="M1159" s="75"/>
      <c r="N1159" s="75"/>
      <c r="O1159" s="75"/>
      <c r="P1159" s="75"/>
      <c r="Q1159" s="75"/>
    </row>
    <row r="1160" spans="2:17" x14ac:dyDescent="0.3">
      <c r="B1160" s="19" t="str">
        <f>"Espesor del muro (h)"</f>
        <v>Espesor del muro (h)</v>
      </c>
      <c r="C1160" s="49">
        <f>'EJE 15'!$H$30</f>
        <v>25</v>
      </c>
      <c r="D1160" s="16" t="s">
        <v>5</v>
      </c>
      <c r="E1160" s="75"/>
      <c r="F1160" s="75"/>
      <c r="G1160" s="75"/>
      <c r="H1160" s="75"/>
      <c r="J1160" s="75"/>
      <c r="K1160" s="75"/>
      <c r="L1160" s="75"/>
      <c r="M1160" s="75"/>
      <c r="N1160" s="75"/>
      <c r="O1160" s="75"/>
      <c r="P1160" s="75"/>
      <c r="Q1160" s="75"/>
    </row>
    <row r="1161" spans="2:17" x14ac:dyDescent="0.3">
      <c r="B1161" s="19" t="s">
        <v>63</v>
      </c>
      <c r="C1161" s="49">
        <f>'EJE 15'!$I$30</f>
        <v>192</v>
      </c>
      <c r="D1161" s="16" t="s">
        <v>5</v>
      </c>
      <c r="E1161" s="75"/>
      <c r="F1161" s="75"/>
      <c r="G1161" s="75"/>
      <c r="H1161" s="75"/>
      <c r="I1161" s="18" t="s">
        <v>26</v>
      </c>
      <c r="J1161" s="75"/>
      <c r="K1161" s="75"/>
      <c r="L1161" s="75"/>
      <c r="M1161" s="75"/>
      <c r="N1161" s="75"/>
      <c r="O1161" s="75"/>
      <c r="P1161" s="75"/>
      <c r="Q1161" s="75"/>
    </row>
    <row r="1162" spans="2:17" x14ac:dyDescent="0.3">
      <c r="B1162" s="19" t="s">
        <v>10</v>
      </c>
      <c r="C1162" s="49">
        <f>'EJE 15'!$J$30</f>
        <v>230</v>
      </c>
      <c r="D1162" s="16" t="s">
        <v>5</v>
      </c>
      <c r="E1162" s="75"/>
      <c r="F1162" s="75"/>
      <c r="G1162" s="75"/>
      <c r="H1162" s="75"/>
      <c r="I1162" s="19" t="s">
        <v>28</v>
      </c>
      <c r="J1162" s="16">
        <f>0.35*C1155</f>
        <v>107.07020236268264</v>
      </c>
      <c r="K1162" s="16" t="s">
        <v>8</v>
      </c>
      <c r="L1162" s="21"/>
      <c r="M1162" s="75"/>
      <c r="N1162" s="75"/>
      <c r="O1162" s="75"/>
      <c r="P1162" s="75"/>
      <c r="Q1162" s="75"/>
    </row>
    <row r="1163" spans="2:17" x14ac:dyDescent="0.3">
      <c r="B1163" s="75"/>
      <c r="C1163" s="75"/>
      <c r="D1163" s="75"/>
      <c r="E1163" s="75"/>
      <c r="F1163" s="75"/>
      <c r="G1163" s="75"/>
      <c r="H1163" s="75"/>
      <c r="I1163" s="19" t="s">
        <v>27</v>
      </c>
      <c r="J1163" s="30">
        <f>C1165*1000/J1156</f>
        <v>16.5925625</v>
      </c>
      <c r="K1163" s="16" t="s">
        <v>8</v>
      </c>
      <c r="L1163" s="21"/>
      <c r="M1163" s="39" t="str">
        <f>IF(J1163&lt;J1162,"[OK]","[REDISEÑAR]")</f>
        <v>[OK]</v>
      </c>
      <c r="N1163" s="41" t="s">
        <v>112</v>
      </c>
      <c r="O1163" s="59">
        <f>J1163/J1162</f>
        <v>0.1549690028958331</v>
      </c>
      <c r="P1163" s="75"/>
      <c r="Q1163" s="75"/>
    </row>
    <row r="1164" spans="2:17" x14ac:dyDescent="0.3">
      <c r="B1164" s="17" t="s">
        <v>11</v>
      </c>
      <c r="C1164" s="75"/>
      <c r="D1164" s="75"/>
      <c r="E1164" s="75"/>
      <c r="F1164" s="75"/>
      <c r="G1164" s="75"/>
      <c r="H1164" s="75"/>
      <c r="J1164" s="75"/>
      <c r="K1164" s="75"/>
      <c r="L1164" s="75"/>
      <c r="M1164" s="75"/>
      <c r="N1164" s="75"/>
      <c r="O1164" s="75"/>
      <c r="P1164" s="75"/>
      <c r="Q1164" s="75"/>
    </row>
    <row r="1165" spans="2:17" x14ac:dyDescent="0.3">
      <c r="B1165" s="19" t="str">
        <f>"$N_U$"</f>
        <v>$N_U$</v>
      </c>
      <c r="C1165" s="60">
        <f>'EJE 15'!$K$30</f>
        <v>79.644300000000001</v>
      </c>
      <c r="D1165" s="16" t="s">
        <v>12</v>
      </c>
      <c r="E1165" s="75"/>
      <c r="F1165" s="75"/>
      <c r="G1165" s="75"/>
      <c r="H1165" s="75"/>
      <c r="I1165" s="18" t="s">
        <v>54</v>
      </c>
      <c r="J1165" s="75"/>
      <c r="K1165" s="75"/>
      <c r="L1165" s="75"/>
      <c r="M1165" s="75"/>
      <c r="N1165" s="75"/>
      <c r="O1165" s="75"/>
      <c r="P1165" s="75"/>
      <c r="Q1165" s="75"/>
    </row>
    <row r="1166" spans="2:17" x14ac:dyDescent="0.3">
      <c r="B1166" s="19" t="s">
        <v>14</v>
      </c>
      <c r="C1166" s="60">
        <f>'EJE 15'!$L$30</f>
        <v>0.39989999999999998</v>
      </c>
      <c r="D1166" s="16" t="s">
        <v>12</v>
      </c>
      <c r="E1166" s="75"/>
      <c r="F1166" s="75"/>
      <c r="G1166" s="75"/>
      <c r="H1166" s="75"/>
      <c r="I1166" s="19" t="s">
        <v>72</v>
      </c>
      <c r="J1166" s="16">
        <f>1.2*C1166+C1167+1.4*C1168</f>
        <v>6.63002</v>
      </c>
      <c r="K1166" s="16" t="s">
        <v>12</v>
      </c>
      <c r="L1166" s="75"/>
      <c r="M1166" s="75" t="s">
        <v>68</v>
      </c>
      <c r="N1166" s="75"/>
      <c r="O1166" s="75"/>
      <c r="P1166" s="75"/>
      <c r="Q1166" s="75"/>
    </row>
    <row r="1167" spans="2:17" x14ac:dyDescent="0.3">
      <c r="B1167" s="19" t="s">
        <v>13</v>
      </c>
      <c r="C1167" s="60">
        <f>'EJE 15'!$M$30</f>
        <v>0.30149999999999999</v>
      </c>
      <c r="D1167" s="16" t="s">
        <v>12</v>
      </c>
      <c r="E1167" s="75"/>
      <c r="F1167" s="75"/>
      <c r="G1167" s="75"/>
      <c r="H1167" s="75"/>
      <c r="I1167" s="19" t="s">
        <v>69</v>
      </c>
      <c r="J1167" s="16">
        <f>SUM(C1166:C1168)</f>
        <v>4.8789999999999996</v>
      </c>
      <c r="K1167" s="16" t="s">
        <v>12</v>
      </c>
      <c r="L1167" s="75"/>
      <c r="M1167" s="75" t="s">
        <v>70</v>
      </c>
      <c r="N1167" s="75"/>
      <c r="O1167" s="75"/>
      <c r="P1167" s="75"/>
      <c r="Q1167" s="75"/>
    </row>
    <row r="1168" spans="2:17" x14ac:dyDescent="0.3">
      <c r="B1168" s="19" t="s">
        <v>15</v>
      </c>
      <c r="C1168" s="60">
        <f>'EJE 15'!$N$30</f>
        <v>4.1776</v>
      </c>
      <c r="D1168" s="16" t="s">
        <v>12</v>
      </c>
      <c r="E1168" s="75"/>
      <c r="F1168" s="75"/>
      <c r="G1168" s="75"/>
      <c r="H1168" s="75"/>
      <c r="I1168" s="19" t="s">
        <v>73</v>
      </c>
      <c r="J1168" s="16">
        <f>IF(C1169=0,J1166,C1169)</f>
        <v>6.63002</v>
      </c>
      <c r="K1168" s="16" t="s">
        <v>12</v>
      </c>
      <c r="L1168" s="75"/>
      <c r="M1168" s="40" t="s">
        <v>74</v>
      </c>
      <c r="N1168" s="75"/>
      <c r="O1168" s="75"/>
      <c r="P1168" s="75"/>
      <c r="Q1168" s="75"/>
    </row>
    <row r="1169" spans="2:17" x14ac:dyDescent="0.3">
      <c r="B1169" s="19" t="s">
        <v>55</v>
      </c>
      <c r="C1169" s="16">
        <v>0</v>
      </c>
      <c r="D1169" s="16" t="s">
        <v>12</v>
      </c>
      <c r="E1169" s="75"/>
      <c r="F1169" s="75"/>
      <c r="G1169" s="75"/>
      <c r="H1169" s="75"/>
      <c r="I1169" s="19" t="s">
        <v>71</v>
      </c>
      <c r="J1169" s="16">
        <f>IF(C1169=0,J1167,C1169)</f>
        <v>4.8789999999999996</v>
      </c>
      <c r="K1169" s="16" t="s">
        <v>12</v>
      </c>
      <c r="L1169" s="75"/>
      <c r="M1169" s="40" t="s">
        <v>75</v>
      </c>
      <c r="N1169" s="75"/>
      <c r="O1169" s="75"/>
      <c r="P1169" s="75"/>
      <c r="Q1169" s="75"/>
    </row>
    <row r="1170" spans="2:17" x14ac:dyDescent="0.3">
      <c r="B1170" s="75"/>
      <c r="C1170" s="75"/>
      <c r="D1170" s="75"/>
      <c r="E1170" s="75"/>
      <c r="F1170" s="75"/>
      <c r="G1170" s="75"/>
      <c r="H1170" s="75"/>
      <c r="J1170" s="75"/>
      <c r="K1170" s="75"/>
      <c r="L1170" s="75"/>
      <c r="M1170" s="75"/>
      <c r="N1170" s="75"/>
      <c r="O1170" s="75"/>
      <c r="P1170" s="75"/>
      <c r="Q1170" s="75"/>
    </row>
    <row r="1171" spans="2:17" x14ac:dyDescent="0.3">
      <c r="B1171" s="33" t="s">
        <v>42</v>
      </c>
      <c r="C1171" s="75"/>
      <c r="D1171" s="75"/>
      <c r="E1171" s="75"/>
      <c r="F1171" s="75"/>
      <c r="G1171" s="75"/>
      <c r="H1171" s="75"/>
      <c r="I1171" s="27" t="s">
        <v>76</v>
      </c>
      <c r="J1171" s="75"/>
      <c r="K1171" s="75"/>
      <c r="L1171" s="75"/>
      <c r="M1171" s="75"/>
      <c r="N1171" s="75"/>
      <c r="O1171" s="75"/>
      <c r="P1171" s="75"/>
      <c r="Q1171" s="75"/>
    </row>
    <row r="1172" spans="2:17" x14ac:dyDescent="0.3">
      <c r="B1172" s="31" t="s">
        <v>41</v>
      </c>
      <c r="C1172" s="16">
        <v>10</v>
      </c>
      <c r="D1172" s="29" t="s">
        <v>35</v>
      </c>
      <c r="E1172" s="75"/>
      <c r="F1172" s="75"/>
      <c r="G1172" s="75"/>
      <c r="H1172" s="75"/>
      <c r="I1172" s="19" t="s">
        <v>29</v>
      </c>
      <c r="J1172" s="30">
        <f>J1169*1000/J1156</f>
        <v>1.0164583333333332</v>
      </c>
      <c r="K1172" s="29" t="s">
        <v>8</v>
      </c>
      <c r="L1172" s="75"/>
      <c r="M1172" s="75"/>
      <c r="N1172" s="75"/>
      <c r="O1172" s="75"/>
      <c r="P1172" s="75"/>
      <c r="Q1172" s="75"/>
    </row>
    <row r="1173" spans="2:17" x14ac:dyDescent="0.3">
      <c r="B1173" s="31" t="s">
        <v>43</v>
      </c>
      <c r="C1173" s="16">
        <v>14</v>
      </c>
      <c r="D1173" s="29" t="s">
        <v>5</v>
      </c>
      <c r="E1173" s="75"/>
      <c r="F1173" s="39" t="str">
        <f>IF(OR(C1173&gt;25,C1173&lt;10),"[REDISEÑAR]",IF(AND(C1173&lt;=J1174,C1173&lt;=J1188),"[OK]","[REDISEÑAR]"))</f>
        <v>[OK]</v>
      </c>
      <c r="G1173" s="75"/>
      <c r="H1173" s="75"/>
      <c r="I1173" s="19" t="s">
        <v>61</v>
      </c>
      <c r="J1173" s="37">
        <f>MAX(J1172*100*C1160/(2*C1157),C1177)</f>
        <v>3.125</v>
      </c>
      <c r="K1173" s="29" t="s">
        <v>32</v>
      </c>
      <c r="L1173" s="75"/>
      <c r="M1173" s="15"/>
      <c r="N1173" s="15"/>
      <c r="O1173" s="15"/>
      <c r="P1173" s="75"/>
      <c r="Q1173" s="75"/>
    </row>
    <row r="1174" spans="2:17" x14ac:dyDescent="0.3">
      <c r="B1174" s="75"/>
      <c r="C1174" s="50" t="str">
        <f>"$\phi$"&amp;C1172&amp;"@"&amp;C1173</f>
        <v>$\phi$10@14</v>
      </c>
      <c r="D1174" s="75"/>
      <c r="E1174" s="75"/>
      <c r="F1174" s="39" t="str">
        <f>IF(OR(J1173=C1177,J1184=C1177),"[ÁREA MINIMA]","[]")</f>
        <v>[ÁREA MINIMA]</v>
      </c>
      <c r="G1174" s="75"/>
      <c r="H1174" s="75"/>
      <c r="I1174" s="63" t="s">
        <v>34</v>
      </c>
      <c r="J1174" s="63">
        <f>ROUNDDOWN((1/J1173)*C1176*100,0)</f>
        <v>25</v>
      </c>
      <c r="K1174" s="64" t="s">
        <v>5</v>
      </c>
      <c r="L1174" s="75"/>
      <c r="M1174" s="39" t="str">
        <f>IF(OR(J1174&lt;10,J1174&gt;25),"[REDISEÑAR]","[OK")</f>
        <v>[OK</v>
      </c>
      <c r="N1174" s="41" t="s">
        <v>80</v>
      </c>
      <c r="O1174" s="42">
        <f>1/J1173*(C1172/2)^2*PI()</f>
        <v>25.132741228718345</v>
      </c>
      <c r="P1174" s="75" t="str">
        <f>"$\phi$"&amp;C1172&amp;"@"&amp;J1174</f>
        <v>$\phi$10@25</v>
      </c>
      <c r="Q1174" s="75"/>
    </row>
    <row r="1175" spans="2:17" x14ac:dyDescent="0.3">
      <c r="B1175" s="18" t="s">
        <v>52</v>
      </c>
      <c r="C1175" s="75"/>
      <c r="D1175" s="75"/>
      <c r="E1175" s="75"/>
      <c r="F1175" s="62" t="str">
        <f>IF(J1163&lt;J1162,IF(J1191&gt;J1180,"[OK]","[REDISEÑAR]"),"[REDISEÑAR]")</f>
        <v>[OK]</v>
      </c>
      <c r="G1175" s="75"/>
      <c r="H1175" s="75"/>
      <c r="I1175" s="31" t="s">
        <v>48</v>
      </c>
      <c r="J1175" s="30">
        <f>C1176*2*IF(C1161/C1173&gt;=1,C1161/C1173,0)</f>
        <v>21.542349624615724</v>
      </c>
      <c r="K1175" s="29" t="s">
        <v>17</v>
      </c>
      <c r="L1175" s="75"/>
      <c r="M1175" s="75"/>
      <c r="N1175" s="15"/>
      <c r="O1175" s="44"/>
      <c r="P1175" s="75"/>
      <c r="Q1175" s="75"/>
    </row>
    <row r="1176" spans="2:17" x14ac:dyDescent="0.3">
      <c r="B1176" s="31" t="s">
        <v>66</v>
      </c>
      <c r="C1176" s="30">
        <f>(C1172/(2*10))^2*PI()</f>
        <v>0.78539816339744828</v>
      </c>
      <c r="D1176" s="29" t="s">
        <v>17</v>
      </c>
      <c r="E1176" s="75"/>
      <c r="F1176" s="75"/>
      <c r="G1176" s="75"/>
      <c r="H1176" s="75"/>
      <c r="I1176" s="19" t="s">
        <v>49</v>
      </c>
      <c r="J1176" s="34">
        <f>C1157*J1175/1000</f>
        <v>60.318578948924028</v>
      </c>
      <c r="K1176" s="16" t="s">
        <v>12</v>
      </c>
      <c r="L1176" s="75"/>
      <c r="M1176" s="39" t="str">
        <f>IF(J1176&gt;J1169,"[OK]","[REDISEÑAR]")</f>
        <v>[OK]</v>
      </c>
      <c r="N1176" s="41" t="str">
        <f>IF(O1176&gt;0,"Sobrado","Faltan")</f>
        <v>Sobrado</v>
      </c>
      <c r="O1176" s="43">
        <f>J1176-J1169</f>
        <v>55.43957894892403</v>
      </c>
      <c r="P1176" s="75"/>
      <c r="Q1176" s="75"/>
    </row>
    <row r="1177" spans="2:17" x14ac:dyDescent="0.3">
      <c r="B1177" s="31" t="s">
        <v>78</v>
      </c>
      <c r="C1177" s="37">
        <f>2.5/1000*100*C1160/2</f>
        <v>3.125</v>
      </c>
      <c r="D1177" s="16" t="s">
        <v>17</v>
      </c>
      <c r="E1177" s="75"/>
      <c r="F1177" s="75"/>
      <c r="G1177" s="75"/>
      <c r="H1177" s="75"/>
      <c r="J1177" s="75"/>
      <c r="K1177" s="75"/>
      <c r="L1177" s="75"/>
      <c r="M1177" s="75"/>
      <c r="N1177" s="75"/>
      <c r="O1177" s="15"/>
      <c r="P1177" s="75"/>
      <c r="Q1177" s="75"/>
    </row>
    <row r="1178" spans="2:17" x14ac:dyDescent="0.3">
      <c r="B1178" s="31" t="s">
        <v>114</v>
      </c>
      <c r="C1178" s="37">
        <f>C1176*100/C1173</f>
        <v>5.6099868814103448</v>
      </c>
      <c r="D1178" s="29" t="s">
        <v>32</v>
      </c>
      <c r="E1178" s="75"/>
      <c r="F1178" s="75"/>
      <c r="G1178" s="75"/>
      <c r="H1178" s="75"/>
      <c r="I1178" s="18" t="s">
        <v>77</v>
      </c>
      <c r="J1178" s="75"/>
      <c r="K1178" s="75"/>
      <c r="L1178" s="75"/>
      <c r="M1178" s="17" t="s">
        <v>67</v>
      </c>
      <c r="N1178" s="75"/>
      <c r="O1178" s="75"/>
      <c r="P1178" s="75"/>
      <c r="Q1178" s="75"/>
    </row>
    <row r="1179" spans="2:17" x14ac:dyDescent="0.3">
      <c r="B1179" s="75"/>
      <c r="C1179" s="75"/>
      <c r="D1179" s="75"/>
      <c r="E1179" s="75"/>
      <c r="F1179" s="75"/>
      <c r="G1179" s="75"/>
      <c r="H1179" s="75"/>
      <c r="I1179" s="19" t="s">
        <v>33</v>
      </c>
      <c r="J1179" s="16">
        <v>0.6</v>
      </c>
      <c r="K1179" s="16" t="s">
        <v>50</v>
      </c>
      <c r="L1179" s="75"/>
      <c r="M1179" s="19" t="s">
        <v>64</v>
      </c>
      <c r="N1179" s="30">
        <f>SQRT(C1155*0.0980665)*(1/0.0980665)/1000*J1181*0.17</f>
        <v>29.004597190526159</v>
      </c>
      <c r="O1179" s="16" t="s">
        <v>12</v>
      </c>
      <c r="P1179" s="75"/>
      <c r="Q1179" s="75"/>
    </row>
    <row r="1180" spans="2:17" x14ac:dyDescent="0.3">
      <c r="B1180" s="17" t="s">
        <v>37</v>
      </c>
      <c r="C1180" s="75"/>
      <c r="D1180" s="75"/>
      <c r="E1180" s="75"/>
      <c r="F1180" s="75"/>
      <c r="G1180" s="75"/>
      <c r="H1180" s="75"/>
      <c r="I1180" s="19" t="s">
        <v>46</v>
      </c>
      <c r="J1180" s="34">
        <f>J1168/J1179</f>
        <v>11.050033333333333</v>
      </c>
      <c r="K1180" s="16" t="s">
        <v>12</v>
      </c>
      <c r="L1180" s="75"/>
      <c r="M1180" s="19" t="s">
        <v>57</v>
      </c>
      <c r="N1180" s="16">
        <f>IF(C1162/J1159&lt;=1.5,0.25,IF(C1162/J1159&gt;=2,0.17,0.17+(0.25-0.17)/(C1162/J1159-1.5)*C1162/J1159))</f>
        <v>0.25</v>
      </c>
      <c r="O1180" s="29" t="s">
        <v>50</v>
      </c>
      <c r="P1180" s="75"/>
      <c r="Q1180" s="75"/>
    </row>
    <row r="1181" spans="2:17" x14ac:dyDescent="0.3">
      <c r="B1181" s="31" t="s">
        <v>115</v>
      </c>
      <c r="C1181" s="37">
        <f>O1176</f>
        <v>55.43957894892403</v>
      </c>
      <c r="D1181" s="29" t="s">
        <v>12</v>
      </c>
      <c r="E1181" s="75"/>
      <c r="F1181" s="75"/>
      <c r="G1181" s="75"/>
      <c r="H1181" s="75"/>
      <c r="I1181" s="19" t="s">
        <v>36</v>
      </c>
      <c r="J1181" s="35">
        <f>J1159*C1160*0.8-J1189</f>
        <v>3054.7661203003076</v>
      </c>
      <c r="K1181" s="16" t="s">
        <v>17</v>
      </c>
      <c r="L1181" s="75"/>
      <c r="M1181" s="19" t="s">
        <v>59</v>
      </c>
      <c r="N1181" s="30">
        <f>SQRT(C1155*0.0980665)*(1/0.0980665)/1000*J1181*N1180</f>
        <v>42.653819397832585</v>
      </c>
      <c r="O1181" s="29" t="s">
        <v>12</v>
      </c>
      <c r="P1181" s="75"/>
      <c r="Q1181" s="75"/>
    </row>
    <row r="1182" spans="2:17" x14ac:dyDescent="0.3">
      <c r="B1182" s="31" t="s">
        <v>116</v>
      </c>
      <c r="C1182" s="37">
        <f>O1191</f>
        <v>90.336858595901674</v>
      </c>
      <c r="D1182" s="29" t="s">
        <v>12</v>
      </c>
      <c r="E1182" s="75"/>
      <c r="F1182" s="75"/>
      <c r="G1182" s="75"/>
      <c r="H1182" s="75"/>
      <c r="I1182" s="19" t="s">
        <v>60</v>
      </c>
      <c r="J1182" s="34">
        <f>MIN(N1181,N1179)</f>
        <v>29.004597190526159</v>
      </c>
      <c r="K1182" s="29" t="s">
        <v>12</v>
      </c>
      <c r="L1182" s="75"/>
      <c r="M1182" s="75"/>
      <c r="N1182" s="75"/>
      <c r="O1182" s="75"/>
      <c r="P1182" s="75"/>
      <c r="Q1182" s="75"/>
    </row>
    <row r="1183" spans="2:17" x14ac:dyDescent="0.3">
      <c r="B1183" s="19" t="s">
        <v>117</v>
      </c>
      <c r="C1183" s="36">
        <f>C1176*2*C1161/C1173/J1156</f>
        <v>4.4879895051282755E-3</v>
      </c>
      <c r="D1183" s="16" t="s">
        <v>50</v>
      </c>
      <c r="E1183" s="75"/>
      <c r="F1183" s="75"/>
      <c r="G1183" s="75"/>
      <c r="H1183" s="75"/>
      <c r="I1183" s="19" t="s">
        <v>39</v>
      </c>
      <c r="J1183" s="34">
        <f>J1180-J1182</f>
        <v>-17.954563857192824</v>
      </c>
      <c r="K1183" s="16" t="s">
        <v>12</v>
      </c>
      <c r="L1183" s="75"/>
      <c r="M1183" s="75"/>
      <c r="N1183" s="75"/>
      <c r="O1183" s="75"/>
      <c r="P1183" s="75"/>
      <c r="Q1183" s="75"/>
    </row>
    <row r="1184" spans="2:17" x14ac:dyDescent="0.3">
      <c r="B1184" s="75"/>
      <c r="C1184" s="75"/>
      <c r="D1184" s="75"/>
      <c r="E1184" s="75"/>
      <c r="F1184" s="75"/>
      <c r="G1184" s="75"/>
      <c r="H1184" s="75"/>
      <c r="I1184" s="19" t="s">
        <v>61</v>
      </c>
      <c r="J1184" s="37">
        <f>MAX(J1183/(C1156*J1159/1000/100)/2,C1177)</f>
        <v>3.125</v>
      </c>
      <c r="K1184" s="29" t="s">
        <v>32</v>
      </c>
      <c r="L1184" s="75"/>
      <c r="M1184" s="75"/>
      <c r="N1184" s="75"/>
      <c r="O1184" s="75"/>
      <c r="P1184" s="75"/>
      <c r="Q1184" s="75"/>
    </row>
    <row r="1185" spans="2:17" x14ac:dyDescent="0.3">
      <c r="B1185" s="75"/>
      <c r="C1185" s="75"/>
      <c r="D1185" s="75"/>
      <c r="E1185" s="75"/>
      <c r="F1185" s="75"/>
      <c r="G1185" s="75"/>
      <c r="H1185" s="75"/>
      <c r="I1185" s="19" t="s">
        <v>65</v>
      </c>
      <c r="J1185" s="36">
        <f>J1184/C1160/100*2</f>
        <v>2.5000000000000001E-3</v>
      </c>
      <c r="K1185" s="16" t="s">
        <v>50</v>
      </c>
      <c r="L1185" s="75"/>
      <c r="M1185" s="75"/>
      <c r="N1185" s="75"/>
      <c r="O1185" s="75"/>
      <c r="P1185" s="75"/>
      <c r="Q1185" s="75"/>
    </row>
    <row r="1186" spans="2:17" x14ac:dyDescent="0.3">
      <c r="B1186" s="75"/>
      <c r="C1186" s="75"/>
      <c r="D1186" s="75"/>
      <c r="E1186" s="75"/>
      <c r="F1186" s="75"/>
      <c r="G1186" s="75"/>
      <c r="H1186" s="75"/>
      <c r="I1186" s="19" t="s">
        <v>53</v>
      </c>
      <c r="J1186" s="16">
        <f>MAX(0.0025,0.0025*0.5*(2.5-C1160/(C1161*0.8))*(J1185-0.0025))</f>
        <v>2.5000000000000001E-3</v>
      </c>
      <c r="K1186" s="29" t="s">
        <v>50</v>
      </c>
      <c r="L1186" s="75"/>
      <c r="M1186" s="39" t="str">
        <f>IF(OR(J1185&gt;J1186,ABS(J1185-J1186)&lt;0.0001),"[OK]","[REDISEÑAR]")</f>
        <v>[OK]</v>
      </c>
      <c r="N1186" s="75"/>
      <c r="O1186" s="75"/>
      <c r="P1186" s="75"/>
      <c r="Q1186" s="75"/>
    </row>
    <row r="1187" spans="2:17" x14ac:dyDescent="0.3">
      <c r="B1187" s="75"/>
      <c r="C1187" s="75"/>
      <c r="D1187" s="75"/>
      <c r="E1187" s="75"/>
      <c r="F1187" s="75"/>
      <c r="G1187" s="75"/>
      <c r="H1187" s="75"/>
      <c r="I1187" s="19" t="s">
        <v>47</v>
      </c>
      <c r="J1187" s="34">
        <f>SQRT(C1155*0.0980665)*(1/0.0980665)/1000*0.66*0.8*C1161*C1160</f>
        <v>141.55170723346853</v>
      </c>
      <c r="K1187" s="16" t="s">
        <v>12</v>
      </c>
      <c r="L1187" s="75"/>
      <c r="M1187" s="40" t="s">
        <v>44</v>
      </c>
      <c r="N1187" s="75"/>
      <c r="O1187" s="15"/>
      <c r="P1187" s="75"/>
      <c r="Q1187" s="75"/>
    </row>
    <row r="1188" spans="2:17" x14ac:dyDescent="0.3">
      <c r="B1188" s="75"/>
      <c r="C1188" s="75"/>
      <c r="D1188" s="75"/>
      <c r="E1188" s="75"/>
      <c r="F1188" s="75"/>
      <c r="G1188" s="75"/>
      <c r="H1188" s="75"/>
      <c r="I1188" s="63" t="s">
        <v>34</v>
      </c>
      <c r="J1188" s="63">
        <f>ROUNDDOWN(1/J1184*C1176*100,0)</f>
        <v>25</v>
      </c>
      <c r="K1188" s="64" t="s">
        <v>5</v>
      </c>
      <c r="L1188" s="75"/>
      <c r="M1188" s="39" t="str">
        <f>IF(OR(J1188&lt;10,J1188&gt;25),"[REDISEÑAR]","[OK")</f>
        <v>[OK</v>
      </c>
      <c r="N1188" s="41" t="s">
        <v>80</v>
      </c>
      <c r="O1188" s="42">
        <f>1/J1184*(C1172/2)^2*PI()</f>
        <v>25.132741228718345</v>
      </c>
      <c r="P1188" s="75" t="str">
        <f>"$\phi$"&amp;C1172&amp;"@"&amp;J1188</f>
        <v>$\phi$10@25</v>
      </c>
      <c r="Q1188" s="75"/>
    </row>
    <row r="1189" spans="2:17" x14ac:dyDescent="0.3">
      <c r="B1189" s="75"/>
      <c r="C1189" s="75"/>
      <c r="D1189" s="75"/>
      <c r="E1189" s="75"/>
      <c r="F1189" s="75"/>
      <c r="G1189" s="75"/>
      <c r="H1189" s="75"/>
      <c r="I1189" s="31" t="s">
        <v>48</v>
      </c>
      <c r="J1189" s="30">
        <f>C1176*2*IF(J1159/C1173&gt;=1,J1159/C1173,0)</f>
        <v>17.233879699692583</v>
      </c>
      <c r="K1189" s="29" t="s">
        <v>17</v>
      </c>
      <c r="L1189" s="75"/>
      <c r="M1189" s="75"/>
      <c r="N1189" s="15"/>
      <c r="O1189" s="15"/>
      <c r="P1189" s="75"/>
      <c r="Q1189" s="75"/>
    </row>
    <row r="1190" spans="2:17" x14ac:dyDescent="0.3">
      <c r="B1190" s="75"/>
      <c r="C1190" s="75"/>
      <c r="D1190" s="75"/>
      <c r="E1190" s="75"/>
      <c r="F1190" s="75"/>
      <c r="G1190" s="75"/>
      <c r="H1190" s="75"/>
      <c r="I1190" s="19" t="s">
        <v>81</v>
      </c>
      <c r="J1190" s="34">
        <f>MIN(J1189*C1156/1000,J1187)</f>
        <v>72.38229473870885</v>
      </c>
      <c r="K1190" s="16" t="s">
        <v>12</v>
      </c>
      <c r="L1190" s="75"/>
      <c r="M1190" s="40" t="s">
        <v>82</v>
      </c>
      <c r="N1190" s="15"/>
      <c r="O1190" s="15"/>
      <c r="P1190" s="75"/>
      <c r="Q1190" s="75"/>
    </row>
    <row r="1191" spans="2:17" x14ac:dyDescent="0.3">
      <c r="B1191" s="75"/>
      <c r="C1191" s="75"/>
      <c r="D1191" s="75"/>
      <c r="E1191" s="75"/>
      <c r="F1191" s="75"/>
      <c r="G1191" s="75"/>
      <c r="H1191" s="75"/>
      <c r="I1191" s="19" t="s">
        <v>79</v>
      </c>
      <c r="J1191" s="34">
        <f>J1190+J1182</f>
        <v>101.38689192923501</v>
      </c>
      <c r="K1191" s="16" t="s">
        <v>12</v>
      </c>
      <c r="L1191" s="75"/>
      <c r="M1191" s="39" t="str">
        <f>IF(J1191&gt;J1180,"[OK]","[REDISEÑAR]")</f>
        <v>[OK]</v>
      </c>
      <c r="N1191" s="41" t="str">
        <f>IF(O1191&gt;0,"Sobrado","Faltan")</f>
        <v>Sobrado</v>
      </c>
      <c r="O1191" s="43">
        <f>J1191-J1180</f>
        <v>90.336858595901674</v>
      </c>
      <c r="P1191" s="75"/>
      <c r="Q1191" s="75"/>
    </row>
    <row r="1192" spans="2:17" x14ac:dyDescent="0.3">
      <c r="B1192" s="75"/>
      <c r="C1192" s="75"/>
      <c r="D1192" s="75"/>
      <c r="E1192" s="75"/>
      <c r="F1192" s="75"/>
      <c r="G1192" s="75"/>
      <c r="H1192" s="75"/>
      <c r="J1192" s="75"/>
      <c r="K1192" s="75"/>
      <c r="L1192" s="75"/>
      <c r="M1192" s="75"/>
      <c r="N1192" s="75"/>
      <c r="O1192" s="75"/>
      <c r="P1192" s="75"/>
      <c r="Q1192" s="75"/>
    </row>
    <row r="1193" spans="2:17" x14ac:dyDescent="0.3">
      <c r="B1193" s="75"/>
      <c r="C1193" s="75"/>
      <c r="D1193" s="75"/>
      <c r="E1193" s="75"/>
      <c r="F1193" s="75"/>
      <c r="G1193" s="75"/>
      <c r="H1193" s="75"/>
      <c r="I1193" s="18" t="s">
        <v>45</v>
      </c>
      <c r="J1193" s="75"/>
      <c r="K1193" s="75"/>
      <c r="L1193" s="75"/>
      <c r="M1193" s="75"/>
      <c r="N1193" s="75"/>
      <c r="O1193" s="15"/>
      <c r="P1193" s="75"/>
      <c r="Q1193" s="75"/>
    </row>
    <row r="1194" spans="2:17" x14ac:dyDescent="0.3">
      <c r="B1194" s="75"/>
      <c r="C1194" s="75"/>
      <c r="D1194" s="75"/>
      <c r="E1194" s="75"/>
      <c r="F1194" s="75"/>
      <c r="G1194" s="75"/>
      <c r="H1194" s="75"/>
      <c r="I1194" s="19" t="s">
        <v>40</v>
      </c>
      <c r="J1194" s="16">
        <f>J1168</f>
        <v>6.63002</v>
      </c>
      <c r="K1194" s="16" t="s">
        <v>12</v>
      </c>
      <c r="L1194" s="75"/>
      <c r="M1194" s="75"/>
      <c r="N1194" s="75"/>
      <c r="O1194" s="26"/>
      <c r="P1194" s="75"/>
      <c r="Q1194" s="75"/>
    </row>
    <row r="1195" spans="2:17" x14ac:dyDescent="0.3">
      <c r="B1195" s="75"/>
      <c r="C1195" s="75"/>
      <c r="D1195" s="75"/>
      <c r="E1195" s="75"/>
      <c r="F1195" s="75"/>
      <c r="G1195" s="75"/>
      <c r="H1195" s="75"/>
      <c r="I1195" s="19" t="s">
        <v>46</v>
      </c>
      <c r="J1195" s="34">
        <f>J1180</f>
        <v>11.050033333333333</v>
      </c>
      <c r="K1195" s="16" t="s">
        <v>12</v>
      </c>
      <c r="L1195" s="75"/>
      <c r="M1195" s="75"/>
      <c r="N1195" s="75"/>
      <c r="O1195" s="75"/>
      <c r="P1195" s="75"/>
      <c r="Q1195" s="75"/>
    </row>
    <row r="1196" spans="2:17" x14ac:dyDescent="0.3">
      <c r="B1196" s="75"/>
      <c r="C1196" s="75"/>
      <c r="D1196" s="75"/>
      <c r="E1196" s="75"/>
      <c r="F1196" s="75"/>
      <c r="G1196" s="75"/>
      <c r="H1196" s="75"/>
      <c r="I1196" s="19" t="s">
        <v>38</v>
      </c>
      <c r="J1196" s="34">
        <f>2/3*J1181*SQRT(C1155*0.0980665)*(1/0.0980665)/1000</f>
        <v>113.74351839422023</v>
      </c>
      <c r="K1196" s="16" t="s">
        <v>12</v>
      </c>
      <c r="L1196" s="75"/>
      <c r="M1196" s="39" t="str">
        <f>IF(J1196&gt;J1195,"[OK]","[REDISEÑAR]")</f>
        <v>[OK]</v>
      </c>
      <c r="N1196" s="41" t="str">
        <f>IF(O1196&gt;0,"Sobrado","Faltan")</f>
        <v>Sobrado</v>
      </c>
      <c r="O1196" s="43">
        <f>J1196-J1195</f>
        <v>102.6934850608869</v>
      </c>
      <c r="P1196" s="75"/>
      <c r="Q1196" s="75"/>
    </row>
    <row r="1198" spans="2:17" ht="18" x14ac:dyDescent="0.35">
      <c r="B1198" s="48" t="str">
        <f>'EJE 15'!$S$31</f>
        <v>EJE 15.G-L | PIER F33X | PISO 13</v>
      </c>
      <c r="C1198" s="75"/>
      <c r="D1198" s="75"/>
      <c r="E1198" s="75"/>
      <c r="F1198" s="75"/>
      <c r="G1198" s="75"/>
      <c r="H1198" s="75"/>
      <c r="J1198" s="75"/>
      <c r="K1198" s="75"/>
      <c r="L1198" s="75"/>
      <c r="M1198" s="75"/>
      <c r="N1198" s="75"/>
      <c r="O1198" s="75"/>
      <c r="P1198" s="75"/>
      <c r="Q1198" s="75"/>
    </row>
    <row r="1199" spans="2:17" x14ac:dyDescent="0.3">
      <c r="B1199" s="75"/>
      <c r="C1199" s="75"/>
      <c r="D1199" s="75"/>
      <c r="E1199" s="75"/>
      <c r="F1199" s="75"/>
      <c r="G1199" s="75"/>
      <c r="H1199" s="75"/>
      <c r="J1199" s="75"/>
      <c r="K1199" s="75"/>
      <c r="L1199" s="75"/>
      <c r="M1199" s="75"/>
      <c r="N1199" s="75"/>
      <c r="O1199" s="75"/>
      <c r="P1199" s="75"/>
      <c r="Q1199" s="75"/>
    </row>
    <row r="1200" spans="2:17" x14ac:dyDescent="0.3">
      <c r="B1200" s="17" t="s">
        <v>6</v>
      </c>
      <c r="C1200" s="75"/>
      <c r="D1200" s="75"/>
      <c r="E1200" s="75"/>
      <c r="F1200" s="75"/>
      <c r="G1200" s="75"/>
      <c r="H1200" s="75"/>
      <c r="I1200" s="18" t="s">
        <v>25</v>
      </c>
      <c r="J1200" s="75"/>
      <c r="K1200" s="75"/>
      <c r="L1200" s="75"/>
      <c r="M1200" s="75"/>
      <c r="N1200" s="75"/>
      <c r="O1200" s="75"/>
      <c r="P1200" s="75"/>
      <c r="Q1200" s="75"/>
    </row>
    <row r="1201" spans="2:17" x14ac:dyDescent="0.3">
      <c r="B1201" s="19" t="s">
        <v>99</v>
      </c>
      <c r="C1201" s="61">
        <f>10.1971621297793*'EJE 15'!$G$31</f>
        <v>305.91486389337899</v>
      </c>
      <c r="D1201" s="16" t="s">
        <v>8</v>
      </c>
      <c r="E1201" s="75"/>
      <c r="F1201" s="75"/>
      <c r="G1201" s="75"/>
      <c r="H1201" s="75"/>
      <c r="I1201" s="19" t="s">
        <v>58</v>
      </c>
      <c r="J1201" s="16">
        <f>C1208/16</f>
        <v>14.375</v>
      </c>
      <c r="K1201" s="16" t="s">
        <v>5</v>
      </c>
      <c r="L1201" s="21"/>
      <c r="M1201" s="39" t="str">
        <f>IF(J1201&lt;C1206,"[OK]","[REDISEÑAR]")</f>
        <v>[OK]</v>
      </c>
      <c r="N1201" s="75"/>
      <c r="O1201" s="75"/>
      <c r="P1201" s="75"/>
      <c r="Q1201" s="75"/>
    </row>
    <row r="1202" spans="2:17" x14ac:dyDescent="0.3">
      <c r="B1202" s="19" t="s">
        <v>30</v>
      </c>
      <c r="C1202" s="16">
        <v>4200</v>
      </c>
      <c r="D1202" s="16" t="s">
        <v>8</v>
      </c>
      <c r="E1202" s="75"/>
      <c r="F1202" s="75"/>
      <c r="G1202" s="75"/>
      <c r="H1202" s="75"/>
      <c r="I1202" s="19" t="s">
        <v>16</v>
      </c>
      <c r="J1202" s="16">
        <f>C1206*C1207</f>
        <v>8475</v>
      </c>
      <c r="K1202" s="16" t="s">
        <v>17</v>
      </c>
      <c r="L1202" s="21"/>
      <c r="M1202" s="75"/>
      <c r="N1202" s="75"/>
      <c r="O1202" s="75"/>
      <c r="P1202" s="75"/>
      <c r="Q1202" s="75"/>
    </row>
    <row r="1203" spans="2:17" x14ac:dyDescent="0.3">
      <c r="B1203" s="19" t="s">
        <v>31</v>
      </c>
      <c r="C1203" s="16">
        <v>2800</v>
      </c>
      <c r="D1203" s="16" t="s">
        <v>8</v>
      </c>
      <c r="E1203" s="75"/>
      <c r="F1203" s="75"/>
      <c r="G1203" s="75"/>
      <c r="H1203" s="75"/>
      <c r="I1203" s="19" t="s">
        <v>51</v>
      </c>
      <c r="J1203" s="16">
        <f>MIN(0.8*C1207/5,3*C1206,45)</f>
        <v>45</v>
      </c>
      <c r="K1203" s="16" t="s">
        <v>5</v>
      </c>
      <c r="L1203" s="21"/>
      <c r="M1203" s="39" t="str">
        <f>IF(J1203&gt;C1219,"[OK]","[REDISEÑAR]")</f>
        <v>[OK]</v>
      </c>
      <c r="N1203" s="75"/>
      <c r="O1203" s="75"/>
      <c r="P1203" s="75"/>
      <c r="Q1203" s="75"/>
    </row>
    <row r="1204" spans="2:17" x14ac:dyDescent="0.3">
      <c r="B1204" s="75"/>
      <c r="C1204" s="75"/>
      <c r="D1204" s="75"/>
      <c r="E1204" s="75"/>
      <c r="F1204" s="75"/>
      <c r="G1204" s="75"/>
      <c r="H1204" s="75"/>
      <c r="I1204" s="19" t="s">
        <v>56</v>
      </c>
      <c r="J1204" s="16">
        <f>MIN(0.8*C1208/3,3*C1207,45)</f>
        <v>45</v>
      </c>
      <c r="K1204" s="16" t="s">
        <v>5</v>
      </c>
      <c r="L1204" s="21"/>
      <c r="M1204" s="39" t="str">
        <f>IF(J1204&gt;C1219,"[OK]","[REDISEÑAR]")</f>
        <v>[OK]</v>
      </c>
      <c r="N1204" s="75"/>
      <c r="O1204" s="75"/>
      <c r="P1204" s="75"/>
      <c r="Q1204" s="75"/>
    </row>
    <row r="1205" spans="2:17" x14ac:dyDescent="0.3">
      <c r="B1205" s="17" t="s">
        <v>3</v>
      </c>
      <c r="C1205" s="75"/>
      <c r="D1205" s="75"/>
      <c r="E1205" s="75"/>
      <c r="F1205" s="75"/>
      <c r="G1205" s="75"/>
      <c r="H1205" s="75"/>
      <c r="I1205" s="19" t="s">
        <v>62</v>
      </c>
      <c r="J1205" s="16">
        <f>0.8*C1207</f>
        <v>271.2</v>
      </c>
      <c r="K1205" s="29" t="s">
        <v>5</v>
      </c>
      <c r="L1205" s="75"/>
      <c r="M1205" s="75"/>
      <c r="N1205" s="75"/>
      <c r="O1205" s="75"/>
      <c r="P1205" s="75"/>
      <c r="Q1205" s="75"/>
    </row>
    <row r="1206" spans="2:17" x14ac:dyDescent="0.3">
      <c r="B1206" s="19" t="str">
        <f>"Espesor del muro (h)"</f>
        <v>Espesor del muro (h)</v>
      </c>
      <c r="C1206" s="49">
        <f>'EJE 15'!$H$31</f>
        <v>25</v>
      </c>
      <c r="D1206" s="16" t="s">
        <v>5</v>
      </c>
      <c r="E1206" s="75"/>
      <c r="F1206" s="75"/>
      <c r="G1206" s="75"/>
      <c r="H1206" s="75"/>
      <c r="J1206" s="75"/>
      <c r="K1206" s="75"/>
      <c r="L1206" s="75"/>
      <c r="M1206" s="75"/>
      <c r="N1206" s="75"/>
      <c r="O1206" s="75"/>
      <c r="P1206" s="75"/>
      <c r="Q1206" s="75"/>
    </row>
    <row r="1207" spans="2:17" x14ac:dyDescent="0.3">
      <c r="B1207" s="19" t="s">
        <v>63</v>
      </c>
      <c r="C1207" s="49">
        <f>'EJE 15'!$I$31</f>
        <v>339</v>
      </c>
      <c r="D1207" s="16" t="s">
        <v>5</v>
      </c>
      <c r="E1207" s="75"/>
      <c r="F1207" s="75"/>
      <c r="G1207" s="75"/>
      <c r="H1207" s="75"/>
      <c r="I1207" s="18" t="s">
        <v>26</v>
      </c>
      <c r="J1207" s="75"/>
      <c r="K1207" s="75"/>
      <c r="L1207" s="75"/>
      <c r="M1207" s="75"/>
      <c r="N1207" s="75"/>
      <c r="O1207" s="75"/>
      <c r="P1207" s="75"/>
      <c r="Q1207" s="75"/>
    </row>
    <row r="1208" spans="2:17" x14ac:dyDescent="0.3">
      <c r="B1208" s="19" t="s">
        <v>10</v>
      </c>
      <c r="C1208" s="49">
        <f>'EJE 15'!$J$31</f>
        <v>230</v>
      </c>
      <c r="D1208" s="16" t="s">
        <v>5</v>
      </c>
      <c r="E1208" s="75"/>
      <c r="F1208" s="75"/>
      <c r="G1208" s="75"/>
      <c r="H1208" s="75"/>
      <c r="I1208" s="19" t="s">
        <v>28</v>
      </c>
      <c r="J1208" s="16">
        <f>0.35*C1201</f>
        <v>107.07020236268264</v>
      </c>
      <c r="K1208" s="16" t="s">
        <v>8</v>
      </c>
      <c r="L1208" s="21"/>
      <c r="M1208" s="75"/>
      <c r="N1208" s="75"/>
      <c r="O1208" s="75"/>
      <c r="P1208" s="75"/>
      <c r="Q1208" s="75"/>
    </row>
    <row r="1209" spans="2:17" x14ac:dyDescent="0.3">
      <c r="B1209" s="75"/>
      <c r="C1209" s="75"/>
      <c r="D1209" s="75"/>
      <c r="E1209" s="75"/>
      <c r="F1209" s="75"/>
      <c r="G1209" s="75"/>
      <c r="H1209" s="75"/>
      <c r="I1209" s="19" t="s">
        <v>27</v>
      </c>
      <c r="J1209" s="30">
        <f>C1211*1000/J1202</f>
        <v>14.522300884955753</v>
      </c>
      <c r="K1209" s="16" t="s">
        <v>8</v>
      </c>
      <c r="L1209" s="21"/>
      <c r="M1209" s="39" t="str">
        <f>IF(J1209&lt;J1208,"[OK]","[REDISEÑAR]")</f>
        <v>[OK]</v>
      </c>
      <c r="N1209" s="41" t="s">
        <v>112</v>
      </c>
      <c r="O1209" s="59">
        <f>J1209/J1208</f>
        <v>0.13563344949852485</v>
      </c>
      <c r="P1209" s="75"/>
      <c r="Q1209" s="75"/>
    </row>
    <row r="1210" spans="2:17" x14ac:dyDescent="0.3">
      <c r="B1210" s="17" t="s">
        <v>11</v>
      </c>
      <c r="C1210" s="75"/>
      <c r="D1210" s="75"/>
      <c r="E1210" s="75"/>
      <c r="F1210" s="75"/>
      <c r="G1210" s="75"/>
      <c r="H1210" s="75"/>
      <c r="J1210" s="75"/>
      <c r="K1210" s="75"/>
      <c r="L1210" s="75"/>
      <c r="M1210" s="75"/>
      <c r="N1210" s="75"/>
      <c r="O1210" s="75"/>
      <c r="P1210" s="75"/>
      <c r="Q1210" s="75"/>
    </row>
    <row r="1211" spans="2:17" x14ac:dyDescent="0.3">
      <c r="B1211" s="19" t="str">
        <f>"$N_U$"</f>
        <v>$N_U$</v>
      </c>
      <c r="C1211" s="60">
        <f>'EJE 15'!$K$31</f>
        <v>123.0765</v>
      </c>
      <c r="D1211" s="16" t="s">
        <v>12</v>
      </c>
      <c r="E1211" s="75"/>
      <c r="F1211" s="75"/>
      <c r="G1211" s="75"/>
      <c r="H1211" s="75"/>
      <c r="I1211" s="18" t="s">
        <v>54</v>
      </c>
      <c r="J1211" s="75"/>
      <c r="K1211" s="75"/>
      <c r="L1211" s="75"/>
      <c r="M1211" s="75"/>
      <c r="N1211" s="75"/>
      <c r="O1211" s="75"/>
      <c r="P1211" s="75"/>
      <c r="Q1211" s="75"/>
    </row>
    <row r="1212" spans="2:17" x14ac:dyDescent="0.3">
      <c r="B1212" s="19" t="s">
        <v>14</v>
      </c>
      <c r="C1212" s="60">
        <f>'EJE 15'!$L$31</f>
        <v>2.7871000000000001</v>
      </c>
      <c r="D1212" s="16" t="s">
        <v>12</v>
      </c>
      <c r="E1212" s="75"/>
      <c r="F1212" s="75"/>
      <c r="G1212" s="75"/>
      <c r="H1212" s="75"/>
      <c r="I1212" s="19" t="s">
        <v>72</v>
      </c>
      <c r="J1212" s="16">
        <f>1.2*C1212+C1213+1.4*C1214</f>
        <v>20.243600000000001</v>
      </c>
      <c r="K1212" s="16" t="s">
        <v>12</v>
      </c>
      <c r="L1212" s="75"/>
      <c r="M1212" s="75" t="s">
        <v>68</v>
      </c>
      <c r="N1212" s="75"/>
      <c r="O1212" s="75"/>
      <c r="P1212" s="75"/>
      <c r="Q1212" s="75"/>
    </row>
    <row r="1213" spans="2:17" x14ac:dyDescent="0.3">
      <c r="B1213" s="19" t="s">
        <v>13</v>
      </c>
      <c r="C1213" s="60">
        <f>'EJE 15'!$M$31</f>
        <v>5.5399999999999998E-2</v>
      </c>
      <c r="D1213" s="16" t="s">
        <v>12</v>
      </c>
      <c r="E1213" s="75"/>
      <c r="F1213" s="75"/>
      <c r="G1213" s="75"/>
      <c r="H1213" s="75"/>
      <c r="I1213" s="19" t="s">
        <v>69</v>
      </c>
      <c r="J1213" s="16">
        <f>SUM(C1212:C1214)</f>
        <v>14.873699999999999</v>
      </c>
      <c r="K1213" s="16" t="s">
        <v>12</v>
      </c>
      <c r="L1213" s="75"/>
      <c r="M1213" s="75" t="s">
        <v>70</v>
      </c>
      <c r="N1213" s="75"/>
      <c r="O1213" s="75"/>
      <c r="P1213" s="75"/>
      <c r="Q1213" s="75"/>
    </row>
    <row r="1214" spans="2:17" x14ac:dyDescent="0.3">
      <c r="B1214" s="19" t="s">
        <v>15</v>
      </c>
      <c r="C1214" s="60">
        <f>'EJE 15'!$N$31</f>
        <v>12.0312</v>
      </c>
      <c r="D1214" s="16" t="s">
        <v>12</v>
      </c>
      <c r="E1214" s="75"/>
      <c r="F1214" s="75"/>
      <c r="G1214" s="75"/>
      <c r="H1214" s="75"/>
      <c r="I1214" s="19" t="s">
        <v>73</v>
      </c>
      <c r="J1214" s="16">
        <f>IF(C1215=0,J1212,C1215)</f>
        <v>20.243600000000001</v>
      </c>
      <c r="K1214" s="16" t="s">
        <v>12</v>
      </c>
      <c r="L1214" s="75"/>
      <c r="M1214" s="40" t="s">
        <v>74</v>
      </c>
      <c r="N1214" s="75"/>
      <c r="O1214" s="75"/>
      <c r="P1214" s="75"/>
      <c r="Q1214" s="75"/>
    </row>
    <row r="1215" spans="2:17" x14ac:dyDescent="0.3">
      <c r="B1215" s="19" t="s">
        <v>55</v>
      </c>
      <c r="C1215" s="16">
        <v>0</v>
      </c>
      <c r="D1215" s="16" t="s">
        <v>12</v>
      </c>
      <c r="E1215" s="75"/>
      <c r="F1215" s="75"/>
      <c r="G1215" s="75"/>
      <c r="H1215" s="75"/>
      <c r="I1215" s="19" t="s">
        <v>71</v>
      </c>
      <c r="J1215" s="16">
        <f>IF(C1215=0,J1213,C1215)</f>
        <v>14.873699999999999</v>
      </c>
      <c r="K1215" s="16" t="s">
        <v>12</v>
      </c>
      <c r="L1215" s="75"/>
      <c r="M1215" s="40" t="s">
        <v>75</v>
      </c>
      <c r="N1215" s="75"/>
      <c r="O1215" s="75"/>
      <c r="P1215" s="75"/>
      <c r="Q1215" s="75"/>
    </row>
    <row r="1216" spans="2:17" x14ac:dyDescent="0.3">
      <c r="B1216" s="75"/>
      <c r="C1216" s="75"/>
      <c r="D1216" s="75"/>
      <c r="E1216" s="75"/>
      <c r="F1216" s="75"/>
      <c r="G1216" s="75"/>
      <c r="H1216" s="75"/>
      <c r="J1216" s="75"/>
      <c r="K1216" s="75"/>
      <c r="L1216" s="75"/>
      <c r="M1216" s="75"/>
      <c r="N1216" s="75"/>
      <c r="O1216" s="75"/>
      <c r="P1216" s="75"/>
      <c r="Q1216" s="75"/>
    </row>
    <row r="1217" spans="2:17" x14ac:dyDescent="0.3">
      <c r="B1217" s="33" t="s">
        <v>42</v>
      </c>
      <c r="C1217" s="75"/>
      <c r="D1217" s="75"/>
      <c r="E1217" s="75"/>
      <c r="F1217" s="75"/>
      <c r="G1217" s="75"/>
      <c r="H1217" s="75"/>
      <c r="I1217" s="27" t="s">
        <v>76</v>
      </c>
      <c r="J1217" s="75"/>
      <c r="K1217" s="75"/>
      <c r="L1217" s="75"/>
      <c r="M1217" s="75"/>
      <c r="N1217" s="75"/>
      <c r="O1217" s="75"/>
      <c r="P1217" s="75"/>
      <c r="Q1217" s="75"/>
    </row>
    <row r="1218" spans="2:17" x14ac:dyDescent="0.3">
      <c r="B1218" s="31" t="s">
        <v>41</v>
      </c>
      <c r="C1218" s="16">
        <v>10</v>
      </c>
      <c r="D1218" s="29" t="s">
        <v>35</v>
      </c>
      <c r="E1218" s="75"/>
      <c r="F1218" s="75"/>
      <c r="G1218" s="75"/>
      <c r="H1218" s="75"/>
      <c r="I1218" s="19" t="s">
        <v>29</v>
      </c>
      <c r="J1218" s="30">
        <f>J1215*1000/J1202</f>
        <v>1.755008849557522</v>
      </c>
      <c r="K1218" s="29" t="s">
        <v>8</v>
      </c>
      <c r="L1218" s="75"/>
      <c r="M1218" s="75"/>
      <c r="N1218" s="75"/>
      <c r="O1218" s="75"/>
      <c r="P1218" s="75"/>
      <c r="Q1218" s="75"/>
    </row>
    <row r="1219" spans="2:17" x14ac:dyDescent="0.3">
      <c r="B1219" s="31" t="s">
        <v>43</v>
      </c>
      <c r="C1219" s="16">
        <v>14</v>
      </c>
      <c r="D1219" s="29" t="s">
        <v>5</v>
      </c>
      <c r="E1219" s="75"/>
      <c r="F1219" s="39" t="str">
        <f>IF(OR(C1219&gt;25,C1219&lt;10),"[REDISEÑAR]",IF(AND(C1219&lt;=J1220,C1219&lt;=J1234),"[OK]","[REDISEÑAR]"))</f>
        <v>[OK]</v>
      </c>
      <c r="G1219" s="75"/>
      <c r="H1219" s="75"/>
      <c r="I1219" s="19" t="s">
        <v>61</v>
      </c>
      <c r="J1219" s="37">
        <f>MAX(J1218*100*C1206/(2*C1203),C1223)</f>
        <v>3.125</v>
      </c>
      <c r="K1219" s="29" t="s">
        <v>32</v>
      </c>
      <c r="L1219" s="75"/>
      <c r="M1219" s="15"/>
      <c r="N1219" s="15"/>
      <c r="O1219" s="15"/>
      <c r="P1219" s="75"/>
      <c r="Q1219" s="75"/>
    </row>
    <row r="1220" spans="2:17" x14ac:dyDescent="0.3">
      <c r="B1220" s="75"/>
      <c r="C1220" s="50" t="str">
        <f>"$\phi$"&amp;C1218&amp;"@"&amp;C1219</f>
        <v>$\phi$10@14</v>
      </c>
      <c r="D1220" s="75"/>
      <c r="E1220" s="75"/>
      <c r="F1220" s="39" t="str">
        <f>IF(OR(J1219=C1223,J1230=C1223),"[ÁREA MINIMA]","[]")</f>
        <v>[ÁREA MINIMA]</v>
      </c>
      <c r="G1220" s="75"/>
      <c r="H1220" s="75"/>
      <c r="I1220" s="63" t="s">
        <v>34</v>
      </c>
      <c r="J1220" s="63">
        <f>ROUNDDOWN((1/J1219)*C1222*100,0)</f>
        <v>25</v>
      </c>
      <c r="K1220" s="64" t="s">
        <v>5</v>
      </c>
      <c r="L1220" s="75"/>
      <c r="M1220" s="39" t="str">
        <f>IF(OR(J1220&lt;10,J1220&gt;25),"[REDISEÑAR]","[OK")</f>
        <v>[OK</v>
      </c>
      <c r="N1220" s="41" t="s">
        <v>80</v>
      </c>
      <c r="O1220" s="42">
        <f>1/J1219*(C1218/2)^2*PI()</f>
        <v>25.132741228718345</v>
      </c>
      <c r="P1220" s="75" t="str">
        <f>"$\phi$"&amp;C1218&amp;"@"&amp;J1220</f>
        <v>$\phi$10@25</v>
      </c>
      <c r="Q1220" s="75"/>
    </row>
    <row r="1221" spans="2:17" x14ac:dyDescent="0.3">
      <c r="B1221" s="18" t="s">
        <v>52</v>
      </c>
      <c r="C1221" s="75"/>
      <c r="D1221" s="75"/>
      <c r="E1221" s="75"/>
      <c r="F1221" s="62" t="str">
        <f>IF(J1209&lt;J1208,IF(J1237&gt;J1226,"[OK]","[REDISEÑAR]"),"[REDISEÑAR]")</f>
        <v>[OK]</v>
      </c>
      <c r="G1221" s="75"/>
      <c r="H1221" s="75"/>
      <c r="I1221" s="31" t="s">
        <v>48</v>
      </c>
      <c r="J1221" s="30">
        <f>C1222*2*IF(C1207/C1219&gt;=1,C1207/C1219,0)</f>
        <v>38.035711055962139</v>
      </c>
      <c r="K1221" s="29" t="s">
        <v>17</v>
      </c>
      <c r="L1221" s="75"/>
      <c r="M1221" s="75"/>
      <c r="N1221" s="15"/>
      <c r="O1221" s="44"/>
      <c r="P1221" s="75"/>
      <c r="Q1221" s="75"/>
    </row>
    <row r="1222" spans="2:17" x14ac:dyDescent="0.3">
      <c r="B1222" s="31" t="s">
        <v>66</v>
      </c>
      <c r="C1222" s="30">
        <f>(C1218/(2*10))^2*PI()</f>
        <v>0.78539816339744828</v>
      </c>
      <c r="D1222" s="29" t="s">
        <v>17</v>
      </c>
      <c r="E1222" s="75"/>
      <c r="F1222" s="75"/>
      <c r="G1222" s="75"/>
      <c r="H1222" s="75"/>
      <c r="I1222" s="19" t="s">
        <v>49</v>
      </c>
      <c r="J1222" s="34">
        <f>C1203*J1221/1000</f>
        <v>106.49999095669399</v>
      </c>
      <c r="K1222" s="16" t="s">
        <v>12</v>
      </c>
      <c r="L1222" s="75"/>
      <c r="M1222" s="39" t="str">
        <f>IF(J1222&gt;J1215,"[OK]","[REDISEÑAR]")</f>
        <v>[OK]</v>
      </c>
      <c r="N1222" s="41" t="str">
        <f>IF(O1222&gt;0,"Sobrado","Faltan")</f>
        <v>Sobrado</v>
      </c>
      <c r="O1222" s="43">
        <f>J1222-J1215</f>
        <v>91.626290956693992</v>
      </c>
      <c r="P1222" s="75"/>
      <c r="Q1222" s="75"/>
    </row>
    <row r="1223" spans="2:17" x14ac:dyDescent="0.3">
      <c r="B1223" s="31" t="s">
        <v>78</v>
      </c>
      <c r="C1223" s="37">
        <f>2.5/1000*100*C1206/2</f>
        <v>3.125</v>
      </c>
      <c r="D1223" s="16" t="s">
        <v>17</v>
      </c>
      <c r="E1223" s="75"/>
      <c r="F1223" s="75"/>
      <c r="G1223" s="75"/>
      <c r="H1223" s="75"/>
      <c r="J1223" s="75"/>
      <c r="K1223" s="75"/>
      <c r="L1223" s="75"/>
      <c r="M1223" s="75"/>
      <c r="N1223" s="75"/>
      <c r="O1223" s="15"/>
      <c r="P1223" s="75"/>
      <c r="Q1223" s="75"/>
    </row>
    <row r="1224" spans="2:17" x14ac:dyDescent="0.3">
      <c r="B1224" s="31" t="s">
        <v>114</v>
      </c>
      <c r="C1224" s="37">
        <f>C1222*100/C1219</f>
        <v>5.6099868814103448</v>
      </c>
      <c r="D1224" s="29" t="s">
        <v>32</v>
      </c>
      <c r="E1224" s="75"/>
      <c r="F1224" s="75"/>
      <c r="G1224" s="75"/>
      <c r="H1224" s="75"/>
      <c r="I1224" s="18" t="s">
        <v>77</v>
      </c>
      <c r="J1224" s="75"/>
      <c r="K1224" s="75"/>
      <c r="L1224" s="75"/>
      <c r="M1224" s="17" t="s">
        <v>67</v>
      </c>
      <c r="N1224" s="75"/>
      <c r="O1224" s="75"/>
      <c r="P1224" s="75"/>
      <c r="Q1224" s="75"/>
    </row>
    <row r="1225" spans="2:17" x14ac:dyDescent="0.3">
      <c r="B1225" s="75"/>
      <c r="C1225" s="75"/>
      <c r="D1225" s="75"/>
      <c r="E1225" s="75"/>
      <c r="F1225" s="75"/>
      <c r="G1225" s="75"/>
      <c r="H1225" s="75"/>
      <c r="I1225" s="19" t="s">
        <v>33</v>
      </c>
      <c r="J1225" s="16">
        <v>0.6</v>
      </c>
      <c r="K1225" s="16" t="s">
        <v>50</v>
      </c>
      <c r="L1225" s="75"/>
      <c r="M1225" s="19" t="s">
        <v>64</v>
      </c>
      <c r="N1225" s="30">
        <f>SQRT(C1201*0.0980665)*(1/0.0980665)/1000*J1227*0.17</f>
        <v>51.211241914522745</v>
      </c>
      <c r="O1225" s="16" t="s">
        <v>12</v>
      </c>
      <c r="P1225" s="75"/>
      <c r="Q1225" s="75"/>
    </row>
    <row r="1226" spans="2:17" x14ac:dyDescent="0.3">
      <c r="B1226" s="17" t="s">
        <v>37</v>
      </c>
      <c r="C1226" s="75"/>
      <c r="D1226" s="75"/>
      <c r="E1226" s="75"/>
      <c r="F1226" s="75"/>
      <c r="G1226" s="75"/>
      <c r="H1226" s="75"/>
      <c r="I1226" s="19" t="s">
        <v>46</v>
      </c>
      <c r="J1226" s="34">
        <f>J1214/J1225</f>
        <v>33.739333333333335</v>
      </c>
      <c r="K1226" s="16" t="s">
        <v>12</v>
      </c>
      <c r="L1226" s="75"/>
      <c r="M1226" s="19" t="s">
        <v>57</v>
      </c>
      <c r="N1226" s="16">
        <f>IF(C1208/J1205&lt;=1.5,0.25,IF(C1208/J1205&gt;=2,0.17,0.17+(0.25-0.17)/(C1208/J1205-1.5)*C1208/J1205))</f>
        <v>0.25</v>
      </c>
      <c r="O1226" s="29" t="s">
        <v>50</v>
      </c>
      <c r="P1226" s="75"/>
      <c r="Q1226" s="75"/>
    </row>
    <row r="1227" spans="2:17" x14ac:dyDescent="0.3">
      <c r="B1227" s="31" t="s">
        <v>115</v>
      </c>
      <c r="C1227" s="37">
        <f>O1222</f>
        <v>91.626290956693992</v>
      </c>
      <c r="D1227" s="29" t="s">
        <v>12</v>
      </c>
      <c r="E1227" s="75"/>
      <c r="F1227" s="75"/>
      <c r="G1227" s="75"/>
      <c r="H1227" s="75"/>
      <c r="I1227" s="19" t="s">
        <v>36</v>
      </c>
      <c r="J1227" s="35">
        <f>J1205*C1206*0.8-J1235</f>
        <v>5393.5714311552301</v>
      </c>
      <c r="K1227" s="16" t="s">
        <v>17</v>
      </c>
      <c r="L1227" s="75"/>
      <c r="M1227" s="19" t="s">
        <v>59</v>
      </c>
      <c r="N1227" s="30">
        <f>SQRT(C1201*0.0980665)*(1/0.0980665)/1000*J1227*N1226</f>
        <v>75.31064987429815</v>
      </c>
      <c r="O1227" s="29" t="s">
        <v>12</v>
      </c>
      <c r="P1227" s="75"/>
      <c r="Q1227" s="75"/>
    </row>
    <row r="1228" spans="2:17" x14ac:dyDescent="0.3">
      <c r="B1228" s="31" t="s">
        <v>116</v>
      </c>
      <c r="C1228" s="37">
        <f>O1237</f>
        <v>145.27189772922219</v>
      </c>
      <c r="D1228" s="29" t="s">
        <v>12</v>
      </c>
      <c r="E1228" s="75"/>
      <c r="F1228" s="75"/>
      <c r="G1228" s="75"/>
      <c r="H1228" s="75"/>
      <c r="I1228" s="19" t="s">
        <v>60</v>
      </c>
      <c r="J1228" s="34">
        <f>MIN(N1227,N1225)</f>
        <v>51.211241914522745</v>
      </c>
      <c r="K1228" s="29" t="s">
        <v>12</v>
      </c>
      <c r="L1228" s="75"/>
      <c r="M1228" s="75"/>
      <c r="N1228" s="75"/>
      <c r="O1228" s="75"/>
      <c r="P1228" s="75"/>
      <c r="Q1228" s="75"/>
    </row>
    <row r="1229" spans="2:17" x14ac:dyDescent="0.3">
      <c r="B1229" s="19" t="s">
        <v>117</v>
      </c>
      <c r="C1229" s="36">
        <f>C1222*2*C1207/C1219/J1202</f>
        <v>4.4879895051282755E-3</v>
      </c>
      <c r="D1229" s="16" t="s">
        <v>50</v>
      </c>
      <c r="E1229" s="75"/>
      <c r="F1229" s="75"/>
      <c r="G1229" s="75"/>
      <c r="H1229" s="75"/>
      <c r="I1229" s="19" t="s">
        <v>39</v>
      </c>
      <c r="J1229" s="34">
        <f>J1226-J1228</f>
        <v>-17.47190858118941</v>
      </c>
      <c r="K1229" s="16" t="s">
        <v>12</v>
      </c>
      <c r="L1229" s="75"/>
      <c r="M1229" s="75"/>
      <c r="N1229" s="75"/>
      <c r="O1229" s="75"/>
      <c r="P1229" s="75"/>
      <c r="Q1229" s="75"/>
    </row>
    <row r="1230" spans="2:17" x14ac:dyDescent="0.3">
      <c r="B1230" s="75"/>
      <c r="C1230" s="75"/>
      <c r="D1230" s="75"/>
      <c r="E1230" s="75"/>
      <c r="F1230" s="75"/>
      <c r="G1230" s="75"/>
      <c r="H1230" s="75"/>
      <c r="I1230" s="19" t="s">
        <v>61</v>
      </c>
      <c r="J1230" s="37">
        <f>MAX(J1229/(C1202*J1205/1000/100)/2,C1223)</f>
        <v>3.125</v>
      </c>
      <c r="K1230" s="29" t="s">
        <v>32</v>
      </c>
      <c r="L1230" s="75"/>
      <c r="M1230" s="75"/>
      <c r="N1230" s="75"/>
      <c r="O1230" s="75"/>
      <c r="P1230" s="75"/>
      <c r="Q1230" s="75"/>
    </row>
    <row r="1231" spans="2:17" x14ac:dyDescent="0.3">
      <c r="B1231" s="75"/>
      <c r="C1231" s="75"/>
      <c r="D1231" s="75"/>
      <c r="E1231" s="75"/>
      <c r="F1231" s="75"/>
      <c r="G1231" s="75"/>
      <c r="H1231" s="75"/>
      <c r="I1231" s="19" t="s">
        <v>65</v>
      </c>
      <c r="J1231" s="36">
        <f>J1230/C1206/100*2</f>
        <v>2.5000000000000001E-3</v>
      </c>
      <c r="K1231" s="16" t="s">
        <v>50</v>
      </c>
      <c r="L1231" s="75"/>
      <c r="M1231" s="75"/>
      <c r="N1231" s="75"/>
      <c r="O1231" s="75"/>
      <c r="P1231" s="75"/>
      <c r="Q1231" s="75"/>
    </row>
    <row r="1232" spans="2:17" x14ac:dyDescent="0.3">
      <c r="B1232" s="75"/>
      <c r="C1232" s="75"/>
      <c r="D1232" s="75"/>
      <c r="E1232" s="75"/>
      <c r="F1232" s="75"/>
      <c r="G1232" s="75"/>
      <c r="H1232" s="75"/>
      <c r="I1232" s="19" t="s">
        <v>53</v>
      </c>
      <c r="J1232" s="16">
        <f>MAX(0.0025,0.0025*0.5*(2.5-C1206/(C1207*0.8))*(J1231-0.0025))</f>
        <v>2.5000000000000001E-3</v>
      </c>
      <c r="K1232" s="29" t="s">
        <v>50</v>
      </c>
      <c r="L1232" s="75"/>
      <c r="M1232" s="39" t="str">
        <f>IF(OR(J1231&gt;J1232,ABS(J1231-J1232)&lt;0.0001),"[OK]","[REDISEÑAR]")</f>
        <v>[OK]</v>
      </c>
      <c r="N1232" s="75"/>
      <c r="O1232" s="75"/>
      <c r="P1232" s="75"/>
      <c r="Q1232" s="75"/>
    </row>
    <row r="1233" spans="2:17" x14ac:dyDescent="0.3">
      <c r="B1233" s="75"/>
      <c r="C1233" s="75"/>
      <c r="D1233" s="75"/>
      <c r="E1233" s="75"/>
      <c r="F1233" s="75"/>
      <c r="G1233" s="75"/>
      <c r="H1233" s="75"/>
      <c r="I1233" s="19" t="s">
        <v>47</v>
      </c>
      <c r="J1233" s="34">
        <f>SQRT(C1201*0.0980665)*(1/0.0980665)/1000*0.66*0.8*C1207*C1206</f>
        <v>249.92723308409288</v>
      </c>
      <c r="K1233" s="16" t="s">
        <v>12</v>
      </c>
      <c r="L1233" s="75"/>
      <c r="M1233" s="40" t="s">
        <v>44</v>
      </c>
      <c r="N1233" s="75"/>
      <c r="O1233" s="15"/>
      <c r="P1233" s="75"/>
      <c r="Q1233" s="75"/>
    </row>
    <row r="1234" spans="2:17" x14ac:dyDescent="0.3">
      <c r="B1234" s="75"/>
      <c r="C1234" s="75"/>
      <c r="D1234" s="75"/>
      <c r="E1234" s="75"/>
      <c r="F1234" s="75"/>
      <c r="G1234" s="75"/>
      <c r="H1234" s="75"/>
      <c r="I1234" s="63" t="s">
        <v>34</v>
      </c>
      <c r="J1234" s="63">
        <f>ROUNDDOWN(1/J1230*C1222*100,0)</f>
        <v>25</v>
      </c>
      <c r="K1234" s="64" t="s">
        <v>5</v>
      </c>
      <c r="L1234" s="75"/>
      <c r="M1234" s="39" t="str">
        <f>IF(OR(J1234&lt;10,J1234&gt;25),"[REDISEÑAR]","[OK")</f>
        <v>[OK</v>
      </c>
      <c r="N1234" s="41" t="s">
        <v>80</v>
      </c>
      <c r="O1234" s="42">
        <f>1/J1230*(C1218/2)^2*PI()</f>
        <v>25.132741228718345</v>
      </c>
      <c r="P1234" s="75" t="str">
        <f>"$\phi$"&amp;C1218&amp;"@"&amp;J1234</f>
        <v>$\phi$10@25</v>
      </c>
      <c r="Q1234" s="75"/>
    </row>
    <row r="1235" spans="2:17" x14ac:dyDescent="0.3">
      <c r="B1235" s="75"/>
      <c r="C1235" s="75"/>
      <c r="D1235" s="75"/>
      <c r="E1235" s="75"/>
      <c r="F1235" s="75"/>
      <c r="G1235" s="75"/>
      <c r="H1235" s="75"/>
      <c r="I1235" s="31" t="s">
        <v>48</v>
      </c>
      <c r="J1235" s="30">
        <f>C1222*2*IF(J1205/C1219&gt;=1,J1205/C1219,0)</f>
        <v>30.428568844769707</v>
      </c>
      <c r="K1235" s="29" t="s">
        <v>17</v>
      </c>
      <c r="L1235" s="75"/>
      <c r="M1235" s="75"/>
      <c r="N1235" s="15"/>
      <c r="O1235" s="15"/>
      <c r="P1235" s="75"/>
      <c r="Q1235" s="75"/>
    </row>
    <row r="1236" spans="2:17" x14ac:dyDescent="0.3">
      <c r="B1236" s="75"/>
      <c r="C1236" s="75"/>
      <c r="D1236" s="75"/>
      <c r="E1236" s="75"/>
      <c r="F1236" s="75"/>
      <c r="G1236" s="75"/>
      <c r="H1236" s="75"/>
      <c r="I1236" s="19" t="s">
        <v>81</v>
      </c>
      <c r="J1236" s="34">
        <f>MIN(J1235*C1202/1000,J1233)</f>
        <v>127.79998914803276</v>
      </c>
      <c r="K1236" s="16" t="s">
        <v>12</v>
      </c>
      <c r="L1236" s="75"/>
      <c r="M1236" s="40" t="s">
        <v>82</v>
      </c>
      <c r="N1236" s="15"/>
      <c r="O1236" s="15"/>
      <c r="P1236" s="75"/>
      <c r="Q1236" s="75"/>
    </row>
    <row r="1237" spans="2:17" x14ac:dyDescent="0.3">
      <c r="B1237" s="75"/>
      <c r="C1237" s="75"/>
      <c r="D1237" s="75"/>
      <c r="E1237" s="75"/>
      <c r="F1237" s="75"/>
      <c r="G1237" s="75"/>
      <c r="H1237" s="75"/>
      <c r="I1237" s="19" t="s">
        <v>79</v>
      </c>
      <c r="J1237" s="34">
        <f>J1236+J1228</f>
        <v>179.01123106255551</v>
      </c>
      <c r="K1237" s="16" t="s">
        <v>12</v>
      </c>
      <c r="L1237" s="75"/>
      <c r="M1237" s="39" t="str">
        <f>IF(J1237&gt;J1226,"[OK]","[REDISEÑAR]")</f>
        <v>[OK]</v>
      </c>
      <c r="N1237" s="41" t="str">
        <f>IF(O1237&gt;0,"Sobrado","Faltan")</f>
        <v>Sobrado</v>
      </c>
      <c r="O1237" s="43">
        <f>J1237-J1226</f>
        <v>145.27189772922219</v>
      </c>
      <c r="P1237" s="75"/>
      <c r="Q1237" s="75"/>
    </row>
    <row r="1238" spans="2:17" x14ac:dyDescent="0.3">
      <c r="B1238" s="75"/>
      <c r="C1238" s="75"/>
      <c r="D1238" s="75"/>
      <c r="E1238" s="75"/>
      <c r="F1238" s="75"/>
      <c r="G1238" s="75"/>
      <c r="H1238" s="75"/>
      <c r="J1238" s="75"/>
      <c r="K1238" s="75"/>
      <c r="L1238" s="75"/>
      <c r="M1238" s="75"/>
      <c r="N1238" s="75"/>
      <c r="O1238" s="75"/>
      <c r="P1238" s="75"/>
      <c r="Q1238" s="75"/>
    </row>
    <row r="1239" spans="2:17" x14ac:dyDescent="0.3">
      <c r="B1239" s="75"/>
      <c r="C1239" s="75"/>
      <c r="D1239" s="75"/>
      <c r="E1239" s="75"/>
      <c r="F1239" s="75"/>
      <c r="G1239" s="75"/>
      <c r="H1239" s="75"/>
      <c r="I1239" s="18" t="s">
        <v>45</v>
      </c>
      <c r="J1239" s="75"/>
      <c r="K1239" s="75"/>
      <c r="L1239" s="75"/>
      <c r="M1239" s="75"/>
      <c r="N1239" s="75"/>
      <c r="O1239" s="15"/>
      <c r="P1239" s="75"/>
      <c r="Q1239" s="75"/>
    </row>
    <row r="1240" spans="2:17" x14ac:dyDescent="0.3">
      <c r="B1240" s="75"/>
      <c r="C1240" s="75"/>
      <c r="D1240" s="75"/>
      <c r="E1240" s="75"/>
      <c r="F1240" s="75"/>
      <c r="G1240" s="75"/>
      <c r="H1240" s="75"/>
      <c r="I1240" s="19" t="s">
        <v>40</v>
      </c>
      <c r="J1240" s="16">
        <f>J1214</f>
        <v>20.243600000000001</v>
      </c>
      <c r="K1240" s="16" t="s">
        <v>12</v>
      </c>
      <c r="L1240" s="75"/>
      <c r="M1240" s="75"/>
      <c r="N1240" s="75"/>
      <c r="O1240" s="26"/>
      <c r="P1240" s="75"/>
      <c r="Q1240" s="75"/>
    </row>
    <row r="1241" spans="2:17" x14ac:dyDescent="0.3">
      <c r="B1241" s="75"/>
      <c r="C1241" s="75"/>
      <c r="D1241" s="75"/>
      <c r="E1241" s="75"/>
      <c r="F1241" s="75"/>
      <c r="G1241" s="75"/>
      <c r="H1241" s="75"/>
      <c r="I1241" s="19" t="s">
        <v>46</v>
      </c>
      <c r="J1241" s="34">
        <f>J1226</f>
        <v>33.739333333333335</v>
      </c>
      <c r="K1241" s="16" t="s">
        <v>12</v>
      </c>
      <c r="L1241" s="75"/>
      <c r="M1241" s="75"/>
      <c r="N1241" s="75"/>
      <c r="O1241" s="75"/>
      <c r="P1241" s="75"/>
      <c r="Q1241" s="75"/>
    </row>
    <row r="1242" spans="2:17" x14ac:dyDescent="0.3">
      <c r="B1242" s="75"/>
      <c r="C1242" s="75"/>
      <c r="D1242" s="75"/>
      <c r="E1242" s="75"/>
      <c r="F1242" s="75"/>
      <c r="G1242" s="75"/>
      <c r="H1242" s="75"/>
      <c r="I1242" s="19" t="s">
        <v>38</v>
      </c>
      <c r="J1242" s="34">
        <f>2/3*J1227*SQRT(C1201*0.0980665)*(1/0.0980665)/1000</f>
        <v>200.82839966479511</v>
      </c>
      <c r="K1242" s="16" t="s">
        <v>12</v>
      </c>
      <c r="L1242" s="75"/>
      <c r="M1242" s="39" t="str">
        <f>IF(J1242&gt;J1241,"[OK]","[REDISEÑAR]")</f>
        <v>[OK]</v>
      </c>
      <c r="N1242" s="41" t="str">
        <f>IF(O1242&gt;0,"Sobrado","Faltan")</f>
        <v>Sobrado</v>
      </c>
      <c r="O1242" s="43">
        <f>J1242-J1241</f>
        <v>167.08906633146177</v>
      </c>
      <c r="P1242" s="75"/>
      <c r="Q1242" s="75"/>
    </row>
    <row r="1244" spans="2:17" ht="18" x14ac:dyDescent="0.35">
      <c r="B1244" s="48" t="str">
        <f>'EJE 15'!$S$32</f>
        <v>EJE 15.C-C1 | PIER F31X | PISO 14</v>
      </c>
      <c r="C1244" s="75"/>
      <c r="D1244" s="75"/>
      <c r="E1244" s="75"/>
      <c r="F1244" s="75"/>
      <c r="G1244" s="75"/>
      <c r="H1244" s="75"/>
      <c r="J1244" s="75"/>
      <c r="K1244" s="75"/>
      <c r="L1244" s="75"/>
      <c r="M1244" s="75"/>
      <c r="N1244" s="75"/>
      <c r="O1244" s="75"/>
      <c r="P1244" s="75"/>
      <c r="Q1244" s="75"/>
    </row>
    <row r="1245" spans="2:17" x14ac:dyDescent="0.3">
      <c r="B1245" s="75"/>
      <c r="C1245" s="75"/>
      <c r="D1245" s="75"/>
      <c r="E1245" s="75"/>
      <c r="F1245" s="75"/>
      <c r="G1245" s="75"/>
      <c r="H1245" s="75"/>
      <c r="J1245" s="75"/>
      <c r="K1245" s="75"/>
      <c r="L1245" s="75"/>
      <c r="M1245" s="75"/>
      <c r="N1245" s="75"/>
      <c r="O1245" s="75"/>
      <c r="P1245" s="75"/>
      <c r="Q1245" s="75"/>
    </row>
    <row r="1246" spans="2:17" x14ac:dyDescent="0.3">
      <c r="B1246" s="17" t="s">
        <v>6</v>
      </c>
      <c r="C1246" s="75"/>
      <c r="D1246" s="75"/>
      <c r="E1246" s="75"/>
      <c r="F1246" s="75"/>
      <c r="G1246" s="75"/>
      <c r="H1246" s="75"/>
      <c r="I1246" s="18" t="s">
        <v>25</v>
      </c>
      <c r="J1246" s="75"/>
      <c r="K1246" s="75"/>
      <c r="L1246" s="75"/>
      <c r="M1246" s="75"/>
      <c r="N1246" s="75"/>
      <c r="O1246" s="75"/>
      <c r="P1246" s="75"/>
      <c r="Q1246" s="75"/>
    </row>
    <row r="1247" spans="2:17" x14ac:dyDescent="0.3">
      <c r="B1247" s="19" t="s">
        <v>99</v>
      </c>
      <c r="C1247" s="61">
        <f>10.1971621297793*'EJE 15'!$G$32</f>
        <v>203.94324259558601</v>
      </c>
      <c r="D1247" s="16" t="s">
        <v>8</v>
      </c>
      <c r="E1247" s="75"/>
      <c r="F1247" s="75"/>
      <c r="G1247" s="75"/>
      <c r="H1247" s="75"/>
      <c r="I1247" s="19" t="s">
        <v>58</v>
      </c>
      <c r="J1247" s="16">
        <f>C1254/16</f>
        <v>14.375</v>
      </c>
      <c r="K1247" s="16" t="s">
        <v>5</v>
      </c>
      <c r="L1247" s="21"/>
      <c r="M1247" s="39" t="str">
        <f>IF(J1247&lt;C1252,"[OK]","[REDISEÑAR]")</f>
        <v>[OK]</v>
      </c>
      <c r="N1247" s="75"/>
      <c r="O1247" s="75"/>
      <c r="P1247" s="75"/>
      <c r="Q1247" s="75"/>
    </row>
    <row r="1248" spans="2:17" x14ac:dyDescent="0.3">
      <c r="B1248" s="19" t="s">
        <v>30</v>
      </c>
      <c r="C1248" s="16">
        <v>4200</v>
      </c>
      <c r="D1248" s="16" t="s">
        <v>8</v>
      </c>
      <c r="E1248" s="75"/>
      <c r="F1248" s="75"/>
      <c r="G1248" s="75"/>
      <c r="H1248" s="75"/>
      <c r="I1248" s="19" t="s">
        <v>16</v>
      </c>
      <c r="J1248" s="16">
        <f>C1252*C1253</f>
        <v>3840</v>
      </c>
      <c r="K1248" s="16" t="s">
        <v>17</v>
      </c>
      <c r="L1248" s="21"/>
      <c r="M1248" s="75"/>
      <c r="N1248" s="75"/>
      <c r="O1248" s="75"/>
      <c r="P1248" s="75"/>
      <c r="Q1248" s="75"/>
    </row>
    <row r="1249" spans="2:17" x14ac:dyDescent="0.3">
      <c r="B1249" s="19" t="s">
        <v>31</v>
      </c>
      <c r="C1249" s="16">
        <v>2800</v>
      </c>
      <c r="D1249" s="16" t="s">
        <v>8</v>
      </c>
      <c r="E1249" s="75"/>
      <c r="F1249" s="75"/>
      <c r="G1249" s="75"/>
      <c r="H1249" s="75"/>
      <c r="I1249" s="19" t="s">
        <v>51</v>
      </c>
      <c r="J1249" s="16">
        <f>MIN(0.8*C1253/5,3*C1252,45)</f>
        <v>30.720000000000006</v>
      </c>
      <c r="K1249" s="16" t="s">
        <v>5</v>
      </c>
      <c r="L1249" s="21"/>
      <c r="M1249" s="39" t="str">
        <f>IF(J1249&gt;C1265,"[OK]","[REDISEÑAR]")</f>
        <v>[OK]</v>
      </c>
      <c r="N1249" s="75"/>
      <c r="O1249" s="75"/>
      <c r="P1249" s="75"/>
      <c r="Q1249" s="75"/>
    </row>
    <row r="1250" spans="2:17" x14ac:dyDescent="0.3">
      <c r="B1250" s="75"/>
      <c r="C1250" s="75"/>
      <c r="D1250" s="75"/>
      <c r="E1250" s="75"/>
      <c r="F1250" s="75"/>
      <c r="G1250" s="75"/>
      <c r="H1250" s="75"/>
      <c r="I1250" s="19" t="s">
        <v>56</v>
      </c>
      <c r="J1250" s="16">
        <f>MIN(0.8*C1254/3,3*C1253,45)</f>
        <v>45</v>
      </c>
      <c r="K1250" s="16" t="s">
        <v>5</v>
      </c>
      <c r="L1250" s="21"/>
      <c r="M1250" s="39" t="str">
        <f>IF(J1250&gt;C1265,"[OK]","[REDISEÑAR]")</f>
        <v>[OK]</v>
      </c>
      <c r="N1250" s="75"/>
      <c r="O1250" s="75"/>
      <c r="P1250" s="75"/>
      <c r="Q1250" s="75"/>
    </row>
    <row r="1251" spans="2:17" x14ac:dyDescent="0.3">
      <c r="B1251" s="17" t="s">
        <v>3</v>
      </c>
      <c r="C1251" s="75"/>
      <c r="D1251" s="75"/>
      <c r="E1251" s="75"/>
      <c r="F1251" s="75"/>
      <c r="G1251" s="75"/>
      <c r="H1251" s="75"/>
      <c r="I1251" s="19" t="s">
        <v>62</v>
      </c>
      <c r="J1251" s="16">
        <f>0.8*C1253</f>
        <v>153.60000000000002</v>
      </c>
      <c r="K1251" s="29" t="s">
        <v>5</v>
      </c>
      <c r="L1251" s="75"/>
      <c r="M1251" s="75"/>
      <c r="N1251" s="75"/>
      <c r="O1251" s="75"/>
      <c r="P1251" s="75"/>
      <c r="Q1251" s="75"/>
    </row>
    <row r="1252" spans="2:17" x14ac:dyDescent="0.3">
      <c r="B1252" s="19" t="str">
        <f>"Espesor del muro (h)"</f>
        <v>Espesor del muro (h)</v>
      </c>
      <c r="C1252" s="49">
        <f>'EJE 15'!$H$32</f>
        <v>20</v>
      </c>
      <c r="D1252" s="16" t="s">
        <v>5</v>
      </c>
      <c r="E1252" s="75"/>
      <c r="F1252" s="75"/>
      <c r="G1252" s="75"/>
      <c r="H1252" s="75"/>
      <c r="J1252" s="75"/>
      <c r="K1252" s="75"/>
      <c r="L1252" s="75"/>
      <c r="M1252" s="75"/>
      <c r="N1252" s="75"/>
      <c r="O1252" s="75"/>
      <c r="P1252" s="75"/>
      <c r="Q1252" s="75"/>
    </row>
    <row r="1253" spans="2:17" x14ac:dyDescent="0.3">
      <c r="B1253" s="19" t="s">
        <v>63</v>
      </c>
      <c r="C1253" s="49">
        <f>'EJE 15'!$I$32</f>
        <v>192</v>
      </c>
      <c r="D1253" s="16" t="s">
        <v>5</v>
      </c>
      <c r="E1253" s="75"/>
      <c r="F1253" s="75"/>
      <c r="G1253" s="75"/>
      <c r="H1253" s="75"/>
      <c r="I1253" s="18" t="s">
        <v>26</v>
      </c>
      <c r="J1253" s="75"/>
      <c r="K1253" s="75"/>
      <c r="L1253" s="75"/>
      <c r="M1253" s="75"/>
      <c r="N1253" s="75"/>
      <c r="O1253" s="75"/>
      <c r="P1253" s="75"/>
      <c r="Q1253" s="75"/>
    </row>
    <row r="1254" spans="2:17" x14ac:dyDescent="0.3">
      <c r="B1254" s="19" t="s">
        <v>10</v>
      </c>
      <c r="C1254" s="49">
        <f>'EJE 15'!$J$32</f>
        <v>230</v>
      </c>
      <c r="D1254" s="16" t="s">
        <v>5</v>
      </c>
      <c r="E1254" s="75"/>
      <c r="F1254" s="75"/>
      <c r="G1254" s="75"/>
      <c r="H1254" s="75"/>
      <c r="I1254" s="19" t="s">
        <v>28</v>
      </c>
      <c r="J1254" s="16">
        <f>0.35*C1247</f>
        <v>71.380134908455105</v>
      </c>
      <c r="K1254" s="16" t="s">
        <v>8</v>
      </c>
      <c r="L1254" s="21"/>
      <c r="M1254" s="75"/>
      <c r="N1254" s="75"/>
      <c r="O1254" s="75"/>
      <c r="P1254" s="75"/>
      <c r="Q1254" s="75"/>
    </row>
    <row r="1255" spans="2:17" x14ac:dyDescent="0.3">
      <c r="B1255" s="75"/>
      <c r="C1255" s="75"/>
      <c r="D1255" s="75"/>
      <c r="E1255" s="75"/>
      <c r="F1255" s="75"/>
      <c r="G1255" s="75"/>
      <c r="H1255" s="75"/>
      <c r="I1255" s="19" t="s">
        <v>27</v>
      </c>
      <c r="J1255" s="30">
        <f>C1257*1000/J1248</f>
        <v>18.710468750000004</v>
      </c>
      <c r="K1255" s="16" t="s">
        <v>8</v>
      </c>
      <c r="L1255" s="21"/>
      <c r="M1255" s="39" t="str">
        <f>IF(J1255&lt;J1254,"[OK]","[REDISEÑAR]")</f>
        <v>[OK]</v>
      </c>
      <c r="N1255" s="41" t="s">
        <v>112</v>
      </c>
      <c r="O1255" s="59">
        <f>J1255/J1254</f>
        <v>0.26212431195312458</v>
      </c>
      <c r="P1255" s="75"/>
      <c r="Q1255" s="75"/>
    </row>
    <row r="1256" spans="2:17" x14ac:dyDescent="0.3">
      <c r="B1256" s="17" t="s">
        <v>11</v>
      </c>
      <c r="C1256" s="75"/>
      <c r="D1256" s="75"/>
      <c r="E1256" s="75"/>
      <c r="F1256" s="75"/>
      <c r="G1256" s="75"/>
      <c r="H1256" s="75"/>
      <c r="J1256" s="75"/>
      <c r="K1256" s="75"/>
      <c r="L1256" s="75"/>
      <c r="M1256" s="75"/>
      <c r="N1256" s="75"/>
      <c r="O1256" s="75"/>
      <c r="P1256" s="75"/>
      <c r="Q1256" s="75"/>
    </row>
    <row r="1257" spans="2:17" x14ac:dyDescent="0.3">
      <c r="B1257" s="19" t="str">
        <f>"$N_U$"</f>
        <v>$N_U$</v>
      </c>
      <c r="C1257" s="60">
        <f>'EJE 15'!$K$32</f>
        <v>71.848200000000006</v>
      </c>
      <c r="D1257" s="16" t="s">
        <v>12</v>
      </c>
      <c r="E1257" s="75"/>
      <c r="F1257" s="75"/>
      <c r="G1257" s="75"/>
      <c r="H1257" s="75"/>
      <c r="I1257" s="18" t="s">
        <v>54</v>
      </c>
      <c r="J1257" s="75"/>
      <c r="K1257" s="75"/>
      <c r="L1257" s="75"/>
      <c r="M1257" s="75"/>
      <c r="N1257" s="75"/>
      <c r="O1257" s="75"/>
      <c r="P1257" s="75"/>
      <c r="Q1257" s="75"/>
    </row>
    <row r="1258" spans="2:17" x14ac:dyDescent="0.3">
      <c r="B1258" s="19" t="s">
        <v>14</v>
      </c>
      <c r="C1258" s="60">
        <f>'EJE 15'!$L$32</f>
        <v>0.18060000000000001</v>
      </c>
      <c r="D1258" s="16" t="s">
        <v>12</v>
      </c>
      <c r="E1258" s="75"/>
      <c r="F1258" s="75"/>
      <c r="G1258" s="75"/>
      <c r="H1258" s="75"/>
      <c r="I1258" s="19" t="s">
        <v>72</v>
      </c>
      <c r="J1258" s="16">
        <f>1.2*C1258+C1259+1.4*C1260</f>
        <v>10.4467</v>
      </c>
      <c r="K1258" s="16" t="s">
        <v>12</v>
      </c>
      <c r="L1258" s="75"/>
      <c r="M1258" s="75" t="s">
        <v>68</v>
      </c>
      <c r="N1258" s="75"/>
      <c r="O1258" s="75"/>
      <c r="P1258" s="75"/>
      <c r="Q1258" s="75"/>
    </row>
    <row r="1259" spans="2:17" x14ac:dyDescent="0.3">
      <c r="B1259" s="19" t="s">
        <v>13</v>
      </c>
      <c r="C1259" s="60">
        <f>'EJE 15'!$M$32</f>
        <v>0.23580000000000001</v>
      </c>
      <c r="D1259" s="16" t="s">
        <v>12</v>
      </c>
      <c r="E1259" s="75"/>
      <c r="F1259" s="75"/>
      <c r="G1259" s="75"/>
      <c r="H1259" s="75"/>
      <c r="I1259" s="19" t="s">
        <v>69</v>
      </c>
      <c r="J1259" s="16">
        <f>SUM(C1258:C1260)</f>
        <v>7.5551000000000004</v>
      </c>
      <c r="K1259" s="16" t="s">
        <v>12</v>
      </c>
      <c r="L1259" s="75"/>
      <c r="M1259" s="75" t="s">
        <v>70</v>
      </c>
      <c r="N1259" s="75"/>
      <c r="O1259" s="75"/>
      <c r="P1259" s="75"/>
      <c r="Q1259" s="75"/>
    </row>
    <row r="1260" spans="2:17" x14ac:dyDescent="0.3">
      <c r="B1260" s="19" t="s">
        <v>15</v>
      </c>
      <c r="C1260" s="60">
        <f>'EJE 15'!$N$32</f>
        <v>7.1387</v>
      </c>
      <c r="D1260" s="16" t="s">
        <v>12</v>
      </c>
      <c r="E1260" s="75"/>
      <c r="F1260" s="75"/>
      <c r="G1260" s="75"/>
      <c r="H1260" s="75"/>
      <c r="I1260" s="19" t="s">
        <v>73</v>
      </c>
      <c r="J1260" s="16">
        <f>IF(C1261=0,J1258,C1261)</f>
        <v>10.4467</v>
      </c>
      <c r="K1260" s="16" t="s">
        <v>12</v>
      </c>
      <c r="L1260" s="75"/>
      <c r="M1260" s="40" t="s">
        <v>74</v>
      </c>
      <c r="N1260" s="75"/>
      <c r="O1260" s="75"/>
      <c r="P1260" s="75"/>
      <c r="Q1260" s="75"/>
    </row>
    <row r="1261" spans="2:17" x14ac:dyDescent="0.3">
      <c r="B1261" s="19" t="s">
        <v>55</v>
      </c>
      <c r="C1261" s="16">
        <v>0</v>
      </c>
      <c r="D1261" s="16" t="s">
        <v>12</v>
      </c>
      <c r="E1261" s="75"/>
      <c r="F1261" s="75"/>
      <c r="G1261" s="75"/>
      <c r="H1261" s="75"/>
      <c r="I1261" s="19" t="s">
        <v>71</v>
      </c>
      <c r="J1261" s="16">
        <f>IF(C1261=0,J1259,C1261)</f>
        <v>7.5551000000000004</v>
      </c>
      <c r="K1261" s="16" t="s">
        <v>12</v>
      </c>
      <c r="L1261" s="75"/>
      <c r="M1261" s="40" t="s">
        <v>75</v>
      </c>
      <c r="N1261" s="75"/>
      <c r="O1261" s="75"/>
      <c r="P1261" s="75"/>
      <c r="Q1261" s="75"/>
    </row>
    <row r="1262" spans="2:17" x14ac:dyDescent="0.3">
      <c r="B1262" s="75"/>
      <c r="C1262" s="75"/>
      <c r="D1262" s="75"/>
      <c r="E1262" s="75"/>
      <c r="F1262" s="75"/>
      <c r="G1262" s="75"/>
      <c r="H1262" s="75"/>
      <c r="J1262" s="75"/>
      <c r="K1262" s="75"/>
      <c r="L1262" s="75"/>
      <c r="M1262" s="75"/>
      <c r="N1262" s="75"/>
      <c r="O1262" s="75"/>
      <c r="P1262" s="75"/>
      <c r="Q1262" s="75"/>
    </row>
    <row r="1263" spans="2:17" x14ac:dyDescent="0.3">
      <c r="B1263" s="33" t="s">
        <v>42</v>
      </c>
      <c r="C1263" s="75"/>
      <c r="D1263" s="75"/>
      <c r="E1263" s="75"/>
      <c r="F1263" s="75"/>
      <c r="G1263" s="75"/>
      <c r="H1263" s="75"/>
      <c r="I1263" s="27" t="s">
        <v>76</v>
      </c>
      <c r="J1263" s="75"/>
      <c r="K1263" s="75"/>
      <c r="L1263" s="75"/>
      <c r="M1263" s="75"/>
      <c r="N1263" s="75"/>
      <c r="O1263" s="75"/>
      <c r="P1263" s="75"/>
      <c r="Q1263" s="75"/>
    </row>
    <row r="1264" spans="2:17" x14ac:dyDescent="0.3">
      <c r="B1264" s="31" t="s">
        <v>41</v>
      </c>
      <c r="C1264" s="16">
        <v>10</v>
      </c>
      <c r="D1264" s="29" t="s">
        <v>35</v>
      </c>
      <c r="E1264" s="75"/>
      <c r="F1264" s="75"/>
      <c r="G1264" s="75"/>
      <c r="H1264" s="75"/>
      <c r="I1264" s="19" t="s">
        <v>29</v>
      </c>
      <c r="J1264" s="30">
        <f>J1261*1000/J1248</f>
        <v>1.9674739583333334</v>
      </c>
      <c r="K1264" s="29" t="s">
        <v>8</v>
      </c>
      <c r="L1264" s="75"/>
      <c r="M1264" s="75"/>
      <c r="N1264" s="75"/>
      <c r="O1264" s="75"/>
      <c r="P1264" s="75"/>
      <c r="Q1264" s="75"/>
    </row>
    <row r="1265" spans="2:17" x14ac:dyDescent="0.3">
      <c r="B1265" s="31" t="s">
        <v>43</v>
      </c>
      <c r="C1265" s="16">
        <v>14</v>
      </c>
      <c r="D1265" s="29" t="s">
        <v>5</v>
      </c>
      <c r="E1265" s="75"/>
      <c r="F1265" s="39" t="str">
        <f>IF(OR(C1265&gt;25,C1265&lt;10),"[REDISEÑAR]",IF(AND(C1265&lt;=J1266,C1265&lt;=J1280),"[OK]","[REDISEÑAR]"))</f>
        <v>[OK]</v>
      </c>
      <c r="G1265" s="75"/>
      <c r="H1265" s="75"/>
      <c r="I1265" s="19" t="s">
        <v>61</v>
      </c>
      <c r="J1265" s="37">
        <f>MAX(J1264*100*C1252/(2*C1249),C1269)</f>
        <v>2.5</v>
      </c>
      <c r="K1265" s="29" t="s">
        <v>32</v>
      </c>
      <c r="L1265" s="75"/>
      <c r="M1265" s="15"/>
      <c r="N1265" s="15"/>
      <c r="O1265" s="15"/>
      <c r="P1265" s="75"/>
      <c r="Q1265" s="75"/>
    </row>
    <row r="1266" spans="2:17" x14ac:dyDescent="0.3">
      <c r="B1266" s="75"/>
      <c r="C1266" s="50" t="str">
        <f>"$\phi$"&amp;C1264&amp;"@"&amp;C1265</f>
        <v>$\phi$10@14</v>
      </c>
      <c r="D1266" s="75"/>
      <c r="E1266" s="75"/>
      <c r="F1266" s="39" t="str">
        <f>IF(OR(J1265=C1269,J1276=C1269),"[ÁREA MINIMA]","[]")</f>
        <v>[ÁREA MINIMA]</v>
      </c>
      <c r="G1266" s="75"/>
      <c r="H1266" s="75"/>
      <c r="I1266" s="63" t="s">
        <v>34</v>
      </c>
      <c r="J1266" s="63">
        <f>ROUNDDOWN((1/J1265)*C1268*100,0)</f>
        <v>31</v>
      </c>
      <c r="K1266" s="64" t="s">
        <v>5</v>
      </c>
      <c r="L1266" s="75"/>
      <c r="M1266" s="39" t="str">
        <f>IF(OR(J1266&lt;10,J1266&gt;25),"[REDISEÑAR]","[OK")</f>
        <v>[REDISEÑAR]</v>
      </c>
      <c r="N1266" s="41" t="s">
        <v>80</v>
      </c>
      <c r="O1266" s="42">
        <f>1/J1265*(C1264/2)^2*PI()</f>
        <v>31.415926535897931</v>
      </c>
      <c r="P1266" s="75" t="str">
        <f>"$\phi$"&amp;C1264&amp;"@"&amp;J1266</f>
        <v>$\phi$10@31</v>
      </c>
      <c r="Q1266" s="75"/>
    </row>
    <row r="1267" spans="2:17" x14ac:dyDescent="0.3">
      <c r="B1267" s="18" t="s">
        <v>52</v>
      </c>
      <c r="C1267" s="75"/>
      <c r="D1267" s="75"/>
      <c r="E1267" s="75"/>
      <c r="F1267" s="62" t="str">
        <f>IF(J1255&lt;J1254,IF(J1283&gt;J1272,"[OK]","[REDISEÑAR]"),"[REDISEÑAR]")</f>
        <v>[OK]</v>
      </c>
      <c r="G1267" s="75"/>
      <c r="H1267" s="75"/>
      <c r="I1267" s="31" t="s">
        <v>48</v>
      </c>
      <c r="J1267" s="30">
        <f>C1268*2*IF(C1253/C1265&gt;=1,C1253/C1265,0)</f>
        <v>21.542349624615724</v>
      </c>
      <c r="K1267" s="29" t="s">
        <v>17</v>
      </c>
      <c r="L1267" s="75"/>
      <c r="M1267" s="75"/>
      <c r="N1267" s="15"/>
      <c r="O1267" s="44"/>
      <c r="P1267" s="75"/>
      <c r="Q1267" s="75"/>
    </row>
    <row r="1268" spans="2:17" x14ac:dyDescent="0.3">
      <c r="B1268" s="31" t="s">
        <v>66</v>
      </c>
      <c r="C1268" s="30">
        <f>(C1264/(2*10))^2*PI()</f>
        <v>0.78539816339744828</v>
      </c>
      <c r="D1268" s="29" t="s">
        <v>17</v>
      </c>
      <c r="E1268" s="75"/>
      <c r="F1268" s="75"/>
      <c r="G1268" s="75"/>
      <c r="H1268" s="75"/>
      <c r="I1268" s="19" t="s">
        <v>49</v>
      </c>
      <c r="J1268" s="34">
        <f>C1249*J1267/1000</f>
        <v>60.318578948924028</v>
      </c>
      <c r="K1268" s="16" t="s">
        <v>12</v>
      </c>
      <c r="L1268" s="75"/>
      <c r="M1268" s="39" t="str">
        <f>IF(J1268&gt;J1261,"[OK]","[REDISEÑAR]")</f>
        <v>[OK]</v>
      </c>
      <c r="N1268" s="41" t="str">
        <f>IF(O1268&gt;0,"Sobrado","Faltan")</f>
        <v>Sobrado</v>
      </c>
      <c r="O1268" s="43">
        <f>J1268-J1261</f>
        <v>52.763478948924025</v>
      </c>
      <c r="P1268" s="75"/>
      <c r="Q1268" s="75"/>
    </row>
    <row r="1269" spans="2:17" x14ac:dyDescent="0.3">
      <c r="B1269" s="31" t="s">
        <v>78</v>
      </c>
      <c r="C1269" s="37">
        <f>2.5/1000*100*C1252/2</f>
        <v>2.5</v>
      </c>
      <c r="D1269" s="16" t="s">
        <v>17</v>
      </c>
      <c r="E1269" s="75"/>
      <c r="F1269" s="75"/>
      <c r="G1269" s="75"/>
      <c r="H1269" s="75"/>
      <c r="J1269" s="75"/>
      <c r="K1269" s="75"/>
      <c r="L1269" s="75"/>
      <c r="M1269" s="75"/>
      <c r="N1269" s="75"/>
      <c r="O1269" s="15"/>
      <c r="P1269" s="75"/>
      <c r="Q1269" s="75"/>
    </row>
    <row r="1270" spans="2:17" x14ac:dyDescent="0.3">
      <c r="B1270" s="31" t="s">
        <v>114</v>
      </c>
      <c r="C1270" s="37">
        <f>C1268*100/C1265</f>
        <v>5.6099868814103448</v>
      </c>
      <c r="D1270" s="29" t="s">
        <v>32</v>
      </c>
      <c r="E1270" s="75"/>
      <c r="F1270" s="75"/>
      <c r="G1270" s="75"/>
      <c r="H1270" s="75"/>
      <c r="I1270" s="18" t="s">
        <v>77</v>
      </c>
      <c r="J1270" s="75"/>
      <c r="K1270" s="75"/>
      <c r="L1270" s="75"/>
      <c r="M1270" s="17" t="s">
        <v>67</v>
      </c>
      <c r="N1270" s="75"/>
      <c r="O1270" s="75"/>
      <c r="P1270" s="75"/>
      <c r="Q1270" s="75"/>
    </row>
    <row r="1271" spans="2:17" x14ac:dyDescent="0.3">
      <c r="B1271" s="75"/>
      <c r="C1271" s="75"/>
      <c r="D1271" s="75"/>
      <c r="E1271" s="75"/>
      <c r="F1271" s="75"/>
      <c r="G1271" s="75"/>
      <c r="H1271" s="75"/>
      <c r="I1271" s="19" t="s">
        <v>33</v>
      </c>
      <c r="J1271" s="16">
        <v>0.6</v>
      </c>
      <c r="K1271" s="16" t="s">
        <v>50</v>
      </c>
      <c r="L1271" s="75"/>
      <c r="M1271" s="19" t="s">
        <v>64</v>
      </c>
      <c r="N1271" s="30">
        <f>SQRT(C1247*0.0980665)*(1/0.0980665)/1000*J1273*0.17</f>
        <v>18.919002328958754</v>
      </c>
      <c r="O1271" s="16" t="s">
        <v>12</v>
      </c>
      <c r="P1271" s="75"/>
      <c r="Q1271" s="75"/>
    </row>
    <row r="1272" spans="2:17" x14ac:dyDescent="0.3">
      <c r="B1272" s="17" t="s">
        <v>37</v>
      </c>
      <c r="C1272" s="75"/>
      <c r="D1272" s="75"/>
      <c r="E1272" s="75"/>
      <c r="F1272" s="75"/>
      <c r="G1272" s="75"/>
      <c r="H1272" s="75"/>
      <c r="I1272" s="19" t="s">
        <v>46</v>
      </c>
      <c r="J1272" s="34">
        <f>J1260/J1271</f>
        <v>17.411166666666666</v>
      </c>
      <c r="K1272" s="16" t="s">
        <v>12</v>
      </c>
      <c r="L1272" s="75"/>
      <c r="M1272" s="19" t="s">
        <v>57</v>
      </c>
      <c r="N1272" s="16">
        <f>IF(C1254/J1251&lt;=1.5,0.25,IF(C1254/J1251&gt;=2,0.17,0.17+(0.25-0.17)/(C1254/J1251-1.5)*C1254/J1251))</f>
        <v>0.25</v>
      </c>
      <c r="O1272" s="29" t="s">
        <v>50</v>
      </c>
      <c r="P1272" s="75"/>
      <c r="Q1272" s="75"/>
    </row>
    <row r="1273" spans="2:17" x14ac:dyDescent="0.3">
      <c r="B1273" s="31" t="s">
        <v>115</v>
      </c>
      <c r="C1273" s="37">
        <f>O1268</f>
        <v>52.763478948924025</v>
      </c>
      <c r="D1273" s="29" t="s">
        <v>12</v>
      </c>
      <c r="E1273" s="75"/>
      <c r="F1273" s="75"/>
      <c r="G1273" s="75"/>
      <c r="H1273" s="75"/>
      <c r="I1273" s="19" t="s">
        <v>36</v>
      </c>
      <c r="J1273" s="35">
        <f>J1251*C1252*0.8-J1281</f>
        <v>2440.3661203003076</v>
      </c>
      <c r="K1273" s="16" t="s">
        <v>17</v>
      </c>
      <c r="L1273" s="75"/>
      <c r="M1273" s="19" t="s">
        <v>59</v>
      </c>
      <c r="N1273" s="30">
        <f>SQRT(C1247*0.0980665)*(1/0.0980665)/1000*J1273*N1272</f>
        <v>27.822062248468754</v>
      </c>
      <c r="O1273" s="29" t="s">
        <v>12</v>
      </c>
      <c r="P1273" s="75"/>
      <c r="Q1273" s="75"/>
    </row>
    <row r="1274" spans="2:17" x14ac:dyDescent="0.3">
      <c r="B1274" s="31" t="s">
        <v>116</v>
      </c>
      <c r="C1274" s="37">
        <f>O1283</f>
        <v>73.890130401000931</v>
      </c>
      <c r="D1274" s="29" t="s">
        <v>12</v>
      </c>
      <c r="E1274" s="75"/>
      <c r="F1274" s="75"/>
      <c r="G1274" s="75"/>
      <c r="H1274" s="75"/>
      <c r="I1274" s="19" t="s">
        <v>60</v>
      </c>
      <c r="J1274" s="34">
        <f>MIN(N1273,N1271)</f>
        <v>18.919002328958754</v>
      </c>
      <c r="K1274" s="29" t="s">
        <v>12</v>
      </c>
      <c r="L1274" s="75"/>
      <c r="M1274" s="75"/>
      <c r="N1274" s="75"/>
      <c r="O1274" s="75"/>
      <c r="P1274" s="75"/>
      <c r="Q1274" s="75"/>
    </row>
    <row r="1275" spans="2:17" x14ac:dyDescent="0.3">
      <c r="B1275" s="19" t="s">
        <v>117</v>
      </c>
      <c r="C1275" s="36">
        <f>C1268*2*C1253/C1265/J1248</f>
        <v>5.6099868814103448E-3</v>
      </c>
      <c r="D1275" s="16" t="s">
        <v>50</v>
      </c>
      <c r="E1275" s="75"/>
      <c r="F1275" s="75"/>
      <c r="G1275" s="75"/>
      <c r="H1275" s="75"/>
      <c r="I1275" s="19" t="s">
        <v>39</v>
      </c>
      <c r="J1275" s="34">
        <f>J1272-J1274</f>
        <v>-1.5078356622920879</v>
      </c>
      <c r="K1275" s="16" t="s">
        <v>12</v>
      </c>
      <c r="L1275" s="75"/>
      <c r="M1275" s="75"/>
      <c r="N1275" s="75"/>
      <c r="O1275" s="75"/>
      <c r="P1275" s="75"/>
      <c r="Q1275" s="75"/>
    </row>
    <row r="1276" spans="2:17" x14ac:dyDescent="0.3">
      <c r="B1276" s="75"/>
      <c r="C1276" s="75"/>
      <c r="D1276" s="75"/>
      <c r="E1276" s="75"/>
      <c r="F1276" s="75"/>
      <c r="G1276" s="75"/>
      <c r="H1276" s="75"/>
      <c r="I1276" s="19" t="s">
        <v>61</v>
      </c>
      <c r="J1276" s="37">
        <f>MAX(J1275/(C1248*J1251/1000/100)/2,C1269)</f>
        <v>2.5</v>
      </c>
      <c r="K1276" s="29" t="s">
        <v>32</v>
      </c>
      <c r="L1276" s="75"/>
      <c r="M1276" s="75"/>
      <c r="N1276" s="75"/>
      <c r="O1276" s="75"/>
      <c r="P1276" s="75"/>
      <c r="Q1276" s="75"/>
    </row>
    <row r="1277" spans="2:17" x14ac:dyDescent="0.3">
      <c r="B1277" s="75"/>
      <c r="C1277" s="75"/>
      <c r="D1277" s="75"/>
      <c r="E1277" s="75"/>
      <c r="F1277" s="75"/>
      <c r="G1277" s="75"/>
      <c r="H1277" s="75"/>
      <c r="I1277" s="19" t="s">
        <v>65</v>
      </c>
      <c r="J1277" s="36">
        <f>J1276/C1252/100*2</f>
        <v>2.5000000000000001E-3</v>
      </c>
      <c r="K1277" s="16" t="s">
        <v>50</v>
      </c>
      <c r="L1277" s="75"/>
      <c r="M1277" s="75"/>
      <c r="N1277" s="75"/>
      <c r="O1277" s="75"/>
      <c r="P1277" s="75"/>
      <c r="Q1277" s="75"/>
    </row>
    <row r="1278" spans="2:17" x14ac:dyDescent="0.3">
      <c r="B1278" s="75"/>
      <c r="C1278" s="75"/>
      <c r="D1278" s="75"/>
      <c r="E1278" s="75"/>
      <c r="F1278" s="75"/>
      <c r="G1278" s="75"/>
      <c r="H1278" s="75"/>
      <c r="I1278" s="19" t="s">
        <v>53</v>
      </c>
      <c r="J1278" s="16">
        <f>MAX(0.0025,0.0025*0.5*(2.5-C1252/(C1253*0.8))*(J1277-0.0025))</f>
        <v>2.5000000000000001E-3</v>
      </c>
      <c r="K1278" s="29" t="s">
        <v>50</v>
      </c>
      <c r="L1278" s="75"/>
      <c r="M1278" s="39" t="str">
        <f>IF(OR(J1277&gt;J1278,ABS(J1277-J1278)&lt;0.0001),"[OK]","[REDISEÑAR]")</f>
        <v>[OK]</v>
      </c>
      <c r="N1278" s="75"/>
      <c r="O1278" s="75"/>
      <c r="P1278" s="75"/>
      <c r="Q1278" s="75"/>
    </row>
    <row r="1279" spans="2:17" x14ac:dyDescent="0.3">
      <c r="B1279" s="75"/>
      <c r="C1279" s="75"/>
      <c r="D1279" s="75"/>
      <c r="E1279" s="75"/>
      <c r="F1279" s="75"/>
      <c r="G1279" s="75"/>
      <c r="H1279" s="75"/>
      <c r="I1279" s="19" t="s">
        <v>47</v>
      </c>
      <c r="J1279" s="34">
        <f>SQRT(C1247*0.0980665)*(1/0.0980665)/1000*0.66*0.8*C1253*C1252</f>
        <v>92.461187984487623</v>
      </c>
      <c r="K1279" s="16" t="s">
        <v>12</v>
      </c>
      <c r="L1279" s="75"/>
      <c r="M1279" s="40" t="s">
        <v>44</v>
      </c>
      <c r="N1279" s="75"/>
      <c r="O1279" s="15"/>
      <c r="P1279" s="75"/>
      <c r="Q1279" s="75"/>
    </row>
    <row r="1280" spans="2:17" x14ac:dyDescent="0.3">
      <c r="B1280" s="75"/>
      <c r="C1280" s="75"/>
      <c r="D1280" s="75"/>
      <c r="E1280" s="75"/>
      <c r="F1280" s="75"/>
      <c r="G1280" s="75"/>
      <c r="H1280" s="75"/>
      <c r="I1280" s="63" t="s">
        <v>34</v>
      </c>
      <c r="J1280" s="63">
        <f>ROUNDDOWN(1/J1276*C1268*100,0)</f>
        <v>31</v>
      </c>
      <c r="K1280" s="64" t="s">
        <v>5</v>
      </c>
      <c r="L1280" s="75"/>
      <c r="M1280" s="39" t="str">
        <f>IF(OR(J1280&lt;10,J1280&gt;25),"[REDISEÑAR]","[OK")</f>
        <v>[REDISEÑAR]</v>
      </c>
      <c r="N1280" s="41" t="s">
        <v>80</v>
      </c>
      <c r="O1280" s="42">
        <f>1/J1276*(C1264/2)^2*PI()</f>
        <v>31.415926535897931</v>
      </c>
      <c r="P1280" s="75" t="str">
        <f>"$\phi$"&amp;C1264&amp;"@"&amp;J1280</f>
        <v>$\phi$10@31</v>
      </c>
      <c r="Q1280" s="75"/>
    </row>
    <row r="1281" spans="2:17" x14ac:dyDescent="0.3">
      <c r="B1281" s="75"/>
      <c r="C1281" s="75"/>
      <c r="D1281" s="75"/>
      <c r="E1281" s="75"/>
      <c r="F1281" s="75"/>
      <c r="G1281" s="75"/>
      <c r="H1281" s="75"/>
      <c r="I1281" s="31" t="s">
        <v>48</v>
      </c>
      <c r="J1281" s="30">
        <f>C1268*2*IF(J1251/C1265&gt;=1,J1251/C1265,0)</f>
        <v>17.233879699692583</v>
      </c>
      <c r="K1281" s="29" t="s">
        <v>17</v>
      </c>
      <c r="L1281" s="75"/>
      <c r="M1281" s="75"/>
      <c r="N1281" s="15"/>
      <c r="O1281" s="15"/>
      <c r="P1281" s="75"/>
      <c r="Q1281" s="75"/>
    </row>
    <row r="1282" spans="2:17" x14ac:dyDescent="0.3">
      <c r="B1282" s="75"/>
      <c r="C1282" s="75"/>
      <c r="D1282" s="75"/>
      <c r="E1282" s="75"/>
      <c r="F1282" s="75"/>
      <c r="G1282" s="75"/>
      <c r="H1282" s="75"/>
      <c r="I1282" s="19" t="s">
        <v>81</v>
      </c>
      <c r="J1282" s="34">
        <f>MIN(J1281*C1248/1000,J1279)</f>
        <v>72.38229473870885</v>
      </c>
      <c r="K1282" s="16" t="s">
        <v>12</v>
      </c>
      <c r="L1282" s="75"/>
      <c r="M1282" s="40" t="s">
        <v>82</v>
      </c>
      <c r="N1282" s="15"/>
      <c r="O1282" s="15"/>
      <c r="P1282" s="75"/>
      <c r="Q1282" s="75"/>
    </row>
    <row r="1283" spans="2:17" x14ac:dyDescent="0.3">
      <c r="B1283" s="75"/>
      <c r="C1283" s="75"/>
      <c r="D1283" s="75"/>
      <c r="E1283" s="75"/>
      <c r="F1283" s="75"/>
      <c r="G1283" s="75"/>
      <c r="H1283" s="75"/>
      <c r="I1283" s="19" t="s">
        <v>79</v>
      </c>
      <c r="J1283" s="34">
        <f>J1282+J1274</f>
        <v>91.301297067667605</v>
      </c>
      <c r="K1283" s="16" t="s">
        <v>12</v>
      </c>
      <c r="L1283" s="75"/>
      <c r="M1283" s="39" t="str">
        <f>IF(J1283&gt;J1272,"[OK]","[REDISEÑAR]")</f>
        <v>[OK]</v>
      </c>
      <c r="N1283" s="41" t="str">
        <f>IF(O1283&gt;0,"Sobrado","Faltan")</f>
        <v>Sobrado</v>
      </c>
      <c r="O1283" s="43">
        <f>J1283-J1272</f>
        <v>73.890130401000931</v>
      </c>
      <c r="P1283" s="75"/>
      <c r="Q1283" s="75"/>
    </row>
    <row r="1284" spans="2:17" x14ac:dyDescent="0.3">
      <c r="B1284" s="75"/>
      <c r="C1284" s="75"/>
      <c r="D1284" s="75"/>
      <c r="E1284" s="75"/>
      <c r="F1284" s="75"/>
      <c r="G1284" s="75"/>
      <c r="H1284" s="75"/>
      <c r="J1284" s="75"/>
      <c r="K1284" s="75"/>
      <c r="L1284" s="75"/>
      <c r="M1284" s="75"/>
      <c r="N1284" s="75"/>
      <c r="O1284" s="75"/>
      <c r="P1284" s="75"/>
      <c r="Q1284" s="75"/>
    </row>
    <row r="1285" spans="2:17" x14ac:dyDescent="0.3">
      <c r="B1285" s="75"/>
      <c r="C1285" s="75"/>
      <c r="D1285" s="75"/>
      <c r="E1285" s="75"/>
      <c r="F1285" s="75"/>
      <c r="G1285" s="75"/>
      <c r="H1285" s="75"/>
      <c r="I1285" s="18" t="s">
        <v>45</v>
      </c>
      <c r="J1285" s="75"/>
      <c r="K1285" s="75"/>
      <c r="L1285" s="75"/>
      <c r="M1285" s="75"/>
      <c r="N1285" s="75"/>
      <c r="O1285" s="15"/>
      <c r="P1285" s="75"/>
      <c r="Q1285" s="75"/>
    </row>
    <row r="1286" spans="2:17" x14ac:dyDescent="0.3">
      <c r="B1286" s="75"/>
      <c r="C1286" s="75"/>
      <c r="D1286" s="75"/>
      <c r="E1286" s="75"/>
      <c r="F1286" s="75"/>
      <c r="G1286" s="75"/>
      <c r="H1286" s="75"/>
      <c r="I1286" s="19" t="s">
        <v>40</v>
      </c>
      <c r="J1286" s="16">
        <f>J1260</f>
        <v>10.4467</v>
      </c>
      <c r="K1286" s="16" t="s">
        <v>12</v>
      </c>
      <c r="L1286" s="75"/>
      <c r="M1286" s="75"/>
      <c r="N1286" s="75"/>
      <c r="O1286" s="26"/>
      <c r="P1286" s="75"/>
      <c r="Q1286" s="75"/>
    </row>
    <row r="1287" spans="2:17" x14ac:dyDescent="0.3">
      <c r="B1287" s="75"/>
      <c r="C1287" s="75"/>
      <c r="D1287" s="75"/>
      <c r="E1287" s="75"/>
      <c r="F1287" s="75"/>
      <c r="G1287" s="75"/>
      <c r="H1287" s="75"/>
      <c r="I1287" s="19" t="s">
        <v>46</v>
      </c>
      <c r="J1287" s="34">
        <f>J1272</f>
        <v>17.411166666666666</v>
      </c>
      <c r="K1287" s="16" t="s">
        <v>12</v>
      </c>
      <c r="L1287" s="75"/>
      <c r="M1287" s="75"/>
      <c r="N1287" s="75"/>
      <c r="O1287" s="75"/>
      <c r="P1287" s="75"/>
      <c r="Q1287" s="75"/>
    </row>
    <row r="1288" spans="2:17" x14ac:dyDescent="0.3">
      <c r="B1288" s="75"/>
      <c r="C1288" s="75"/>
      <c r="D1288" s="75"/>
      <c r="E1288" s="75"/>
      <c r="F1288" s="75"/>
      <c r="G1288" s="75"/>
      <c r="H1288" s="75"/>
      <c r="I1288" s="19" t="s">
        <v>38</v>
      </c>
      <c r="J1288" s="34">
        <f>2/3*J1273*SQRT(C1247*0.0980665)*(1/0.0980665)/1000</f>
        <v>74.192165995916667</v>
      </c>
      <c r="K1288" s="16" t="s">
        <v>12</v>
      </c>
      <c r="L1288" s="75"/>
      <c r="M1288" s="39" t="str">
        <f>IF(J1288&gt;J1287,"[OK]","[REDISEÑAR]")</f>
        <v>[OK]</v>
      </c>
      <c r="N1288" s="41" t="str">
        <f>IF(O1288&gt;0,"Sobrado","Faltan")</f>
        <v>Sobrado</v>
      </c>
      <c r="O1288" s="43">
        <f>J1288-J1287</f>
        <v>56.780999329250001</v>
      </c>
      <c r="P1288" s="75"/>
      <c r="Q1288" s="75"/>
    </row>
    <row r="1290" spans="2:17" ht="18" x14ac:dyDescent="0.35">
      <c r="B1290" s="48" t="str">
        <f>'EJE 15'!$S$33</f>
        <v>EJE 15.G-L | PIER F33X | PISO 14</v>
      </c>
      <c r="C1290" s="75"/>
      <c r="D1290" s="75"/>
      <c r="E1290" s="75"/>
      <c r="F1290" s="75"/>
      <c r="G1290" s="75"/>
      <c r="H1290" s="75"/>
      <c r="J1290" s="75"/>
      <c r="K1290" s="75"/>
      <c r="L1290" s="75"/>
      <c r="M1290" s="75"/>
      <c r="N1290" s="75"/>
      <c r="O1290" s="75"/>
      <c r="P1290" s="75"/>
      <c r="Q1290" s="75"/>
    </row>
    <row r="1291" spans="2:17" x14ac:dyDescent="0.3">
      <c r="B1291" s="75"/>
      <c r="C1291" s="75"/>
      <c r="D1291" s="75"/>
      <c r="E1291" s="75"/>
      <c r="F1291" s="75"/>
      <c r="G1291" s="75"/>
      <c r="H1291" s="75"/>
      <c r="J1291" s="75"/>
      <c r="K1291" s="75"/>
      <c r="L1291" s="75"/>
      <c r="M1291" s="75"/>
      <c r="N1291" s="75"/>
      <c r="O1291" s="75"/>
      <c r="P1291" s="75"/>
      <c r="Q1291" s="75"/>
    </row>
    <row r="1292" spans="2:17" x14ac:dyDescent="0.3">
      <c r="B1292" s="17" t="s">
        <v>6</v>
      </c>
      <c r="C1292" s="75"/>
      <c r="D1292" s="75"/>
      <c r="E1292" s="75"/>
      <c r="F1292" s="75"/>
      <c r="G1292" s="75"/>
      <c r="H1292" s="75"/>
      <c r="I1292" s="18" t="s">
        <v>25</v>
      </c>
      <c r="J1292" s="75"/>
      <c r="K1292" s="75"/>
      <c r="L1292" s="75"/>
      <c r="M1292" s="75"/>
      <c r="N1292" s="75"/>
      <c r="O1292" s="75"/>
      <c r="P1292" s="75"/>
      <c r="Q1292" s="75"/>
    </row>
    <row r="1293" spans="2:17" x14ac:dyDescent="0.3">
      <c r="B1293" s="19" t="s">
        <v>99</v>
      </c>
      <c r="C1293" s="61">
        <f>10.1971621297793*'EJE 15'!$G$33</f>
        <v>203.94324259558601</v>
      </c>
      <c r="D1293" s="16" t="s">
        <v>8</v>
      </c>
      <c r="E1293" s="75"/>
      <c r="F1293" s="75"/>
      <c r="G1293" s="75"/>
      <c r="H1293" s="75"/>
      <c r="I1293" s="19" t="s">
        <v>58</v>
      </c>
      <c r="J1293" s="16">
        <f>C1300/16</f>
        <v>14.375</v>
      </c>
      <c r="K1293" s="16" t="s">
        <v>5</v>
      </c>
      <c r="L1293" s="21"/>
      <c r="M1293" s="39" t="str">
        <f>IF(J1293&lt;C1298,"[OK]","[REDISEÑAR]")</f>
        <v>[OK]</v>
      </c>
      <c r="N1293" s="75"/>
      <c r="O1293" s="75"/>
      <c r="P1293" s="75"/>
      <c r="Q1293" s="75"/>
    </row>
    <row r="1294" spans="2:17" x14ac:dyDescent="0.3">
      <c r="B1294" s="19" t="s">
        <v>30</v>
      </c>
      <c r="C1294" s="16">
        <v>4200</v>
      </c>
      <c r="D1294" s="16" t="s">
        <v>8</v>
      </c>
      <c r="E1294" s="75"/>
      <c r="F1294" s="75"/>
      <c r="G1294" s="75"/>
      <c r="H1294" s="75"/>
      <c r="I1294" s="19" t="s">
        <v>16</v>
      </c>
      <c r="J1294" s="16">
        <f>C1298*C1299</f>
        <v>6780</v>
      </c>
      <c r="K1294" s="16" t="s">
        <v>17</v>
      </c>
      <c r="L1294" s="21"/>
      <c r="M1294" s="75"/>
      <c r="N1294" s="75"/>
      <c r="O1294" s="75"/>
      <c r="P1294" s="75"/>
      <c r="Q1294" s="75"/>
    </row>
    <row r="1295" spans="2:17" x14ac:dyDescent="0.3">
      <c r="B1295" s="19" t="s">
        <v>31</v>
      </c>
      <c r="C1295" s="16">
        <v>2800</v>
      </c>
      <c r="D1295" s="16" t="s">
        <v>8</v>
      </c>
      <c r="E1295" s="75"/>
      <c r="F1295" s="75"/>
      <c r="G1295" s="75"/>
      <c r="H1295" s="75"/>
      <c r="I1295" s="19" t="s">
        <v>51</v>
      </c>
      <c r="J1295" s="16">
        <f>MIN(0.8*C1299/5,3*C1298,45)</f>
        <v>45</v>
      </c>
      <c r="K1295" s="16" t="s">
        <v>5</v>
      </c>
      <c r="L1295" s="21"/>
      <c r="M1295" s="39" t="str">
        <f>IF(J1295&gt;C1311,"[OK]","[REDISEÑAR]")</f>
        <v>[OK]</v>
      </c>
      <c r="N1295" s="75"/>
      <c r="O1295" s="75"/>
      <c r="P1295" s="75"/>
      <c r="Q1295" s="75"/>
    </row>
    <row r="1296" spans="2:17" x14ac:dyDescent="0.3">
      <c r="B1296" s="75"/>
      <c r="C1296" s="75"/>
      <c r="D1296" s="75"/>
      <c r="E1296" s="75"/>
      <c r="F1296" s="75"/>
      <c r="G1296" s="75"/>
      <c r="H1296" s="75"/>
      <c r="I1296" s="19" t="s">
        <v>56</v>
      </c>
      <c r="J1296" s="16">
        <f>MIN(0.8*C1300/3,3*C1299,45)</f>
        <v>45</v>
      </c>
      <c r="K1296" s="16" t="s">
        <v>5</v>
      </c>
      <c r="L1296" s="21"/>
      <c r="M1296" s="39" t="str">
        <f>IF(J1296&gt;C1311,"[OK]","[REDISEÑAR]")</f>
        <v>[OK]</v>
      </c>
      <c r="N1296" s="75"/>
      <c r="O1296" s="75"/>
      <c r="P1296" s="75"/>
      <c r="Q1296" s="75"/>
    </row>
    <row r="1297" spans="2:17" x14ac:dyDescent="0.3">
      <c r="B1297" s="17" t="s">
        <v>3</v>
      </c>
      <c r="C1297" s="75"/>
      <c r="D1297" s="75"/>
      <c r="E1297" s="75"/>
      <c r="F1297" s="75"/>
      <c r="G1297" s="75"/>
      <c r="H1297" s="75"/>
      <c r="I1297" s="19" t="s">
        <v>62</v>
      </c>
      <c r="J1297" s="16">
        <f>0.8*C1299</f>
        <v>271.2</v>
      </c>
      <c r="K1297" s="29" t="s">
        <v>5</v>
      </c>
      <c r="L1297" s="75"/>
      <c r="M1297" s="75"/>
      <c r="N1297" s="75"/>
      <c r="O1297" s="75"/>
      <c r="P1297" s="75"/>
      <c r="Q1297" s="75"/>
    </row>
    <row r="1298" spans="2:17" x14ac:dyDescent="0.3">
      <c r="B1298" s="19" t="str">
        <f>"Espesor del muro (h)"</f>
        <v>Espesor del muro (h)</v>
      </c>
      <c r="C1298" s="49">
        <f>'EJE 15'!$H$33</f>
        <v>20</v>
      </c>
      <c r="D1298" s="16" t="s">
        <v>5</v>
      </c>
      <c r="E1298" s="75"/>
      <c r="F1298" s="75"/>
      <c r="G1298" s="75"/>
      <c r="H1298" s="75"/>
      <c r="J1298" s="75"/>
      <c r="K1298" s="75"/>
      <c r="L1298" s="75"/>
      <c r="M1298" s="75"/>
      <c r="N1298" s="75"/>
      <c r="O1298" s="75"/>
      <c r="P1298" s="75"/>
      <c r="Q1298" s="75"/>
    </row>
    <row r="1299" spans="2:17" x14ac:dyDescent="0.3">
      <c r="B1299" s="19" t="s">
        <v>63</v>
      </c>
      <c r="C1299" s="49">
        <f>'EJE 15'!$I$33</f>
        <v>339</v>
      </c>
      <c r="D1299" s="16" t="s">
        <v>5</v>
      </c>
      <c r="E1299" s="75"/>
      <c r="F1299" s="75"/>
      <c r="G1299" s="75"/>
      <c r="H1299" s="75"/>
      <c r="I1299" s="18" t="s">
        <v>26</v>
      </c>
      <c r="J1299" s="75"/>
      <c r="K1299" s="75"/>
      <c r="L1299" s="75"/>
      <c r="M1299" s="75"/>
      <c r="N1299" s="75"/>
      <c r="O1299" s="75"/>
      <c r="P1299" s="75"/>
      <c r="Q1299" s="75"/>
    </row>
    <row r="1300" spans="2:17" x14ac:dyDescent="0.3">
      <c r="B1300" s="19" t="s">
        <v>10</v>
      </c>
      <c r="C1300" s="49">
        <f>'EJE 15'!$J$33</f>
        <v>230</v>
      </c>
      <c r="D1300" s="16" t="s">
        <v>5</v>
      </c>
      <c r="E1300" s="75"/>
      <c r="F1300" s="75"/>
      <c r="G1300" s="75"/>
      <c r="H1300" s="75"/>
      <c r="I1300" s="19" t="s">
        <v>28</v>
      </c>
      <c r="J1300" s="16">
        <f>0.35*C1293</f>
        <v>71.380134908455105</v>
      </c>
      <c r="K1300" s="16" t="s">
        <v>8</v>
      </c>
      <c r="L1300" s="21"/>
      <c r="M1300" s="75"/>
      <c r="N1300" s="75"/>
      <c r="O1300" s="75"/>
      <c r="P1300" s="75"/>
      <c r="Q1300" s="75"/>
    </row>
    <row r="1301" spans="2:17" x14ac:dyDescent="0.3">
      <c r="B1301" s="75"/>
      <c r="C1301" s="75"/>
      <c r="D1301" s="75"/>
      <c r="E1301" s="75"/>
      <c r="F1301" s="75"/>
      <c r="G1301" s="75"/>
      <c r="H1301" s="75"/>
      <c r="I1301" s="19" t="s">
        <v>27</v>
      </c>
      <c r="J1301" s="30">
        <f>C1303*1000/J1294</f>
        <v>16.344985250737462</v>
      </c>
      <c r="K1301" s="16" t="s">
        <v>8</v>
      </c>
      <c r="L1301" s="21"/>
      <c r="M1301" s="39" t="str">
        <f>IF(J1301&lt;J1300,"[OK]","[REDISEÑAR]")</f>
        <v>[OK]</v>
      </c>
      <c r="N1301" s="41" t="s">
        <v>112</v>
      </c>
      <c r="O1301" s="59">
        <f>J1301/J1300</f>
        <v>0.22898507087020606</v>
      </c>
      <c r="P1301" s="75"/>
      <c r="Q1301" s="75"/>
    </row>
    <row r="1302" spans="2:17" x14ac:dyDescent="0.3">
      <c r="B1302" s="17" t="s">
        <v>11</v>
      </c>
      <c r="C1302" s="75"/>
      <c r="D1302" s="75"/>
      <c r="E1302" s="75"/>
      <c r="F1302" s="75"/>
      <c r="G1302" s="75"/>
      <c r="H1302" s="75"/>
      <c r="J1302" s="75"/>
      <c r="K1302" s="75"/>
      <c r="L1302" s="75"/>
      <c r="M1302" s="75"/>
      <c r="N1302" s="75"/>
      <c r="O1302" s="75"/>
      <c r="P1302" s="75"/>
      <c r="Q1302" s="75"/>
    </row>
    <row r="1303" spans="2:17" x14ac:dyDescent="0.3">
      <c r="B1303" s="19" t="str">
        <f>"$N_U$"</f>
        <v>$N_U$</v>
      </c>
      <c r="C1303" s="60">
        <f>'EJE 15'!$K$33</f>
        <v>110.819</v>
      </c>
      <c r="D1303" s="16" t="s">
        <v>12</v>
      </c>
      <c r="E1303" s="75"/>
      <c r="F1303" s="75"/>
      <c r="G1303" s="75"/>
      <c r="H1303" s="75"/>
      <c r="I1303" s="18" t="s">
        <v>54</v>
      </c>
      <c r="J1303" s="75"/>
      <c r="K1303" s="75"/>
      <c r="L1303" s="75"/>
      <c r="M1303" s="75"/>
      <c r="N1303" s="75"/>
      <c r="O1303" s="75"/>
      <c r="P1303" s="75"/>
      <c r="Q1303" s="75"/>
    </row>
    <row r="1304" spans="2:17" x14ac:dyDescent="0.3">
      <c r="B1304" s="19" t="s">
        <v>14</v>
      </c>
      <c r="C1304" s="60">
        <f>'EJE 15'!$L$33</f>
        <v>2.0947</v>
      </c>
      <c r="D1304" s="16" t="s">
        <v>12</v>
      </c>
      <c r="E1304" s="75"/>
      <c r="F1304" s="75"/>
      <c r="G1304" s="75"/>
      <c r="H1304" s="75"/>
      <c r="I1304" s="19" t="s">
        <v>72</v>
      </c>
      <c r="J1304" s="16">
        <f>1.2*C1304+C1305+1.4*C1306</f>
        <v>27.61364</v>
      </c>
      <c r="K1304" s="16" t="s">
        <v>12</v>
      </c>
      <c r="L1304" s="75"/>
      <c r="M1304" s="75" t="s">
        <v>68</v>
      </c>
      <c r="N1304" s="75"/>
      <c r="O1304" s="75"/>
      <c r="P1304" s="75"/>
      <c r="Q1304" s="75"/>
    </row>
    <row r="1305" spans="2:17" x14ac:dyDescent="0.3">
      <c r="B1305" s="19" t="s">
        <v>13</v>
      </c>
      <c r="C1305" s="60">
        <f>'EJE 15'!$M$33</f>
        <v>1.6199999999999999E-2</v>
      </c>
      <c r="D1305" s="16" t="s">
        <v>12</v>
      </c>
      <c r="E1305" s="75"/>
      <c r="F1305" s="75"/>
      <c r="G1305" s="75"/>
      <c r="H1305" s="75"/>
      <c r="I1305" s="19" t="s">
        <v>69</v>
      </c>
      <c r="J1305" s="16">
        <f>SUM(C1304:C1306)</f>
        <v>20.027900000000002</v>
      </c>
      <c r="K1305" s="16" t="s">
        <v>12</v>
      </c>
      <c r="L1305" s="75"/>
      <c r="M1305" s="75" t="s">
        <v>70</v>
      </c>
      <c r="N1305" s="75"/>
      <c r="O1305" s="75"/>
      <c r="P1305" s="75"/>
      <c r="Q1305" s="75"/>
    </row>
    <row r="1306" spans="2:17" x14ac:dyDescent="0.3">
      <c r="B1306" s="19" t="s">
        <v>15</v>
      </c>
      <c r="C1306" s="60">
        <f>'EJE 15'!$N$33</f>
        <v>17.917000000000002</v>
      </c>
      <c r="D1306" s="16" t="s">
        <v>12</v>
      </c>
      <c r="E1306" s="75"/>
      <c r="F1306" s="75"/>
      <c r="G1306" s="75"/>
      <c r="H1306" s="75"/>
      <c r="I1306" s="19" t="s">
        <v>73</v>
      </c>
      <c r="J1306" s="16">
        <f>IF(C1307=0,J1304,C1307)</f>
        <v>27.61364</v>
      </c>
      <c r="K1306" s="16" t="s">
        <v>12</v>
      </c>
      <c r="L1306" s="75"/>
      <c r="M1306" s="40" t="s">
        <v>74</v>
      </c>
      <c r="N1306" s="75"/>
      <c r="O1306" s="75"/>
      <c r="P1306" s="75"/>
      <c r="Q1306" s="75"/>
    </row>
    <row r="1307" spans="2:17" x14ac:dyDescent="0.3">
      <c r="B1307" s="19" t="s">
        <v>55</v>
      </c>
      <c r="C1307" s="16">
        <v>0</v>
      </c>
      <c r="D1307" s="16" t="s">
        <v>12</v>
      </c>
      <c r="E1307" s="75"/>
      <c r="F1307" s="75"/>
      <c r="G1307" s="75"/>
      <c r="H1307" s="75"/>
      <c r="I1307" s="19" t="s">
        <v>71</v>
      </c>
      <c r="J1307" s="16">
        <f>IF(C1307=0,J1305,C1307)</f>
        <v>20.027900000000002</v>
      </c>
      <c r="K1307" s="16" t="s">
        <v>12</v>
      </c>
      <c r="L1307" s="75"/>
      <c r="M1307" s="40" t="s">
        <v>75</v>
      </c>
      <c r="N1307" s="75"/>
      <c r="O1307" s="75"/>
      <c r="P1307" s="75"/>
      <c r="Q1307" s="75"/>
    </row>
    <row r="1308" spans="2:17" x14ac:dyDescent="0.3">
      <c r="B1308" s="75"/>
      <c r="C1308" s="75"/>
      <c r="D1308" s="75"/>
      <c r="E1308" s="75"/>
      <c r="F1308" s="75"/>
      <c r="G1308" s="75"/>
      <c r="H1308" s="75"/>
      <c r="J1308" s="75"/>
      <c r="K1308" s="75"/>
      <c r="L1308" s="75"/>
      <c r="M1308" s="75"/>
      <c r="N1308" s="75"/>
      <c r="O1308" s="75"/>
      <c r="P1308" s="75"/>
      <c r="Q1308" s="75"/>
    </row>
    <row r="1309" spans="2:17" x14ac:dyDescent="0.3">
      <c r="B1309" s="33" t="s">
        <v>42</v>
      </c>
      <c r="C1309" s="75"/>
      <c r="D1309" s="75"/>
      <c r="E1309" s="75"/>
      <c r="F1309" s="75"/>
      <c r="G1309" s="75"/>
      <c r="H1309" s="75"/>
      <c r="I1309" s="27" t="s">
        <v>76</v>
      </c>
      <c r="J1309" s="75"/>
      <c r="K1309" s="75"/>
      <c r="L1309" s="75"/>
      <c r="M1309" s="75"/>
      <c r="N1309" s="75"/>
      <c r="O1309" s="75"/>
      <c r="P1309" s="75"/>
      <c r="Q1309" s="75"/>
    </row>
    <row r="1310" spans="2:17" x14ac:dyDescent="0.3">
      <c r="B1310" s="31" t="s">
        <v>41</v>
      </c>
      <c r="C1310" s="16">
        <v>10</v>
      </c>
      <c r="D1310" s="29" t="s">
        <v>35</v>
      </c>
      <c r="E1310" s="75"/>
      <c r="F1310" s="75"/>
      <c r="G1310" s="75"/>
      <c r="H1310" s="75"/>
      <c r="I1310" s="19" t="s">
        <v>29</v>
      </c>
      <c r="J1310" s="30">
        <f>J1307*1000/J1294</f>
        <v>2.9539675516224193</v>
      </c>
      <c r="K1310" s="29" t="s">
        <v>8</v>
      </c>
      <c r="L1310" s="75"/>
      <c r="M1310" s="75"/>
      <c r="N1310" s="75"/>
      <c r="O1310" s="75"/>
      <c r="P1310" s="75"/>
      <c r="Q1310" s="75"/>
    </row>
    <row r="1311" spans="2:17" x14ac:dyDescent="0.3">
      <c r="B1311" s="31" t="s">
        <v>43</v>
      </c>
      <c r="C1311" s="16">
        <v>14</v>
      </c>
      <c r="D1311" s="29" t="s">
        <v>5</v>
      </c>
      <c r="E1311" s="75"/>
      <c r="F1311" s="39" t="str">
        <f>IF(OR(C1311&gt;25,C1311&lt;10),"[REDISEÑAR]",IF(AND(C1311&lt;=J1312,C1311&lt;=J1326),"[OK]","[REDISEÑAR]"))</f>
        <v>[OK]</v>
      </c>
      <c r="G1311" s="75"/>
      <c r="H1311" s="75"/>
      <c r="I1311" s="19" t="s">
        <v>61</v>
      </c>
      <c r="J1311" s="37">
        <f>MAX(J1310*100*C1298/(2*C1295),C1315)</f>
        <v>2.5</v>
      </c>
      <c r="K1311" s="29" t="s">
        <v>32</v>
      </c>
      <c r="L1311" s="75"/>
      <c r="M1311" s="15"/>
      <c r="N1311" s="15"/>
      <c r="O1311" s="15"/>
      <c r="P1311" s="75"/>
      <c r="Q1311" s="75"/>
    </row>
    <row r="1312" spans="2:17" x14ac:dyDescent="0.3">
      <c r="B1312" s="75"/>
      <c r="C1312" s="50" t="str">
        <f>"$\phi$"&amp;C1310&amp;"@"&amp;C1311</f>
        <v>$\phi$10@14</v>
      </c>
      <c r="D1312" s="75"/>
      <c r="E1312" s="75"/>
      <c r="F1312" s="39" t="str">
        <f>IF(OR(J1311=C1315,J1322=C1315),"[ÁREA MINIMA]","[]")</f>
        <v>[ÁREA MINIMA]</v>
      </c>
      <c r="G1312" s="75"/>
      <c r="H1312" s="75"/>
      <c r="I1312" s="63" t="s">
        <v>34</v>
      </c>
      <c r="J1312" s="63">
        <f>ROUNDDOWN((1/J1311)*C1314*100,0)</f>
        <v>31</v>
      </c>
      <c r="K1312" s="64" t="s">
        <v>5</v>
      </c>
      <c r="L1312" s="75"/>
      <c r="M1312" s="39" t="str">
        <f>IF(OR(J1312&lt;10,J1312&gt;25),"[REDISEÑAR]","[OK")</f>
        <v>[REDISEÑAR]</v>
      </c>
      <c r="N1312" s="41" t="s">
        <v>80</v>
      </c>
      <c r="O1312" s="42">
        <f>1/J1311*(C1310/2)^2*PI()</f>
        <v>31.415926535897931</v>
      </c>
      <c r="P1312" s="75" t="str">
        <f>"$\phi$"&amp;C1310&amp;"@"&amp;J1312</f>
        <v>$\phi$10@31</v>
      </c>
      <c r="Q1312" s="75"/>
    </row>
    <row r="1313" spans="2:17" x14ac:dyDescent="0.3">
      <c r="B1313" s="18" t="s">
        <v>52</v>
      </c>
      <c r="C1313" s="75"/>
      <c r="D1313" s="75"/>
      <c r="E1313" s="75"/>
      <c r="F1313" s="62" t="str">
        <f>IF(J1301&lt;J1300,IF(J1329&gt;J1318,"[OK]","[REDISEÑAR]"),"[REDISEÑAR]")</f>
        <v>[OK]</v>
      </c>
      <c r="G1313" s="75"/>
      <c r="H1313" s="75"/>
      <c r="I1313" s="31" t="s">
        <v>48</v>
      </c>
      <c r="J1313" s="30">
        <f>C1314*2*IF(C1299/C1311&gt;=1,C1299/C1311,0)</f>
        <v>38.035711055962139</v>
      </c>
      <c r="K1313" s="29" t="s">
        <v>17</v>
      </c>
      <c r="L1313" s="75"/>
      <c r="M1313" s="75"/>
      <c r="N1313" s="15"/>
      <c r="O1313" s="44"/>
      <c r="P1313" s="75"/>
      <c r="Q1313" s="75"/>
    </row>
    <row r="1314" spans="2:17" x14ac:dyDescent="0.3">
      <c r="B1314" s="31" t="s">
        <v>66</v>
      </c>
      <c r="C1314" s="30">
        <f>(C1310/(2*10))^2*PI()</f>
        <v>0.78539816339744828</v>
      </c>
      <c r="D1314" s="29" t="s">
        <v>17</v>
      </c>
      <c r="E1314" s="75"/>
      <c r="F1314" s="75"/>
      <c r="G1314" s="75"/>
      <c r="H1314" s="75"/>
      <c r="I1314" s="19" t="s">
        <v>49</v>
      </c>
      <c r="J1314" s="34">
        <f>C1295*J1313/1000</f>
        <v>106.49999095669399</v>
      </c>
      <c r="K1314" s="16" t="s">
        <v>12</v>
      </c>
      <c r="L1314" s="75"/>
      <c r="M1314" s="39" t="str">
        <f>IF(J1314&gt;J1307,"[OK]","[REDISEÑAR]")</f>
        <v>[OK]</v>
      </c>
      <c r="N1314" s="41" t="str">
        <f>IF(O1314&gt;0,"Sobrado","Faltan")</f>
        <v>Sobrado</v>
      </c>
      <c r="O1314" s="43">
        <f>J1314-J1307</f>
        <v>86.472090956693989</v>
      </c>
      <c r="P1314" s="75"/>
      <c r="Q1314" s="75"/>
    </row>
    <row r="1315" spans="2:17" x14ac:dyDescent="0.3">
      <c r="B1315" s="31" t="s">
        <v>78</v>
      </c>
      <c r="C1315" s="37">
        <f>2.5/1000*100*C1298/2</f>
        <v>2.5</v>
      </c>
      <c r="D1315" s="16" t="s">
        <v>17</v>
      </c>
      <c r="E1315" s="75"/>
      <c r="F1315" s="75"/>
      <c r="G1315" s="75"/>
      <c r="H1315" s="75"/>
      <c r="J1315" s="75"/>
      <c r="K1315" s="75"/>
      <c r="L1315" s="75"/>
      <c r="M1315" s="75"/>
      <c r="N1315" s="75"/>
      <c r="O1315" s="15"/>
      <c r="P1315" s="75"/>
      <c r="Q1315" s="75"/>
    </row>
    <row r="1316" spans="2:17" x14ac:dyDescent="0.3">
      <c r="B1316" s="31" t="s">
        <v>114</v>
      </c>
      <c r="C1316" s="37">
        <f>C1314*100/C1311</f>
        <v>5.6099868814103448</v>
      </c>
      <c r="D1316" s="29" t="s">
        <v>32</v>
      </c>
      <c r="E1316" s="75"/>
      <c r="F1316" s="75"/>
      <c r="G1316" s="75"/>
      <c r="H1316" s="75"/>
      <c r="I1316" s="18" t="s">
        <v>77</v>
      </c>
      <c r="J1316" s="75"/>
      <c r="K1316" s="75"/>
      <c r="L1316" s="75"/>
      <c r="M1316" s="17" t="s">
        <v>67</v>
      </c>
      <c r="N1316" s="75"/>
      <c r="O1316" s="75"/>
      <c r="P1316" s="75"/>
      <c r="Q1316" s="75"/>
    </row>
    <row r="1317" spans="2:17" x14ac:dyDescent="0.3">
      <c r="B1317" s="75"/>
      <c r="C1317" s="75"/>
      <c r="D1317" s="75"/>
      <c r="E1317" s="75"/>
      <c r="F1317" s="75"/>
      <c r="G1317" s="75"/>
      <c r="H1317" s="75"/>
      <c r="I1317" s="19" t="s">
        <v>33</v>
      </c>
      <c r="J1317" s="16">
        <v>0.6</v>
      </c>
      <c r="K1317" s="16" t="s">
        <v>50</v>
      </c>
      <c r="L1317" s="75"/>
      <c r="M1317" s="19" t="s">
        <v>64</v>
      </c>
      <c r="N1317" s="30">
        <f>SQRT(C1293*0.0980665)*(1/0.0980665)/1000*J1319*0.17</f>
        <v>33.403863487067795</v>
      </c>
      <c r="O1317" s="16" t="s">
        <v>12</v>
      </c>
      <c r="P1317" s="75"/>
      <c r="Q1317" s="75"/>
    </row>
    <row r="1318" spans="2:17" x14ac:dyDescent="0.3">
      <c r="B1318" s="17" t="s">
        <v>37</v>
      </c>
      <c r="C1318" s="75"/>
      <c r="D1318" s="75"/>
      <c r="E1318" s="75"/>
      <c r="F1318" s="75"/>
      <c r="G1318" s="75"/>
      <c r="H1318" s="75"/>
      <c r="I1318" s="19" t="s">
        <v>46</v>
      </c>
      <c r="J1318" s="34">
        <f>J1306/J1317</f>
        <v>46.022733333333335</v>
      </c>
      <c r="K1318" s="16" t="s">
        <v>12</v>
      </c>
      <c r="L1318" s="75"/>
      <c r="M1318" s="19" t="s">
        <v>57</v>
      </c>
      <c r="N1318" s="16">
        <f>IF(C1300/J1297&lt;=1.5,0.25,IF(C1300/J1297&gt;=2,0.17,0.17+(0.25-0.17)/(C1300/J1297-1.5)*C1300/J1297))</f>
        <v>0.25</v>
      </c>
      <c r="O1318" s="29" t="s">
        <v>50</v>
      </c>
      <c r="P1318" s="75"/>
      <c r="Q1318" s="75"/>
    </row>
    <row r="1319" spans="2:17" x14ac:dyDescent="0.3">
      <c r="B1319" s="31" t="s">
        <v>115</v>
      </c>
      <c r="C1319" s="37">
        <f>O1314</f>
        <v>86.472090956693989</v>
      </c>
      <c r="D1319" s="29" t="s">
        <v>12</v>
      </c>
      <c r="E1319" s="75"/>
      <c r="F1319" s="75"/>
      <c r="G1319" s="75"/>
      <c r="H1319" s="75"/>
      <c r="I1319" s="19" t="s">
        <v>36</v>
      </c>
      <c r="J1319" s="35">
        <f>J1297*C1298*0.8-J1327</f>
        <v>4308.7714311552299</v>
      </c>
      <c r="K1319" s="16" t="s">
        <v>17</v>
      </c>
      <c r="L1319" s="75"/>
      <c r="M1319" s="19" t="s">
        <v>59</v>
      </c>
      <c r="N1319" s="30">
        <f>SQRT(C1293*0.0980665)*(1/0.0980665)/1000*J1319*N1318</f>
        <v>49.123328657452639</v>
      </c>
      <c r="O1319" s="29" t="s">
        <v>12</v>
      </c>
      <c r="P1319" s="75"/>
      <c r="Q1319" s="75"/>
    </row>
    <row r="1320" spans="2:17" x14ac:dyDescent="0.3">
      <c r="B1320" s="31" t="s">
        <v>116</v>
      </c>
      <c r="C1320" s="37">
        <f>O1329</f>
        <v>115.18111930176723</v>
      </c>
      <c r="D1320" s="29" t="s">
        <v>12</v>
      </c>
      <c r="E1320" s="75"/>
      <c r="F1320" s="75"/>
      <c r="G1320" s="75"/>
      <c r="H1320" s="75"/>
      <c r="I1320" s="19" t="s">
        <v>60</v>
      </c>
      <c r="J1320" s="34">
        <f>MIN(N1319,N1317)</f>
        <v>33.403863487067795</v>
      </c>
      <c r="K1320" s="29" t="s">
        <v>12</v>
      </c>
      <c r="L1320" s="75"/>
      <c r="M1320" s="75"/>
      <c r="N1320" s="75"/>
      <c r="O1320" s="75"/>
      <c r="P1320" s="75"/>
      <c r="Q1320" s="75"/>
    </row>
    <row r="1321" spans="2:17" x14ac:dyDescent="0.3">
      <c r="B1321" s="19" t="s">
        <v>117</v>
      </c>
      <c r="C1321" s="36">
        <f>C1314*2*C1299/C1311/J1294</f>
        <v>5.609986881410344E-3</v>
      </c>
      <c r="D1321" s="16" t="s">
        <v>50</v>
      </c>
      <c r="E1321" s="75"/>
      <c r="F1321" s="75"/>
      <c r="G1321" s="75"/>
      <c r="H1321" s="75"/>
      <c r="I1321" s="19" t="s">
        <v>39</v>
      </c>
      <c r="J1321" s="34">
        <f>J1318-J1320</f>
        <v>12.61886984626554</v>
      </c>
      <c r="K1321" s="16" t="s">
        <v>12</v>
      </c>
      <c r="L1321" s="75"/>
      <c r="M1321" s="75"/>
      <c r="N1321" s="75"/>
      <c r="O1321" s="75"/>
      <c r="P1321" s="75"/>
      <c r="Q1321" s="75"/>
    </row>
    <row r="1322" spans="2:17" x14ac:dyDescent="0.3">
      <c r="B1322" s="75"/>
      <c r="C1322" s="75"/>
      <c r="D1322" s="75"/>
      <c r="E1322" s="75"/>
      <c r="F1322" s="75"/>
      <c r="G1322" s="75"/>
      <c r="H1322" s="75"/>
      <c r="I1322" s="19" t="s">
        <v>61</v>
      </c>
      <c r="J1322" s="37">
        <f>MAX(J1321/(C1294*J1297/1000/100)/2,C1315)</f>
        <v>2.5</v>
      </c>
      <c r="K1322" s="29" t="s">
        <v>32</v>
      </c>
      <c r="L1322" s="75"/>
      <c r="M1322" s="75"/>
      <c r="N1322" s="75"/>
      <c r="O1322" s="75"/>
      <c r="P1322" s="75"/>
      <c r="Q1322" s="75"/>
    </row>
    <row r="1323" spans="2:17" x14ac:dyDescent="0.3">
      <c r="B1323" s="75"/>
      <c r="C1323" s="75"/>
      <c r="D1323" s="75"/>
      <c r="E1323" s="75"/>
      <c r="F1323" s="75"/>
      <c r="G1323" s="75"/>
      <c r="H1323" s="75"/>
      <c r="I1323" s="19" t="s">
        <v>65</v>
      </c>
      <c r="J1323" s="36">
        <f>J1322/C1298/100*2</f>
        <v>2.5000000000000001E-3</v>
      </c>
      <c r="K1323" s="16" t="s">
        <v>50</v>
      </c>
      <c r="L1323" s="75"/>
      <c r="M1323" s="75"/>
      <c r="N1323" s="75"/>
      <c r="O1323" s="75"/>
      <c r="P1323" s="75"/>
      <c r="Q1323" s="75"/>
    </row>
    <row r="1324" spans="2:17" x14ac:dyDescent="0.3">
      <c r="B1324" s="75"/>
      <c r="C1324" s="75"/>
      <c r="D1324" s="75"/>
      <c r="E1324" s="75"/>
      <c r="F1324" s="75"/>
      <c r="G1324" s="75"/>
      <c r="H1324" s="75"/>
      <c r="I1324" s="19" t="s">
        <v>53</v>
      </c>
      <c r="J1324" s="16">
        <f>MAX(0.0025,0.0025*0.5*(2.5-C1298/(C1299*0.8))*(J1323-0.0025))</f>
        <v>2.5000000000000001E-3</v>
      </c>
      <c r="K1324" s="29" t="s">
        <v>50</v>
      </c>
      <c r="L1324" s="75"/>
      <c r="M1324" s="39" t="str">
        <f>IF(OR(J1323&gt;J1324,ABS(J1323-J1324)&lt;0.0001),"[OK]","[REDISEÑAR]")</f>
        <v>[OK]</v>
      </c>
      <c r="N1324" s="75"/>
      <c r="O1324" s="75"/>
      <c r="P1324" s="75"/>
      <c r="Q1324" s="75"/>
    </row>
    <row r="1325" spans="2:17" x14ac:dyDescent="0.3">
      <c r="B1325" s="75"/>
      <c r="C1325" s="75"/>
      <c r="D1325" s="75"/>
      <c r="E1325" s="75"/>
      <c r="F1325" s="75"/>
      <c r="G1325" s="75"/>
      <c r="H1325" s="75"/>
      <c r="I1325" s="19" t="s">
        <v>47</v>
      </c>
      <c r="J1325" s="34">
        <f>SQRT(C1293*0.0980665)*(1/0.0980665)/1000*0.66*0.8*C1299*C1298</f>
        <v>163.25178503511097</v>
      </c>
      <c r="K1325" s="16" t="s">
        <v>12</v>
      </c>
      <c r="L1325" s="75"/>
      <c r="M1325" s="40" t="s">
        <v>44</v>
      </c>
      <c r="N1325" s="75"/>
      <c r="O1325" s="15"/>
      <c r="P1325" s="75"/>
      <c r="Q1325" s="75"/>
    </row>
    <row r="1326" spans="2:17" x14ac:dyDescent="0.3">
      <c r="B1326" s="75"/>
      <c r="C1326" s="75"/>
      <c r="D1326" s="75"/>
      <c r="E1326" s="75"/>
      <c r="F1326" s="75"/>
      <c r="G1326" s="75"/>
      <c r="H1326" s="75"/>
      <c r="I1326" s="63" t="s">
        <v>34</v>
      </c>
      <c r="J1326" s="63">
        <f>ROUNDDOWN(1/J1322*C1314*100,0)</f>
        <v>31</v>
      </c>
      <c r="K1326" s="64" t="s">
        <v>5</v>
      </c>
      <c r="L1326" s="75"/>
      <c r="M1326" s="39" t="str">
        <f>IF(OR(J1326&lt;10,J1326&gt;25),"[REDISEÑAR]","[OK")</f>
        <v>[REDISEÑAR]</v>
      </c>
      <c r="N1326" s="41" t="s">
        <v>80</v>
      </c>
      <c r="O1326" s="42">
        <f>1/J1322*(C1310/2)^2*PI()</f>
        <v>31.415926535897931</v>
      </c>
      <c r="P1326" s="75" t="str">
        <f>"$\phi$"&amp;C1310&amp;"@"&amp;J1326</f>
        <v>$\phi$10@31</v>
      </c>
      <c r="Q1326" s="75"/>
    </row>
    <row r="1327" spans="2:17" x14ac:dyDescent="0.3">
      <c r="B1327" s="75"/>
      <c r="C1327" s="75"/>
      <c r="D1327" s="75"/>
      <c r="E1327" s="75"/>
      <c r="F1327" s="75"/>
      <c r="G1327" s="75"/>
      <c r="H1327" s="75"/>
      <c r="I1327" s="31" t="s">
        <v>48</v>
      </c>
      <c r="J1327" s="30">
        <f>C1314*2*IF(J1297/C1311&gt;=1,J1297/C1311,0)</f>
        <v>30.428568844769707</v>
      </c>
      <c r="K1327" s="29" t="s">
        <v>17</v>
      </c>
      <c r="L1327" s="75"/>
      <c r="M1327" s="75"/>
      <c r="N1327" s="15"/>
      <c r="O1327" s="15"/>
      <c r="P1327" s="75"/>
      <c r="Q1327" s="75"/>
    </row>
    <row r="1328" spans="2:17" x14ac:dyDescent="0.3">
      <c r="B1328" s="75"/>
      <c r="C1328" s="75"/>
      <c r="D1328" s="75"/>
      <c r="E1328" s="75"/>
      <c r="F1328" s="75"/>
      <c r="G1328" s="75"/>
      <c r="H1328" s="75"/>
      <c r="I1328" s="19" t="s">
        <v>81</v>
      </c>
      <c r="J1328" s="34">
        <f>MIN(J1327*C1294/1000,J1325)</f>
        <v>127.79998914803276</v>
      </c>
      <c r="K1328" s="16" t="s">
        <v>12</v>
      </c>
      <c r="L1328" s="75"/>
      <c r="M1328" s="40" t="s">
        <v>82</v>
      </c>
      <c r="N1328" s="15"/>
      <c r="O1328" s="15"/>
      <c r="P1328" s="75"/>
      <c r="Q1328" s="75"/>
    </row>
    <row r="1329" spans="2:17" x14ac:dyDescent="0.3">
      <c r="B1329" s="75"/>
      <c r="C1329" s="75"/>
      <c r="D1329" s="75"/>
      <c r="E1329" s="75"/>
      <c r="F1329" s="75"/>
      <c r="G1329" s="75"/>
      <c r="H1329" s="75"/>
      <c r="I1329" s="19" t="s">
        <v>79</v>
      </c>
      <c r="J1329" s="34">
        <f>J1328+J1320</f>
        <v>161.20385263510056</v>
      </c>
      <c r="K1329" s="16" t="s">
        <v>12</v>
      </c>
      <c r="L1329" s="75"/>
      <c r="M1329" s="39" t="str">
        <f>IF(J1329&gt;J1318,"[OK]","[REDISEÑAR]")</f>
        <v>[OK]</v>
      </c>
      <c r="N1329" s="41" t="str">
        <f>IF(O1329&gt;0,"Sobrado","Faltan")</f>
        <v>Sobrado</v>
      </c>
      <c r="O1329" s="43">
        <f>J1329-J1318</f>
        <v>115.18111930176723</v>
      </c>
      <c r="P1329" s="75"/>
      <c r="Q1329" s="75"/>
    </row>
    <row r="1330" spans="2:17" x14ac:dyDescent="0.3">
      <c r="B1330" s="75"/>
      <c r="C1330" s="75"/>
      <c r="D1330" s="75"/>
      <c r="E1330" s="75"/>
      <c r="F1330" s="75"/>
      <c r="G1330" s="75"/>
      <c r="H1330" s="75"/>
      <c r="J1330" s="75"/>
      <c r="K1330" s="75"/>
      <c r="L1330" s="75"/>
      <c r="M1330" s="75"/>
      <c r="N1330" s="75"/>
      <c r="O1330" s="75"/>
      <c r="P1330" s="75"/>
      <c r="Q1330" s="75"/>
    </row>
    <row r="1331" spans="2:17" x14ac:dyDescent="0.3">
      <c r="B1331" s="75"/>
      <c r="C1331" s="75"/>
      <c r="D1331" s="75"/>
      <c r="E1331" s="75"/>
      <c r="F1331" s="75"/>
      <c r="G1331" s="75"/>
      <c r="H1331" s="75"/>
      <c r="I1331" s="18" t="s">
        <v>45</v>
      </c>
      <c r="J1331" s="75"/>
      <c r="K1331" s="75"/>
      <c r="L1331" s="75"/>
      <c r="M1331" s="75"/>
      <c r="N1331" s="75"/>
      <c r="O1331" s="15"/>
      <c r="P1331" s="75"/>
      <c r="Q1331" s="75"/>
    </row>
    <row r="1332" spans="2:17" x14ac:dyDescent="0.3">
      <c r="B1332" s="75"/>
      <c r="C1332" s="75"/>
      <c r="D1332" s="75"/>
      <c r="E1332" s="75"/>
      <c r="F1332" s="75"/>
      <c r="G1332" s="75"/>
      <c r="H1332" s="75"/>
      <c r="I1332" s="19" t="s">
        <v>40</v>
      </c>
      <c r="J1332" s="16">
        <f>J1306</f>
        <v>27.61364</v>
      </c>
      <c r="K1332" s="16" t="s">
        <v>12</v>
      </c>
      <c r="L1332" s="75"/>
      <c r="M1332" s="75"/>
      <c r="N1332" s="75"/>
      <c r="O1332" s="26"/>
      <c r="P1332" s="75"/>
      <c r="Q1332" s="75"/>
    </row>
    <row r="1333" spans="2:17" x14ac:dyDescent="0.3">
      <c r="B1333" s="75"/>
      <c r="C1333" s="75"/>
      <c r="D1333" s="75"/>
      <c r="E1333" s="75"/>
      <c r="F1333" s="75"/>
      <c r="G1333" s="75"/>
      <c r="H1333" s="75"/>
      <c r="I1333" s="19" t="s">
        <v>46</v>
      </c>
      <c r="J1333" s="34">
        <f>J1318</f>
        <v>46.022733333333335</v>
      </c>
      <c r="K1333" s="16" t="s">
        <v>12</v>
      </c>
      <c r="L1333" s="75"/>
      <c r="M1333" s="75"/>
      <c r="N1333" s="75"/>
      <c r="O1333" s="75"/>
      <c r="P1333" s="75"/>
      <c r="Q1333" s="75"/>
    </row>
    <row r="1334" spans="2:17" x14ac:dyDescent="0.3">
      <c r="B1334" s="75"/>
      <c r="C1334" s="75"/>
      <c r="D1334" s="75"/>
      <c r="E1334" s="75"/>
      <c r="F1334" s="75"/>
      <c r="G1334" s="75"/>
      <c r="H1334" s="75"/>
      <c r="I1334" s="19" t="s">
        <v>38</v>
      </c>
      <c r="J1334" s="34">
        <f>2/3*J1319*SQRT(C1293*0.0980665)*(1/0.0980665)/1000</f>
        <v>130.99554308654035</v>
      </c>
      <c r="K1334" s="16" t="s">
        <v>12</v>
      </c>
      <c r="L1334" s="75"/>
      <c r="M1334" s="39" t="str">
        <f>IF(J1334&gt;J1333,"[OK]","[REDISEÑAR]")</f>
        <v>[OK]</v>
      </c>
      <c r="N1334" s="41" t="str">
        <f>IF(O1334&gt;0,"Sobrado","Faltan")</f>
        <v>Sobrado</v>
      </c>
      <c r="O1334" s="43">
        <f>J1334-J1333</f>
        <v>84.972809753207017</v>
      </c>
      <c r="P1334" s="75"/>
      <c r="Q1334" s="75"/>
    </row>
    <row r="1336" spans="2:17" ht="18" x14ac:dyDescent="0.35">
      <c r="B1336" s="48" t="str">
        <f>'EJE 15'!$S$34</f>
        <v>EJE 15.C-C1 | PIER F31X | PISO 15</v>
      </c>
      <c r="C1336" s="75"/>
      <c r="D1336" s="75"/>
      <c r="E1336" s="75"/>
      <c r="F1336" s="75"/>
      <c r="G1336" s="75"/>
      <c r="H1336" s="75"/>
      <c r="J1336" s="75"/>
      <c r="K1336" s="75"/>
      <c r="L1336" s="75"/>
      <c r="M1336" s="75"/>
      <c r="N1336" s="75"/>
      <c r="O1336" s="75"/>
      <c r="P1336" s="75"/>
      <c r="Q1336" s="75"/>
    </row>
    <row r="1337" spans="2:17" x14ac:dyDescent="0.3">
      <c r="B1337" s="75"/>
      <c r="C1337" s="75"/>
      <c r="D1337" s="75"/>
      <c r="E1337" s="75"/>
      <c r="F1337" s="75"/>
      <c r="G1337" s="75"/>
      <c r="H1337" s="75"/>
      <c r="J1337" s="75"/>
      <c r="K1337" s="75"/>
      <c r="L1337" s="75"/>
      <c r="M1337" s="75"/>
      <c r="N1337" s="75"/>
      <c r="O1337" s="75"/>
      <c r="P1337" s="75"/>
      <c r="Q1337" s="75"/>
    </row>
    <row r="1338" spans="2:17" x14ac:dyDescent="0.3">
      <c r="B1338" s="17" t="s">
        <v>6</v>
      </c>
      <c r="C1338" s="75"/>
      <c r="D1338" s="75"/>
      <c r="E1338" s="75"/>
      <c r="F1338" s="75"/>
      <c r="G1338" s="75"/>
      <c r="H1338" s="75"/>
      <c r="I1338" s="18" t="s">
        <v>25</v>
      </c>
      <c r="J1338" s="75"/>
      <c r="K1338" s="75"/>
      <c r="L1338" s="75"/>
      <c r="M1338" s="75"/>
      <c r="N1338" s="75"/>
      <c r="O1338" s="75"/>
      <c r="P1338" s="75"/>
      <c r="Q1338" s="75"/>
    </row>
    <row r="1339" spans="2:17" x14ac:dyDescent="0.3">
      <c r="B1339" s="19" t="s">
        <v>99</v>
      </c>
      <c r="C1339" s="61">
        <f>10.1971621297793*'EJE 15'!$G$34</f>
        <v>203.94324259558601</v>
      </c>
      <c r="D1339" s="16" t="s">
        <v>8</v>
      </c>
      <c r="E1339" s="75"/>
      <c r="F1339" s="75"/>
      <c r="G1339" s="75"/>
      <c r="H1339" s="75"/>
      <c r="I1339" s="19" t="s">
        <v>58</v>
      </c>
      <c r="J1339" s="16">
        <f>C1346/16</f>
        <v>14.375</v>
      </c>
      <c r="K1339" s="16" t="s">
        <v>5</v>
      </c>
      <c r="L1339" s="21"/>
      <c r="M1339" s="39" t="str">
        <f>IF(J1339&lt;C1344,"[OK]","[REDISEÑAR]")</f>
        <v>[OK]</v>
      </c>
      <c r="N1339" s="75"/>
      <c r="O1339" s="75"/>
      <c r="P1339" s="75"/>
      <c r="Q1339" s="75"/>
    </row>
    <row r="1340" spans="2:17" x14ac:dyDescent="0.3">
      <c r="B1340" s="19" t="s">
        <v>30</v>
      </c>
      <c r="C1340" s="16">
        <v>4200</v>
      </c>
      <c r="D1340" s="16" t="s">
        <v>8</v>
      </c>
      <c r="E1340" s="75"/>
      <c r="F1340" s="75"/>
      <c r="G1340" s="75"/>
      <c r="H1340" s="75"/>
      <c r="I1340" s="19" t="s">
        <v>16</v>
      </c>
      <c r="J1340" s="16">
        <f>C1344*C1345</f>
        <v>3840</v>
      </c>
      <c r="K1340" s="16" t="s">
        <v>17</v>
      </c>
      <c r="L1340" s="21"/>
      <c r="M1340" s="75"/>
      <c r="N1340" s="75"/>
      <c r="O1340" s="75"/>
      <c r="P1340" s="75"/>
      <c r="Q1340" s="75"/>
    </row>
    <row r="1341" spans="2:17" x14ac:dyDescent="0.3">
      <c r="B1341" s="19" t="s">
        <v>31</v>
      </c>
      <c r="C1341" s="16">
        <v>2800</v>
      </c>
      <c r="D1341" s="16" t="s">
        <v>8</v>
      </c>
      <c r="E1341" s="75"/>
      <c r="F1341" s="75"/>
      <c r="G1341" s="75"/>
      <c r="H1341" s="75"/>
      <c r="I1341" s="19" t="s">
        <v>51</v>
      </c>
      <c r="J1341" s="16">
        <f>MIN(0.8*C1345/5,3*C1344,45)</f>
        <v>30.720000000000006</v>
      </c>
      <c r="K1341" s="16" t="s">
        <v>5</v>
      </c>
      <c r="L1341" s="21"/>
      <c r="M1341" s="39" t="str">
        <f>IF(J1341&gt;C1357,"[OK]","[REDISEÑAR]")</f>
        <v>[OK]</v>
      </c>
      <c r="N1341" s="75"/>
      <c r="O1341" s="75"/>
      <c r="P1341" s="75"/>
      <c r="Q1341" s="75"/>
    </row>
    <row r="1342" spans="2:17" x14ac:dyDescent="0.3">
      <c r="B1342" s="75"/>
      <c r="C1342" s="75"/>
      <c r="D1342" s="75"/>
      <c r="E1342" s="75"/>
      <c r="F1342" s="75"/>
      <c r="G1342" s="75"/>
      <c r="H1342" s="75"/>
      <c r="I1342" s="19" t="s">
        <v>56</v>
      </c>
      <c r="J1342" s="16">
        <f>MIN(0.8*C1346/3,3*C1345,45)</f>
        <v>45</v>
      </c>
      <c r="K1342" s="16" t="s">
        <v>5</v>
      </c>
      <c r="L1342" s="21"/>
      <c r="M1342" s="39" t="str">
        <f>IF(J1342&gt;C1357,"[OK]","[REDISEÑAR]")</f>
        <v>[OK]</v>
      </c>
      <c r="N1342" s="75"/>
      <c r="O1342" s="75"/>
      <c r="P1342" s="75"/>
      <c r="Q1342" s="75"/>
    </row>
    <row r="1343" spans="2:17" x14ac:dyDescent="0.3">
      <c r="B1343" s="17" t="s">
        <v>3</v>
      </c>
      <c r="C1343" s="75"/>
      <c r="D1343" s="75"/>
      <c r="E1343" s="75"/>
      <c r="F1343" s="75"/>
      <c r="G1343" s="75"/>
      <c r="H1343" s="75"/>
      <c r="I1343" s="19" t="s">
        <v>62</v>
      </c>
      <c r="J1343" s="16">
        <f>0.8*C1345</f>
        <v>153.60000000000002</v>
      </c>
      <c r="K1343" s="29" t="s">
        <v>5</v>
      </c>
      <c r="L1343" s="75"/>
      <c r="M1343" s="75"/>
      <c r="N1343" s="75"/>
      <c r="O1343" s="75"/>
      <c r="P1343" s="75"/>
      <c r="Q1343" s="75"/>
    </row>
    <row r="1344" spans="2:17" x14ac:dyDescent="0.3">
      <c r="B1344" s="19" t="str">
        <f>"Espesor del muro (h)"</f>
        <v>Espesor del muro (h)</v>
      </c>
      <c r="C1344" s="49">
        <f>'EJE 15'!$H$34</f>
        <v>20</v>
      </c>
      <c r="D1344" s="16" t="s">
        <v>5</v>
      </c>
      <c r="E1344" s="75"/>
      <c r="F1344" s="75"/>
      <c r="G1344" s="75"/>
      <c r="H1344" s="75"/>
      <c r="J1344" s="75"/>
      <c r="K1344" s="75"/>
      <c r="L1344" s="75"/>
      <c r="M1344" s="75"/>
      <c r="N1344" s="75"/>
      <c r="O1344" s="75"/>
      <c r="P1344" s="75"/>
      <c r="Q1344" s="75"/>
    </row>
    <row r="1345" spans="2:17" x14ac:dyDescent="0.3">
      <c r="B1345" s="19" t="s">
        <v>63</v>
      </c>
      <c r="C1345" s="49">
        <f>'EJE 15'!$I$34</f>
        <v>192</v>
      </c>
      <c r="D1345" s="16" t="s">
        <v>5</v>
      </c>
      <c r="E1345" s="75"/>
      <c r="F1345" s="75"/>
      <c r="G1345" s="75"/>
      <c r="H1345" s="75"/>
      <c r="I1345" s="18" t="s">
        <v>26</v>
      </c>
      <c r="J1345" s="75"/>
      <c r="K1345" s="75"/>
      <c r="L1345" s="75"/>
      <c r="M1345" s="75"/>
      <c r="N1345" s="75"/>
      <c r="O1345" s="75"/>
      <c r="P1345" s="75"/>
      <c r="Q1345" s="75"/>
    </row>
    <row r="1346" spans="2:17" x14ac:dyDescent="0.3">
      <c r="B1346" s="19" t="s">
        <v>10</v>
      </c>
      <c r="C1346" s="49">
        <f>'EJE 15'!$J$34</f>
        <v>230</v>
      </c>
      <c r="D1346" s="16" t="s">
        <v>5</v>
      </c>
      <c r="E1346" s="75"/>
      <c r="F1346" s="75"/>
      <c r="G1346" s="75"/>
      <c r="H1346" s="75"/>
      <c r="I1346" s="19" t="s">
        <v>28</v>
      </c>
      <c r="J1346" s="16">
        <f>0.35*C1339</f>
        <v>71.380134908455105</v>
      </c>
      <c r="K1346" s="16" t="s">
        <v>8</v>
      </c>
      <c r="L1346" s="21"/>
      <c r="M1346" s="75"/>
      <c r="N1346" s="75"/>
      <c r="O1346" s="75"/>
      <c r="P1346" s="75"/>
      <c r="Q1346" s="75"/>
    </row>
    <row r="1347" spans="2:17" x14ac:dyDescent="0.3">
      <c r="B1347" s="75"/>
      <c r="C1347" s="75"/>
      <c r="D1347" s="75"/>
      <c r="E1347" s="75"/>
      <c r="F1347" s="75"/>
      <c r="G1347" s="75"/>
      <c r="H1347" s="75"/>
      <c r="I1347" s="19" t="s">
        <v>27</v>
      </c>
      <c r="J1347" s="30">
        <f>C1349*1000/J1340</f>
        <v>16.803281250000001</v>
      </c>
      <c r="K1347" s="16" t="s">
        <v>8</v>
      </c>
      <c r="L1347" s="21"/>
      <c r="M1347" s="39" t="str">
        <f>IF(J1347&lt;J1346,"[OK]","[REDISEÑAR]")</f>
        <v>[OK]</v>
      </c>
      <c r="N1347" s="41" t="s">
        <v>112</v>
      </c>
      <c r="O1347" s="59">
        <f>J1347/J1346</f>
        <v>0.23540556867187459</v>
      </c>
      <c r="P1347" s="75"/>
      <c r="Q1347" s="75"/>
    </row>
    <row r="1348" spans="2:17" x14ac:dyDescent="0.3">
      <c r="B1348" s="17" t="s">
        <v>11</v>
      </c>
      <c r="C1348" s="75"/>
      <c r="D1348" s="75"/>
      <c r="E1348" s="75"/>
      <c r="F1348" s="75"/>
      <c r="G1348" s="75"/>
      <c r="H1348" s="75"/>
      <c r="J1348" s="75"/>
      <c r="K1348" s="75"/>
      <c r="L1348" s="75"/>
      <c r="M1348" s="75"/>
      <c r="N1348" s="75"/>
      <c r="O1348" s="75"/>
      <c r="P1348" s="75"/>
      <c r="Q1348" s="75"/>
    </row>
    <row r="1349" spans="2:17" x14ac:dyDescent="0.3">
      <c r="B1349" s="19" t="str">
        <f>"$N_U$"</f>
        <v>$N_U$</v>
      </c>
      <c r="C1349" s="60">
        <f>'EJE 15'!$K$34</f>
        <v>64.524600000000007</v>
      </c>
      <c r="D1349" s="16" t="s">
        <v>12</v>
      </c>
      <c r="E1349" s="75"/>
      <c r="F1349" s="75"/>
      <c r="G1349" s="75"/>
      <c r="H1349" s="75"/>
      <c r="I1349" s="18" t="s">
        <v>54</v>
      </c>
      <c r="J1349" s="75"/>
      <c r="K1349" s="75"/>
      <c r="L1349" s="75"/>
      <c r="M1349" s="75"/>
      <c r="N1349" s="75"/>
      <c r="O1349" s="75"/>
      <c r="P1349" s="75"/>
      <c r="Q1349" s="75"/>
    </row>
    <row r="1350" spans="2:17" x14ac:dyDescent="0.3">
      <c r="B1350" s="19" t="s">
        <v>14</v>
      </c>
      <c r="C1350" s="60">
        <f>'EJE 15'!$L$34</f>
        <v>8.0199999999999994E-2</v>
      </c>
      <c r="D1350" s="16" t="s">
        <v>12</v>
      </c>
      <c r="E1350" s="75"/>
      <c r="F1350" s="75"/>
      <c r="G1350" s="75"/>
      <c r="H1350" s="75"/>
      <c r="I1350" s="19" t="s">
        <v>72</v>
      </c>
      <c r="J1350" s="16">
        <f>1.2*C1350+C1351+1.4*C1352</f>
        <v>8.8443799999999992</v>
      </c>
      <c r="K1350" s="16" t="s">
        <v>12</v>
      </c>
      <c r="L1350" s="75"/>
      <c r="M1350" s="75" t="s">
        <v>68</v>
      </c>
      <c r="N1350" s="75"/>
      <c r="O1350" s="75"/>
      <c r="P1350" s="75"/>
      <c r="Q1350" s="75"/>
    </row>
    <row r="1351" spans="2:17" x14ac:dyDescent="0.3">
      <c r="B1351" s="19" t="s">
        <v>13</v>
      </c>
      <c r="C1351" s="60">
        <f>'EJE 15'!$M$34</f>
        <v>0.25979999999999998</v>
      </c>
      <c r="D1351" s="16" t="s">
        <v>12</v>
      </c>
      <c r="E1351" s="75"/>
      <c r="F1351" s="75"/>
      <c r="G1351" s="75"/>
      <c r="H1351" s="75"/>
      <c r="I1351" s="19" t="s">
        <v>69</v>
      </c>
      <c r="J1351" s="16">
        <f>SUM(C1350:C1352)</f>
        <v>6.4031000000000002</v>
      </c>
      <c r="K1351" s="16" t="s">
        <v>12</v>
      </c>
      <c r="L1351" s="75"/>
      <c r="M1351" s="75" t="s">
        <v>70</v>
      </c>
      <c r="N1351" s="75"/>
      <c r="O1351" s="75"/>
      <c r="P1351" s="75"/>
      <c r="Q1351" s="75"/>
    </row>
    <row r="1352" spans="2:17" x14ac:dyDescent="0.3">
      <c r="B1352" s="19" t="s">
        <v>15</v>
      </c>
      <c r="C1352" s="60">
        <f>'EJE 15'!$N$34</f>
        <v>6.0631000000000004</v>
      </c>
      <c r="D1352" s="16" t="s">
        <v>12</v>
      </c>
      <c r="E1352" s="75"/>
      <c r="F1352" s="75"/>
      <c r="G1352" s="75"/>
      <c r="H1352" s="75"/>
      <c r="I1352" s="19" t="s">
        <v>73</v>
      </c>
      <c r="J1352" s="16">
        <f>IF(C1353=0,J1350,C1353)</f>
        <v>8.8443799999999992</v>
      </c>
      <c r="K1352" s="16" t="s">
        <v>12</v>
      </c>
      <c r="L1352" s="75"/>
      <c r="M1352" s="40" t="s">
        <v>74</v>
      </c>
      <c r="N1352" s="75"/>
      <c r="O1352" s="75"/>
      <c r="P1352" s="75"/>
      <c r="Q1352" s="75"/>
    </row>
    <row r="1353" spans="2:17" x14ac:dyDescent="0.3">
      <c r="B1353" s="19" t="s">
        <v>55</v>
      </c>
      <c r="C1353" s="16">
        <v>0</v>
      </c>
      <c r="D1353" s="16" t="s">
        <v>12</v>
      </c>
      <c r="E1353" s="75"/>
      <c r="F1353" s="75"/>
      <c r="G1353" s="75"/>
      <c r="H1353" s="75"/>
      <c r="I1353" s="19" t="s">
        <v>71</v>
      </c>
      <c r="J1353" s="16">
        <f>IF(C1353=0,J1351,C1353)</f>
        <v>6.4031000000000002</v>
      </c>
      <c r="K1353" s="16" t="s">
        <v>12</v>
      </c>
      <c r="L1353" s="75"/>
      <c r="M1353" s="40" t="s">
        <v>75</v>
      </c>
      <c r="N1353" s="75"/>
      <c r="O1353" s="75"/>
      <c r="P1353" s="75"/>
      <c r="Q1353" s="75"/>
    </row>
    <row r="1354" spans="2:17" x14ac:dyDescent="0.3">
      <c r="B1354" s="75"/>
      <c r="C1354" s="75"/>
      <c r="D1354" s="75"/>
      <c r="E1354" s="75"/>
      <c r="F1354" s="75"/>
      <c r="G1354" s="75"/>
      <c r="H1354" s="75"/>
      <c r="J1354" s="75"/>
      <c r="K1354" s="75"/>
      <c r="L1354" s="75"/>
      <c r="M1354" s="75"/>
      <c r="N1354" s="75"/>
      <c r="O1354" s="75"/>
      <c r="P1354" s="75"/>
      <c r="Q1354" s="75"/>
    </row>
    <row r="1355" spans="2:17" x14ac:dyDescent="0.3">
      <c r="B1355" s="33" t="s">
        <v>42</v>
      </c>
      <c r="C1355" s="75"/>
      <c r="D1355" s="75"/>
      <c r="E1355" s="75"/>
      <c r="F1355" s="75"/>
      <c r="G1355" s="75"/>
      <c r="H1355" s="75"/>
      <c r="I1355" s="27" t="s">
        <v>76</v>
      </c>
      <c r="J1355" s="75"/>
      <c r="K1355" s="75"/>
      <c r="L1355" s="75"/>
      <c r="M1355" s="75"/>
      <c r="N1355" s="75"/>
      <c r="O1355" s="75"/>
      <c r="P1355" s="75"/>
      <c r="Q1355" s="75"/>
    </row>
    <row r="1356" spans="2:17" x14ac:dyDescent="0.3">
      <c r="B1356" s="31" t="s">
        <v>41</v>
      </c>
      <c r="C1356" s="16">
        <v>10</v>
      </c>
      <c r="D1356" s="29" t="s">
        <v>35</v>
      </c>
      <c r="E1356" s="75"/>
      <c r="F1356" s="75"/>
      <c r="G1356" s="75"/>
      <c r="H1356" s="75"/>
      <c r="I1356" s="19" t="s">
        <v>29</v>
      </c>
      <c r="J1356" s="30">
        <f>J1353*1000/J1340</f>
        <v>1.6674739583333333</v>
      </c>
      <c r="K1356" s="29" t="s">
        <v>8</v>
      </c>
      <c r="L1356" s="75"/>
      <c r="M1356" s="75"/>
      <c r="N1356" s="75"/>
      <c r="O1356" s="75"/>
      <c r="P1356" s="75"/>
      <c r="Q1356" s="75"/>
    </row>
    <row r="1357" spans="2:17" x14ac:dyDescent="0.3">
      <c r="B1357" s="31" t="s">
        <v>43</v>
      </c>
      <c r="C1357" s="16">
        <v>14</v>
      </c>
      <c r="D1357" s="29" t="s">
        <v>5</v>
      </c>
      <c r="E1357" s="75"/>
      <c r="F1357" s="39" t="str">
        <f>IF(OR(C1357&gt;25,C1357&lt;10),"[REDISEÑAR]",IF(AND(C1357&lt;=J1358,C1357&lt;=J1372),"[OK]","[REDISEÑAR]"))</f>
        <v>[OK]</v>
      </c>
      <c r="G1357" s="75"/>
      <c r="H1357" s="75"/>
      <c r="I1357" s="19" t="s">
        <v>61</v>
      </c>
      <c r="J1357" s="37">
        <f>MAX(J1356*100*C1344/(2*C1341),C1361)</f>
        <v>2.5</v>
      </c>
      <c r="K1357" s="29" t="s">
        <v>32</v>
      </c>
      <c r="L1357" s="75"/>
      <c r="M1357" s="15"/>
      <c r="N1357" s="15"/>
      <c r="O1357" s="15"/>
      <c r="P1357" s="75"/>
      <c r="Q1357" s="75"/>
    </row>
    <row r="1358" spans="2:17" x14ac:dyDescent="0.3">
      <c r="B1358" s="75"/>
      <c r="C1358" s="50" t="str">
        <f>"$\phi$"&amp;C1356&amp;"@"&amp;C1357</f>
        <v>$\phi$10@14</v>
      </c>
      <c r="D1358" s="75"/>
      <c r="E1358" s="75"/>
      <c r="F1358" s="39" t="str">
        <f>IF(OR(J1357=C1361,J1368=C1361),"[ÁREA MINIMA]","[]")</f>
        <v>[ÁREA MINIMA]</v>
      </c>
      <c r="G1358" s="75"/>
      <c r="H1358" s="75"/>
      <c r="I1358" s="63" t="s">
        <v>34</v>
      </c>
      <c r="J1358" s="63">
        <f>ROUNDDOWN((1/J1357)*C1360*100,0)</f>
        <v>31</v>
      </c>
      <c r="K1358" s="64" t="s">
        <v>5</v>
      </c>
      <c r="L1358" s="75"/>
      <c r="M1358" s="39" t="str">
        <f>IF(OR(J1358&lt;10,J1358&gt;25),"[REDISEÑAR]","[OK")</f>
        <v>[REDISEÑAR]</v>
      </c>
      <c r="N1358" s="41" t="s">
        <v>80</v>
      </c>
      <c r="O1358" s="42">
        <f>1/J1357*(C1356/2)^2*PI()</f>
        <v>31.415926535897931</v>
      </c>
      <c r="P1358" s="75" t="str">
        <f>"$\phi$"&amp;C1356&amp;"@"&amp;J1358</f>
        <v>$\phi$10@31</v>
      </c>
      <c r="Q1358" s="75"/>
    </row>
    <row r="1359" spans="2:17" x14ac:dyDescent="0.3">
      <c r="B1359" s="18" t="s">
        <v>52</v>
      </c>
      <c r="C1359" s="75"/>
      <c r="D1359" s="75"/>
      <c r="E1359" s="75"/>
      <c r="F1359" s="62" t="str">
        <f>IF(J1347&lt;J1346,IF(J1375&gt;J1364,"[OK]","[REDISEÑAR]"),"[REDISEÑAR]")</f>
        <v>[OK]</v>
      </c>
      <c r="G1359" s="75"/>
      <c r="H1359" s="75"/>
      <c r="I1359" s="31" t="s">
        <v>48</v>
      </c>
      <c r="J1359" s="30">
        <f>C1360*2*IF(C1345/C1357&gt;=1,C1345/C1357,0)</f>
        <v>21.542349624615724</v>
      </c>
      <c r="K1359" s="29" t="s">
        <v>17</v>
      </c>
      <c r="L1359" s="75"/>
      <c r="M1359" s="75"/>
      <c r="N1359" s="15"/>
      <c r="O1359" s="44"/>
      <c r="P1359" s="75"/>
      <c r="Q1359" s="75"/>
    </row>
    <row r="1360" spans="2:17" x14ac:dyDescent="0.3">
      <c r="B1360" s="31" t="s">
        <v>66</v>
      </c>
      <c r="C1360" s="30">
        <f>(C1356/(2*10))^2*PI()</f>
        <v>0.78539816339744828</v>
      </c>
      <c r="D1360" s="29" t="s">
        <v>17</v>
      </c>
      <c r="E1360" s="75"/>
      <c r="F1360" s="75"/>
      <c r="G1360" s="75"/>
      <c r="H1360" s="75"/>
      <c r="I1360" s="19" t="s">
        <v>49</v>
      </c>
      <c r="J1360" s="34">
        <f>C1341*J1359/1000</f>
        <v>60.318578948924028</v>
      </c>
      <c r="K1360" s="16" t="s">
        <v>12</v>
      </c>
      <c r="L1360" s="75"/>
      <c r="M1360" s="39" t="str">
        <f>IF(J1360&gt;J1353,"[OK]","[REDISEÑAR]")</f>
        <v>[OK]</v>
      </c>
      <c r="N1360" s="41" t="str">
        <f>IF(O1360&gt;0,"Sobrado","Faltan")</f>
        <v>Sobrado</v>
      </c>
      <c r="O1360" s="43">
        <f>J1360-J1353</f>
        <v>53.915478948924026</v>
      </c>
      <c r="P1360" s="75"/>
      <c r="Q1360" s="75"/>
    </row>
    <row r="1361" spans="2:17" x14ac:dyDescent="0.3">
      <c r="B1361" s="31" t="s">
        <v>78</v>
      </c>
      <c r="C1361" s="37">
        <f>2.5/1000*100*C1344/2</f>
        <v>2.5</v>
      </c>
      <c r="D1361" s="16" t="s">
        <v>17</v>
      </c>
      <c r="E1361" s="75"/>
      <c r="F1361" s="75"/>
      <c r="G1361" s="75"/>
      <c r="H1361" s="75"/>
      <c r="J1361" s="75"/>
      <c r="K1361" s="75"/>
      <c r="L1361" s="75"/>
      <c r="M1361" s="75"/>
      <c r="N1361" s="75"/>
      <c r="O1361" s="15"/>
      <c r="P1361" s="75"/>
      <c r="Q1361" s="75"/>
    </row>
    <row r="1362" spans="2:17" x14ac:dyDescent="0.3">
      <c r="B1362" s="31" t="s">
        <v>114</v>
      </c>
      <c r="C1362" s="37">
        <f>C1360*100/C1357</f>
        <v>5.6099868814103448</v>
      </c>
      <c r="D1362" s="29" t="s">
        <v>32</v>
      </c>
      <c r="E1362" s="75"/>
      <c r="F1362" s="75"/>
      <c r="G1362" s="75"/>
      <c r="H1362" s="75"/>
      <c r="I1362" s="18" t="s">
        <v>77</v>
      </c>
      <c r="J1362" s="75"/>
      <c r="K1362" s="75"/>
      <c r="L1362" s="75"/>
      <c r="M1362" s="17" t="s">
        <v>67</v>
      </c>
      <c r="N1362" s="75"/>
      <c r="O1362" s="75"/>
      <c r="P1362" s="75"/>
      <c r="Q1362" s="75"/>
    </row>
    <row r="1363" spans="2:17" x14ac:dyDescent="0.3">
      <c r="B1363" s="75"/>
      <c r="C1363" s="75"/>
      <c r="D1363" s="75"/>
      <c r="E1363" s="75"/>
      <c r="F1363" s="75"/>
      <c r="G1363" s="75"/>
      <c r="H1363" s="75"/>
      <c r="I1363" s="19" t="s">
        <v>33</v>
      </c>
      <c r="J1363" s="16">
        <v>0.6</v>
      </c>
      <c r="K1363" s="16" t="s">
        <v>50</v>
      </c>
      <c r="L1363" s="75"/>
      <c r="M1363" s="19" t="s">
        <v>64</v>
      </c>
      <c r="N1363" s="30">
        <f>SQRT(C1339*0.0980665)*(1/0.0980665)/1000*J1365*0.17</f>
        <v>18.919002328958754</v>
      </c>
      <c r="O1363" s="16" t="s">
        <v>12</v>
      </c>
      <c r="P1363" s="75"/>
      <c r="Q1363" s="75"/>
    </row>
    <row r="1364" spans="2:17" x14ac:dyDescent="0.3">
      <c r="B1364" s="17" t="s">
        <v>37</v>
      </c>
      <c r="C1364" s="75"/>
      <c r="D1364" s="75"/>
      <c r="E1364" s="75"/>
      <c r="F1364" s="75"/>
      <c r="G1364" s="75"/>
      <c r="H1364" s="75"/>
      <c r="I1364" s="19" t="s">
        <v>46</v>
      </c>
      <c r="J1364" s="34">
        <f>J1352/J1363</f>
        <v>14.740633333333333</v>
      </c>
      <c r="K1364" s="16" t="s">
        <v>12</v>
      </c>
      <c r="L1364" s="75"/>
      <c r="M1364" s="19" t="s">
        <v>57</v>
      </c>
      <c r="N1364" s="16">
        <f>IF(C1346/J1343&lt;=1.5,0.25,IF(C1346/J1343&gt;=2,0.17,0.17+(0.25-0.17)/(C1346/J1343-1.5)*C1346/J1343))</f>
        <v>0.25</v>
      </c>
      <c r="O1364" s="29" t="s">
        <v>50</v>
      </c>
      <c r="P1364" s="75"/>
      <c r="Q1364" s="75"/>
    </row>
    <row r="1365" spans="2:17" x14ac:dyDescent="0.3">
      <c r="B1365" s="31" t="s">
        <v>115</v>
      </c>
      <c r="C1365" s="37">
        <f>O1360</f>
        <v>53.915478948924026</v>
      </c>
      <c r="D1365" s="29" t="s">
        <v>12</v>
      </c>
      <c r="E1365" s="75"/>
      <c r="F1365" s="75"/>
      <c r="G1365" s="75"/>
      <c r="H1365" s="75"/>
      <c r="I1365" s="19" t="s">
        <v>36</v>
      </c>
      <c r="J1365" s="35">
        <f>J1343*C1344*0.8-J1373</f>
        <v>2440.3661203003076</v>
      </c>
      <c r="K1365" s="16" t="s">
        <v>17</v>
      </c>
      <c r="L1365" s="75"/>
      <c r="M1365" s="19" t="s">
        <v>59</v>
      </c>
      <c r="N1365" s="30">
        <f>SQRT(C1339*0.0980665)*(1/0.0980665)/1000*J1365*N1364</f>
        <v>27.822062248468754</v>
      </c>
      <c r="O1365" s="29" t="s">
        <v>12</v>
      </c>
      <c r="P1365" s="75"/>
      <c r="Q1365" s="75"/>
    </row>
    <row r="1366" spans="2:17" x14ac:dyDescent="0.3">
      <c r="B1366" s="31" t="s">
        <v>116</v>
      </c>
      <c r="C1366" s="37">
        <f>O1375</f>
        <v>76.56066373433427</v>
      </c>
      <c r="D1366" s="29" t="s">
        <v>12</v>
      </c>
      <c r="E1366" s="75"/>
      <c r="F1366" s="75"/>
      <c r="G1366" s="75"/>
      <c r="H1366" s="75"/>
      <c r="I1366" s="19" t="s">
        <v>60</v>
      </c>
      <c r="J1366" s="34">
        <f>MIN(N1365,N1363)</f>
        <v>18.919002328958754</v>
      </c>
      <c r="K1366" s="29" t="s">
        <v>12</v>
      </c>
      <c r="L1366" s="75"/>
      <c r="M1366" s="75"/>
      <c r="N1366" s="75"/>
      <c r="O1366" s="75"/>
      <c r="P1366" s="75"/>
      <c r="Q1366" s="75"/>
    </row>
    <row r="1367" spans="2:17" x14ac:dyDescent="0.3">
      <c r="B1367" s="19" t="s">
        <v>117</v>
      </c>
      <c r="C1367" s="36">
        <f>C1360*2*C1345/C1357/J1340</f>
        <v>5.6099868814103448E-3</v>
      </c>
      <c r="D1367" s="16" t="s">
        <v>50</v>
      </c>
      <c r="E1367" s="75"/>
      <c r="F1367" s="75"/>
      <c r="G1367" s="75"/>
      <c r="H1367" s="75"/>
      <c r="I1367" s="19" t="s">
        <v>39</v>
      </c>
      <c r="J1367" s="34">
        <f>J1364-J1366</f>
        <v>-4.1783689956254211</v>
      </c>
      <c r="K1367" s="16" t="s">
        <v>12</v>
      </c>
      <c r="L1367" s="75"/>
      <c r="M1367" s="75"/>
      <c r="N1367" s="75"/>
      <c r="O1367" s="75"/>
      <c r="P1367" s="75"/>
      <c r="Q1367" s="75"/>
    </row>
    <row r="1368" spans="2:17" x14ac:dyDescent="0.3">
      <c r="B1368" s="75"/>
      <c r="C1368" s="75"/>
      <c r="D1368" s="75"/>
      <c r="E1368" s="75"/>
      <c r="F1368" s="75"/>
      <c r="G1368" s="75"/>
      <c r="H1368" s="75"/>
      <c r="I1368" s="19" t="s">
        <v>61</v>
      </c>
      <c r="J1368" s="37">
        <f>MAX(J1367/(C1340*J1343/1000/100)/2,C1361)</f>
        <v>2.5</v>
      </c>
      <c r="K1368" s="29" t="s">
        <v>32</v>
      </c>
      <c r="L1368" s="75"/>
      <c r="M1368" s="75"/>
      <c r="N1368" s="75"/>
      <c r="O1368" s="75"/>
      <c r="P1368" s="75"/>
      <c r="Q1368" s="75"/>
    </row>
    <row r="1369" spans="2:17" x14ac:dyDescent="0.3">
      <c r="B1369" s="75"/>
      <c r="C1369" s="75"/>
      <c r="D1369" s="75"/>
      <c r="E1369" s="75"/>
      <c r="F1369" s="75"/>
      <c r="G1369" s="75"/>
      <c r="H1369" s="75"/>
      <c r="I1369" s="19" t="s">
        <v>65</v>
      </c>
      <c r="J1369" s="36">
        <f>J1368/C1344/100*2</f>
        <v>2.5000000000000001E-3</v>
      </c>
      <c r="K1369" s="16" t="s">
        <v>50</v>
      </c>
      <c r="L1369" s="75"/>
      <c r="M1369" s="75"/>
      <c r="N1369" s="75"/>
      <c r="O1369" s="75"/>
      <c r="P1369" s="75"/>
      <c r="Q1369" s="75"/>
    </row>
    <row r="1370" spans="2:17" x14ac:dyDescent="0.3">
      <c r="B1370" s="75"/>
      <c r="C1370" s="75"/>
      <c r="D1370" s="75"/>
      <c r="E1370" s="75"/>
      <c r="F1370" s="75"/>
      <c r="G1370" s="75"/>
      <c r="H1370" s="75"/>
      <c r="I1370" s="19" t="s">
        <v>53</v>
      </c>
      <c r="J1370" s="16">
        <f>MAX(0.0025,0.0025*0.5*(2.5-C1344/(C1345*0.8))*(J1369-0.0025))</f>
        <v>2.5000000000000001E-3</v>
      </c>
      <c r="K1370" s="29" t="s">
        <v>50</v>
      </c>
      <c r="L1370" s="75"/>
      <c r="M1370" s="39" t="str">
        <f>IF(OR(J1369&gt;J1370,ABS(J1369-J1370)&lt;0.0001),"[OK]","[REDISEÑAR]")</f>
        <v>[OK]</v>
      </c>
      <c r="N1370" s="75"/>
      <c r="O1370" s="75"/>
      <c r="P1370" s="75"/>
      <c r="Q1370" s="75"/>
    </row>
    <row r="1371" spans="2:17" x14ac:dyDescent="0.3">
      <c r="B1371" s="75"/>
      <c r="C1371" s="75"/>
      <c r="D1371" s="75"/>
      <c r="E1371" s="75"/>
      <c r="F1371" s="75"/>
      <c r="G1371" s="75"/>
      <c r="H1371" s="75"/>
      <c r="I1371" s="19" t="s">
        <v>47</v>
      </c>
      <c r="J1371" s="34">
        <f>SQRT(C1339*0.0980665)*(1/0.0980665)/1000*0.66*0.8*C1345*C1344</f>
        <v>92.461187984487623</v>
      </c>
      <c r="K1371" s="16" t="s">
        <v>12</v>
      </c>
      <c r="L1371" s="75"/>
      <c r="M1371" s="40" t="s">
        <v>44</v>
      </c>
      <c r="N1371" s="75"/>
      <c r="O1371" s="15"/>
      <c r="P1371" s="75"/>
      <c r="Q1371" s="75"/>
    </row>
    <row r="1372" spans="2:17" x14ac:dyDescent="0.3">
      <c r="B1372" s="75"/>
      <c r="C1372" s="75"/>
      <c r="D1372" s="75"/>
      <c r="E1372" s="75"/>
      <c r="F1372" s="75"/>
      <c r="G1372" s="75"/>
      <c r="H1372" s="75"/>
      <c r="I1372" s="63" t="s">
        <v>34</v>
      </c>
      <c r="J1372" s="63">
        <f>ROUNDDOWN(1/J1368*C1360*100,0)</f>
        <v>31</v>
      </c>
      <c r="K1372" s="64" t="s">
        <v>5</v>
      </c>
      <c r="L1372" s="75"/>
      <c r="M1372" s="39" t="str">
        <f>IF(OR(J1372&lt;10,J1372&gt;25),"[REDISEÑAR]","[OK")</f>
        <v>[REDISEÑAR]</v>
      </c>
      <c r="N1372" s="41" t="s">
        <v>80</v>
      </c>
      <c r="O1372" s="42">
        <f>1/J1368*(C1356/2)^2*PI()</f>
        <v>31.415926535897931</v>
      </c>
      <c r="P1372" s="75" t="str">
        <f>"$\phi$"&amp;C1356&amp;"@"&amp;J1372</f>
        <v>$\phi$10@31</v>
      </c>
      <c r="Q1372" s="75"/>
    </row>
    <row r="1373" spans="2:17" x14ac:dyDescent="0.3">
      <c r="B1373" s="75"/>
      <c r="C1373" s="75"/>
      <c r="D1373" s="75"/>
      <c r="E1373" s="75"/>
      <c r="F1373" s="75"/>
      <c r="G1373" s="75"/>
      <c r="H1373" s="75"/>
      <c r="I1373" s="31" t="s">
        <v>48</v>
      </c>
      <c r="J1373" s="30">
        <f>C1360*2*IF(J1343/C1357&gt;=1,J1343/C1357,0)</f>
        <v>17.233879699692583</v>
      </c>
      <c r="K1373" s="29" t="s">
        <v>17</v>
      </c>
      <c r="L1373" s="75"/>
      <c r="M1373" s="75"/>
      <c r="N1373" s="15"/>
      <c r="O1373" s="15"/>
      <c r="P1373" s="75"/>
      <c r="Q1373" s="75"/>
    </row>
    <row r="1374" spans="2:17" x14ac:dyDescent="0.3">
      <c r="B1374" s="75"/>
      <c r="C1374" s="75"/>
      <c r="D1374" s="75"/>
      <c r="E1374" s="75"/>
      <c r="F1374" s="75"/>
      <c r="G1374" s="75"/>
      <c r="H1374" s="75"/>
      <c r="I1374" s="19" t="s">
        <v>81</v>
      </c>
      <c r="J1374" s="34">
        <f>MIN(J1373*C1340/1000,J1371)</f>
        <v>72.38229473870885</v>
      </c>
      <c r="K1374" s="16" t="s">
        <v>12</v>
      </c>
      <c r="L1374" s="75"/>
      <c r="M1374" s="40" t="s">
        <v>82</v>
      </c>
      <c r="N1374" s="15"/>
      <c r="O1374" s="15"/>
      <c r="P1374" s="75"/>
      <c r="Q1374" s="75"/>
    </row>
    <row r="1375" spans="2:17" x14ac:dyDescent="0.3">
      <c r="B1375" s="75"/>
      <c r="C1375" s="75"/>
      <c r="D1375" s="75"/>
      <c r="E1375" s="75"/>
      <c r="F1375" s="75"/>
      <c r="G1375" s="75"/>
      <c r="H1375" s="75"/>
      <c r="I1375" s="19" t="s">
        <v>79</v>
      </c>
      <c r="J1375" s="34">
        <f>J1374+J1366</f>
        <v>91.301297067667605</v>
      </c>
      <c r="K1375" s="16" t="s">
        <v>12</v>
      </c>
      <c r="L1375" s="75"/>
      <c r="M1375" s="39" t="str">
        <f>IF(J1375&gt;J1364,"[OK]","[REDISEÑAR]")</f>
        <v>[OK]</v>
      </c>
      <c r="N1375" s="41" t="str">
        <f>IF(O1375&gt;0,"Sobrado","Faltan")</f>
        <v>Sobrado</v>
      </c>
      <c r="O1375" s="43">
        <f>J1375-J1364</f>
        <v>76.56066373433427</v>
      </c>
      <c r="P1375" s="75"/>
      <c r="Q1375" s="75"/>
    </row>
    <row r="1376" spans="2:17" x14ac:dyDescent="0.3">
      <c r="B1376" s="75"/>
      <c r="C1376" s="75"/>
      <c r="D1376" s="75"/>
      <c r="E1376" s="75"/>
      <c r="F1376" s="75"/>
      <c r="G1376" s="75"/>
      <c r="H1376" s="75"/>
      <c r="J1376" s="75"/>
      <c r="K1376" s="75"/>
      <c r="L1376" s="75"/>
      <c r="M1376" s="75"/>
      <c r="N1376" s="75"/>
      <c r="O1376" s="75"/>
      <c r="P1376" s="75"/>
      <c r="Q1376" s="75"/>
    </row>
    <row r="1377" spans="2:17" x14ac:dyDescent="0.3">
      <c r="B1377" s="75"/>
      <c r="C1377" s="75"/>
      <c r="D1377" s="75"/>
      <c r="E1377" s="75"/>
      <c r="F1377" s="75"/>
      <c r="G1377" s="75"/>
      <c r="H1377" s="75"/>
      <c r="I1377" s="18" t="s">
        <v>45</v>
      </c>
      <c r="J1377" s="75"/>
      <c r="K1377" s="75"/>
      <c r="L1377" s="75"/>
      <c r="M1377" s="75"/>
      <c r="N1377" s="75"/>
      <c r="O1377" s="15"/>
      <c r="P1377" s="75"/>
      <c r="Q1377" s="75"/>
    </row>
    <row r="1378" spans="2:17" x14ac:dyDescent="0.3">
      <c r="B1378" s="75"/>
      <c r="C1378" s="75"/>
      <c r="D1378" s="75"/>
      <c r="E1378" s="75"/>
      <c r="F1378" s="75"/>
      <c r="G1378" s="75"/>
      <c r="H1378" s="75"/>
      <c r="I1378" s="19" t="s">
        <v>40</v>
      </c>
      <c r="J1378" s="16">
        <f>J1352</f>
        <v>8.8443799999999992</v>
      </c>
      <c r="K1378" s="16" t="s">
        <v>12</v>
      </c>
      <c r="L1378" s="75"/>
      <c r="M1378" s="75"/>
      <c r="N1378" s="75"/>
      <c r="O1378" s="26"/>
      <c r="P1378" s="75"/>
      <c r="Q1378" s="75"/>
    </row>
    <row r="1379" spans="2:17" x14ac:dyDescent="0.3">
      <c r="B1379" s="75"/>
      <c r="C1379" s="75"/>
      <c r="D1379" s="75"/>
      <c r="E1379" s="75"/>
      <c r="F1379" s="75"/>
      <c r="G1379" s="75"/>
      <c r="H1379" s="75"/>
      <c r="I1379" s="19" t="s">
        <v>46</v>
      </c>
      <c r="J1379" s="34">
        <f>J1364</f>
        <v>14.740633333333333</v>
      </c>
      <c r="K1379" s="16" t="s">
        <v>12</v>
      </c>
      <c r="L1379" s="75"/>
      <c r="M1379" s="75"/>
      <c r="N1379" s="75"/>
      <c r="O1379" s="75"/>
      <c r="P1379" s="75"/>
      <c r="Q1379" s="75"/>
    </row>
    <row r="1380" spans="2:17" x14ac:dyDescent="0.3">
      <c r="B1380" s="75"/>
      <c r="C1380" s="75"/>
      <c r="D1380" s="75"/>
      <c r="E1380" s="75"/>
      <c r="F1380" s="75"/>
      <c r="G1380" s="75"/>
      <c r="H1380" s="75"/>
      <c r="I1380" s="19" t="s">
        <v>38</v>
      </c>
      <c r="J1380" s="34">
        <f>2/3*J1365*SQRT(C1339*0.0980665)*(1/0.0980665)/1000</f>
        <v>74.192165995916667</v>
      </c>
      <c r="K1380" s="16" t="s">
        <v>12</v>
      </c>
      <c r="L1380" s="75"/>
      <c r="M1380" s="39" t="str">
        <f>IF(J1380&gt;J1379,"[OK]","[REDISEÑAR]")</f>
        <v>[OK]</v>
      </c>
      <c r="N1380" s="41" t="str">
        <f>IF(O1380&gt;0,"Sobrado","Faltan")</f>
        <v>Sobrado</v>
      </c>
      <c r="O1380" s="43">
        <f>J1380-J1379</f>
        <v>59.451532662583332</v>
      </c>
      <c r="P1380" s="75"/>
      <c r="Q1380" s="75"/>
    </row>
    <row r="1382" spans="2:17" ht="18" x14ac:dyDescent="0.35">
      <c r="B1382" s="48" t="str">
        <f>'EJE 15'!$S$35</f>
        <v>EJE 15.G-L | PIER F33X | PISO 15</v>
      </c>
      <c r="C1382" s="75"/>
      <c r="D1382" s="75"/>
      <c r="E1382" s="75"/>
      <c r="F1382" s="75"/>
      <c r="G1382" s="75"/>
      <c r="H1382" s="75"/>
      <c r="J1382" s="75"/>
      <c r="K1382" s="75"/>
      <c r="L1382" s="75"/>
      <c r="M1382" s="75"/>
      <c r="N1382" s="75"/>
      <c r="O1382" s="75"/>
      <c r="P1382" s="75"/>
      <c r="Q1382" s="75"/>
    </row>
    <row r="1383" spans="2:17" x14ac:dyDescent="0.3">
      <c r="B1383" s="75"/>
      <c r="C1383" s="75"/>
      <c r="D1383" s="75"/>
      <c r="E1383" s="75"/>
      <c r="F1383" s="75"/>
      <c r="G1383" s="75"/>
      <c r="H1383" s="75"/>
      <c r="J1383" s="75"/>
      <c r="K1383" s="75"/>
      <c r="L1383" s="75"/>
      <c r="M1383" s="75"/>
      <c r="N1383" s="75"/>
      <c r="O1383" s="75"/>
      <c r="P1383" s="75"/>
      <c r="Q1383" s="75"/>
    </row>
    <row r="1384" spans="2:17" x14ac:dyDescent="0.3">
      <c r="B1384" s="17" t="s">
        <v>6</v>
      </c>
      <c r="C1384" s="75"/>
      <c r="D1384" s="75"/>
      <c r="E1384" s="75"/>
      <c r="F1384" s="75"/>
      <c r="G1384" s="75"/>
      <c r="H1384" s="75"/>
      <c r="I1384" s="18" t="s">
        <v>25</v>
      </c>
      <c r="J1384" s="75"/>
      <c r="K1384" s="75"/>
      <c r="L1384" s="75"/>
      <c r="M1384" s="75"/>
      <c r="N1384" s="75"/>
      <c r="O1384" s="75"/>
      <c r="P1384" s="75"/>
      <c r="Q1384" s="75"/>
    </row>
    <row r="1385" spans="2:17" x14ac:dyDescent="0.3">
      <c r="B1385" s="19" t="s">
        <v>99</v>
      </c>
      <c r="C1385" s="61">
        <f>10.1971621297793*'EJE 15'!$G$35</f>
        <v>203.94324259558601</v>
      </c>
      <c r="D1385" s="16" t="s">
        <v>8</v>
      </c>
      <c r="E1385" s="75"/>
      <c r="F1385" s="75"/>
      <c r="G1385" s="75"/>
      <c r="H1385" s="75"/>
      <c r="I1385" s="19" t="s">
        <v>58</v>
      </c>
      <c r="J1385" s="16">
        <f>C1392/16</f>
        <v>14.375</v>
      </c>
      <c r="K1385" s="16" t="s">
        <v>5</v>
      </c>
      <c r="L1385" s="21"/>
      <c r="M1385" s="39" t="str">
        <f>IF(J1385&lt;C1390,"[OK]","[REDISEÑAR]")</f>
        <v>[OK]</v>
      </c>
      <c r="N1385" s="75"/>
      <c r="O1385" s="75"/>
      <c r="P1385" s="75"/>
      <c r="Q1385" s="75"/>
    </row>
    <row r="1386" spans="2:17" x14ac:dyDescent="0.3">
      <c r="B1386" s="19" t="s">
        <v>30</v>
      </c>
      <c r="C1386" s="16">
        <v>4200</v>
      </c>
      <c r="D1386" s="16" t="s">
        <v>8</v>
      </c>
      <c r="E1386" s="75"/>
      <c r="F1386" s="75"/>
      <c r="G1386" s="75"/>
      <c r="H1386" s="75"/>
      <c r="I1386" s="19" t="s">
        <v>16</v>
      </c>
      <c r="J1386" s="16">
        <f>C1390*C1391</f>
        <v>6780</v>
      </c>
      <c r="K1386" s="16" t="s">
        <v>17</v>
      </c>
      <c r="L1386" s="21"/>
      <c r="M1386" s="75"/>
      <c r="N1386" s="75"/>
      <c r="O1386" s="75"/>
      <c r="P1386" s="75"/>
      <c r="Q1386" s="75"/>
    </row>
    <row r="1387" spans="2:17" x14ac:dyDescent="0.3">
      <c r="B1387" s="19" t="s">
        <v>31</v>
      </c>
      <c r="C1387" s="16">
        <v>2800</v>
      </c>
      <c r="D1387" s="16" t="s">
        <v>8</v>
      </c>
      <c r="E1387" s="75"/>
      <c r="F1387" s="75"/>
      <c r="G1387" s="75"/>
      <c r="H1387" s="75"/>
      <c r="I1387" s="19" t="s">
        <v>51</v>
      </c>
      <c r="J1387" s="16">
        <f>MIN(0.8*C1391/5,3*C1390,45)</f>
        <v>45</v>
      </c>
      <c r="K1387" s="16" t="s">
        <v>5</v>
      </c>
      <c r="L1387" s="21"/>
      <c r="M1387" s="39" t="str">
        <f>IF(J1387&gt;C1403,"[OK]","[REDISEÑAR]")</f>
        <v>[OK]</v>
      </c>
      <c r="N1387" s="75"/>
      <c r="O1387" s="75"/>
      <c r="P1387" s="75"/>
      <c r="Q1387" s="75"/>
    </row>
    <row r="1388" spans="2:17" x14ac:dyDescent="0.3">
      <c r="B1388" s="75"/>
      <c r="C1388" s="75"/>
      <c r="D1388" s="75"/>
      <c r="E1388" s="75"/>
      <c r="F1388" s="75"/>
      <c r="G1388" s="75"/>
      <c r="H1388" s="75"/>
      <c r="I1388" s="19" t="s">
        <v>56</v>
      </c>
      <c r="J1388" s="16">
        <f>MIN(0.8*C1392/3,3*C1391,45)</f>
        <v>45</v>
      </c>
      <c r="K1388" s="16" t="s">
        <v>5</v>
      </c>
      <c r="L1388" s="21"/>
      <c r="M1388" s="39" t="str">
        <f>IF(J1388&gt;C1403,"[OK]","[REDISEÑAR]")</f>
        <v>[OK]</v>
      </c>
      <c r="N1388" s="75"/>
      <c r="O1388" s="75"/>
      <c r="P1388" s="75"/>
      <c r="Q1388" s="75"/>
    </row>
    <row r="1389" spans="2:17" x14ac:dyDescent="0.3">
      <c r="B1389" s="17" t="s">
        <v>3</v>
      </c>
      <c r="C1389" s="75"/>
      <c r="D1389" s="75"/>
      <c r="E1389" s="75"/>
      <c r="F1389" s="75"/>
      <c r="G1389" s="75"/>
      <c r="H1389" s="75"/>
      <c r="I1389" s="19" t="s">
        <v>62</v>
      </c>
      <c r="J1389" s="16">
        <f>0.8*C1391</f>
        <v>271.2</v>
      </c>
      <c r="K1389" s="29" t="s">
        <v>5</v>
      </c>
      <c r="L1389" s="75"/>
      <c r="M1389" s="75"/>
      <c r="N1389" s="75"/>
      <c r="O1389" s="75"/>
      <c r="P1389" s="75"/>
      <c r="Q1389" s="75"/>
    </row>
    <row r="1390" spans="2:17" x14ac:dyDescent="0.3">
      <c r="B1390" s="19" t="str">
        <f>"Espesor del muro (h)"</f>
        <v>Espesor del muro (h)</v>
      </c>
      <c r="C1390" s="49">
        <f>'EJE 15'!$H$35</f>
        <v>20</v>
      </c>
      <c r="D1390" s="16" t="s">
        <v>5</v>
      </c>
      <c r="E1390" s="75"/>
      <c r="F1390" s="75"/>
      <c r="G1390" s="75"/>
      <c r="H1390" s="75"/>
      <c r="J1390" s="75"/>
      <c r="K1390" s="75"/>
      <c r="L1390" s="75"/>
      <c r="M1390" s="75"/>
      <c r="N1390" s="75"/>
      <c r="O1390" s="75"/>
      <c r="P1390" s="75"/>
      <c r="Q1390" s="75"/>
    </row>
    <row r="1391" spans="2:17" x14ac:dyDescent="0.3">
      <c r="B1391" s="19" t="s">
        <v>63</v>
      </c>
      <c r="C1391" s="49">
        <f>'EJE 15'!$I$35</f>
        <v>339</v>
      </c>
      <c r="D1391" s="16" t="s">
        <v>5</v>
      </c>
      <c r="E1391" s="75"/>
      <c r="F1391" s="75"/>
      <c r="G1391" s="75"/>
      <c r="H1391" s="75"/>
      <c r="I1391" s="18" t="s">
        <v>26</v>
      </c>
      <c r="J1391" s="75"/>
      <c r="K1391" s="75"/>
      <c r="L1391" s="75"/>
      <c r="M1391" s="75"/>
      <c r="N1391" s="75"/>
      <c r="O1391" s="75"/>
      <c r="P1391" s="75"/>
      <c r="Q1391" s="75"/>
    </row>
    <row r="1392" spans="2:17" x14ac:dyDescent="0.3">
      <c r="B1392" s="19" t="s">
        <v>10</v>
      </c>
      <c r="C1392" s="49">
        <f>'EJE 15'!$J$35</f>
        <v>230</v>
      </c>
      <c r="D1392" s="16" t="s">
        <v>5</v>
      </c>
      <c r="E1392" s="75"/>
      <c r="F1392" s="75"/>
      <c r="G1392" s="75"/>
      <c r="H1392" s="75"/>
      <c r="I1392" s="19" t="s">
        <v>28</v>
      </c>
      <c r="J1392" s="16">
        <f>0.35*C1385</f>
        <v>71.380134908455105</v>
      </c>
      <c r="K1392" s="16" t="s">
        <v>8</v>
      </c>
      <c r="L1392" s="21"/>
      <c r="M1392" s="75"/>
      <c r="N1392" s="75"/>
      <c r="O1392" s="75"/>
      <c r="P1392" s="75"/>
      <c r="Q1392" s="75"/>
    </row>
    <row r="1393" spans="2:17" x14ac:dyDescent="0.3">
      <c r="B1393" s="75"/>
      <c r="C1393" s="75"/>
      <c r="D1393" s="75"/>
      <c r="E1393" s="75"/>
      <c r="F1393" s="75"/>
      <c r="G1393" s="75"/>
      <c r="H1393" s="75"/>
      <c r="I1393" s="19" t="s">
        <v>27</v>
      </c>
      <c r="J1393" s="30">
        <f>C1395*1000/J1386</f>
        <v>14.72834808259587</v>
      </c>
      <c r="K1393" s="16" t="s">
        <v>8</v>
      </c>
      <c r="L1393" s="21"/>
      <c r="M1393" s="39" t="str">
        <f>IF(J1393&lt;J1392,"[OK]","[REDISEÑAR]")</f>
        <v>[OK]</v>
      </c>
      <c r="N1393" s="41" t="s">
        <v>112</v>
      </c>
      <c r="O1393" s="59">
        <f>J1393/J1392</f>
        <v>0.20633679246312647</v>
      </c>
      <c r="P1393" s="75"/>
      <c r="Q1393" s="75"/>
    </row>
    <row r="1394" spans="2:17" x14ac:dyDescent="0.3">
      <c r="B1394" s="17" t="s">
        <v>11</v>
      </c>
      <c r="C1394" s="75"/>
      <c r="D1394" s="75"/>
      <c r="E1394" s="75"/>
      <c r="F1394" s="75"/>
      <c r="G1394" s="75"/>
      <c r="H1394" s="75"/>
      <c r="J1394" s="75"/>
      <c r="K1394" s="75"/>
      <c r="L1394" s="75"/>
      <c r="M1394" s="75"/>
      <c r="N1394" s="75"/>
      <c r="O1394" s="75"/>
      <c r="P1394" s="75"/>
      <c r="Q1394" s="75"/>
    </row>
    <row r="1395" spans="2:17" x14ac:dyDescent="0.3">
      <c r="B1395" s="19" t="str">
        <f>"$N_U$"</f>
        <v>$N_U$</v>
      </c>
      <c r="C1395" s="60">
        <f>'EJE 15'!$K$35</f>
        <v>99.858199999999997</v>
      </c>
      <c r="D1395" s="16" t="s">
        <v>12</v>
      </c>
      <c r="E1395" s="75"/>
      <c r="F1395" s="75"/>
      <c r="G1395" s="75"/>
      <c r="H1395" s="75"/>
      <c r="I1395" s="18" t="s">
        <v>54</v>
      </c>
      <c r="J1395" s="75"/>
      <c r="K1395" s="75"/>
      <c r="L1395" s="75"/>
      <c r="M1395" s="75"/>
      <c r="N1395" s="75"/>
      <c r="O1395" s="75"/>
      <c r="P1395" s="75"/>
      <c r="Q1395" s="75"/>
    </row>
    <row r="1396" spans="2:17" x14ac:dyDescent="0.3">
      <c r="B1396" s="19" t="s">
        <v>14</v>
      </c>
      <c r="C1396" s="60">
        <f>'EJE 15'!$L$35</f>
        <v>2.1076999999999999</v>
      </c>
      <c r="D1396" s="16" t="s">
        <v>12</v>
      </c>
      <c r="E1396" s="75"/>
      <c r="F1396" s="75"/>
      <c r="G1396" s="75"/>
      <c r="H1396" s="75"/>
      <c r="I1396" s="19" t="s">
        <v>72</v>
      </c>
      <c r="J1396" s="16">
        <f>1.2*C1396+C1397+1.4*C1398</f>
        <v>25.587959999999999</v>
      </c>
      <c r="K1396" s="16" t="s">
        <v>12</v>
      </c>
      <c r="L1396" s="75"/>
      <c r="M1396" s="75" t="s">
        <v>68</v>
      </c>
      <c r="N1396" s="75"/>
      <c r="O1396" s="75"/>
      <c r="P1396" s="75"/>
      <c r="Q1396" s="75"/>
    </row>
    <row r="1397" spans="2:17" x14ac:dyDescent="0.3">
      <c r="B1397" s="19" t="s">
        <v>13</v>
      </c>
      <c r="C1397" s="60">
        <f>'EJE 15'!$M$35</f>
        <v>3.6700000000000003E-2</v>
      </c>
      <c r="D1397" s="16" t="s">
        <v>12</v>
      </c>
      <c r="E1397" s="75"/>
      <c r="F1397" s="75"/>
      <c r="G1397" s="75"/>
      <c r="H1397" s="75"/>
      <c r="I1397" s="19" t="s">
        <v>69</v>
      </c>
      <c r="J1397" s="16">
        <f>SUM(C1396:C1398)</f>
        <v>18.588699999999999</v>
      </c>
      <c r="K1397" s="16" t="s">
        <v>12</v>
      </c>
      <c r="L1397" s="75"/>
      <c r="M1397" s="75" t="s">
        <v>70</v>
      </c>
      <c r="N1397" s="75"/>
      <c r="O1397" s="75"/>
      <c r="P1397" s="75"/>
      <c r="Q1397" s="75"/>
    </row>
    <row r="1398" spans="2:17" x14ac:dyDescent="0.3">
      <c r="B1398" s="19" t="s">
        <v>15</v>
      </c>
      <c r="C1398" s="60">
        <f>'EJE 15'!$N$35</f>
        <v>16.444299999999998</v>
      </c>
      <c r="D1398" s="16" t="s">
        <v>12</v>
      </c>
      <c r="E1398" s="75"/>
      <c r="F1398" s="75"/>
      <c r="G1398" s="75"/>
      <c r="H1398" s="75"/>
      <c r="I1398" s="19" t="s">
        <v>73</v>
      </c>
      <c r="J1398" s="16">
        <f>IF(C1399=0,J1396,C1399)</f>
        <v>25.587959999999999</v>
      </c>
      <c r="K1398" s="16" t="s">
        <v>12</v>
      </c>
      <c r="L1398" s="75"/>
      <c r="M1398" s="40" t="s">
        <v>74</v>
      </c>
      <c r="N1398" s="75"/>
      <c r="O1398" s="75"/>
      <c r="P1398" s="75"/>
      <c r="Q1398" s="75"/>
    </row>
    <row r="1399" spans="2:17" x14ac:dyDescent="0.3">
      <c r="B1399" s="19" t="s">
        <v>55</v>
      </c>
      <c r="C1399" s="16">
        <v>0</v>
      </c>
      <c r="D1399" s="16" t="s">
        <v>12</v>
      </c>
      <c r="E1399" s="75"/>
      <c r="F1399" s="75"/>
      <c r="G1399" s="75"/>
      <c r="H1399" s="75"/>
      <c r="I1399" s="19" t="s">
        <v>71</v>
      </c>
      <c r="J1399" s="16">
        <f>IF(C1399=0,J1397,C1399)</f>
        <v>18.588699999999999</v>
      </c>
      <c r="K1399" s="16" t="s">
        <v>12</v>
      </c>
      <c r="L1399" s="75"/>
      <c r="M1399" s="40" t="s">
        <v>75</v>
      </c>
      <c r="N1399" s="75"/>
      <c r="O1399" s="75"/>
      <c r="P1399" s="75"/>
      <c r="Q1399" s="75"/>
    </row>
    <row r="1400" spans="2:17" x14ac:dyDescent="0.3">
      <c r="B1400" s="75"/>
      <c r="C1400" s="75"/>
      <c r="D1400" s="75"/>
      <c r="E1400" s="75"/>
      <c r="F1400" s="75"/>
      <c r="G1400" s="75"/>
      <c r="H1400" s="75"/>
      <c r="J1400" s="75"/>
      <c r="K1400" s="75"/>
      <c r="L1400" s="75"/>
      <c r="M1400" s="75"/>
      <c r="N1400" s="75"/>
      <c r="O1400" s="75"/>
      <c r="P1400" s="75"/>
      <c r="Q1400" s="75"/>
    </row>
    <row r="1401" spans="2:17" x14ac:dyDescent="0.3">
      <c r="B1401" s="33" t="s">
        <v>42</v>
      </c>
      <c r="C1401" s="75"/>
      <c r="D1401" s="75"/>
      <c r="E1401" s="75"/>
      <c r="F1401" s="75"/>
      <c r="G1401" s="75"/>
      <c r="H1401" s="75"/>
      <c r="I1401" s="27" t="s">
        <v>76</v>
      </c>
      <c r="J1401" s="75"/>
      <c r="K1401" s="75"/>
      <c r="L1401" s="75"/>
      <c r="M1401" s="75"/>
      <c r="N1401" s="75"/>
      <c r="O1401" s="75"/>
      <c r="P1401" s="75"/>
      <c r="Q1401" s="75"/>
    </row>
    <row r="1402" spans="2:17" x14ac:dyDescent="0.3">
      <c r="B1402" s="31" t="s">
        <v>41</v>
      </c>
      <c r="C1402" s="16">
        <v>10</v>
      </c>
      <c r="D1402" s="29" t="s">
        <v>35</v>
      </c>
      <c r="E1402" s="75"/>
      <c r="F1402" s="75"/>
      <c r="G1402" s="75"/>
      <c r="H1402" s="75"/>
      <c r="I1402" s="19" t="s">
        <v>29</v>
      </c>
      <c r="J1402" s="30">
        <f>J1399*1000/J1386</f>
        <v>2.7416961651917404</v>
      </c>
      <c r="K1402" s="29" t="s">
        <v>8</v>
      </c>
      <c r="L1402" s="75"/>
      <c r="M1402" s="75"/>
      <c r="N1402" s="75"/>
      <c r="O1402" s="75"/>
      <c r="P1402" s="75"/>
      <c r="Q1402" s="75"/>
    </row>
    <row r="1403" spans="2:17" x14ac:dyDescent="0.3">
      <c r="B1403" s="31" t="s">
        <v>43</v>
      </c>
      <c r="C1403" s="16">
        <v>14</v>
      </c>
      <c r="D1403" s="29" t="s">
        <v>5</v>
      </c>
      <c r="E1403" s="75"/>
      <c r="F1403" s="39" t="str">
        <f>IF(OR(C1403&gt;25,C1403&lt;10),"[REDISEÑAR]",IF(AND(C1403&lt;=J1404,C1403&lt;=J1418),"[OK]","[REDISEÑAR]"))</f>
        <v>[OK]</v>
      </c>
      <c r="G1403" s="75"/>
      <c r="H1403" s="75"/>
      <c r="I1403" s="19" t="s">
        <v>61</v>
      </c>
      <c r="J1403" s="37">
        <f>MAX(J1402*100*C1390/(2*C1387),C1407)</f>
        <v>2.5</v>
      </c>
      <c r="K1403" s="29" t="s">
        <v>32</v>
      </c>
      <c r="L1403" s="75"/>
      <c r="M1403" s="15"/>
      <c r="N1403" s="15"/>
      <c r="O1403" s="15"/>
      <c r="P1403" s="75"/>
      <c r="Q1403" s="75"/>
    </row>
    <row r="1404" spans="2:17" x14ac:dyDescent="0.3">
      <c r="B1404" s="75"/>
      <c r="C1404" s="50" t="str">
        <f>"$\phi$"&amp;C1402&amp;"@"&amp;C1403</f>
        <v>$\phi$10@14</v>
      </c>
      <c r="D1404" s="75"/>
      <c r="E1404" s="75"/>
      <c r="F1404" s="39" t="str">
        <f>IF(OR(J1403=C1407,J1414=C1407),"[ÁREA MINIMA]","[]")</f>
        <v>[ÁREA MINIMA]</v>
      </c>
      <c r="G1404" s="75"/>
      <c r="H1404" s="75"/>
      <c r="I1404" s="63" t="s">
        <v>34</v>
      </c>
      <c r="J1404" s="63">
        <f>ROUNDDOWN((1/J1403)*C1406*100,0)</f>
        <v>31</v>
      </c>
      <c r="K1404" s="64" t="s">
        <v>5</v>
      </c>
      <c r="L1404" s="75"/>
      <c r="M1404" s="39" t="str">
        <f>IF(OR(J1404&lt;10,J1404&gt;25),"[REDISEÑAR]","[OK")</f>
        <v>[REDISEÑAR]</v>
      </c>
      <c r="N1404" s="41" t="s">
        <v>80</v>
      </c>
      <c r="O1404" s="42">
        <f>1/J1403*(C1402/2)^2*PI()</f>
        <v>31.415926535897931</v>
      </c>
      <c r="P1404" s="75" t="str">
        <f>"$\phi$"&amp;C1402&amp;"@"&amp;J1404</f>
        <v>$\phi$10@31</v>
      </c>
      <c r="Q1404" s="75"/>
    </row>
    <row r="1405" spans="2:17" x14ac:dyDescent="0.3">
      <c r="B1405" s="18" t="s">
        <v>52</v>
      </c>
      <c r="C1405" s="75"/>
      <c r="D1405" s="75"/>
      <c r="E1405" s="75"/>
      <c r="F1405" s="62" t="str">
        <f>IF(J1393&lt;J1392,IF(J1421&gt;J1410,"[OK]","[REDISEÑAR]"),"[REDISEÑAR]")</f>
        <v>[OK]</v>
      </c>
      <c r="G1405" s="75"/>
      <c r="H1405" s="75"/>
      <c r="I1405" s="31" t="s">
        <v>48</v>
      </c>
      <c r="J1405" s="30">
        <f>C1406*2*IF(C1391/C1403&gt;=1,C1391/C1403,0)</f>
        <v>38.035711055962139</v>
      </c>
      <c r="K1405" s="29" t="s">
        <v>17</v>
      </c>
      <c r="L1405" s="75"/>
      <c r="M1405" s="75"/>
      <c r="N1405" s="15"/>
      <c r="O1405" s="44"/>
      <c r="P1405" s="75"/>
      <c r="Q1405" s="75"/>
    </row>
    <row r="1406" spans="2:17" x14ac:dyDescent="0.3">
      <c r="B1406" s="31" t="s">
        <v>66</v>
      </c>
      <c r="C1406" s="30">
        <f>(C1402/(2*10))^2*PI()</f>
        <v>0.78539816339744828</v>
      </c>
      <c r="D1406" s="29" t="s">
        <v>17</v>
      </c>
      <c r="E1406" s="75"/>
      <c r="F1406" s="75"/>
      <c r="G1406" s="75"/>
      <c r="H1406" s="75"/>
      <c r="I1406" s="19" t="s">
        <v>49</v>
      </c>
      <c r="J1406" s="34">
        <f>C1387*J1405/1000</f>
        <v>106.49999095669399</v>
      </c>
      <c r="K1406" s="16" t="s">
        <v>12</v>
      </c>
      <c r="L1406" s="75"/>
      <c r="M1406" s="39" t="str">
        <f>IF(J1406&gt;J1399,"[OK]","[REDISEÑAR]")</f>
        <v>[OK]</v>
      </c>
      <c r="N1406" s="41" t="str">
        <f>IF(O1406&gt;0,"Sobrado","Faltan")</f>
        <v>Sobrado</v>
      </c>
      <c r="O1406" s="43">
        <f>J1406-J1399</f>
        <v>87.911290956693989</v>
      </c>
      <c r="P1406" s="75"/>
      <c r="Q1406" s="75"/>
    </row>
    <row r="1407" spans="2:17" x14ac:dyDescent="0.3">
      <c r="B1407" s="31" t="s">
        <v>78</v>
      </c>
      <c r="C1407" s="37">
        <f>2.5/1000*100*C1390/2</f>
        <v>2.5</v>
      </c>
      <c r="D1407" s="16" t="s">
        <v>17</v>
      </c>
      <c r="E1407" s="75"/>
      <c r="F1407" s="75"/>
      <c r="G1407" s="75"/>
      <c r="H1407" s="75"/>
      <c r="J1407" s="75"/>
      <c r="K1407" s="75"/>
      <c r="L1407" s="75"/>
      <c r="M1407" s="75"/>
      <c r="N1407" s="75"/>
      <c r="O1407" s="15"/>
      <c r="P1407" s="75"/>
      <c r="Q1407" s="75"/>
    </row>
    <row r="1408" spans="2:17" x14ac:dyDescent="0.3">
      <c r="B1408" s="31" t="s">
        <v>114</v>
      </c>
      <c r="C1408" s="37">
        <f>C1406*100/C1403</f>
        <v>5.6099868814103448</v>
      </c>
      <c r="D1408" s="29" t="s">
        <v>32</v>
      </c>
      <c r="E1408" s="75"/>
      <c r="F1408" s="75"/>
      <c r="G1408" s="75"/>
      <c r="H1408" s="75"/>
      <c r="I1408" s="18" t="s">
        <v>77</v>
      </c>
      <c r="J1408" s="75"/>
      <c r="K1408" s="75"/>
      <c r="L1408" s="75"/>
      <c r="M1408" s="17" t="s">
        <v>67</v>
      </c>
      <c r="N1408" s="75"/>
      <c r="O1408" s="75"/>
      <c r="P1408" s="75"/>
      <c r="Q1408" s="75"/>
    </row>
    <row r="1409" spans="2:17" x14ac:dyDescent="0.3">
      <c r="B1409" s="75"/>
      <c r="C1409" s="75"/>
      <c r="D1409" s="75"/>
      <c r="E1409" s="75"/>
      <c r="F1409" s="75"/>
      <c r="G1409" s="75"/>
      <c r="H1409" s="75"/>
      <c r="I1409" s="19" t="s">
        <v>33</v>
      </c>
      <c r="J1409" s="16">
        <v>0.6</v>
      </c>
      <c r="K1409" s="16" t="s">
        <v>50</v>
      </c>
      <c r="L1409" s="75"/>
      <c r="M1409" s="19" t="s">
        <v>64</v>
      </c>
      <c r="N1409" s="30">
        <f>SQRT(C1385*0.0980665)*(1/0.0980665)/1000*J1411*0.17</f>
        <v>33.403863487067795</v>
      </c>
      <c r="O1409" s="16" t="s">
        <v>12</v>
      </c>
      <c r="P1409" s="75"/>
      <c r="Q1409" s="75"/>
    </row>
    <row r="1410" spans="2:17" x14ac:dyDescent="0.3">
      <c r="B1410" s="17" t="s">
        <v>37</v>
      </c>
      <c r="C1410" s="75"/>
      <c r="D1410" s="75"/>
      <c r="E1410" s="75"/>
      <c r="F1410" s="75"/>
      <c r="G1410" s="75"/>
      <c r="H1410" s="75"/>
      <c r="I1410" s="19" t="s">
        <v>46</v>
      </c>
      <c r="J1410" s="34">
        <f>J1398/J1409</f>
        <v>42.646599999999999</v>
      </c>
      <c r="K1410" s="16" t="s">
        <v>12</v>
      </c>
      <c r="L1410" s="75"/>
      <c r="M1410" s="19" t="s">
        <v>57</v>
      </c>
      <c r="N1410" s="16">
        <f>IF(C1392/J1389&lt;=1.5,0.25,IF(C1392/J1389&gt;=2,0.17,0.17+(0.25-0.17)/(C1392/J1389-1.5)*C1392/J1389))</f>
        <v>0.25</v>
      </c>
      <c r="O1410" s="29" t="s">
        <v>50</v>
      </c>
      <c r="P1410" s="75"/>
      <c r="Q1410" s="75"/>
    </row>
    <row r="1411" spans="2:17" x14ac:dyDescent="0.3">
      <c r="B1411" s="31" t="s">
        <v>115</v>
      </c>
      <c r="C1411" s="37">
        <f>O1406</f>
        <v>87.911290956693989</v>
      </c>
      <c r="D1411" s="29" t="s">
        <v>12</v>
      </c>
      <c r="E1411" s="75"/>
      <c r="F1411" s="75"/>
      <c r="G1411" s="75"/>
      <c r="H1411" s="75"/>
      <c r="I1411" s="19" t="s">
        <v>36</v>
      </c>
      <c r="J1411" s="35">
        <f>J1389*C1390*0.8-J1419</f>
        <v>4308.7714311552299</v>
      </c>
      <c r="K1411" s="16" t="s">
        <v>17</v>
      </c>
      <c r="L1411" s="75"/>
      <c r="M1411" s="19" t="s">
        <v>59</v>
      </c>
      <c r="N1411" s="30">
        <f>SQRT(C1385*0.0980665)*(1/0.0980665)/1000*J1411*N1410</f>
        <v>49.123328657452639</v>
      </c>
      <c r="O1411" s="29" t="s">
        <v>12</v>
      </c>
      <c r="P1411" s="75"/>
      <c r="Q1411" s="75"/>
    </row>
    <row r="1412" spans="2:17" x14ac:dyDescent="0.3">
      <c r="B1412" s="31" t="s">
        <v>116</v>
      </c>
      <c r="C1412" s="37">
        <f>O1421</f>
        <v>118.55725263510055</v>
      </c>
      <c r="D1412" s="29" t="s">
        <v>12</v>
      </c>
      <c r="E1412" s="75"/>
      <c r="F1412" s="75"/>
      <c r="G1412" s="75"/>
      <c r="H1412" s="75"/>
      <c r="I1412" s="19" t="s">
        <v>60</v>
      </c>
      <c r="J1412" s="34">
        <f>MIN(N1411,N1409)</f>
        <v>33.403863487067795</v>
      </c>
      <c r="K1412" s="29" t="s">
        <v>12</v>
      </c>
      <c r="L1412" s="75"/>
      <c r="M1412" s="75"/>
      <c r="N1412" s="75"/>
      <c r="O1412" s="75"/>
      <c r="P1412" s="75"/>
      <c r="Q1412" s="75"/>
    </row>
    <row r="1413" spans="2:17" x14ac:dyDescent="0.3">
      <c r="B1413" s="19" t="s">
        <v>117</v>
      </c>
      <c r="C1413" s="36">
        <f>C1406*2*C1391/C1403/J1386</f>
        <v>5.609986881410344E-3</v>
      </c>
      <c r="D1413" s="16" t="s">
        <v>50</v>
      </c>
      <c r="E1413" s="75"/>
      <c r="F1413" s="75"/>
      <c r="G1413" s="75"/>
      <c r="H1413" s="75"/>
      <c r="I1413" s="19" t="s">
        <v>39</v>
      </c>
      <c r="J1413" s="34">
        <f>J1410-J1412</f>
        <v>9.2427365129322041</v>
      </c>
      <c r="K1413" s="16" t="s">
        <v>12</v>
      </c>
      <c r="L1413" s="75"/>
      <c r="M1413" s="75"/>
      <c r="N1413" s="75"/>
      <c r="O1413" s="75"/>
      <c r="P1413" s="75"/>
      <c r="Q1413" s="75"/>
    </row>
    <row r="1414" spans="2:17" x14ac:dyDescent="0.3">
      <c r="B1414" s="75"/>
      <c r="C1414" s="75"/>
      <c r="D1414" s="75"/>
      <c r="E1414" s="75"/>
      <c r="F1414" s="75"/>
      <c r="G1414" s="75"/>
      <c r="H1414" s="75"/>
      <c r="I1414" s="19" t="s">
        <v>61</v>
      </c>
      <c r="J1414" s="37">
        <f>MAX(J1413/(C1386*J1389/1000/100)/2,C1407)</f>
        <v>2.5</v>
      </c>
      <c r="K1414" s="29" t="s">
        <v>32</v>
      </c>
      <c r="L1414" s="75"/>
      <c r="M1414" s="75"/>
      <c r="N1414" s="75"/>
      <c r="O1414" s="75"/>
      <c r="P1414" s="75"/>
      <c r="Q1414" s="75"/>
    </row>
    <row r="1415" spans="2:17" x14ac:dyDescent="0.3">
      <c r="B1415" s="75"/>
      <c r="C1415" s="75"/>
      <c r="D1415" s="75"/>
      <c r="E1415" s="75"/>
      <c r="F1415" s="75"/>
      <c r="G1415" s="75"/>
      <c r="H1415" s="75"/>
      <c r="I1415" s="19" t="s">
        <v>65</v>
      </c>
      <c r="J1415" s="36">
        <f>J1414/C1390/100*2</f>
        <v>2.5000000000000001E-3</v>
      </c>
      <c r="K1415" s="16" t="s">
        <v>50</v>
      </c>
      <c r="L1415" s="75"/>
      <c r="M1415" s="75"/>
      <c r="N1415" s="75"/>
      <c r="O1415" s="75"/>
      <c r="P1415" s="75"/>
      <c r="Q1415" s="75"/>
    </row>
    <row r="1416" spans="2:17" x14ac:dyDescent="0.3">
      <c r="B1416" s="75"/>
      <c r="C1416" s="75"/>
      <c r="D1416" s="75"/>
      <c r="E1416" s="75"/>
      <c r="F1416" s="75"/>
      <c r="G1416" s="75"/>
      <c r="H1416" s="75"/>
      <c r="I1416" s="19" t="s">
        <v>53</v>
      </c>
      <c r="J1416" s="16">
        <f>MAX(0.0025,0.0025*0.5*(2.5-C1390/(C1391*0.8))*(J1415-0.0025))</f>
        <v>2.5000000000000001E-3</v>
      </c>
      <c r="K1416" s="29" t="s">
        <v>50</v>
      </c>
      <c r="L1416" s="75"/>
      <c r="M1416" s="39" t="str">
        <f>IF(OR(J1415&gt;J1416,ABS(J1415-J1416)&lt;0.0001),"[OK]","[REDISEÑAR]")</f>
        <v>[OK]</v>
      </c>
      <c r="N1416" s="75"/>
      <c r="O1416" s="75"/>
      <c r="P1416" s="75"/>
      <c r="Q1416" s="75"/>
    </row>
    <row r="1417" spans="2:17" x14ac:dyDescent="0.3">
      <c r="B1417" s="75"/>
      <c r="C1417" s="75"/>
      <c r="D1417" s="75"/>
      <c r="E1417" s="75"/>
      <c r="F1417" s="75"/>
      <c r="G1417" s="75"/>
      <c r="H1417" s="75"/>
      <c r="I1417" s="19" t="s">
        <v>47</v>
      </c>
      <c r="J1417" s="34">
        <f>SQRT(C1385*0.0980665)*(1/0.0980665)/1000*0.66*0.8*C1391*C1390</f>
        <v>163.25178503511097</v>
      </c>
      <c r="K1417" s="16" t="s">
        <v>12</v>
      </c>
      <c r="L1417" s="75"/>
      <c r="M1417" s="40" t="s">
        <v>44</v>
      </c>
      <c r="N1417" s="75"/>
      <c r="O1417" s="15"/>
      <c r="P1417" s="75"/>
      <c r="Q1417" s="75"/>
    </row>
    <row r="1418" spans="2:17" x14ac:dyDescent="0.3">
      <c r="B1418" s="75"/>
      <c r="C1418" s="75"/>
      <c r="D1418" s="75"/>
      <c r="E1418" s="75"/>
      <c r="F1418" s="75"/>
      <c r="G1418" s="75"/>
      <c r="H1418" s="75"/>
      <c r="I1418" s="63" t="s">
        <v>34</v>
      </c>
      <c r="J1418" s="63">
        <f>ROUNDDOWN(1/J1414*C1406*100,0)</f>
        <v>31</v>
      </c>
      <c r="K1418" s="64" t="s">
        <v>5</v>
      </c>
      <c r="L1418" s="75"/>
      <c r="M1418" s="39" t="str">
        <f>IF(OR(J1418&lt;10,J1418&gt;25),"[REDISEÑAR]","[OK")</f>
        <v>[REDISEÑAR]</v>
      </c>
      <c r="N1418" s="41" t="s">
        <v>80</v>
      </c>
      <c r="O1418" s="42">
        <f>1/J1414*(C1402/2)^2*PI()</f>
        <v>31.415926535897931</v>
      </c>
      <c r="P1418" s="75" t="str">
        <f>"$\phi$"&amp;C1402&amp;"@"&amp;J1418</f>
        <v>$\phi$10@31</v>
      </c>
      <c r="Q1418" s="75"/>
    </row>
    <row r="1419" spans="2:17" x14ac:dyDescent="0.3">
      <c r="B1419" s="75"/>
      <c r="C1419" s="75"/>
      <c r="D1419" s="75"/>
      <c r="E1419" s="75"/>
      <c r="F1419" s="75"/>
      <c r="G1419" s="75"/>
      <c r="H1419" s="75"/>
      <c r="I1419" s="31" t="s">
        <v>48</v>
      </c>
      <c r="J1419" s="30">
        <f>C1406*2*IF(J1389/C1403&gt;=1,J1389/C1403,0)</f>
        <v>30.428568844769707</v>
      </c>
      <c r="K1419" s="29" t="s">
        <v>17</v>
      </c>
      <c r="L1419" s="75"/>
      <c r="M1419" s="75"/>
      <c r="N1419" s="15"/>
      <c r="O1419" s="15"/>
      <c r="P1419" s="75"/>
      <c r="Q1419" s="75"/>
    </row>
    <row r="1420" spans="2:17" x14ac:dyDescent="0.3">
      <c r="B1420" s="75"/>
      <c r="C1420" s="75"/>
      <c r="D1420" s="75"/>
      <c r="E1420" s="75"/>
      <c r="F1420" s="75"/>
      <c r="G1420" s="75"/>
      <c r="H1420" s="75"/>
      <c r="I1420" s="19" t="s">
        <v>81</v>
      </c>
      <c r="J1420" s="34">
        <f>MIN(J1419*C1386/1000,J1417)</f>
        <v>127.79998914803276</v>
      </c>
      <c r="K1420" s="16" t="s">
        <v>12</v>
      </c>
      <c r="L1420" s="75"/>
      <c r="M1420" s="40" t="s">
        <v>82</v>
      </c>
      <c r="N1420" s="15"/>
      <c r="O1420" s="15"/>
      <c r="P1420" s="75"/>
      <c r="Q1420" s="75"/>
    </row>
    <row r="1421" spans="2:17" x14ac:dyDescent="0.3">
      <c r="B1421" s="75"/>
      <c r="C1421" s="75"/>
      <c r="D1421" s="75"/>
      <c r="E1421" s="75"/>
      <c r="F1421" s="75"/>
      <c r="G1421" s="75"/>
      <c r="H1421" s="75"/>
      <c r="I1421" s="19" t="s">
        <v>79</v>
      </c>
      <c r="J1421" s="34">
        <f>J1420+J1412</f>
        <v>161.20385263510056</v>
      </c>
      <c r="K1421" s="16" t="s">
        <v>12</v>
      </c>
      <c r="L1421" s="75"/>
      <c r="M1421" s="39" t="str">
        <f>IF(J1421&gt;J1410,"[OK]","[REDISEÑAR]")</f>
        <v>[OK]</v>
      </c>
      <c r="N1421" s="41" t="str">
        <f>IF(O1421&gt;0,"Sobrado","Faltan")</f>
        <v>Sobrado</v>
      </c>
      <c r="O1421" s="43">
        <f>J1421-J1410</f>
        <v>118.55725263510055</v>
      </c>
      <c r="P1421" s="75"/>
      <c r="Q1421" s="75"/>
    </row>
    <row r="1422" spans="2:17" x14ac:dyDescent="0.3">
      <c r="B1422" s="75"/>
      <c r="C1422" s="75"/>
      <c r="D1422" s="75"/>
      <c r="E1422" s="75"/>
      <c r="F1422" s="75"/>
      <c r="G1422" s="75"/>
      <c r="H1422" s="75"/>
      <c r="J1422" s="75"/>
      <c r="K1422" s="75"/>
      <c r="L1422" s="75"/>
      <c r="M1422" s="75"/>
      <c r="N1422" s="75"/>
      <c r="O1422" s="75"/>
      <c r="P1422" s="75"/>
      <c r="Q1422" s="75"/>
    </row>
    <row r="1423" spans="2:17" x14ac:dyDescent="0.3">
      <c r="B1423" s="75"/>
      <c r="C1423" s="75"/>
      <c r="D1423" s="75"/>
      <c r="E1423" s="75"/>
      <c r="F1423" s="75"/>
      <c r="G1423" s="75"/>
      <c r="H1423" s="75"/>
      <c r="I1423" s="18" t="s">
        <v>45</v>
      </c>
      <c r="J1423" s="75"/>
      <c r="K1423" s="75"/>
      <c r="L1423" s="75"/>
      <c r="M1423" s="75"/>
      <c r="N1423" s="75"/>
      <c r="O1423" s="15"/>
      <c r="P1423" s="75"/>
      <c r="Q1423" s="75"/>
    </row>
    <row r="1424" spans="2:17" x14ac:dyDescent="0.3">
      <c r="B1424" s="75"/>
      <c r="C1424" s="75"/>
      <c r="D1424" s="75"/>
      <c r="E1424" s="75"/>
      <c r="F1424" s="75"/>
      <c r="G1424" s="75"/>
      <c r="H1424" s="75"/>
      <c r="I1424" s="19" t="s">
        <v>40</v>
      </c>
      <c r="J1424" s="16">
        <f>J1398</f>
        <v>25.587959999999999</v>
      </c>
      <c r="K1424" s="16" t="s">
        <v>12</v>
      </c>
      <c r="L1424" s="75"/>
      <c r="M1424" s="75"/>
      <c r="N1424" s="75"/>
      <c r="O1424" s="26"/>
      <c r="P1424" s="75"/>
      <c r="Q1424" s="75"/>
    </row>
    <row r="1425" spans="2:17" x14ac:dyDescent="0.3">
      <c r="B1425" s="75"/>
      <c r="C1425" s="75"/>
      <c r="D1425" s="75"/>
      <c r="E1425" s="75"/>
      <c r="F1425" s="75"/>
      <c r="G1425" s="75"/>
      <c r="H1425" s="75"/>
      <c r="I1425" s="19" t="s">
        <v>46</v>
      </c>
      <c r="J1425" s="34">
        <f>J1410</f>
        <v>42.646599999999999</v>
      </c>
      <c r="K1425" s="16" t="s">
        <v>12</v>
      </c>
      <c r="L1425" s="75"/>
      <c r="M1425" s="75"/>
      <c r="N1425" s="75"/>
      <c r="O1425" s="75"/>
      <c r="P1425" s="75"/>
      <c r="Q1425" s="75"/>
    </row>
    <row r="1426" spans="2:17" x14ac:dyDescent="0.3">
      <c r="B1426" s="75"/>
      <c r="C1426" s="75"/>
      <c r="D1426" s="75"/>
      <c r="E1426" s="75"/>
      <c r="F1426" s="75"/>
      <c r="G1426" s="75"/>
      <c r="H1426" s="75"/>
      <c r="I1426" s="19" t="s">
        <v>38</v>
      </c>
      <c r="J1426" s="34">
        <f>2/3*J1411*SQRT(C1385*0.0980665)*(1/0.0980665)/1000</f>
        <v>130.99554308654035</v>
      </c>
      <c r="K1426" s="16" t="s">
        <v>12</v>
      </c>
      <c r="L1426" s="75"/>
      <c r="M1426" s="39" t="str">
        <f>IF(J1426&gt;J1425,"[OK]","[REDISEÑAR]")</f>
        <v>[OK]</v>
      </c>
      <c r="N1426" s="41" t="str">
        <f>IF(O1426&gt;0,"Sobrado","Faltan")</f>
        <v>Sobrado</v>
      </c>
      <c r="O1426" s="43">
        <f>J1426-J1425</f>
        <v>88.348943086540345</v>
      </c>
      <c r="P1426" s="75"/>
      <c r="Q1426" s="75"/>
    </row>
    <row r="1428" spans="2:17" ht="18" x14ac:dyDescent="0.35">
      <c r="B1428" s="48" t="str">
        <f>'EJE 15'!$S$36</f>
        <v>EJE 15.C-C1 | PIER F31X | PISO 16</v>
      </c>
      <c r="C1428" s="75"/>
      <c r="D1428" s="75"/>
      <c r="E1428" s="75"/>
      <c r="F1428" s="75"/>
      <c r="G1428" s="75"/>
      <c r="H1428" s="75"/>
      <c r="J1428" s="75"/>
      <c r="K1428" s="75"/>
      <c r="L1428" s="75"/>
      <c r="M1428" s="75"/>
      <c r="N1428" s="75"/>
      <c r="O1428" s="75"/>
      <c r="P1428" s="75"/>
      <c r="Q1428" s="75"/>
    </row>
    <row r="1429" spans="2:17" x14ac:dyDescent="0.3">
      <c r="B1429" s="75"/>
      <c r="C1429" s="75"/>
      <c r="D1429" s="75"/>
      <c r="E1429" s="75"/>
      <c r="F1429" s="75"/>
      <c r="G1429" s="75"/>
      <c r="H1429" s="75"/>
      <c r="J1429" s="75"/>
      <c r="K1429" s="75"/>
      <c r="L1429" s="75"/>
      <c r="M1429" s="75"/>
      <c r="N1429" s="75"/>
      <c r="O1429" s="75"/>
      <c r="P1429" s="75"/>
      <c r="Q1429" s="75"/>
    </row>
    <row r="1430" spans="2:17" x14ac:dyDescent="0.3">
      <c r="B1430" s="17" t="s">
        <v>6</v>
      </c>
      <c r="C1430" s="75"/>
      <c r="D1430" s="75"/>
      <c r="E1430" s="75"/>
      <c r="F1430" s="75"/>
      <c r="G1430" s="75"/>
      <c r="H1430" s="75"/>
      <c r="I1430" s="18" t="s">
        <v>25</v>
      </c>
      <c r="J1430" s="75"/>
      <c r="K1430" s="75"/>
      <c r="L1430" s="75"/>
      <c r="M1430" s="75"/>
      <c r="N1430" s="75"/>
      <c r="O1430" s="75"/>
      <c r="P1430" s="75"/>
      <c r="Q1430" s="75"/>
    </row>
    <row r="1431" spans="2:17" x14ac:dyDescent="0.3">
      <c r="B1431" s="19" t="s">
        <v>99</v>
      </c>
      <c r="C1431" s="61">
        <f>10.1971621297793*'EJE 15'!$G$29</f>
        <v>305.91486389337899</v>
      </c>
      <c r="D1431" s="16" t="s">
        <v>8</v>
      </c>
      <c r="E1431" s="75"/>
      <c r="F1431" s="75"/>
      <c r="G1431" s="75"/>
      <c r="H1431" s="75"/>
      <c r="I1431" s="19" t="s">
        <v>58</v>
      </c>
      <c r="J1431" s="16">
        <f>C1438/16</f>
        <v>14.375</v>
      </c>
      <c r="K1431" s="16" t="s">
        <v>5</v>
      </c>
      <c r="L1431" s="21"/>
      <c r="M1431" s="39" t="str">
        <f>IF(J1431&lt;C1436,"[OK]","[REDISEÑAR]")</f>
        <v>[OK]</v>
      </c>
      <c r="N1431" s="75"/>
      <c r="O1431" s="75"/>
      <c r="P1431" s="75"/>
      <c r="Q1431" s="75"/>
    </row>
    <row r="1432" spans="2:17" x14ac:dyDescent="0.3">
      <c r="B1432" s="19" t="s">
        <v>30</v>
      </c>
      <c r="C1432" s="16">
        <v>4200</v>
      </c>
      <c r="D1432" s="16" t="s">
        <v>8</v>
      </c>
      <c r="E1432" s="75"/>
      <c r="F1432" s="75"/>
      <c r="G1432" s="75"/>
      <c r="H1432" s="75"/>
      <c r="I1432" s="19" t="s">
        <v>16</v>
      </c>
      <c r="J1432" s="16">
        <f>C1436*C1437</f>
        <v>8475</v>
      </c>
      <c r="K1432" s="16" t="s">
        <v>17</v>
      </c>
      <c r="L1432" s="21"/>
      <c r="M1432" s="75"/>
      <c r="N1432" s="75"/>
      <c r="O1432" s="75"/>
      <c r="P1432" s="75"/>
      <c r="Q1432" s="75"/>
    </row>
    <row r="1433" spans="2:17" x14ac:dyDescent="0.3">
      <c r="B1433" s="19" t="s">
        <v>31</v>
      </c>
      <c r="C1433" s="16">
        <v>2800</v>
      </c>
      <c r="D1433" s="16" t="s">
        <v>8</v>
      </c>
      <c r="E1433" s="75"/>
      <c r="F1433" s="75"/>
      <c r="G1433" s="75"/>
      <c r="H1433" s="75"/>
      <c r="I1433" s="19" t="s">
        <v>51</v>
      </c>
      <c r="J1433" s="16">
        <f>MIN(0.8*C1437/5,3*C1436,45)</f>
        <v>45</v>
      </c>
      <c r="K1433" s="16" t="s">
        <v>5</v>
      </c>
      <c r="L1433" s="21"/>
      <c r="M1433" s="39" t="str">
        <f>IF(J1433&gt;C1449,"[OK]","[REDISEÑAR]")</f>
        <v>[OK]</v>
      </c>
      <c r="N1433" s="75"/>
      <c r="O1433" s="75"/>
      <c r="P1433" s="75"/>
      <c r="Q1433" s="75"/>
    </row>
    <row r="1434" spans="2:17" x14ac:dyDescent="0.3">
      <c r="B1434" s="75"/>
      <c r="C1434" s="75"/>
      <c r="D1434" s="75"/>
      <c r="E1434" s="75"/>
      <c r="F1434" s="75"/>
      <c r="G1434" s="75"/>
      <c r="H1434" s="75"/>
      <c r="I1434" s="19" t="s">
        <v>56</v>
      </c>
      <c r="J1434" s="16">
        <f>MIN(0.8*C1438/3,3*C1437,45)</f>
        <v>45</v>
      </c>
      <c r="K1434" s="16" t="s">
        <v>5</v>
      </c>
      <c r="L1434" s="21"/>
      <c r="M1434" s="39" t="str">
        <f>IF(J1434&gt;C1449,"[OK]","[REDISEÑAR]")</f>
        <v>[OK]</v>
      </c>
      <c r="N1434" s="75"/>
      <c r="O1434" s="75"/>
      <c r="P1434" s="75"/>
      <c r="Q1434" s="75"/>
    </row>
    <row r="1435" spans="2:17" x14ac:dyDescent="0.3">
      <c r="B1435" s="17" t="s">
        <v>3</v>
      </c>
      <c r="C1435" s="75"/>
      <c r="D1435" s="75"/>
      <c r="E1435" s="75"/>
      <c r="F1435" s="75"/>
      <c r="G1435" s="75"/>
      <c r="H1435" s="75"/>
      <c r="I1435" s="19" t="s">
        <v>62</v>
      </c>
      <c r="J1435" s="16">
        <f>0.8*C1437</f>
        <v>271.2</v>
      </c>
      <c r="K1435" s="29" t="s">
        <v>5</v>
      </c>
      <c r="L1435" s="75"/>
      <c r="M1435" s="75"/>
      <c r="N1435" s="75"/>
      <c r="O1435" s="75"/>
      <c r="P1435" s="75"/>
      <c r="Q1435" s="75"/>
    </row>
    <row r="1436" spans="2:17" x14ac:dyDescent="0.3">
      <c r="B1436" s="19" t="str">
        <f>"Espesor del muro (h)"</f>
        <v>Espesor del muro (h)</v>
      </c>
      <c r="C1436" s="49">
        <f>'EJE 15'!$H$29</f>
        <v>25</v>
      </c>
      <c r="D1436" s="16" t="s">
        <v>5</v>
      </c>
      <c r="E1436" s="75"/>
      <c r="F1436" s="75"/>
      <c r="G1436" s="75"/>
      <c r="H1436" s="75"/>
      <c r="J1436" s="75"/>
      <c r="K1436" s="75"/>
      <c r="L1436" s="75"/>
      <c r="M1436" s="75"/>
      <c r="N1436" s="75"/>
      <c r="O1436" s="75"/>
      <c r="P1436" s="75"/>
      <c r="Q1436" s="75"/>
    </row>
    <row r="1437" spans="2:17" x14ac:dyDescent="0.3">
      <c r="B1437" s="19" t="s">
        <v>63</v>
      </c>
      <c r="C1437" s="49">
        <f>'EJE 15'!$I$29</f>
        <v>339</v>
      </c>
      <c r="D1437" s="16" t="s">
        <v>5</v>
      </c>
      <c r="E1437" s="75"/>
      <c r="F1437" s="75"/>
      <c r="G1437" s="75"/>
      <c r="H1437" s="75"/>
      <c r="I1437" s="18" t="s">
        <v>26</v>
      </c>
      <c r="J1437" s="75"/>
      <c r="K1437" s="75"/>
      <c r="L1437" s="75"/>
      <c r="M1437" s="75"/>
      <c r="N1437" s="75"/>
      <c r="O1437" s="75"/>
      <c r="P1437" s="75"/>
      <c r="Q1437" s="75"/>
    </row>
    <row r="1438" spans="2:17" x14ac:dyDescent="0.3">
      <c r="B1438" s="19" t="s">
        <v>10</v>
      </c>
      <c r="C1438" s="49">
        <f>'EJE 15'!$J$29</f>
        <v>230</v>
      </c>
      <c r="D1438" s="16" t="s">
        <v>5</v>
      </c>
      <c r="E1438" s="75"/>
      <c r="F1438" s="75"/>
      <c r="G1438" s="75"/>
      <c r="H1438" s="75"/>
      <c r="I1438" s="19" t="s">
        <v>28</v>
      </c>
      <c r="J1438" s="16">
        <f>0.35*C1431</f>
        <v>107.07020236268264</v>
      </c>
      <c r="K1438" s="16" t="s">
        <v>8</v>
      </c>
      <c r="L1438" s="21"/>
      <c r="M1438" s="75"/>
      <c r="N1438" s="75"/>
      <c r="O1438" s="75"/>
      <c r="P1438" s="75"/>
      <c r="Q1438" s="75"/>
    </row>
    <row r="1439" spans="2:17" x14ac:dyDescent="0.3">
      <c r="B1439" s="75"/>
      <c r="C1439" s="75"/>
      <c r="D1439" s="75"/>
      <c r="E1439" s="75"/>
      <c r="F1439" s="75"/>
      <c r="G1439" s="75"/>
      <c r="H1439" s="75"/>
      <c r="I1439" s="19" t="s">
        <v>27</v>
      </c>
      <c r="J1439" s="30">
        <f>C1441*1000/J1432</f>
        <v>15.96075516224189</v>
      </c>
      <c r="K1439" s="16" t="s">
        <v>8</v>
      </c>
      <c r="L1439" s="21"/>
      <c r="M1439" s="39" t="str">
        <f>IF(J1439&lt;J1438,"[OK]","[REDISEÑAR]")</f>
        <v>[OK]</v>
      </c>
      <c r="N1439" s="41" t="s">
        <v>112</v>
      </c>
      <c r="O1439" s="59">
        <f>J1439/J1438</f>
        <v>0.14906813296361826</v>
      </c>
      <c r="P1439" s="75"/>
      <c r="Q1439" s="75"/>
    </row>
    <row r="1440" spans="2:17" x14ac:dyDescent="0.3">
      <c r="B1440" s="17" t="s">
        <v>11</v>
      </c>
      <c r="C1440" s="75"/>
      <c r="D1440" s="75"/>
      <c r="E1440" s="75"/>
      <c r="F1440" s="75"/>
      <c r="G1440" s="75"/>
      <c r="H1440" s="75"/>
      <c r="J1440" s="75"/>
      <c r="K1440" s="75"/>
      <c r="L1440" s="75"/>
      <c r="M1440" s="75"/>
      <c r="N1440" s="75"/>
      <c r="O1440" s="75"/>
      <c r="P1440" s="75"/>
      <c r="Q1440" s="75"/>
    </row>
    <row r="1441" spans="2:17" x14ac:dyDescent="0.3">
      <c r="B1441" s="19" t="str">
        <f>"$N_U$"</f>
        <v>$N_U$</v>
      </c>
      <c r="C1441" s="60">
        <f>'EJE 15'!$K$29</f>
        <v>135.26740000000001</v>
      </c>
      <c r="D1441" s="16" t="s">
        <v>12</v>
      </c>
      <c r="E1441" s="75"/>
      <c r="F1441" s="75"/>
      <c r="G1441" s="75"/>
      <c r="H1441" s="75"/>
      <c r="I1441" s="18" t="s">
        <v>54</v>
      </c>
      <c r="J1441" s="75"/>
      <c r="K1441" s="75"/>
      <c r="L1441" s="75"/>
      <c r="M1441" s="75"/>
      <c r="N1441" s="75"/>
      <c r="O1441" s="75"/>
      <c r="P1441" s="75"/>
      <c r="Q1441" s="75"/>
    </row>
    <row r="1442" spans="2:17" x14ac:dyDescent="0.3">
      <c r="B1442" s="19" t="s">
        <v>14</v>
      </c>
      <c r="C1442" s="60">
        <f>'EJE 15'!$L$29</f>
        <v>2.5070000000000001</v>
      </c>
      <c r="D1442" s="16" t="s">
        <v>12</v>
      </c>
      <c r="E1442" s="75"/>
      <c r="F1442" s="75"/>
      <c r="G1442" s="75"/>
      <c r="H1442" s="75"/>
      <c r="I1442" s="19" t="s">
        <v>72</v>
      </c>
      <c r="J1442" s="16">
        <f>1.2*C1442+C1443+1.4*C1444</f>
        <v>22.833780000000001</v>
      </c>
      <c r="K1442" s="16" t="s">
        <v>12</v>
      </c>
      <c r="L1442" s="75"/>
      <c r="M1442" s="75" t="s">
        <v>68</v>
      </c>
      <c r="N1442" s="75"/>
      <c r="O1442" s="75"/>
      <c r="P1442" s="75"/>
      <c r="Q1442" s="75"/>
    </row>
    <row r="1443" spans="2:17" x14ac:dyDescent="0.3">
      <c r="B1443" s="19" t="s">
        <v>13</v>
      </c>
      <c r="C1443" s="60">
        <f>'EJE 15'!$M$29</f>
        <v>5.0799999999999998E-2</v>
      </c>
      <c r="D1443" s="16" t="s">
        <v>12</v>
      </c>
      <c r="E1443" s="75"/>
      <c r="F1443" s="75"/>
      <c r="G1443" s="75"/>
      <c r="H1443" s="75"/>
      <c r="I1443" s="19" t="s">
        <v>69</v>
      </c>
      <c r="J1443" s="16">
        <f>SUM(C1442:C1444)</f>
        <v>16.682500000000001</v>
      </c>
      <c r="K1443" s="16" t="s">
        <v>12</v>
      </c>
      <c r="L1443" s="75"/>
      <c r="M1443" s="75" t="s">
        <v>70</v>
      </c>
      <c r="N1443" s="75"/>
      <c r="O1443" s="75"/>
      <c r="P1443" s="75"/>
      <c r="Q1443" s="75"/>
    </row>
    <row r="1444" spans="2:17" x14ac:dyDescent="0.3">
      <c r="B1444" s="19" t="s">
        <v>15</v>
      </c>
      <c r="C1444" s="60">
        <f>'EJE 15'!$N$29</f>
        <v>14.124700000000001</v>
      </c>
      <c r="D1444" s="16" t="s">
        <v>12</v>
      </c>
      <c r="E1444" s="75"/>
      <c r="F1444" s="75"/>
      <c r="G1444" s="75"/>
      <c r="H1444" s="75"/>
      <c r="I1444" s="19" t="s">
        <v>73</v>
      </c>
      <c r="J1444" s="16">
        <f>IF(C1445=0,J1442,C1445)</f>
        <v>22.833780000000001</v>
      </c>
      <c r="K1444" s="16" t="s">
        <v>12</v>
      </c>
      <c r="L1444" s="75"/>
      <c r="M1444" s="40" t="s">
        <v>74</v>
      </c>
      <c r="N1444" s="75"/>
      <c r="O1444" s="75"/>
      <c r="P1444" s="75"/>
      <c r="Q1444" s="75"/>
    </row>
    <row r="1445" spans="2:17" x14ac:dyDescent="0.3">
      <c r="B1445" s="19" t="s">
        <v>55</v>
      </c>
      <c r="C1445" s="16">
        <v>0</v>
      </c>
      <c r="D1445" s="16" t="s">
        <v>12</v>
      </c>
      <c r="E1445" s="75"/>
      <c r="F1445" s="75"/>
      <c r="G1445" s="75"/>
      <c r="H1445" s="75"/>
      <c r="I1445" s="19" t="s">
        <v>71</v>
      </c>
      <c r="J1445" s="16">
        <f>IF(C1445=0,J1443,C1445)</f>
        <v>16.682500000000001</v>
      </c>
      <c r="K1445" s="16" t="s">
        <v>12</v>
      </c>
      <c r="L1445" s="75"/>
      <c r="M1445" s="40" t="s">
        <v>75</v>
      </c>
      <c r="N1445" s="75"/>
      <c r="O1445" s="75"/>
      <c r="P1445" s="75"/>
      <c r="Q1445" s="75"/>
    </row>
    <row r="1446" spans="2:17" x14ac:dyDescent="0.3">
      <c r="B1446" s="75"/>
      <c r="C1446" s="75"/>
      <c r="D1446" s="75"/>
      <c r="E1446" s="75"/>
      <c r="F1446" s="75"/>
      <c r="G1446" s="75"/>
      <c r="H1446" s="75"/>
      <c r="J1446" s="75"/>
      <c r="K1446" s="75"/>
      <c r="L1446" s="75"/>
      <c r="M1446" s="75"/>
      <c r="N1446" s="75"/>
      <c r="O1446" s="75"/>
      <c r="P1446" s="75"/>
      <c r="Q1446" s="75"/>
    </row>
    <row r="1447" spans="2:17" x14ac:dyDescent="0.3">
      <c r="B1447" s="33" t="s">
        <v>42</v>
      </c>
      <c r="C1447" s="75"/>
      <c r="D1447" s="75"/>
      <c r="E1447" s="75"/>
      <c r="F1447" s="75"/>
      <c r="G1447" s="75"/>
      <c r="H1447" s="75"/>
      <c r="I1447" s="27" t="s">
        <v>76</v>
      </c>
      <c r="J1447" s="75"/>
      <c r="K1447" s="75"/>
      <c r="L1447" s="75"/>
      <c r="M1447" s="75"/>
      <c r="N1447" s="75"/>
      <c r="O1447" s="75"/>
      <c r="P1447" s="75"/>
      <c r="Q1447" s="75"/>
    </row>
    <row r="1448" spans="2:17" x14ac:dyDescent="0.3">
      <c r="B1448" s="31" t="s">
        <v>41</v>
      </c>
      <c r="C1448" s="16">
        <v>10</v>
      </c>
      <c r="D1448" s="29" t="s">
        <v>35</v>
      </c>
      <c r="E1448" s="75"/>
      <c r="F1448" s="75"/>
      <c r="G1448" s="75"/>
      <c r="H1448" s="75"/>
      <c r="I1448" s="19" t="s">
        <v>29</v>
      </c>
      <c r="J1448" s="30">
        <f>J1445*1000/J1432</f>
        <v>1.9684365781710915</v>
      </c>
      <c r="K1448" s="29" t="s">
        <v>8</v>
      </c>
      <c r="L1448" s="75"/>
      <c r="M1448" s="75"/>
      <c r="N1448" s="75"/>
      <c r="O1448" s="75"/>
      <c r="P1448" s="75"/>
      <c r="Q1448" s="75"/>
    </row>
    <row r="1449" spans="2:17" x14ac:dyDescent="0.3">
      <c r="B1449" s="31" t="s">
        <v>43</v>
      </c>
      <c r="C1449" s="16">
        <v>14</v>
      </c>
      <c r="D1449" s="29" t="s">
        <v>5</v>
      </c>
      <c r="E1449" s="75"/>
      <c r="F1449" s="39" t="str">
        <f>IF(OR(C1449&gt;25,C1449&lt;10),"[REDISEÑAR]",IF(AND(C1449&lt;=J1450,C1449&lt;=J1464),"[OK]","[REDISEÑAR]"))</f>
        <v>[OK]</v>
      </c>
      <c r="G1449" s="75"/>
      <c r="H1449" s="75"/>
      <c r="I1449" s="19" t="s">
        <v>61</v>
      </c>
      <c r="J1449" s="37">
        <f>MAX(J1448*100*C1436/(2*C1433),C1453)</f>
        <v>3.125</v>
      </c>
      <c r="K1449" s="29" t="s">
        <v>32</v>
      </c>
      <c r="L1449" s="75"/>
      <c r="M1449" s="15"/>
      <c r="N1449" s="15"/>
      <c r="O1449" s="15"/>
      <c r="P1449" s="75"/>
      <c r="Q1449" s="75"/>
    </row>
    <row r="1450" spans="2:17" x14ac:dyDescent="0.3">
      <c r="B1450" s="75"/>
      <c r="C1450" s="50" t="str">
        <f>"$\phi$"&amp;C1448&amp;"@"&amp;C1449</f>
        <v>$\phi$10@14</v>
      </c>
      <c r="D1450" s="75"/>
      <c r="E1450" s="75"/>
      <c r="F1450" s="39" t="str">
        <f>IF(OR(J1449=C1453,J1460=C1453),"[ÁREA MINIMA]","[]")</f>
        <v>[ÁREA MINIMA]</v>
      </c>
      <c r="G1450" s="75"/>
      <c r="H1450" s="75"/>
      <c r="I1450" s="63" t="s">
        <v>34</v>
      </c>
      <c r="J1450" s="63">
        <f>ROUNDDOWN((1/J1449)*C1452*100,0)</f>
        <v>25</v>
      </c>
      <c r="K1450" s="64" t="s">
        <v>5</v>
      </c>
      <c r="L1450" s="75"/>
      <c r="M1450" s="39" t="str">
        <f>IF(OR(J1450&lt;10,J1450&gt;25),"[REDISEÑAR]","[OK")</f>
        <v>[OK</v>
      </c>
      <c r="N1450" s="41" t="s">
        <v>80</v>
      </c>
      <c r="O1450" s="42">
        <f>1/J1449*(C1448/2)^2*PI()</f>
        <v>25.132741228718345</v>
      </c>
      <c r="P1450" s="75" t="str">
        <f>"$\phi$"&amp;C1448&amp;"@"&amp;J1450</f>
        <v>$\phi$10@25</v>
      </c>
      <c r="Q1450" s="75"/>
    </row>
    <row r="1451" spans="2:17" x14ac:dyDescent="0.3">
      <c r="B1451" s="18" t="s">
        <v>52</v>
      </c>
      <c r="C1451" s="75"/>
      <c r="D1451" s="75"/>
      <c r="E1451" s="75"/>
      <c r="F1451" s="62" t="str">
        <f>IF(J1439&lt;J1438,IF(J1467&gt;J1456,"[OK]","[REDISEÑAR]"),"[REDISEÑAR]")</f>
        <v>[OK]</v>
      </c>
      <c r="G1451" s="75"/>
      <c r="H1451" s="75"/>
      <c r="I1451" s="31" t="s">
        <v>48</v>
      </c>
      <c r="J1451" s="30">
        <f>C1452*2*IF(C1437/C1449&gt;=1,C1437/C1449,0)</f>
        <v>38.035711055962139</v>
      </c>
      <c r="K1451" s="29" t="s">
        <v>17</v>
      </c>
      <c r="L1451" s="75"/>
      <c r="M1451" s="75"/>
      <c r="N1451" s="15"/>
      <c r="O1451" s="44"/>
      <c r="P1451" s="75"/>
      <c r="Q1451" s="75"/>
    </row>
    <row r="1452" spans="2:17" x14ac:dyDescent="0.3">
      <c r="B1452" s="31" t="s">
        <v>66</v>
      </c>
      <c r="C1452" s="30">
        <f>(C1448/(2*10))^2*PI()</f>
        <v>0.78539816339744828</v>
      </c>
      <c r="D1452" s="29" t="s">
        <v>17</v>
      </c>
      <c r="E1452" s="75"/>
      <c r="F1452" s="75"/>
      <c r="G1452" s="75"/>
      <c r="H1452" s="75"/>
      <c r="I1452" s="19" t="s">
        <v>49</v>
      </c>
      <c r="J1452" s="34">
        <f>C1433*J1451/1000</f>
        <v>106.49999095669399</v>
      </c>
      <c r="K1452" s="16" t="s">
        <v>12</v>
      </c>
      <c r="L1452" s="75"/>
      <c r="M1452" s="39" t="str">
        <f>IF(J1452&gt;J1445,"[OK]","[REDISEÑAR]")</f>
        <v>[OK]</v>
      </c>
      <c r="N1452" s="41" t="str">
        <f>IF(O1452&gt;0,"Sobrado","Faltan")</f>
        <v>Sobrado</v>
      </c>
      <c r="O1452" s="43">
        <f>J1452-J1445</f>
        <v>89.817490956693987</v>
      </c>
      <c r="P1452" s="75"/>
      <c r="Q1452" s="75"/>
    </row>
    <row r="1453" spans="2:17" x14ac:dyDescent="0.3">
      <c r="B1453" s="31" t="s">
        <v>78</v>
      </c>
      <c r="C1453" s="37">
        <f>2.5/1000*100*C1436/2</f>
        <v>3.125</v>
      </c>
      <c r="D1453" s="16" t="s">
        <v>17</v>
      </c>
      <c r="E1453" s="75"/>
      <c r="F1453" s="75"/>
      <c r="G1453" s="75"/>
      <c r="H1453" s="75"/>
      <c r="J1453" s="75"/>
      <c r="K1453" s="75"/>
      <c r="L1453" s="75"/>
      <c r="M1453" s="75"/>
      <c r="N1453" s="75"/>
      <c r="O1453" s="15"/>
      <c r="P1453" s="75"/>
      <c r="Q1453" s="75"/>
    </row>
    <row r="1454" spans="2:17" x14ac:dyDescent="0.3">
      <c r="B1454" s="31" t="s">
        <v>114</v>
      </c>
      <c r="C1454" s="37">
        <f>C1452*100/C1449</f>
        <v>5.6099868814103448</v>
      </c>
      <c r="D1454" s="29" t="s">
        <v>32</v>
      </c>
      <c r="E1454" s="75"/>
      <c r="F1454" s="75"/>
      <c r="G1454" s="75"/>
      <c r="H1454" s="75"/>
      <c r="I1454" s="18" t="s">
        <v>77</v>
      </c>
      <c r="J1454" s="75"/>
      <c r="K1454" s="75"/>
      <c r="L1454" s="75"/>
      <c r="M1454" s="17" t="s">
        <v>67</v>
      </c>
      <c r="N1454" s="75"/>
      <c r="O1454" s="75"/>
      <c r="P1454" s="75"/>
      <c r="Q1454" s="75"/>
    </row>
    <row r="1455" spans="2:17" x14ac:dyDescent="0.3">
      <c r="B1455" s="75"/>
      <c r="C1455" s="75"/>
      <c r="D1455" s="75"/>
      <c r="E1455" s="75"/>
      <c r="F1455" s="75"/>
      <c r="G1455" s="75"/>
      <c r="H1455" s="75"/>
      <c r="I1455" s="19" t="s">
        <v>33</v>
      </c>
      <c r="J1455" s="16">
        <v>0.6</v>
      </c>
      <c r="K1455" s="16" t="s">
        <v>50</v>
      </c>
      <c r="L1455" s="75"/>
      <c r="M1455" s="19" t="s">
        <v>64</v>
      </c>
      <c r="N1455" s="30">
        <f>SQRT(C1431*0.0980665)*(1/0.0980665)/1000*J1457*0.17</f>
        <v>51.211241914522745</v>
      </c>
      <c r="O1455" s="16" t="s">
        <v>12</v>
      </c>
      <c r="P1455" s="75"/>
      <c r="Q1455" s="75"/>
    </row>
    <row r="1456" spans="2:17" x14ac:dyDescent="0.3">
      <c r="B1456" s="17" t="s">
        <v>37</v>
      </c>
      <c r="C1456" s="75"/>
      <c r="D1456" s="75"/>
      <c r="E1456" s="75"/>
      <c r="F1456" s="75"/>
      <c r="G1456" s="75"/>
      <c r="H1456" s="75"/>
      <c r="I1456" s="19" t="s">
        <v>46</v>
      </c>
      <c r="J1456" s="34">
        <f>J1444/J1455</f>
        <v>38.0563</v>
      </c>
      <c r="K1456" s="16" t="s">
        <v>12</v>
      </c>
      <c r="L1456" s="75"/>
      <c r="M1456" s="19" t="s">
        <v>57</v>
      </c>
      <c r="N1456" s="16">
        <f>IF(C1438/J1435&lt;=1.5,0.25,IF(C1438/J1435&gt;=2,0.17,0.17+(0.25-0.17)/(C1438/J1435-1.5)*C1438/J1435))</f>
        <v>0.25</v>
      </c>
      <c r="O1456" s="29" t="s">
        <v>50</v>
      </c>
      <c r="P1456" s="75"/>
      <c r="Q1456" s="75"/>
    </row>
    <row r="1457" spans="2:17" x14ac:dyDescent="0.3">
      <c r="B1457" s="31" t="s">
        <v>115</v>
      </c>
      <c r="C1457" s="37">
        <f>O1452</f>
        <v>89.817490956693987</v>
      </c>
      <c r="D1457" s="29" t="s">
        <v>12</v>
      </c>
      <c r="E1457" s="75"/>
      <c r="F1457" s="75"/>
      <c r="G1457" s="75"/>
      <c r="H1457" s="75"/>
      <c r="I1457" s="19" t="s">
        <v>36</v>
      </c>
      <c r="J1457" s="35">
        <f>J1435*C1436*0.8-J1465</f>
        <v>5393.5714311552301</v>
      </c>
      <c r="K1457" s="16" t="s">
        <v>17</v>
      </c>
      <c r="L1457" s="75"/>
      <c r="M1457" s="19" t="s">
        <v>59</v>
      </c>
      <c r="N1457" s="30">
        <f>SQRT(C1431*0.0980665)*(1/0.0980665)/1000*J1457*N1456</f>
        <v>75.31064987429815</v>
      </c>
      <c r="O1457" s="29" t="s">
        <v>12</v>
      </c>
      <c r="P1457" s="75"/>
      <c r="Q1457" s="75"/>
    </row>
    <row r="1458" spans="2:17" x14ac:dyDescent="0.3">
      <c r="B1458" s="31" t="s">
        <v>116</v>
      </c>
      <c r="C1458" s="37">
        <f>O1467</f>
        <v>140.95493106255552</v>
      </c>
      <c r="D1458" s="29" t="s">
        <v>12</v>
      </c>
      <c r="E1458" s="75"/>
      <c r="F1458" s="75"/>
      <c r="G1458" s="75"/>
      <c r="H1458" s="75"/>
      <c r="I1458" s="19" t="s">
        <v>60</v>
      </c>
      <c r="J1458" s="34">
        <f>MIN(N1457,N1455)</f>
        <v>51.211241914522745</v>
      </c>
      <c r="K1458" s="29" t="s">
        <v>12</v>
      </c>
      <c r="L1458" s="75"/>
      <c r="M1458" s="75"/>
      <c r="N1458" s="75"/>
      <c r="O1458" s="75"/>
      <c r="P1458" s="75"/>
      <c r="Q1458" s="75"/>
    </row>
    <row r="1459" spans="2:17" x14ac:dyDescent="0.3">
      <c r="B1459" s="19" t="s">
        <v>117</v>
      </c>
      <c r="C1459" s="36">
        <f>C1452*2*C1437/C1449/J1432</f>
        <v>4.4879895051282755E-3</v>
      </c>
      <c r="D1459" s="16" t="s">
        <v>50</v>
      </c>
      <c r="E1459" s="75"/>
      <c r="F1459" s="75"/>
      <c r="G1459" s="75"/>
      <c r="H1459" s="75"/>
      <c r="I1459" s="19" t="s">
        <v>39</v>
      </c>
      <c r="J1459" s="34">
        <f>J1456-J1458</f>
        <v>-13.154941914522745</v>
      </c>
      <c r="K1459" s="16" t="s">
        <v>12</v>
      </c>
      <c r="L1459" s="75"/>
      <c r="M1459" s="75"/>
      <c r="N1459" s="75"/>
      <c r="O1459" s="75"/>
      <c r="P1459" s="75"/>
      <c r="Q1459" s="75"/>
    </row>
    <row r="1460" spans="2:17" x14ac:dyDescent="0.3">
      <c r="B1460" s="75"/>
      <c r="C1460" s="75"/>
      <c r="D1460" s="75"/>
      <c r="E1460" s="75"/>
      <c r="F1460" s="75"/>
      <c r="G1460" s="75"/>
      <c r="H1460" s="75"/>
      <c r="I1460" s="19" t="s">
        <v>61</v>
      </c>
      <c r="J1460" s="37">
        <f>MAX(J1459/(C1432*J1435/1000/100)/2,C1453)</f>
        <v>3.125</v>
      </c>
      <c r="K1460" s="29" t="s">
        <v>32</v>
      </c>
      <c r="L1460" s="75"/>
      <c r="M1460" s="75"/>
      <c r="N1460" s="75"/>
      <c r="O1460" s="75"/>
      <c r="P1460" s="75"/>
      <c r="Q1460" s="75"/>
    </row>
    <row r="1461" spans="2:17" x14ac:dyDescent="0.3">
      <c r="B1461" s="75"/>
      <c r="C1461" s="75"/>
      <c r="D1461" s="75"/>
      <c r="E1461" s="75"/>
      <c r="F1461" s="75"/>
      <c r="G1461" s="75"/>
      <c r="H1461" s="75"/>
      <c r="I1461" s="19" t="s">
        <v>65</v>
      </c>
      <c r="J1461" s="36">
        <f>J1460/C1436/100*2</f>
        <v>2.5000000000000001E-3</v>
      </c>
      <c r="K1461" s="16" t="s">
        <v>50</v>
      </c>
      <c r="L1461" s="75"/>
      <c r="M1461" s="75"/>
      <c r="N1461" s="75"/>
      <c r="O1461" s="75"/>
      <c r="P1461" s="75"/>
      <c r="Q1461" s="75"/>
    </row>
    <row r="1462" spans="2:17" x14ac:dyDescent="0.3">
      <c r="B1462" s="75"/>
      <c r="C1462" s="75"/>
      <c r="D1462" s="75"/>
      <c r="E1462" s="75"/>
      <c r="F1462" s="75"/>
      <c r="G1462" s="75"/>
      <c r="H1462" s="75"/>
      <c r="I1462" s="19" t="s">
        <v>53</v>
      </c>
      <c r="J1462" s="16">
        <f>MAX(0.0025,0.0025*0.5*(2.5-C1436/(C1437*0.8))*(J1461-0.0025))</f>
        <v>2.5000000000000001E-3</v>
      </c>
      <c r="K1462" s="29" t="s">
        <v>50</v>
      </c>
      <c r="L1462" s="75"/>
      <c r="M1462" s="39" t="str">
        <f>IF(OR(J1461&gt;J1462,ABS(J1461-J1462)&lt;0.0001),"[OK]","[REDISEÑAR]")</f>
        <v>[OK]</v>
      </c>
      <c r="N1462" s="75"/>
      <c r="O1462" s="75"/>
      <c r="P1462" s="75"/>
      <c r="Q1462" s="75"/>
    </row>
    <row r="1463" spans="2:17" x14ac:dyDescent="0.3">
      <c r="B1463" s="75"/>
      <c r="C1463" s="75"/>
      <c r="D1463" s="75"/>
      <c r="E1463" s="75"/>
      <c r="F1463" s="75"/>
      <c r="G1463" s="75"/>
      <c r="H1463" s="75"/>
      <c r="I1463" s="19" t="s">
        <v>47</v>
      </c>
      <c r="J1463" s="34">
        <f>SQRT(C1431*0.0980665)*(1/0.0980665)/1000*0.66*0.8*C1437*C1436</f>
        <v>249.92723308409288</v>
      </c>
      <c r="K1463" s="16" t="s">
        <v>12</v>
      </c>
      <c r="L1463" s="75"/>
      <c r="M1463" s="40" t="s">
        <v>44</v>
      </c>
      <c r="N1463" s="75"/>
      <c r="O1463" s="15"/>
      <c r="P1463" s="75"/>
      <c r="Q1463" s="75"/>
    </row>
    <row r="1464" spans="2:17" x14ac:dyDescent="0.3">
      <c r="B1464" s="75"/>
      <c r="C1464" s="75"/>
      <c r="D1464" s="75"/>
      <c r="E1464" s="75"/>
      <c r="F1464" s="75"/>
      <c r="G1464" s="75"/>
      <c r="H1464" s="75"/>
      <c r="I1464" s="63" t="s">
        <v>34</v>
      </c>
      <c r="J1464" s="63">
        <f>ROUNDDOWN(1/J1460*C1452*100,0)</f>
        <v>25</v>
      </c>
      <c r="K1464" s="64" t="s">
        <v>5</v>
      </c>
      <c r="L1464" s="75"/>
      <c r="M1464" s="39" t="str">
        <f>IF(OR(J1464&lt;10,J1464&gt;25),"[REDISEÑAR]","[OK")</f>
        <v>[OK</v>
      </c>
      <c r="N1464" s="41" t="s">
        <v>80</v>
      </c>
      <c r="O1464" s="42">
        <f>1/J1460*(C1448/2)^2*PI()</f>
        <v>25.132741228718345</v>
      </c>
      <c r="P1464" s="75" t="str">
        <f>"$\phi$"&amp;C1448&amp;"@"&amp;J1464</f>
        <v>$\phi$10@25</v>
      </c>
      <c r="Q1464" s="75"/>
    </row>
    <row r="1465" spans="2:17" x14ac:dyDescent="0.3">
      <c r="B1465" s="75"/>
      <c r="C1465" s="75"/>
      <c r="D1465" s="75"/>
      <c r="E1465" s="75"/>
      <c r="F1465" s="75"/>
      <c r="G1465" s="75"/>
      <c r="H1465" s="75"/>
      <c r="I1465" s="31" t="s">
        <v>48</v>
      </c>
      <c r="J1465" s="30">
        <f>C1452*2*IF(J1435/C1449&gt;=1,J1435/C1449,0)</f>
        <v>30.428568844769707</v>
      </c>
      <c r="K1465" s="29" t="s">
        <v>17</v>
      </c>
      <c r="L1465" s="75"/>
      <c r="M1465" s="75"/>
      <c r="N1465" s="15"/>
      <c r="O1465" s="15"/>
      <c r="P1465" s="75"/>
      <c r="Q1465" s="75"/>
    </row>
    <row r="1466" spans="2:17" x14ac:dyDescent="0.3">
      <c r="B1466" s="75"/>
      <c r="C1466" s="75"/>
      <c r="D1466" s="75"/>
      <c r="E1466" s="75"/>
      <c r="F1466" s="75"/>
      <c r="G1466" s="75"/>
      <c r="H1466" s="75"/>
      <c r="I1466" s="19" t="s">
        <v>81</v>
      </c>
      <c r="J1466" s="34">
        <f>MIN(J1465*C1432/1000,J1463)</f>
        <v>127.79998914803276</v>
      </c>
      <c r="K1466" s="16" t="s">
        <v>12</v>
      </c>
      <c r="L1466" s="75"/>
      <c r="M1466" s="40" t="s">
        <v>82</v>
      </c>
      <c r="N1466" s="15"/>
      <c r="O1466" s="15"/>
      <c r="P1466" s="75"/>
      <c r="Q1466" s="75"/>
    </row>
    <row r="1467" spans="2:17" x14ac:dyDescent="0.3">
      <c r="B1467" s="75"/>
      <c r="C1467" s="75"/>
      <c r="D1467" s="75"/>
      <c r="E1467" s="75"/>
      <c r="F1467" s="75"/>
      <c r="G1467" s="75"/>
      <c r="H1467" s="75"/>
      <c r="I1467" s="19" t="s">
        <v>79</v>
      </c>
      <c r="J1467" s="34">
        <f>J1466+J1458</f>
        <v>179.01123106255551</v>
      </c>
      <c r="K1467" s="16" t="s">
        <v>12</v>
      </c>
      <c r="L1467" s="75"/>
      <c r="M1467" s="39" t="str">
        <f>IF(J1467&gt;J1456,"[OK]","[REDISEÑAR]")</f>
        <v>[OK]</v>
      </c>
      <c r="N1467" s="41" t="str">
        <f>IF(O1467&gt;0,"Sobrado","Faltan")</f>
        <v>Sobrado</v>
      </c>
      <c r="O1467" s="43">
        <f>J1467-J1456</f>
        <v>140.95493106255552</v>
      </c>
      <c r="P1467" s="75"/>
      <c r="Q1467" s="75"/>
    </row>
    <row r="1468" spans="2:17" x14ac:dyDescent="0.3">
      <c r="B1468" s="75"/>
      <c r="C1468" s="75"/>
      <c r="D1468" s="75"/>
      <c r="E1468" s="75"/>
      <c r="F1468" s="75"/>
      <c r="G1468" s="75"/>
      <c r="H1468" s="75"/>
      <c r="J1468" s="75"/>
      <c r="K1468" s="75"/>
      <c r="L1468" s="75"/>
      <c r="M1468" s="75"/>
      <c r="N1468" s="75"/>
      <c r="O1468" s="75"/>
      <c r="P1468" s="75"/>
      <c r="Q1468" s="75"/>
    </row>
    <row r="1469" spans="2:17" x14ac:dyDescent="0.3">
      <c r="B1469" s="75"/>
      <c r="C1469" s="75"/>
      <c r="D1469" s="75"/>
      <c r="E1469" s="75"/>
      <c r="F1469" s="75"/>
      <c r="G1469" s="75"/>
      <c r="H1469" s="75"/>
      <c r="I1469" s="18" t="s">
        <v>45</v>
      </c>
      <c r="J1469" s="75"/>
      <c r="K1469" s="75"/>
      <c r="L1469" s="75"/>
      <c r="M1469" s="75"/>
      <c r="N1469" s="75"/>
      <c r="O1469" s="15"/>
      <c r="P1469" s="75"/>
      <c r="Q1469" s="75"/>
    </row>
    <row r="1470" spans="2:17" x14ac:dyDescent="0.3">
      <c r="B1470" s="75"/>
      <c r="C1470" s="75"/>
      <c r="D1470" s="75"/>
      <c r="E1470" s="75"/>
      <c r="F1470" s="75"/>
      <c r="G1470" s="75"/>
      <c r="H1470" s="75"/>
      <c r="I1470" s="19" t="s">
        <v>40</v>
      </c>
      <c r="J1470" s="16">
        <f>J1444</f>
        <v>22.833780000000001</v>
      </c>
      <c r="K1470" s="16" t="s">
        <v>12</v>
      </c>
      <c r="L1470" s="75"/>
      <c r="M1470" s="75"/>
      <c r="N1470" s="75"/>
      <c r="O1470" s="26"/>
      <c r="P1470" s="75"/>
      <c r="Q1470" s="75"/>
    </row>
    <row r="1471" spans="2:17" x14ac:dyDescent="0.3">
      <c r="B1471" s="75"/>
      <c r="C1471" s="75"/>
      <c r="D1471" s="75"/>
      <c r="E1471" s="75"/>
      <c r="F1471" s="75"/>
      <c r="G1471" s="75"/>
      <c r="H1471" s="75"/>
      <c r="I1471" s="19" t="s">
        <v>46</v>
      </c>
      <c r="J1471" s="34">
        <f>J1456</f>
        <v>38.0563</v>
      </c>
      <c r="K1471" s="16" t="s">
        <v>12</v>
      </c>
      <c r="L1471" s="75"/>
      <c r="M1471" s="75"/>
      <c r="N1471" s="75"/>
      <c r="O1471" s="75"/>
      <c r="P1471" s="75"/>
      <c r="Q1471" s="75"/>
    </row>
    <row r="1472" spans="2:17" x14ac:dyDescent="0.3">
      <c r="B1472" s="75"/>
      <c r="C1472" s="75"/>
      <c r="D1472" s="75"/>
      <c r="E1472" s="75"/>
      <c r="F1472" s="75"/>
      <c r="G1472" s="75"/>
      <c r="H1472" s="75"/>
      <c r="I1472" s="19" t="s">
        <v>38</v>
      </c>
      <c r="J1472" s="34">
        <f>2/3*J1457*SQRT(C1431*0.0980665)*(1/0.0980665)/1000</f>
        <v>200.82839966479511</v>
      </c>
      <c r="K1472" s="16" t="s">
        <v>12</v>
      </c>
      <c r="L1472" s="75"/>
      <c r="M1472" s="39" t="str">
        <f>IF(J1472&gt;J1471,"[OK]","[REDISEÑAR]")</f>
        <v>[OK]</v>
      </c>
      <c r="N1472" s="41" t="str">
        <f>IF(O1472&gt;0,"Sobrado","Faltan")</f>
        <v>Sobrado</v>
      </c>
      <c r="O1472" s="43">
        <f>J1472-J1471</f>
        <v>162.77209966479512</v>
      </c>
      <c r="P1472" s="75"/>
      <c r="Q1472" s="75"/>
    </row>
    <row r="1474" spans="2:17" ht="18" x14ac:dyDescent="0.35">
      <c r="B1474" s="48" t="str">
        <f>'EJE 15'!$S$29</f>
        <v>EJE 15.G-L | PIER F33X | PISO 12</v>
      </c>
      <c r="C1474" s="75"/>
      <c r="D1474" s="75"/>
      <c r="E1474" s="75"/>
      <c r="F1474" s="75"/>
      <c r="G1474" s="75"/>
      <c r="H1474" s="75"/>
      <c r="J1474" s="75"/>
      <c r="K1474" s="75"/>
      <c r="L1474" s="75"/>
      <c r="M1474" s="75"/>
      <c r="N1474" s="75"/>
      <c r="O1474" s="75"/>
      <c r="P1474" s="75"/>
      <c r="Q1474" s="75"/>
    </row>
    <row r="1475" spans="2:17" x14ac:dyDescent="0.3">
      <c r="B1475" s="75"/>
      <c r="C1475" s="75"/>
      <c r="D1475" s="75"/>
      <c r="E1475" s="75"/>
      <c r="F1475" s="75"/>
      <c r="G1475" s="75"/>
      <c r="H1475" s="75"/>
      <c r="J1475" s="75"/>
      <c r="K1475" s="75"/>
      <c r="L1475" s="75"/>
      <c r="M1475" s="75"/>
      <c r="N1475" s="75"/>
      <c r="O1475" s="75"/>
      <c r="P1475" s="75"/>
      <c r="Q1475" s="75"/>
    </row>
    <row r="1476" spans="2:17" x14ac:dyDescent="0.3">
      <c r="B1476" s="17" t="s">
        <v>6</v>
      </c>
      <c r="C1476" s="75"/>
      <c r="D1476" s="75"/>
      <c r="E1476" s="75"/>
      <c r="F1476" s="75"/>
      <c r="G1476" s="75"/>
      <c r="H1476" s="75"/>
      <c r="I1476" s="18" t="s">
        <v>25</v>
      </c>
      <c r="J1476" s="75"/>
      <c r="K1476" s="75"/>
      <c r="L1476" s="75"/>
      <c r="M1476" s="75"/>
      <c r="N1476" s="75"/>
      <c r="O1476" s="75"/>
      <c r="P1476" s="75"/>
      <c r="Q1476" s="75"/>
    </row>
    <row r="1477" spans="2:17" x14ac:dyDescent="0.3">
      <c r="B1477" s="19" t="s">
        <v>99</v>
      </c>
      <c r="C1477" s="61">
        <f>10.1971621297793*'EJE 15'!$G$29</f>
        <v>305.91486389337899</v>
      </c>
      <c r="D1477" s="16" t="s">
        <v>8</v>
      </c>
      <c r="E1477" s="75"/>
      <c r="F1477" s="75"/>
      <c r="G1477" s="75"/>
      <c r="H1477" s="75"/>
      <c r="I1477" s="19" t="s">
        <v>58</v>
      </c>
      <c r="J1477" s="16">
        <f>C1484/16</f>
        <v>14.375</v>
      </c>
      <c r="K1477" s="16" t="s">
        <v>5</v>
      </c>
      <c r="L1477" s="21"/>
      <c r="M1477" s="39" t="str">
        <f>IF(J1477&lt;C1482,"[OK]","[REDISEÑAR]")</f>
        <v>[OK]</v>
      </c>
      <c r="N1477" s="75"/>
      <c r="O1477" s="75"/>
      <c r="P1477" s="75"/>
      <c r="Q1477" s="75"/>
    </row>
    <row r="1478" spans="2:17" x14ac:dyDescent="0.3">
      <c r="B1478" s="19" t="s">
        <v>30</v>
      </c>
      <c r="C1478" s="16">
        <v>4200</v>
      </c>
      <c r="D1478" s="16" t="s">
        <v>8</v>
      </c>
      <c r="E1478" s="75"/>
      <c r="F1478" s="75"/>
      <c r="G1478" s="75"/>
      <c r="H1478" s="75"/>
      <c r="I1478" s="19" t="s">
        <v>16</v>
      </c>
      <c r="J1478" s="16">
        <f>C1482*C1483</f>
        <v>8475</v>
      </c>
      <c r="K1478" s="16" t="s">
        <v>17</v>
      </c>
      <c r="L1478" s="21"/>
      <c r="M1478" s="75"/>
      <c r="N1478" s="75"/>
      <c r="O1478" s="75"/>
      <c r="P1478" s="75"/>
      <c r="Q1478" s="75"/>
    </row>
    <row r="1479" spans="2:17" x14ac:dyDescent="0.3">
      <c r="B1479" s="19" t="s">
        <v>31</v>
      </c>
      <c r="C1479" s="16">
        <v>2800</v>
      </c>
      <c r="D1479" s="16" t="s">
        <v>8</v>
      </c>
      <c r="E1479" s="75"/>
      <c r="F1479" s="75"/>
      <c r="G1479" s="75"/>
      <c r="H1479" s="75"/>
      <c r="I1479" s="19" t="s">
        <v>51</v>
      </c>
      <c r="J1479" s="16">
        <f>MIN(0.8*C1483/5,3*C1482,45)</f>
        <v>45</v>
      </c>
      <c r="K1479" s="16" t="s">
        <v>5</v>
      </c>
      <c r="L1479" s="21"/>
      <c r="M1479" s="39" t="str">
        <f>IF(J1479&gt;C1495,"[OK]","[REDISEÑAR]")</f>
        <v>[OK]</v>
      </c>
      <c r="N1479" s="75"/>
      <c r="O1479" s="75"/>
      <c r="P1479" s="75"/>
      <c r="Q1479" s="75"/>
    </row>
    <row r="1480" spans="2:17" x14ac:dyDescent="0.3">
      <c r="B1480" s="75"/>
      <c r="C1480" s="75"/>
      <c r="D1480" s="75"/>
      <c r="E1480" s="75"/>
      <c r="F1480" s="75"/>
      <c r="G1480" s="75"/>
      <c r="H1480" s="75"/>
      <c r="I1480" s="19" t="s">
        <v>56</v>
      </c>
      <c r="J1480" s="16">
        <f>MIN(0.8*C1484/3,3*C1483,45)</f>
        <v>45</v>
      </c>
      <c r="K1480" s="16" t="s">
        <v>5</v>
      </c>
      <c r="L1480" s="21"/>
      <c r="M1480" s="39" t="str">
        <f>IF(J1480&gt;C1495,"[OK]","[REDISEÑAR]")</f>
        <v>[OK]</v>
      </c>
      <c r="N1480" s="75"/>
      <c r="O1480" s="75"/>
      <c r="P1480" s="75"/>
      <c r="Q1480" s="75"/>
    </row>
    <row r="1481" spans="2:17" x14ac:dyDescent="0.3">
      <c r="B1481" s="17" t="s">
        <v>3</v>
      </c>
      <c r="C1481" s="75"/>
      <c r="D1481" s="75"/>
      <c r="E1481" s="75"/>
      <c r="F1481" s="75"/>
      <c r="G1481" s="75"/>
      <c r="H1481" s="75"/>
      <c r="I1481" s="19" t="s">
        <v>62</v>
      </c>
      <c r="J1481" s="16">
        <f>0.8*C1483</f>
        <v>271.2</v>
      </c>
      <c r="K1481" s="29" t="s">
        <v>5</v>
      </c>
      <c r="L1481" s="75"/>
      <c r="M1481" s="75"/>
      <c r="N1481" s="75"/>
      <c r="O1481" s="75"/>
      <c r="P1481" s="75"/>
      <c r="Q1481" s="75"/>
    </row>
    <row r="1482" spans="2:17" x14ac:dyDescent="0.3">
      <c r="B1482" s="19" t="str">
        <f>"Espesor del muro (h)"</f>
        <v>Espesor del muro (h)</v>
      </c>
      <c r="C1482" s="49">
        <f>'EJE 15'!$H$29</f>
        <v>25</v>
      </c>
      <c r="D1482" s="16" t="s">
        <v>5</v>
      </c>
      <c r="E1482" s="75"/>
      <c r="F1482" s="75"/>
      <c r="G1482" s="75"/>
      <c r="H1482" s="75"/>
      <c r="J1482" s="75"/>
      <c r="K1482" s="75"/>
      <c r="L1482" s="75"/>
      <c r="M1482" s="75"/>
      <c r="N1482" s="75"/>
      <c r="O1482" s="75"/>
      <c r="P1482" s="75"/>
      <c r="Q1482" s="75"/>
    </row>
    <row r="1483" spans="2:17" x14ac:dyDescent="0.3">
      <c r="B1483" s="19" t="s">
        <v>63</v>
      </c>
      <c r="C1483" s="49">
        <f>'EJE 15'!$I$29</f>
        <v>339</v>
      </c>
      <c r="D1483" s="16" t="s">
        <v>5</v>
      </c>
      <c r="E1483" s="75"/>
      <c r="F1483" s="75"/>
      <c r="G1483" s="75"/>
      <c r="H1483" s="75"/>
      <c r="I1483" s="18" t="s">
        <v>26</v>
      </c>
      <c r="J1483" s="75"/>
      <c r="K1483" s="75"/>
      <c r="L1483" s="75"/>
      <c r="M1483" s="75"/>
      <c r="N1483" s="75"/>
      <c r="O1483" s="75"/>
      <c r="P1483" s="75"/>
      <c r="Q1483" s="75"/>
    </row>
    <row r="1484" spans="2:17" x14ac:dyDescent="0.3">
      <c r="B1484" s="19" t="s">
        <v>10</v>
      </c>
      <c r="C1484" s="49">
        <f>'EJE 15'!$J$29</f>
        <v>230</v>
      </c>
      <c r="D1484" s="16" t="s">
        <v>5</v>
      </c>
      <c r="E1484" s="75"/>
      <c r="F1484" s="75"/>
      <c r="G1484" s="75"/>
      <c r="H1484" s="75"/>
      <c r="I1484" s="19" t="s">
        <v>28</v>
      </c>
      <c r="J1484" s="16">
        <f>0.35*C1477</f>
        <v>107.07020236268264</v>
      </c>
      <c r="K1484" s="16" t="s">
        <v>8</v>
      </c>
      <c r="L1484" s="21"/>
      <c r="M1484" s="75"/>
      <c r="N1484" s="75"/>
      <c r="O1484" s="75"/>
      <c r="P1484" s="75"/>
      <c r="Q1484" s="75"/>
    </row>
    <row r="1485" spans="2:17" x14ac:dyDescent="0.3">
      <c r="B1485" s="75"/>
      <c r="C1485" s="75"/>
      <c r="D1485" s="75"/>
      <c r="E1485" s="75"/>
      <c r="F1485" s="75"/>
      <c r="G1485" s="75"/>
      <c r="H1485" s="75"/>
      <c r="I1485" s="19" t="s">
        <v>27</v>
      </c>
      <c r="J1485" s="30">
        <f>C1487*1000/J1478</f>
        <v>15.96075516224189</v>
      </c>
      <c r="K1485" s="16" t="s">
        <v>8</v>
      </c>
      <c r="L1485" s="21"/>
      <c r="M1485" s="39" t="str">
        <f>IF(J1485&lt;J1484,"[OK]","[REDISEÑAR]")</f>
        <v>[OK]</v>
      </c>
      <c r="N1485" s="41" t="s">
        <v>112</v>
      </c>
      <c r="O1485" s="59">
        <f>J1485/J1484</f>
        <v>0.14906813296361826</v>
      </c>
      <c r="P1485" s="75"/>
      <c r="Q1485" s="75"/>
    </row>
    <row r="1486" spans="2:17" x14ac:dyDescent="0.3">
      <c r="B1486" s="17" t="s">
        <v>11</v>
      </c>
      <c r="C1486" s="75"/>
      <c r="D1486" s="75"/>
      <c r="E1486" s="75"/>
      <c r="F1486" s="75"/>
      <c r="G1486" s="75"/>
      <c r="H1486" s="75"/>
      <c r="J1486" s="75"/>
      <c r="K1486" s="75"/>
      <c r="L1486" s="75"/>
      <c r="M1486" s="75"/>
      <c r="N1486" s="75"/>
      <c r="O1486" s="75"/>
      <c r="P1486" s="75"/>
      <c r="Q1486" s="75"/>
    </row>
    <row r="1487" spans="2:17" x14ac:dyDescent="0.3">
      <c r="B1487" s="19" t="str">
        <f>"$N_U$"</f>
        <v>$N_U$</v>
      </c>
      <c r="C1487" s="60">
        <f>'EJE 15'!$K$29</f>
        <v>135.26740000000001</v>
      </c>
      <c r="D1487" s="16" t="s">
        <v>12</v>
      </c>
      <c r="E1487" s="75"/>
      <c r="F1487" s="75"/>
      <c r="G1487" s="75"/>
      <c r="H1487" s="75"/>
      <c r="I1487" s="18" t="s">
        <v>54</v>
      </c>
      <c r="J1487" s="75"/>
      <c r="K1487" s="75"/>
      <c r="L1487" s="75"/>
      <c r="M1487" s="75"/>
      <c r="N1487" s="75"/>
      <c r="O1487" s="75"/>
      <c r="P1487" s="75"/>
      <c r="Q1487" s="75"/>
    </row>
    <row r="1488" spans="2:17" x14ac:dyDescent="0.3">
      <c r="B1488" s="19" t="s">
        <v>14</v>
      </c>
      <c r="C1488" s="60">
        <f>'EJE 15'!$L$29</f>
        <v>2.5070000000000001</v>
      </c>
      <c r="D1488" s="16" t="s">
        <v>12</v>
      </c>
      <c r="E1488" s="75"/>
      <c r="F1488" s="75"/>
      <c r="G1488" s="75"/>
      <c r="H1488" s="75"/>
      <c r="I1488" s="19" t="s">
        <v>72</v>
      </c>
      <c r="J1488" s="16">
        <f>1.2*C1488+C1489+1.4*C1490</f>
        <v>22.833780000000001</v>
      </c>
      <c r="K1488" s="16" t="s">
        <v>12</v>
      </c>
      <c r="L1488" s="75"/>
      <c r="M1488" s="75" t="s">
        <v>68</v>
      </c>
      <c r="N1488" s="75"/>
      <c r="O1488" s="75"/>
      <c r="P1488" s="75"/>
      <c r="Q1488" s="75"/>
    </row>
    <row r="1489" spans="2:17" x14ac:dyDescent="0.3">
      <c r="B1489" s="19" t="s">
        <v>13</v>
      </c>
      <c r="C1489" s="60">
        <f>'EJE 15'!$M$29</f>
        <v>5.0799999999999998E-2</v>
      </c>
      <c r="D1489" s="16" t="s">
        <v>12</v>
      </c>
      <c r="E1489" s="75"/>
      <c r="F1489" s="75"/>
      <c r="G1489" s="75"/>
      <c r="H1489" s="75"/>
      <c r="I1489" s="19" t="s">
        <v>69</v>
      </c>
      <c r="J1489" s="16">
        <f>SUM(C1488:C1490)</f>
        <v>16.682500000000001</v>
      </c>
      <c r="K1489" s="16" t="s">
        <v>12</v>
      </c>
      <c r="L1489" s="75"/>
      <c r="M1489" s="75" t="s">
        <v>70</v>
      </c>
      <c r="N1489" s="75"/>
      <c r="O1489" s="75"/>
      <c r="P1489" s="75"/>
      <c r="Q1489" s="75"/>
    </row>
    <row r="1490" spans="2:17" x14ac:dyDescent="0.3">
      <c r="B1490" s="19" t="s">
        <v>15</v>
      </c>
      <c r="C1490" s="60">
        <f>'EJE 15'!$N$29</f>
        <v>14.124700000000001</v>
      </c>
      <c r="D1490" s="16" t="s">
        <v>12</v>
      </c>
      <c r="E1490" s="75"/>
      <c r="F1490" s="75"/>
      <c r="G1490" s="75"/>
      <c r="H1490" s="75"/>
      <c r="I1490" s="19" t="s">
        <v>73</v>
      </c>
      <c r="J1490" s="16">
        <f>IF(C1491=0,J1488,C1491)</f>
        <v>22.833780000000001</v>
      </c>
      <c r="K1490" s="16" t="s">
        <v>12</v>
      </c>
      <c r="L1490" s="75"/>
      <c r="M1490" s="40" t="s">
        <v>74</v>
      </c>
      <c r="N1490" s="75"/>
      <c r="O1490" s="75"/>
      <c r="P1490" s="75"/>
      <c r="Q1490" s="75"/>
    </row>
    <row r="1491" spans="2:17" x14ac:dyDescent="0.3">
      <c r="B1491" s="19" t="s">
        <v>55</v>
      </c>
      <c r="C1491" s="16">
        <v>0</v>
      </c>
      <c r="D1491" s="16" t="s">
        <v>12</v>
      </c>
      <c r="E1491" s="75"/>
      <c r="F1491" s="75"/>
      <c r="G1491" s="75"/>
      <c r="H1491" s="75"/>
      <c r="I1491" s="19" t="s">
        <v>71</v>
      </c>
      <c r="J1491" s="16">
        <f>IF(C1491=0,J1489,C1491)</f>
        <v>16.682500000000001</v>
      </c>
      <c r="K1491" s="16" t="s">
        <v>12</v>
      </c>
      <c r="L1491" s="75"/>
      <c r="M1491" s="40" t="s">
        <v>75</v>
      </c>
      <c r="N1491" s="75"/>
      <c r="O1491" s="75"/>
      <c r="P1491" s="75"/>
      <c r="Q1491" s="75"/>
    </row>
    <row r="1492" spans="2:17" x14ac:dyDescent="0.3">
      <c r="B1492" s="75"/>
      <c r="C1492" s="75"/>
      <c r="D1492" s="75"/>
      <c r="E1492" s="75"/>
      <c r="F1492" s="75"/>
      <c r="G1492" s="75"/>
      <c r="H1492" s="75"/>
      <c r="J1492" s="75"/>
      <c r="K1492" s="75"/>
      <c r="L1492" s="75"/>
      <c r="M1492" s="75"/>
      <c r="N1492" s="75"/>
      <c r="O1492" s="75"/>
      <c r="P1492" s="75"/>
      <c r="Q1492" s="75"/>
    </row>
    <row r="1493" spans="2:17" x14ac:dyDescent="0.3">
      <c r="B1493" s="33" t="s">
        <v>42</v>
      </c>
      <c r="C1493" s="75"/>
      <c r="D1493" s="75"/>
      <c r="E1493" s="75"/>
      <c r="F1493" s="75"/>
      <c r="G1493" s="75"/>
      <c r="H1493" s="75"/>
      <c r="I1493" s="27" t="s">
        <v>76</v>
      </c>
      <c r="J1493" s="75"/>
      <c r="K1493" s="75"/>
      <c r="L1493" s="75"/>
      <c r="M1493" s="75"/>
      <c r="N1493" s="75"/>
      <c r="O1493" s="75"/>
      <c r="P1493" s="75"/>
      <c r="Q1493" s="75"/>
    </row>
    <row r="1494" spans="2:17" x14ac:dyDescent="0.3">
      <c r="B1494" s="31" t="s">
        <v>41</v>
      </c>
      <c r="C1494" s="16">
        <v>10</v>
      </c>
      <c r="D1494" s="29" t="s">
        <v>35</v>
      </c>
      <c r="E1494" s="75"/>
      <c r="F1494" s="75"/>
      <c r="G1494" s="75"/>
      <c r="H1494" s="75"/>
      <c r="I1494" s="19" t="s">
        <v>29</v>
      </c>
      <c r="J1494" s="30">
        <f>J1491*1000/J1478</f>
        <v>1.9684365781710915</v>
      </c>
      <c r="K1494" s="29" t="s">
        <v>8</v>
      </c>
      <c r="L1494" s="75"/>
      <c r="M1494" s="75"/>
      <c r="N1494" s="75"/>
      <c r="O1494" s="75"/>
      <c r="P1494" s="75"/>
      <c r="Q1494" s="75"/>
    </row>
    <row r="1495" spans="2:17" x14ac:dyDescent="0.3">
      <c r="B1495" s="31" t="s">
        <v>43</v>
      </c>
      <c r="C1495" s="16">
        <v>14</v>
      </c>
      <c r="D1495" s="29" t="s">
        <v>5</v>
      </c>
      <c r="E1495" s="75"/>
      <c r="F1495" s="39" t="str">
        <f>IF(OR(C1495&gt;25,C1495&lt;10),"[REDISEÑAR]",IF(AND(C1495&lt;=J1496,C1495&lt;=J1510),"[OK]","[REDISEÑAR]"))</f>
        <v>[OK]</v>
      </c>
      <c r="G1495" s="75"/>
      <c r="H1495" s="75"/>
      <c r="I1495" s="19" t="s">
        <v>61</v>
      </c>
      <c r="J1495" s="37">
        <f>MAX(J1494*100*C1482/(2*C1479),C1499)</f>
        <v>3.125</v>
      </c>
      <c r="K1495" s="29" t="s">
        <v>32</v>
      </c>
      <c r="L1495" s="75"/>
      <c r="M1495" s="15"/>
      <c r="N1495" s="15"/>
      <c r="O1495" s="15"/>
      <c r="P1495" s="75"/>
      <c r="Q1495" s="75"/>
    </row>
    <row r="1496" spans="2:17" x14ac:dyDescent="0.3">
      <c r="B1496" s="75"/>
      <c r="C1496" s="50" t="str">
        <f>"$\phi$"&amp;C1494&amp;"@"&amp;C1495</f>
        <v>$\phi$10@14</v>
      </c>
      <c r="D1496" s="75"/>
      <c r="E1496" s="75"/>
      <c r="F1496" s="39" t="str">
        <f>IF(OR(J1495=C1499,J1506=C1499),"[ÁREA MINIMA]","[]")</f>
        <v>[ÁREA MINIMA]</v>
      </c>
      <c r="G1496" s="75"/>
      <c r="H1496" s="75"/>
      <c r="I1496" s="63" t="s">
        <v>34</v>
      </c>
      <c r="J1496" s="63">
        <f>ROUNDDOWN((1/J1495)*C1498*100,0)</f>
        <v>25</v>
      </c>
      <c r="K1496" s="64" t="s">
        <v>5</v>
      </c>
      <c r="L1496" s="75"/>
      <c r="M1496" s="39" t="str">
        <f>IF(OR(J1496&lt;10,J1496&gt;25),"[REDISEÑAR]","[OK")</f>
        <v>[OK</v>
      </c>
      <c r="N1496" s="41" t="s">
        <v>80</v>
      </c>
      <c r="O1496" s="42">
        <f>1/J1495*(C1494/2)^2*PI()</f>
        <v>25.132741228718345</v>
      </c>
      <c r="P1496" s="75" t="str">
        <f>"$\phi$"&amp;C1494&amp;"@"&amp;J1496</f>
        <v>$\phi$10@25</v>
      </c>
      <c r="Q1496" s="75"/>
    </row>
    <row r="1497" spans="2:17" x14ac:dyDescent="0.3">
      <c r="B1497" s="18" t="s">
        <v>52</v>
      </c>
      <c r="C1497" s="75"/>
      <c r="D1497" s="75"/>
      <c r="E1497" s="75"/>
      <c r="F1497" s="62" t="str">
        <f>IF(J1485&lt;J1484,IF(J1513&gt;J1502,"[OK]","[REDISEÑAR]"),"[REDISEÑAR]")</f>
        <v>[OK]</v>
      </c>
      <c r="G1497" s="75"/>
      <c r="H1497" s="75"/>
      <c r="I1497" s="31" t="s">
        <v>48</v>
      </c>
      <c r="J1497" s="30">
        <f>C1498*2*IF(C1483/C1495&gt;=1,C1483/C1495,0)</f>
        <v>38.035711055962139</v>
      </c>
      <c r="K1497" s="29" t="s">
        <v>17</v>
      </c>
      <c r="L1497" s="75"/>
      <c r="M1497" s="75"/>
      <c r="N1497" s="15"/>
      <c r="O1497" s="44"/>
      <c r="P1497" s="75"/>
      <c r="Q1497" s="75"/>
    </row>
    <row r="1498" spans="2:17" x14ac:dyDescent="0.3">
      <c r="B1498" s="31" t="s">
        <v>66</v>
      </c>
      <c r="C1498" s="30">
        <f>(C1494/(2*10))^2*PI()</f>
        <v>0.78539816339744828</v>
      </c>
      <c r="D1498" s="29" t="s">
        <v>17</v>
      </c>
      <c r="E1498" s="75"/>
      <c r="F1498" s="75"/>
      <c r="G1498" s="75"/>
      <c r="H1498" s="75"/>
      <c r="I1498" s="19" t="s">
        <v>49</v>
      </c>
      <c r="J1498" s="34">
        <f>C1479*J1497/1000</f>
        <v>106.49999095669399</v>
      </c>
      <c r="K1498" s="16" t="s">
        <v>12</v>
      </c>
      <c r="L1498" s="75"/>
      <c r="M1498" s="39" t="str">
        <f>IF(J1498&gt;J1491,"[OK]","[REDISEÑAR]")</f>
        <v>[OK]</v>
      </c>
      <c r="N1498" s="41" t="str">
        <f>IF(O1498&gt;0,"Sobrado","Faltan")</f>
        <v>Sobrado</v>
      </c>
      <c r="O1498" s="43">
        <f>J1498-J1491</f>
        <v>89.817490956693987</v>
      </c>
      <c r="P1498" s="75"/>
      <c r="Q1498" s="75"/>
    </row>
    <row r="1499" spans="2:17" x14ac:dyDescent="0.3">
      <c r="B1499" s="31" t="s">
        <v>78</v>
      </c>
      <c r="C1499" s="37">
        <f>2.5/1000*100*C1482/2</f>
        <v>3.125</v>
      </c>
      <c r="D1499" s="16" t="s">
        <v>17</v>
      </c>
      <c r="E1499" s="75"/>
      <c r="F1499" s="75"/>
      <c r="G1499" s="75"/>
      <c r="H1499" s="75"/>
      <c r="J1499" s="75"/>
      <c r="K1499" s="75"/>
      <c r="L1499" s="75"/>
      <c r="M1499" s="75"/>
      <c r="N1499" s="75"/>
      <c r="O1499" s="15"/>
      <c r="P1499" s="75"/>
      <c r="Q1499" s="75"/>
    </row>
    <row r="1500" spans="2:17" x14ac:dyDescent="0.3">
      <c r="B1500" s="31" t="s">
        <v>114</v>
      </c>
      <c r="C1500" s="37">
        <f>C1498*100/C1495</f>
        <v>5.6099868814103448</v>
      </c>
      <c r="D1500" s="29" t="s">
        <v>32</v>
      </c>
      <c r="E1500" s="75"/>
      <c r="F1500" s="75"/>
      <c r="G1500" s="75"/>
      <c r="H1500" s="75"/>
      <c r="I1500" s="18" t="s">
        <v>77</v>
      </c>
      <c r="J1500" s="75"/>
      <c r="K1500" s="75"/>
      <c r="L1500" s="75"/>
      <c r="M1500" s="17" t="s">
        <v>67</v>
      </c>
      <c r="N1500" s="75"/>
      <c r="O1500" s="75"/>
      <c r="P1500" s="75"/>
      <c r="Q1500" s="75"/>
    </row>
    <row r="1501" spans="2:17" x14ac:dyDescent="0.3">
      <c r="B1501" s="75"/>
      <c r="C1501" s="75"/>
      <c r="D1501" s="75"/>
      <c r="E1501" s="75"/>
      <c r="F1501" s="75"/>
      <c r="G1501" s="75"/>
      <c r="H1501" s="75"/>
      <c r="I1501" s="19" t="s">
        <v>33</v>
      </c>
      <c r="J1501" s="16">
        <v>0.6</v>
      </c>
      <c r="K1501" s="16" t="s">
        <v>50</v>
      </c>
      <c r="L1501" s="75"/>
      <c r="M1501" s="19" t="s">
        <v>64</v>
      </c>
      <c r="N1501" s="30">
        <f>SQRT(C1477*0.0980665)*(1/0.0980665)/1000*J1503*0.17</f>
        <v>51.211241914522745</v>
      </c>
      <c r="O1501" s="16" t="s">
        <v>12</v>
      </c>
      <c r="P1501" s="75"/>
      <c r="Q1501" s="75"/>
    </row>
    <row r="1502" spans="2:17" x14ac:dyDescent="0.3">
      <c r="B1502" s="17" t="s">
        <v>37</v>
      </c>
      <c r="C1502" s="75"/>
      <c r="D1502" s="75"/>
      <c r="E1502" s="75"/>
      <c r="F1502" s="75"/>
      <c r="G1502" s="75"/>
      <c r="H1502" s="75"/>
      <c r="I1502" s="19" t="s">
        <v>46</v>
      </c>
      <c r="J1502" s="34">
        <f>J1490/J1501</f>
        <v>38.0563</v>
      </c>
      <c r="K1502" s="16" t="s">
        <v>12</v>
      </c>
      <c r="L1502" s="75"/>
      <c r="M1502" s="19" t="s">
        <v>57</v>
      </c>
      <c r="N1502" s="16">
        <f>IF(C1484/J1481&lt;=1.5,0.25,IF(C1484/J1481&gt;=2,0.17,0.17+(0.25-0.17)/(C1484/J1481-1.5)*C1484/J1481))</f>
        <v>0.25</v>
      </c>
      <c r="O1502" s="29" t="s">
        <v>50</v>
      </c>
      <c r="P1502" s="75"/>
      <c r="Q1502" s="75"/>
    </row>
    <row r="1503" spans="2:17" x14ac:dyDescent="0.3">
      <c r="B1503" s="31" t="s">
        <v>115</v>
      </c>
      <c r="C1503" s="37">
        <f>O1498</f>
        <v>89.817490956693987</v>
      </c>
      <c r="D1503" s="29" t="s">
        <v>12</v>
      </c>
      <c r="E1503" s="75"/>
      <c r="F1503" s="75"/>
      <c r="G1503" s="75"/>
      <c r="H1503" s="75"/>
      <c r="I1503" s="19" t="s">
        <v>36</v>
      </c>
      <c r="J1503" s="35">
        <f>J1481*C1482*0.8-J1511</f>
        <v>5393.5714311552301</v>
      </c>
      <c r="K1503" s="16" t="s">
        <v>17</v>
      </c>
      <c r="L1503" s="75"/>
      <c r="M1503" s="19" t="s">
        <v>59</v>
      </c>
      <c r="N1503" s="30">
        <f>SQRT(C1477*0.0980665)*(1/0.0980665)/1000*J1503*N1502</f>
        <v>75.31064987429815</v>
      </c>
      <c r="O1503" s="29" t="s">
        <v>12</v>
      </c>
      <c r="P1503" s="75"/>
      <c r="Q1503" s="75"/>
    </row>
    <row r="1504" spans="2:17" x14ac:dyDescent="0.3">
      <c r="B1504" s="31" t="s">
        <v>116</v>
      </c>
      <c r="C1504" s="37">
        <f>O1513</f>
        <v>140.95493106255552</v>
      </c>
      <c r="D1504" s="29" t="s">
        <v>12</v>
      </c>
      <c r="E1504" s="75"/>
      <c r="F1504" s="75"/>
      <c r="G1504" s="75"/>
      <c r="H1504" s="75"/>
      <c r="I1504" s="19" t="s">
        <v>60</v>
      </c>
      <c r="J1504" s="34">
        <f>MIN(N1503,N1501)</f>
        <v>51.211241914522745</v>
      </c>
      <c r="K1504" s="29" t="s">
        <v>12</v>
      </c>
      <c r="L1504" s="75"/>
      <c r="M1504" s="75"/>
      <c r="N1504" s="75"/>
      <c r="O1504" s="75"/>
      <c r="P1504" s="75"/>
      <c r="Q1504" s="75"/>
    </row>
    <row r="1505" spans="2:17" x14ac:dyDescent="0.3">
      <c r="B1505" s="19" t="s">
        <v>117</v>
      </c>
      <c r="C1505" s="36">
        <f>C1498*2*C1483/C1495/J1478</f>
        <v>4.4879895051282755E-3</v>
      </c>
      <c r="D1505" s="16" t="s">
        <v>50</v>
      </c>
      <c r="E1505" s="75"/>
      <c r="F1505" s="75"/>
      <c r="G1505" s="75"/>
      <c r="H1505" s="75"/>
      <c r="I1505" s="19" t="s">
        <v>39</v>
      </c>
      <c r="J1505" s="34">
        <f>J1502-J1504</f>
        <v>-13.154941914522745</v>
      </c>
      <c r="K1505" s="16" t="s">
        <v>12</v>
      </c>
      <c r="L1505" s="75"/>
      <c r="M1505" s="75"/>
      <c r="N1505" s="75"/>
      <c r="O1505" s="75"/>
      <c r="P1505" s="75"/>
      <c r="Q1505" s="75"/>
    </row>
    <row r="1506" spans="2:17" x14ac:dyDescent="0.3">
      <c r="B1506" s="75"/>
      <c r="C1506" s="75"/>
      <c r="D1506" s="75"/>
      <c r="E1506" s="75"/>
      <c r="F1506" s="75"/>
      <c r="G1506" s="75"/>
      <c r="H1506" s="75"/>
      <c r="I1506" s="19" t="s">
        <v>61</v>
      </c>
      <c r="J1506" s="37">
        <f>MAX(J1505/(C1478*J1481/1000/100)/2,C1499)</f>
        <v>3.125</v>
      </c>
      <c r="K1506" s="29" t="s">
        <v>32</v>
      </c>
      <c r="L1506" s="75"/>
      <c r="M1506" s="75"/>
      <c r="N1506" s="75"/>
      <c r="O1506" s="75"/>
      <c r="P1506" s="75"/>
      <c r="Q1506" s="75"/>
    </row>
    <row r="1507" spans="2:17" x14ac:dyDescent="0.3">
      <c r="B1507" s="75"/>
      <c r="C1507" s="75"/>
      <c r="D1507" s="75"/>
      <c r="E1507" s="75"/>
      <c r="F1507" s="75"/>
      <c r="G1507" s="75"/>
      <c r="H1507" s="75"/>
      <c r="I1507" s="19" t="s">
        <v>65</v>
      </c>
      <c r="J1507" s="36">
        <f>J1506/C1482/100*2</f>
        <v>2.5000000000000001E-3</v>
      </c>
      <c r="K1507" s="16" t="s">
        <v>50</v>
      </c>
      <c r="L1507" s="75"/>
      <c r="M1507" s="75"/>
      <c r="N1507" s="75"/>
      <c r="O1507" s="75"/>
      <c r="P1507" s="75"/>
      <c r="Q1507" s="75"/>
    </row>
    <row r="1508" spans="2:17" x14ac:dyDescent="0.3">
      <c r="B1508" s="75"/>
      <c r="C1508" s="75"/>
      <c r="D1508" s="75"/>
      <c r="E1508" s="75"/>
      <c r="F1508" s="75"/>
      <c r="G1508" s="75"/>
      <c r="H1508" s="75"/>
      <c r="I1508" s="19" t="s">
        <v>53</v>
      </c>
      <c r="J1508" s="16">
        <f>MAX(0.0025,0.0025*0.5*(2.5-C1482/(C1483*0.8))*(J1507-0.0025))</f>
        <v>2.5000000000000001E-3</v>
      </c>
      <c r="K1508" s="29" t="s">
        <v>50</v>
      </c>
      <c r="L1508" s="75"/>
      <c r="M1508" s="39" t="str">
        <f>IF(OR(J1507&gt;J1508,ABS(J1507-J1508)&lt;0.0001),"[OK]","[REDISEÑAR]")</f>
        <v>[OK]</v>
      </c>
      <c r="N1508" s="75"/>
      <c r="O1508" s="75"/>
      <c r="P1508" s="75"/>
      <c r="Q1508" s="75"/>
    </row>
    <row r="1509" spans="2:17" x14ac:dyDescent="0.3">
      <c r="B1509" s="75"/>
      <c r="C1509" s="75"/>
      <c r="D1509" s="75"/>
      <c r="E1509" s="75"/>
      <c r="F1509" s="75"/>
      <c r="G1509" s="75"/>
      <c r="H1509" s="75"/>
      <c r="I1509" s="19" t="s">
        <v>47</v>
      </c>
      <c r="J1509" s="34">
        <f>SQRT(C1477*0.0980665)*(1/0.0980665)/1000*0.66*0.8*C1483*C1482</f>
        <v>249.92723308409288</v>
      </c>
      <c r="K1509" s="16" t="s">
        <v>12</v>
      </c>
      <c r="L1509" s="75"/>
      <c r="M1509" s="40" t="s">
        <v>44</v>
      </c>
      <c r="N1509" s="75"/>
      <c r="O1509" s="15"/>
      <c r="P1509" s="75"/>
      <c r="Q1509" s="75"/>
    </row>
    <row r="1510" spans="2:17" x14ac:dyDescent="0.3">
      <c r="B1510" s="75"/>
      <c r="C1510" s="75"/>
      <c r="D1510" s="75"/>
      <c r="E1510" s="75"/>
      <c r="F1510" s="75"/>
      <c r="G1510" s="75"/>
      <c r="H1510" s="75"/>
      <c r="I1510" s="63" t="s">
        <v>34</v>
      </c>
      <c r="J1510" s="63">
        <f>ROUNDDOWN(1/J1506*C1498*100,0)</f>
        <v>25</v>
      </c>
      <c r="K1510" s="64" t="s">
        <v>5</v>
      </c>
      <c r="L1510" s="75"/>
      <c r="M1510" s="39" t="str">
        <f>IF(OR(J1510&lt;10,J1510&gt;25),"[REDISEÑAR]","[OK")</f>
        <v>[OK</v>
      </c>
      <c r="N1510" s="41" t="s">
        <v>80</v>
      </c>
      <c r="O1510" s="42">
        <f>1/J1506*(C1494/2)^2*PI()</f>
        <v>25.132741228718345</v>
      </c>
      <c r="P1510" s="75" t="str">
        <f>"$\phi$"&amp;C1494&amp;"@"&amp;J1510</f>
        <v>$\phi$10@25</v>
      </c>
      <c r="Q1510" s="75"/>
    </row>
    <row r="1511" spans="2:17" x14ac:dyDescent="0.3">
      <c r="B1511" s="75"/>
      <c r="C1511" s="75"/>
      <c r="D1511" s="75"/>
      <c r="E1511" s="75"/>
      <c r="F1511" s="75"/>
      <c r="G1511" s="75"/>
      <c r="H1511" s="75"/>
      <c r="I1511" s="31" t="s">
        <v>48</v>
      </c>
      <c r="J1511" s="30">
        <f>C1498*2*IF(J1481/C1495&gt;=1,J1481/C1495,0)</f>
        <v>30.428568844769707</v>
      </c>
      <c r="K1511" s="29" t="s">
        <v>17</v>
      </c>
      <c r="L1511" s="75"/>
      <c r="M1511" s="75"/>
      <c r="N1511" s="15"/>
      <c r="O1511" s="15"/>
      <c r="P1511" s="75"/>
      <c r="Q1511" s="75"/>
    </row>
    <row r="1512" spans="2:17" x14ac:dyDescent="0.3">
      <c r="B1512" s="75"/>
      <c r="C1512" s="75"/>
      <c r="D1512" s="75"/>
      <c r="E1512" s="75"/>
      <c r="F1512" s="75"/>
      <c r="G1512" s="75"/>
      <c r="H1512" s="75"/>
      <c r="I1512" s="19" t="s">
        <v>81</v>
      </c>
      <c r="J1512" s="34">
        <f>MIN(J1511*C1478/1000,J1509)</f>
        <v>127.79998914803276</v>
      </c>
      <c r="K1512" s="16" t="s">
        <v>12</v>
      </c>
      <c r="L1512" s="75"/>
      <c r="M1512" s="40" t="s">
        <v>82</v>
      </c>
      <c r="N1512" s="15"/>
      <c r="O1512" s="15"/>
      <c r="P1512" s="75"/>
      <c r="Q1512" s="75"/>
    </row>
    <row r="1513" spans="2:17" x14ac:dyDescent="0.3">
      <c r="B1513" s="75"/>
      <c r="C1513" s="75"/>
      <c r="D1513" s="75"/>
      <c r="E1513" s="75"/>
      <c r="F1513" s="75"/>
      <c r="G1513" s="75"/>
      <c r="H1513" s="75"/>
      <c r="I1513" s="19" t="s">
        <v>79</v>
      </c>
      <c r="J1513" s="34">
        <f>J1512+J1504</f>
        <v>179.01123106255551</v>
      </c>
      <c r="K1513" s="16" t="s">
        <v>12</v>
      </c>
      <c r="L1513" s="75"/>
      <c r="M1513" s="39" t="str">
        <f>IF(J1513&gt;J1502,"[OK]","[REDISEÑAR]")</f>
        <v>[OK]</v>
      </c>
      <c r="N1513" s="41" t="str">
        <f>IF(O1513&gt;0,"Sobrado","Faltan")</f>
        <v>Sobrado</v>
      </c>
      <c r="O1513" s="43">
        <f>J1513-J1502</f>
        <v>140.95493106255552</v>
      </c>
      <c r="P1513" s="75"/>
      <c r="Q1513" s="75"/>
    </row>
    <row r="1514" spans="2:17" x14ac:dyDescent="0.3">
      <c r="B1514" s="75"/>
      <c r="C1514" s="75"/>
      <c r="D1514" s="75"/>
      <c r="E1514" s="75"/>
      <c r="F1514" s="75"/>
      <c r="G1514" s="75"/>
      <c r="H1514" s="75"/>
      <c r="J1514" s="75"/>
      <c r="K1514" s="75"/>
      <c r="L1514" s="75"/>
      <c r="M1514" s="75"/>
      <c r="N1514" s="75"/>
      <c r="O1514" s="75"/>
      <c r="P1514" s="75"/>
      <c r="Q1514" s="75"/>
    </row>
    <row r="1515" spans="2:17" x14ac:dyDescent="0.3">
      <c r="B1515" s="75"/>
      <c r="C1515" s="75"/>
      <c r="D1515" s="75"/>
      <c r="E1515" s="75"/>
      <c r="F1515" s="75"/>
      <c r="G1515" s="75"/>
      <c r="H1515" s="75"/>
      <c r="I1515" s="18" t="s">
        <v>45</v>
      </c>
      <c r="J1515" s="75"/>
      <c r="K1515" s="75"/>
      <c r="L1515" s="75"/>
      <c r="M1515" s="75"/>
      <c r="N1515" s="75"/>
      <c r="O1515" s="15"/>
      <c r="P1515" s="75"/>
      <c r="Q1515" s="75"/>
    </row>
    <row r="1516" spans="2:17" x14ac:dyDescent="0.3">
      <c r="B1516" s="75"/>
      <c r="C1516" s="75"/>
      <c r="D1516" s="75"/>
      <c r="E1516" s="75"/>
      <c r="F1516" s="75"/>
      <c r="G1516" s="75"/>
      <c r="H1516" s="75"/>
      <c r="I1516" s="19" t="s">
        <v>40</v>
      </c>
      <c r="J1516" s="16">
        <f>J1490</f>
        <v>22.833780000000001</v>
      </c>
      <c r="K1516" s="16" t="s">
        <v>12</v>
      </c>
      <c r="L1516" s="75"/>
      <c r="M1516" s="75"/>
      <c r="N1516" s="75"/>
      <c r="O1516" s="26"/>
      <c r="P1516" s="75"/>
      <c r="Q1516" s="75"/>
    </row>
    <row r="1517" spans="2:17" x14ac:dyDescent="0.3">
      <c r="B1517" s="75"/>
      <c r="C1517" s="75"/>
      <c r="D1517" s="75"/>
      <c r="E1517" s="75"/>
      <c r="F1517" s="75"/>
      <c r="G1517" s="75"/>
      <c r="H1517" s="75"/>
      <c r="I1517" s="19" t="s">
        <v>46</v>
      </c>
      <c r="J1517" s="34">
        <f>J1502</f>
        <v>38.0563</v>
      </c>
      <c r="K1517" s="16" t="s">
        <v>12</v>
      </c>
      <c r="L1517" s="75"/>
      <c r="M1517" s="75"/>
      <c r="N1517" s="75"/>
      <c r="O1517" s="75"/>
      <c r="P1517" s="75"/>
      <c r="Q1517" s="75"/>
    </row>
    <row r="1518" spans="2:17" x14ac:dyDescent="0.3">
      <c r="B1518" s="75"/>
      <c r="C1518" s="75"/>
      <c r="D1518" s="75"/>
      <c r="E1518" s="75"/>
      <c r="F1518" s="75"/>
      <c r="G1518" s="75"/>
      <c r="H1518" s="75"/>
      <c r="I1518" s="19" t="s">
        <v>38</v>
      </c>
      <c r="J1518" s="34">
        <f>2/3*J1503*SQRT(C1477*0.0980665)*(1/0.0980665)/1000</f>
        <v>200.82839966479511</v>
      </c>
      <c r="K1518" s="16" t="s">
        <v>12</v>
      </c>
      <c r="L1518" s="75"/>
      <c r="M1518" s="39" t="str">
        <f>IF(J1518&gt;J1517,"[OK]","[REDISEÑAR]")</f>
        <v>[OK]</v>
      </c>
      <c r="N1518" s="41" t="str">
        <f>IF(O1518&gt;0,"Sobrado","Faltan")</f>
        <v>Sobrado</v>
      </c>
      <c r="O1518" s="43">
        <f>J1518-J1517</f>
        <v>162.77209966479512</v>
      </c>
      <c r="P1518" s="75"/>
      <c r="Q1518" s="75"/>
    </row>
    <row r="1520" spans="2:17" ht="18" x14ac:dyDescent="0.35">
      <c r="B1520" s="48" t="str">
        <f>'EJE 15'!$S$29</f>
        <v>EJE 15.G-L | PIER F33X | PISO 12</v>
      </c>
      <c r="C1520" s="75"/>
      <c r="D1520" s="75"/>
      <c r="E1520" s="75"/>
      <c r="F1520" s="75"/>
      <c r="G1520" s="75"/>
      <c r="H1520" s="75"/>
      <c r="J1520" s="75"/>
      <c r="K1520" s="75"/>
      <c r="L1520" s="75"/>
      <c r="M1520" s="75"/>
      <c r="N1520" s="75"/>
      <c r="O1520" s="75"/>
      <c r="P1520" s="75"/>
      <c r="Q1520" s="75"/>
    </row>
    <row r="1521" spans="2:17" x14ac:dyDescent="0.3">
      <c r="B1521" s="75"/>
      <c r="C1521" s="75"/>
      <c r="D1521" s="75"/>
      <c r="E1521" s="75"/>
      <c r="F1521" s="75"/>
      <c r="G1521" s="75"/>
      <c r="H1521" s="75"/>
      <c r="J1521" s="75"/>
      <c r="K1521" s="75"/>
      <c r="L1521" s="75"/>
      <c r="M1521" s="75"/>
      <c r="N1521" s="75"/>
      <c r="O1521" s="75"/>
      <c r="P1521" s="75"/>
      <c r="Q1521" s="75"/>
    </row>
    <row r="1522" spans="2:17" x14ac:dyDescent="0.3">
      <c r="B1522" s="17" t="s">
        <v>6</v>
      </c>
      <c r="C1522" s="75"/>
      <c r="D1522" s="75"/>
      <c r="E1522" s="75"/>
      <c r="F1522" s="75"/>
      <c r="G1522" s="75"/>
      <c r="H1522" s="75"/>
      <c r="I1522" s="18" t="s">
        <v>25</v>
      </c>
      <c r="J1522" s="75"/>
      <c r="K1522" s="75"/>
      <c r="L1522" s="75"/>
      <c r="M1522" s="75"/>
      <c r="N1522" s="75"/>
      <c r="O1522" s="75"/>
      <c r="P1522" s="75"/>
      <c r="Q1522" s="75"/>
    </row>
    <row r="1523" spans="2:17" x14ac:dyDescent="0.3">
      <c r="B1523" s="19" t="s">
        <v>99</v>
      </c>
      <c r="C1523" s="61">
        <f>10.1971621297793*'EJE 15'!$G$29</f>
        <v>305.91486389337899</v>
      </c>
      <c r="D1523" s="16" t="s">
        <v>8</v>
      </c>
      <c r="E1523" s="75"/>
      <c r="F1523" s="75"/>
      <c r="G1523" s="75"/>
      <c r="H1523" s="75"/>
      <c r="I1523" s="19" t="s">
        <v>58</v>
      </c>
      <c r="J1523" s="16">
        <f>C1530/16</f>
        <v>14.375</v>
      </c>
      <c r="K1523" s="16" t="s">
        <v>5</v>
      </c>
      <c r="L1523" s="21"/>
      <c r="M1523" s="39" t="str">
        <f>IF(J1523&lt;C1528,"[OK]","[REDISEÑAR]")</f>
        <v>[OK]</v>
      </c>
      <c r="N1523" s="75"/>
      <c r="O1523" s="75"/>
      <c r="P1523" s="75"/>
      <c r="Q1523" s="75"/>
    </row>
    <row r="1524" spans="2:17" x14ac:dyDescent="0.3">
      <c r="B1524" s="19" t="s">
        <v>30</v>
      </c>
      <c r="C1524" s="16">
        <v>4200</v>
      </c>
      <c r="D1524" s="16" t="s">
        <v>8</v>
      </c>
      <c r="E1524" s="75"/>
      <c r="F1524" s="75"/>
      <c r="G1524" s="75"/>
      <c r="H1524" s="75"/>
      <c r="I1524" s="19" t="s">
        <v>16</v>
      </c>
      <c r="J1524" s="16">
        <f>C1528*C1529</f>
        <v>8475</v>
      </c>
      <c r="K1524" s="16" t="s">
        <v>17</v>
      </c>
      <c r="L1524" s="21"/>
      <c r="M1524" s="75"/>
      <c r="N1524" s="75"/>
      <c r="O1524" s="75"/>
      <c r="P1524" s="75"/>
      <c r="Q1524" s="75"/>
    </row>
    <row r="1525" spans="2:17" x14ac:dyDescent="0.3">
      <c r="B1525" s="19" t="s">
        <v>31</v>
      </c>
      <c r="C1525" s="16">
        <v>2800</v>
      </c>
      <c r="D1525" s="16" t="s">
        <v>8</v>
      </c>
      <c r="E1525" s="75"/>
      <c r="F1525" s="75"/>
      <c r="G1525" s="75"/>
      <c r="H1525" s="75"/>
      <c r="I1525" s="19" t="s">
        <v>51</v>
      </c>
      <c r="J1525" s="16">
        <f>MIN(0.8*C1529/5,3*C1528,45)</f>
        <v>45</v>
      </c>
      <c r="K1525" s="16" t="s">
        <v>5</v>
      </c>
      <c r="L1525" s="21"/>
      <c r="M1525" s="39" t="str">
        <f>IF(J1525&gt;C1541,"[OK]","[REDISEÑAR]")</f>
        <v>[OK]</v>
      </c>
      <c r="N1525" s="75"/>
      <c r="O1525" s="75"/>
      <c r="P1525" s="75"/>
      <c r="Q1525" s="75"/>
    </row>
    <row r="1526" spans="2:17" x14ac:dyDescent="0.3">
      <c r="B1526" s="75"/>
      <c r="C1526" s="75"/>
      <c r="D1526" s="75"/>
      <c r="E1526" s="75"/>
      <c r="F1526" s="75"/>
      <c r="G1526" s="75"/>
      <c r="H1526" s="75"/>
      <c r="I1526" s="19" t="s">
        <v>56</v>
      </c>
      <c r="J1526" s="16">
        <f>MIN(0.8*C1530/3,3*C1529,45)</f>
        <v>45</v>
      </c>
      <c r="K1526" s="16" t="s">
        <v>5</v>
      </c>
      <c r="L1526" s="21"/>
      <c r="M1526" s="39" t="str">
        <f>IF(J1526&gt;C1541,"[OK]","[REDISEÑAR]")</f>
        <v>[OK]</v>
      </c>
      <c r="N1526" s="75"/>
      <c r="O1526" s="75"/>
      <c r="P1526" s="75"/>
      <c r="Q1526" s="75"/>
    </row>
    <row r="1527" spans="2:17" x14ac:dyDescent="0.3">
      <c r="B1527" s="17" t="s">
        <v>3</v>
      </c>
      <c r="C1527" s="75"/>
      <c r="D1527" s="75"/>
      <c r="E1527" s="75"/>
      <c r="F1527" s="75"/>
      <c r="G1527" s="75"/>
      <c r="H1527" s="75"/>
      <c r="I1527" s="19" t="s">
        <v>62</v>
      </c>
      <c r="J1527" s="16">
        <f>0.8*C1529</f>
        <v>271.2</v>
      </c>
      <c r="K1527" s="29" t="s">
        <v>5</v>
      </c>
      <c r="L1527" s="75"/>
      <c r="M1527" s="75"/>
      <c r="N1527" s="75"/>
      <c r="O1527" s="75"/>
      <c r="P1527" s="75"/>
      <c r="Q1527" s="75"/>
    </row>
    <row r="1528" spans="2:17" x14ac:dyDescent="0.3">
      <c r="B1528" s="19" t="str">
        <f>"Espesor del muro (h)"</f>
        <v>Espesor del muro (h)</v>
      </c>
      <c r="C1528" s="49">
        <f>'EJE 15'!$H$29</f>
        <v>25</v>
      </c>
      <c r="D1528" s="16" t="s">
        <v>5</v>
      </c>
      <c r="E1528" s="75"/>
      <c r="F1528" s="75"/>
      <c r="G1528" s="75"/>
      <c r="H1528" s="75"/>
      <c r="J1528" s="75"/>
      <c r="K1528" s="75"/>
      <c r="L1528" s="75"/>
      <c r="M1528" s="75"/>
      <c r="N1528" s="75"/>
      <c r="O1528" s="75"/>
      <c r="P1528" s="75"/>
      <c r="Q1528" s="75"/>
    </row>
    <row r="1529" spans="2:17" x14ac:dyDescent="0.3">
      <c r="B1529" s="19" t="s">
        <v>63</v>
      </c>
      <c r="C1529" s="49">
        <f>'EJE 15'!$I$29</f>
        <v>339</v>
      </c>
      <c r="D1529" s="16" t="s">
        <v>5</v>
      </c>
      <c r="E1529" s="75"/>
      <c r="F1529" s="75"/>
      <c r="G1529" s="75"/>
      <c r="H1529" s="75"/>
      <c r="I1529" s="18" t="s">
        <v>26</v>
      </c>
      <c r="J1529" s="75"/>
      <c r="K1529" s="75"/>
      <c r="L1529" s="75"/>
      <c r="M1529" s="75"/>
      <c r="N1529" s="75"/>
      <c r="O1529" s="75"/>
      <c r="P1529" s="75"/>
      <c r="Q1529" s="75"/>
    </row>
    <row r="1530" spans="2:17" x14ac:dyDescent="0.3">
      <c r="B1530" s="19" t="s">
        <v>10</v>
      </c>
      <c r="C1530" s="49">
        <f>'EJE 15'!$J$29</f>
        <v>230</v>
      </c>
      <c r="D1530" s="16" t="s">
        <v>5</v>
      </c>
      <c r="E1530" s="75"/>
      <c r="F1530" s="75"/>
      <c r="G1530" s="75"/>
      <c r="H1530" s="75"/>
      <c r="I1530" s="19" t="s">
        <v>28</v>
      </c>
      <c r="J1530" s="16">
        <f>0.35*C1523</f>
        <v>107.07020236268264</v>
      </c>
      <c r="K1530" s="16" t="s">
        <v>8</v>
      </c>
      <c r="L1530" s="21"/>
      <c r="M1530" s="75"/>
      <c r="N1530" s="75"/>
      <c r="O1530" s="75"/>
      <c r="P1530" s="75"/>
      <c r="Q1530" s="75"/>
    </row>
    <row r="1531" spans="2:17" x14ac:dyDescent="0.3">
      <c r="B1531" s="75"/>
      <c r="C1531" s="75"/>
      <c r="D1531" s="75"/>
      <c r="E1531" s="75"/>
      <c r="F1531" s="75"/>
      <c r="G1531" s="75"/>
      <c r="H1531" s="75"/>
      <c r="I1531" s="19" t="s">
        <v>27</v>
      </c>
      <c r="J1531" s="30">
        <f>C1533*1000/J1524</f>
        <v>15.96075516224189</v>
      </c>
      <c r="K1531" s="16" t="s">
        <v>8</v>
      </c>
      <c r="L1531" s="21"/>
      <c r="M1531" s="39" t="str">
        <f>IF(J1531&lt;J1530,"[OK]","[REDISEÑAR]")</f>
        <v>[OK]</v>
      </c>
      <c r="N1531" s="41" t="s">
        <v>112</v>
      </c>
      <c r="O1531" s="59">
        <f>J1531/J1530</f>
        <v>0.14906813296361826</v>
      </c>
      <c r="P1531" s="75"/>
      <c r="Q1531" s="75"/>
    </row>
    <row r="1532" spans="2:17" x14ac:dyDescent="0.3">
      <c r="B1532" s="17" t="s">
        <v>11</v>
      </c>
      <c r="C1532" s="75"/>
      <c r="D1532" s="75"/>
      <c r="E1532" s="75"/>
      <c r="F1532" s="75"/>
      <c r="G1532" s="75"/>
      <c r="H1532" s="75"/>
      <c r="J1532" s="75"/>
      <c r="K1532" s="75"/>
      <c r="L1532" s="75"/>
      <c r="M1532" s="75"/>
      <c r="N1532" s="75"/>
      <c r="O1532" s="75"/>
      <c r="P1532" s="75"/>
      <c r="Q1532" s="75"/>
    </row>
    <row r="1533" spans="2:17" x14ac:dyDescent="0.3">
      <c r="B1533" s="19" t="str">
        <f>"$N_U$"</f>
        <v>$N_U$</v>
      </c>
      <c r="C1533" s="60">
        <f>'EJE 15'!$K$29</f>
        <v>135.26740000000001</v>
      </c>
      <c r="D1533" s="16" t="s">
        <v>12</v>
      </c>
      <c r="E1533" s="75"/>
      <c r="F1533" s="75"/>
      <c r="G1533" s="75"/>
      <c r="H1533" s="75"/>
      <c r="I1533" s="18" t="s">
        <v>54</v>
      </c>
      <c r="J1533" s="75"/>
      <c r="K1533" s="75"/>
      <c r="L1533" s="75"/>
      <c r="M1533" s="75"/>
      <c r="N1533" s="75"/>
      <c r="O1533" s="75"/>
      <c r="P1533" s="75"/>
      <c r="Q1533" s="75"/>
    </row>
    <row r="1534" spans="2:17" x14ac:dyDescent="0.3">
      <c r="B1534" s="19" t="s">
        <v>14</v>
      </c>
      <c r="C1534" s="60">
        <f>'EJE 15'!$L$29</f>
        <v>2.5070000000000001</v>
      </c>
      <c r="D1534" s="16" t="s">
        <v>12</v>
      </c>
      <c r="E1534" s="75"/>
      <c r="F1534" s="75"/>
      <c r="G1534" s="75"/>
      <c r="H1534" s="75"/>
      <c r="I1534" s="19" t="s">
        <v>72</v>
      </c>
      <c r="J1534" s="16">
        <f>1.2*C1534+C1535+1.4*C1536</f>
        <v>22.833780000000001</v>
      </c>
      <c r="K1534" s="16" t="s">
        <v>12</v>
      </c>
      <c r="L1534" s="75"/>
      <c r="M1534" s="75" t="s">
        <v>68</v>
      </c>
      <c r="N1534" s="75"/>
      <c r="O1534" s="75"/>
      <c r="P1534" s="75"/>
      <c r="Q1534" s="75"/>
    </row>
    <row r="1535" spans="2:17" x14ac:dyDescent="0.3">
      <c r="B1535" s="19" t="s">
        <v>13</v>
      </c>
      <c r="C1535" s="60">
        <f>'EJE 15'!$M$29</f>
        <v>5.0799999999999998E-2</v>
      </c>
      <c r="D1535" s="16" t="s">
        <v>12</v>
      </c>
      <c r="E1535" s="75"/>
      <c r="F1535" s="75"/>
      <c r="G1535" s="75"/>
      <c r="H1535" s="75"/>
      <c r="I1535" s="19" t="s">
        <v>69</v>
      </c>
      <c r="J1535" s="16">
        <f>SUM(C1534:C1536)</f>
        <v>16.682500000000001</v>
      </c>
      <c r="K1535" s="16" t="s">
        <v>12</v>
      </c>
      <c r="L1535" s="75"/>
      <c r="M1535" s="75" t="s">
        <v>70</v>
      </c>
      <c r="N1535" s="75"/>
      <c r="O1535" s="75"/>
      <c r="P1535" s="75"/>
      <c r="Q1535" s="75"/>
    </row>
    <row r="1536" spans="2:17" x14ac:dyDescent="0.3">
      <c r="B1536" s="19" t="s">
        <v>15</v>
      </c>
      <c r="C1536" s="60">
        <f>'EJE 15'!$N$29</f>
        <v>14.124700000000001</v>
      </c>
      <c r="D1536" s="16" t="s">
        <v>12</v>
      </c>
      <c r="E1536" s="75"/>
      <c r="F1536" s="75"/>
      <c r="G1536" s="75"/>
      <c r="H1536" s="75"/>
      <c r="I1536" s="19" t="s">
        <v>73</v>
      </c>
      <c r="J1536" s="16">
        <f>IF(C1537=0,J1534,C1537)</f>
        <v>22.833780000000001</v>
      </c>
      <c r="K1536" s="16" t="s">
        <v>12</v>
      </c>
      <c r="L1536" s="75"/>
      <c r="M1536" s="40" t="s">
        <v>74</v>
      </c>
      <c r="N1536" s="75"/>
      <c r="O1536" s="75"/>
      <c r="P1536" s="75"/>
      <c r="Q1536" s="75"/>
    </row>
    <row r="1537" spans="2:17" x14ac:dyDescent="0.3">
      <c r="B1537" s="19" t="s">
        <v>55</v>
      </c>
      <c r="C1537" s="16">
        <v>0</v>
      </c>
      <c r="D1537" s="16" t="s">
        <v>12</v>
      </c>
      <c r="E1537" s="75"/>
      <c r="F1537" s="75"/>
      <c r="G1537" s="75"/>
      <c r="H1537" s="75"/>
      <c r="I1537" s="19" t="s">
        <v>71</v>
      </c>
      <c r="J1537" s="16">
        <f>IF(C1537=0,J1535,C1537)</f>
        <v>16.682500000000001</v>
      </c>
      <c r="K1537" s="16" t="s">
        <v>12</v>
      </c>
      <c r="L1537" s="75"/>
      <c r="M1537" s="40" t="s">
        <v>75</v>
      </c>
      <c r="N1537" s="75"/>
      <c r="O1537" s="75"/>
      <c r="P1537" s="75"/>
      <c r="Q1537" s="75"/>
    </row>
    <row r="1538" spans="2:17" x14ac:dyDescent="0.3">
      <c r="B1538" s="75"/>
      <c r="C1538" s="75"/>
      <c r="D1538" s="75"/>
      <c r="E1538" s="75"/>
      <c r="F1538" s="75"/>
      <c r="G1538" s="75"/>
      <c r="H1538" s="75"/>
      <c r="J1538" s="75"/>
      <c r="K1538" s="75"/>
      <c r="L1538" s="75"/>
      <c r="M1538" s="75"/>
      <c r="N1538" s="75"/>
      <c r="O1538" s="75"/>
      <c r="P1538" s="75"/>
      <c r="Q1538" s="75"/>
    </row>
    <row r="1539" spans="2:17" x14ac:dyDescent="0.3">
      <c r="B1539" s="33" t="s">
        <v>42</v>
      </c>
      <c r="C1539" s="75"/>
      <c r="D1539" s="75"/>
      <c r="E1539" s="75"/>
      <c r="F1539" s="75"/>
      <c r="G1539" s="75"/>
      <c r="H1539" s="75"/>
      <c r="I1539" s="27" t="s">
        <v>76</v>
      </c>
      <c r="J1539" s="75"/>
      <c r="K1539" s="75"/>
      <c r="L1539" s="75"/>
      <c r="M1539" s="75"/>
      <c r="N1539" s="75"/>
      <c r="O1539" s="75"/>
      <c r="P1539" s="75"/>
      <c r="Q1539" s="75"/>
    </row>
    <row r="1540" spans="2:17" x14ac:dyDescent="0.3">
      <c r="B1540" s="31" t="s">
        <v>41</v>
      </c>
      <c r="C1540" s="16">
        <v>10</v>
      </c>
      <c r="D1540" s="29" t="s">
        <v>35</v>
      </c>
      <c r="E1540" s="75"/>
      <c r="F1540" s="75"/>
      <c r="G1540" s="75"/>
      <c r="H1540" s="75"/>
      <c r="I1540" s="19" t="s">
        <v>29</v>
      </c>
      <c r="J1540" s="30">
        <f>J1537*1000/J1524</f>
        <v>1.9684365781710915</v>
      </c>
      <c r="K1540" s="29" t="s">
        <v>8</v>
      </c>
      <c r="L1540" s="75"/>
      <c r="M1540" s="75"/>
      <c r="N1540" s="75"/>
      <c r="O1540" s="75"/>
      <c r="P1540" s="75"/>
      <c r="Q1540" s="75"/>
    </row>
    <row r="1541" spans="2:17" x14ac:dyDescent="0.3">
      <c r="B1541" s="31" t="s">
        <v>43</v>
      </c>
      <c r="C1541" s="16">
        <v>14</v>
      </c>
      <c r="D1541" s="29" t="s">
        <v>5</v>
      </c>
      <c r="E1541" s="75"/>
      <c r="F1541" s="39" t="str">
        <f>IF(OR(C1541&gt;25,C1541&lt;10),"[REDISEÑAR]",IF(AND(C1541&lt;=J1542,C1541&lt;=J1556),"[OK]","[REDISEÑAR]"))</f>
        <v>[OK]</v>
      </c>
      <c r="G1541" s="75"/>
      <c r="H1541" s="75"/>
      <c r="I1541" s="19" t="s">
        <v>61</v>
      </c>
      <c r="J1541" s="37">
        <f>MAX(J1540*100*C1528/(2*C1525),C1545)</f>
        <v>3.125</v>
      </c>
      <c r="K1541" s="29" t="s">
        <v>32</v>
      </c>
      <c r="L1541" s="75"/>
      <c r="M1541" s="15"/>
      <c r="N1541" s="15"/>
      <c r="O1541" s="15"/>
      <c r="P1541" s="75"/>
      <c r="Q1541" s="75"/>
    </row>
    <row r="1542" spans="2:17" x14ac:dyDescent="0.3">
      <c r="B1542" s="75"/>
      <c r="C1542" s="50" t="str">
        <f>"$\phi$"&amp;C1540&amp;"@"&amp;C1541</f>
        <v>$\phi$10@14</v>
      </c>
      <c r="D1542" s="75"/>
      <c r="E1542" s="75"/>
      <c r="F1542" s="39" t="str">
        <f>IF(OR(J1541=C1545,J1552=C1545),"[ÁREA MINIMA]","[]")</f>
        <v>[ÁREA MINIMA]</v>
      </c>
      <c r="G1542" s="75"/>
      <c r="H1542" s="75"/>
      <c r="I1542" s="63" t="s">
        <v>34</v>
      </c>
      <c r="J1542" s="63">
        <f>ROUNDDOWN((1/J1541)*C1544*100,0)</f>
        <v>25</v>
      </c>
      <c r="K1542" s="64" t="s">
        <v>5</v>
      </c>
      <c r="L1542" s="75"/>
      <c r="M1542" s="39" t="str">
        <f>IF(OR(J1542&lt;10,J1542&gt;25),"[REDISEÑAR]","[OK")</f>
        <v>[OK</v>
      </c>
      <c r="N1542" s="41" t="s">
        <v>80</v>
      </c>
      <c r="O1542" s="42">
        <f>1/J1541*(C1540/2)^2*PI()</f>
        <v>25.132741228718345</v>
      </c>
      <c r="P1542" s="75" t="str">
        <f>"$\phi$"&amp;C1540&amp;"@"&amp;J1542</f>
        <v>$\phi$10@25</v>
      </c>
      <c r="Q1542" s="75"/>
    </row>
    <row r="1543" spans="2:17" x14ac:dyDescent="0.3">
      <c r="B1543" s="18" t="s">
        <v>52</v>
      </c>
      <c r="C1543" s="75"/>
      <c r="D1543" s="75"/>
      <c r="E1543" s="75"/>
      <c r="F1543" s="62" t="str">
        <f>IF(J1531&lt;J1530,IF(J1559&gt;J1548,"[OK]","[REDISEÑAR]"),"[REDISEÑAR]")</f>
        <v>[OK]</v>
      </c>
      <c r="G1543" s="75"/>
      <c r="H1543" s="75"/>
      <c r="I1543" s="31" t="s">
        <v>48</v>
      </c>
      <c r="J1543" s="30">
        <f>C1544*2*IF(C1529/C1541&gt;=1,C1529/C1541,0)</f>
        <v>38.035711055962139</v>
      </c>
      <c r="K1543" s="29" t="s">
        <v>17</v>
      </c>
      <c r="L1543" s="75"/>
      <c r="M1543" s="75"/>
      <c r="N1543" s="15"/>
      <c r="O1543" s="44"/>
      <c r="P1543" s="75"/>
      <c r="Q1543" s="75"/>
    </row>
    <row r="1544" spans="2:17" x14ac:dyDescent="0.3">
      <c r="B1544" s="31" t="s">
        <v>66</v>
      </c>
      <c r="C1544" s="30">
        <f>(C1540/(2*10))^2*PI()</f>
        <v>0.78539816339744828</v>
      </c>
      <c r="D1544" s="29" t="s">
        <v>17</v>
      </c>
      <c r="E1544" s="75"/>
      <c r="F1544" s="75"/>
      <c r="G1544" s="75"/>
      <c r="H1544" s="75"/>
      <c r="I1544" s="19" t="s">
        <v>49</v>
      </c>
      <c r="J1544" s="34">
        <f>C1525*J1543/1000</f>
        <v>106.49999095669399</v>
      </c>
      <c r="K1544" s="16" t="s">
        <v>12</v>
      </c>
      <c r="L1544" s="75"/>
      <c r="M1544" s="39" t="str">
        <f>IF(J1544&gt;J1537,"[OK]","[REDISEÑAR]")</f>
        <v>[OK]</v>
      </c>
      <c r="N1544" s="41" t="str">
        <f>IF(O1544&gt;0,"Sobrado","Faltan")</f>
        <v>Sobrado</v>
      </c>
      <c r="O1544" s="43">
        <f>J1544-J1537</f>
        <v>89.817490956693987</v>
      </c>
      <c r="P1544" s="75"/>
      <c r="Q1544" s="75"/>
    </row>
    <row r="1545" spans="2:17" x14ac:dyDescent="0.3">
      <c r="B1545" s="31" t="s">
        <v>78</v>
      </c>
      <c r="C1545" s="37">
        <f>2.5/1000*100*C1528/2</f>
        <v>3.125</v>
      </c>
      <c r="D1545" s="16" t="s">
        <v>17</v>
      </c>
      <c r="E1545" s="75"/>
      <c r="F1545" s="75"/>
      <c r="G1545" s="75"/>
      <c r="H1545" s="75"/>
      <c r="J1545" s="75"/>
      <c r="K1545" s="75"/>
      <c r="L1545" s="75"/>
      <c r="M1545" s="75"/>
      <c r="N1545" s="75"/>
      <c r="O1545" s="15"/>
      <c r="P1545" s="75"/>
      <c r="Q1545" s="75"/>
    </row>
    <row r="1546" spans="2:17" x14ac:dyDescent="0.3">
      <c r="B1546" s="31" t="s">
        <v>114</v>
      </c>
      <c r="C1546" s="37">
        <f>C1544*100/C1541</f>
        <v>5.6099868814103448</v>
      </c>
      <c r="D1546" s="29" t="s">
        <v>32</v>
      </c>
      <c r="E1546" s="75"/>
      <c r="F1546" s="75"/>
      <c r="G1546" s="75"/>
      <c r="H1546" s="75"/>
      <c r="I1546" s="18" t="s">
        <v>77</v>
      </c>
      <c r="J1546" s="75"/>
      <c r="K1546" s="75"/>
      <c r="L1546" s="75"/>
      <c r="M1546" s="17" t="s">
        <v>67</v>
      </c>
      <c r="N1546" s="75"/>
      <c r="O1546" s="75"/>
      <c r="P1546" s="75"/>
      <c r="Q1546" s="75"/>
    </row>
    <row r="1547" spans="2:17" x14ac:dyDescent="0.3">
      <c r="B1547" s="75"/>
      <c r="C1547" s="75"/>
      <c r="D1547" s="75"/>
      <c r="E1547" s="75"/>
      <c r="F1547" s="75"/>
      <c r="G1547" s="75"/>
      <c r="H1547" s="75"/>
      <c r="I1547" s="19" t="s">
        <v>33</v>
      </c>
      <c r="J1547" s="16">
        <v>0.6</v>
      </c>
      <c r="K1547" s="16" t="s">
        <v>50</v>
      </c>
      <c r="L1547" s="75"/>
      <c r="M1547" s="19" t="s">
        <v>64</v>
      </c>
      <c r="N1547" s="30">
        <f>SQRT(C1523*0.0980665)*(1/0.0980665)/1000*J1549*0.17</f>
        <v>51.211241914522745</v>
      </c>
      <c r="O1547" s="16" t="s">
        <v>12</v>
      </c>
      <c r="P1547" s="75"/>
      <c r="Q1547" s="75"/>
    </row>
    <row r="1548" spans="2:17" x14ac:dyDescent="0.3">
      <c r="B1548" s="17" t="s">
        <v>37</v>
      </c>
      <c r="C1548" s="75"/>
      <c r="D1548" s="75"/>
      <c r="E1548" s="75"/>
      <c r="F1548" s="75"/>
      <c r="G1548" s="75"/>
      <c r="H1548" s="75"/>
      <c r="I1548" s="19" t="s">
        <v>46</v>
      </c>
      <c r="J1548" s="34">
        <f>J1536/J1547</f>
        <v>38.0563</v>
      </c>
      <c r="K1548" s="16" t="s">
        <v>12</v>
      </c>
      <c r="L1548" s="75"/>
      <c r="M1548" s="19" t="s">
        <v>57</v>
      </c>
      <c r="N1548" s="16">
        <f>IF(C1530/J1527&lt;=1.5,0.25,IF(C1530/J1527&gt;=2,0.17,0.17+(0.25-0.17)/(C1530/J1527-1.5)*C1530/J1527))</f>
        <v>0.25</v>
      </c>
      <c r="O1548" s="29" t="s">
        <v>50</v>
      </c>
      <c r="P1548" s="75"/>
      <c r="Q1548" s="75"/>
    </row>
    <row r="1549" spans="2:17" x14ac:dyDescent="0.3">
      <c r="B1549" s="31" t="s">
        <v>115</v>
      </c>
      <c r="C1549" s="37">
        <f>O1544</f>
        <v>89.817490956693987</v>
      </c>
      <c r="D1549" s="29" t="s">
        <v>12</v>
      </c>
      <c r="E1549" s="75"/>
      <c r="F1549" s="75"/>
      <c r="G1549" s="75"/>
      <c r="H1549" s="75"/>
      <c r="I1549" s="19" t="s">
        <v>36</v>
      </c>
      <c r="J1549" s="35">
        <f>J1527*C1528*0.8-J1557</f>
        <v>5393.5714311552301</v>
      </c>
      <c r="K1549" s="16" t="s">
        <v>17</v>
      </c>
      <c r="L1549" s="75"/>
      <c r="M1549" s="19" t="s">
        <v>59</v>
      </c>
      <c r="N1549" s="30">
        <f>SQRT(C1523*0.0980665)*(1/0.0980665)/1000*J1549*N1548</f>
        <v>75.31064987429815</v>
      </c>
      <c r="O1549" s="29" t="s">
        <v>12</v>
      </c>
      <c r="P1549" s="75"/>
      <c r="Q1549" s="75"/>
    </row>
    <row r="1550" spans="2:17" x14ac:dyDescent="0.3">
      <c r="B1550" s="31" t="s">
        <v>116</v>
      </c>
      <c r="C1550" s="37">
        <f>O1559</f>
        <v>140.95493106255552</v>
      </c>
      <c r="D1550" s="29" t="s">
        <v>12</v>
      </c>
      <c r="E1550" s="75"/>
      <c r="F1550" s="75"/>
      <c r="G1550" s="75"/>
      <c r="H1550" s="75"/>
      <c r="I1550" s="19" t="s">
        <v>60</v>
      </c>
      <c r="J1550" s="34">
        <f>MIN(N1549,N1547)</f>
        <v>51.211241914522745</v>
      </c>
      <c r="K1550" s="29" t="s">
        <v>12</v>
      </c>
      <c r="L1550" s="75"/>
      <c r="M1550" s="75"/>
      <c r="N1550" s="75"/>
      <c r="O1550" s="75"/>
      <c r="P1550" s="75"/>
      <c r="Q1550" s="75"/>
    </row>
    <row r="1551" spans="2:17" x14ac:dyDescent="0.3">
      <c r="B1551" s="19" t="s">
        <v>117</v>
      </c>
      <c r="C1551" s="36">
        <f>C1544*2*C1529/C1541/J1524</f>
        <v>4.4879895051282755E-3</v>
      </c>
      <c r="D1551" s="16" t="s">
        <v>50</v>
      </c>
      <c r="E1551" s="75"/>
      <c r="F1551" s="75"/>
      <c r="G1551" s="75"/>
      <c r="H1551" s="75"/>
      <c r="I1551" s="19" t="s">
        <v>39</v>
      </c>
      <c r="J1551" s="34">
        <f>J1548-J1550</f>
        <v>-13.154941914522745</v>
      </c>
      <c r="K1551" s="16" t="s">
        <v>12</v>
      </c>
      <c r="L1551" s="75"/>
      <c r="M1551" s="75"/>
      <c r="N1551" s="75"/>
      <c r="O1551" s="75"/>
      <c r="P1551" s="75"/>
      <c r="Q1551" s="75"/>
    </row>
    <row r="1552" spans="2:17" x14ac:dyDescent="0.3">
      <c r="B1552" s="75"/>
      <c r="C1552" s="75"/>
      <c r="D1552" s="75"/>
      <c r="E1552" s="75"/>
      <c r="F1552" s="75"/>
      <c r="G1552" s="75"/>
      <c r="H1552" s="75"/>
      <c r="I1552" s="19" t="s">
        <v>61</v>
      </c>
      <c r="J1552" s="37">
        <f>MAX(J1551/(C1524*J1527/1000/100)/2,C1545)</f>
        <v>3.125</v>
      </c>
      <c r="K1552" s="29" t="s">
        <v>32</v>
      </c>
      <c r="L1552" s="75"/>
      <c r="M1552" s="75"/>
      <c r="N1552" s="75"/>
      <c r="O1552" s="75"/>
      <c r="P1552" s="75"/>
      <c r="Q1552" s="75"/>
    </row>
    <row r="1553" spans="2:17" x14ac:dyDescent="0.3">
      <c r="B1553" s="75"/>
      <c r="C1553" s="75"/>
      <c r="D1553" s="75"/>
      <c r="E1553" s="75"/>
      <c r="F1553" s="75"/>
      <c r="G1553" s="75"/>
      <c r="H1553" s="75"/>
      <c r="I1553" s="19" t="s">
        <v>65</v>
      </c>
      <c r="J1553" s="36">
        <f>J1552/C1528/100*2</f>
        <v>2.5000000000000001E-3</v>
      </c>
      <c r="K1553" s="16" t="s">
        <v>50</v>
      </c>
      <c r="L1553" s="75"/>
      <c r="M1553" s="75"/>
      <c r="N1553" s="75"/>
      <c r="O1553" s="75"/>
      <c r="P1553" s="75"/>
      <c r="Q1553" s="75"/>
    </row>
    <row r="1554" spans="2:17" x14ac:dyDescent="0.3">
      <c r="B1554" s="75"/>
      <c r="C1554" s="75"/>
      <c r="D1554" s="75"/>
      <c r="E1554" s="75"/>
      <c r="F1554" s="75"/>
      <c r="G1554" s="75"/>
      <c r="H1554" s="75"/>
      <c r="I1554" s="19" t="s">
        <v>53</v>
      </c>
      <c r="J1554" s="16">
        <f>MAX(0.0025,0.0025*0.5*(2.5-C1528/(C1529*0.8))*(J1553-0.0025))</f>
        <v>2.5000000000000001E-3</v>
      </c>
      <c r="K1554" s="29" t="s">
        <v>50</v>
      </c>
      <c r="L1554" s="75"/>
      <c r="M1554" s="39" t="str">
        <f>IF(OR(J1553&gt;J1554,ABS(J1553-J1554)&lt;0.0001),"[OK]","[REDISEÑAR]")</f>
        <v>[OK]</v>
      </c>
      <c r="N1554" s="75"/>
      <c r="O1554" s="75"/>
      <c r="P1554" s="75"/>
      <c r="Q1554" s="75"/>
    </row>
    <row r="1555" spans="2:17" x14ac:dyDescent="0.3">
      <c r="B1555" s="75"/>
      <c r="C1555" s="75"/>
      <c r="D1555" s="75"/>
      <c r="E1555" s="75"/>
      <c r="F1555" s="75"/>
      <c r="G1555" s="75"/>
      <c r="H1555" s="75"/>
      <c r="I1555" s="19" t="s">
        <v>47</v>
      </c>
      <c r="J1555" s="34">
        <f>SQRT(C1523*0.0980665)*(1/0.0980665)/1000*0.66*0.8*C1529*C1528</f>
        <v>249.92723308409288</v>
      </c>
      <c r="K1555" s="16" t="s">
        <v>12</v>
      </c>
      <c r="L1555" s="75"/>
      <c r="M1555" s="40" t="s">
        <v>44</v>
      </c>
      <c r="N1555" s="75"/>
      <c r="O1555" s="15"/>
      <c r="P1555" s="75"/>
      <c r="Q1555" s="75"/>
    </row>
    <row r="1556" spans="2:17" x14ac:dyDescent="0.3">
      <c r="B1556" s="75"/>
      <c r="C1556" s="75"/>
      <c r="D1556" s="75"/>
      <c r="E1556" s="75"/>
      <c r="F1556" s="75"/>
      <c r="G1556" s="75"/>
      <c r="H1556" s="75"/>
      <c r="I1556" s="63" t="s">
        <v>34</v>
      </c>
      <c r="J1556" s="63">
        <f>ROUNDDOWN(1/J1552*C1544*100,0)</f>
        <v>25</v>
      </c>
      <c r="K1556" s="64" t="s">
        <v>5</v>
      </c>
      <c r="L1556" s="75"/>
      <c r="M1556" s="39" t="str">
        <f>IF(OR(J1556&lt;10,J1556&gt;25),"[REDISEÑAR]","[OK")</f>
        <v>[OK</v>
      </c>
      <c r="N1556" s="41" t="s">
        <v>80</v>
      </c>
      <c r="O1556" s="42">
        <f>1/J1552*(C1540/2)^2*PI()</f>
        <v>25.132741228718345</v>
      </c>
      <c r="P1556" s="75" t="str">
        <f>"$\phi$"&amp;C1540&amp;"@"&amp;J1556</f>
        <v>$\phi$10@25</v>
      </c>
      <c r="Q1556" s="75"/>
    </row>
    <row r="1557" spans="2:17" x14ac:dyDescent="0.3">
      <c r="B1557" s="75"/>
      <c r="C1557" s="75"/>
      <c r="D1557" s="75"/>
      <c r="E1557" s="75"/>
      <c r="F1557" s="75"/>
      <c r="G1557" s="75"/>
      <c r="H1557" s="75"/>
      <c r="I1557" s="31" t="s">
        <v>48</v>
      </c>
      <c r="J1557" s="30">
        <f>C1544*2*IF(J1527/C1541&gt;=1,J1527/C1541,0)</f>
        <v>30.428568844769707</v>
      </c>
      <c r="K1557" s="29" t="s">
        <v>17</v>
      </c>
      <c r="L1557" s="75"/>
      <c r="M1557" s="75"/>
      <c r="N1557" s="15"/>
      <c r="O1557" s="15"/>
      <c r="P1557" s="75"/>
      <c r="Q1557" s="75"/>
    </row>
    <row r="1558" spans="2:17" x14ac:dyDescent="0.3">
      <c r="B1558" s="75"/>
      <c r="C1558" s="75"/>
      <c r="D1558" s="75"/>
      <c r="E1558" s="75"/>
      <c r="F1558" s="75"/>
      <c r="G1558" s="75"/>
      <c r="H1558" s="75"/>
      <c r="I1558" s="19" t="s">
        <v>81</v>
      </c>
      <c r="J1558" s="34">
        <f>MIN(J1557*C1524/1000,J1555)</f>
        <v>127.79998914803276</v>
      </c>
      <c r="K1558" s="16" t="s">
        <v>12</v>
      </c>
      <c r="L1558" s="75"/>
      <c r="M1558" s="40" t="s">
        <v>82</v>
      </c>
      <c r="N1558" s="15"/>
      <c r="O1558" s="15"/>
      <c r="P1558" s="75"/>
      <c r="Q1558" s="75"/>
    </row>
    <row r="1559" spans="2:17" x14ac:dyDescent="0.3">
      <c r="B1559" s="75"/>
      <c r="C1559" s="75"/>
      <c r="D1559" s="75"/>
      <c r="E1559" s="75"/>
      <c r="F1559" s="75"/>
      <c r="G1559" s="75"/>
      <c r="H1559" s="75"/>
      <c r="I1559" s="19" t="s">
        <v>79</v>
      </c>
      <c r="J1559" s="34">
        <f>J1558+J1550</f>
        <v>179.01123106255551</v>
      </c>
      <c r="K1559" s="16" t="s">
        <v>12</v>
      </c>
      <c r="L1559" s="75"/>
      <c r="M1559" s="39" t="str">
        <f>IF(J1559&gt;J1548,"[OK]","[REDISEÑAR]")</f>
        <v>[OK]</v>
      </c>
      <c r="N1559" s="41" t="str">
        <f>IF(O1559&gt;0,"Sobrado","Faltan")</f>
        <v>Sobrado</v>
      </c>
      <c r="O1559" s="43">
        <f>J1559-J1548</f>
        <v>140.95493106255552</v>
      </c>
      <c r="P1559" s="75"/>
      <c r="Q1559" s="75"/>
    </row>
    <row r="1560" spans="2:17" x14ac:dyDescent="0.3">
      <c r="B1560" s="75"/>
      <c r="C1560" s="75"/>
      <c r="D1560" s="75"/>
      <c r="E1560" s="75"/>
      <c r="F1560" s="75"/>
      <c r="G1560" s="75"/>
      <c r="H1560" s="75"/>
      <c r="J1560" s="75"/>
      <c r="K1560" s="75"/>
      <c r="L1560" s="75"/>
      <c r="M1560" s="75"/>
      <c r="N1560" s="75"/>
      <c r="O1560" s="75"/>
      <c r="P1560" s="75"/>
      <c r="Q1560" s="75"/>
    </row>
    <row r="1561" spans="2:17" x14ac:dyDescent="0.3">
      <c r="B1561" s="75"/>
      <c r="C1561" s="75"/>
      <c r="D1561" s="75"/>
      <c r="E1561" s="75"/>
      <c r="F1561" s="75"/>
      <c r="G1561" s="75"/>
      <c r="H1561" s="75"/>
      <c r="I1561" s="18" t="s">
        <v>45</v>
      </c>
      <c r="J1561" s="75"/>
      <c r="K1561" s="75"/>
      <c r="L1561" s="75"/>
      <c r="M1561" s="75"/>
      <c r="N1561" s="75"/>
      <c r="O1561" s="15"/>
      <c r="P1561" s="75"/>
      <c r="Q1561" s="75"/>
    </row>
    <row r="1562" spans="2:17" x14ac:dyDescent="0.3">
      <c r="B1562" s="75"/>
      <c r="C1562" s="75"/>
      <c r="D1562" s="75"/>
      <c r="E1562" s="75"/>
      <c r="F1562" s="75"/>
      <c r="G1562" s="75"/>
      <c r="H1562" s="75"/>
      <c r="I1562" s="19" t="s">
        <v>40</v>
      </c>
      <c r="J1562" s="16">
        <f>J1536</f>
        <v>22.833780000000001</v>
      </c>
      <c r="K1562" s="16" t="s">
        <v>12</v>
      </c>
      <c r="L1562" s="75"/>
      <c r="M1562" s="75"/>
      <c r="N1562" s="75"/>
      <c r="O1562" s="26"/>
      <c r="P1562" s="75"/>
      <c r="Q1562" s="75"/>
    </row>
    <row r="1563" spans="2:17" x14ac:dyDescent="0.3">
      <c r="B1563" s="75"/>
      <c r="C1563" s="75"/>
      <c r="D1563" s="75"/>
      <c r="E1563" s="75"/>
      <c r="F1563" s="75"/>
      <c r="G1563" s="75"/>
      <c r="H1563" s="75"/>
      <c r="I1563" s="19" t="s">
        <v>46</v>
      </c>
      <c r="J1563" s="34">
        <f>J1548</f>
        <v>38.0563</v>
      </c>
      <c r="K1563" s="16" t="s">
        <v>12</v>
      </c>
      <c r="L1563" s="75"/>
      <c r="M1563" s="75"/>
      <c r="N1563" s="75"/>
      <c r="O1563" s="75"/>
      <c r="P1563" s="75"/>
      <c r="Q1563" s="75"/>
    </row>
    <row r="1564" spans="2:17" x14ac:dyDescent="0.3">
      <c r="B1564" s="75"/>
      <c r="C1564" s="75"/>
      <c r="D1564" s="75"/>
      <c r="E1564" s="75"/>
      <c r="F1564" s="75"/>
      <c r="G1564" s="75"/>
      <c r="H1564" s="75"/>
      <c r="I1564" s="19" t="s">
        <v>38</v>
      </c>
      <c r="J1564" s="34">
        <f>2/3*J1549*SQRT(C1523*0.0980665)*(1/0.0980665)/1000</f>
        <v>200.82839966479511</v>
      </c>
      <c r="K1564" s="16" t="s">
        <v>12</v>
      </c>
      <c r="L1564" s="75"/>
      <c r="M1564" s="39" t="str">
        <f>IF(J1564&gt;J1563,"[OK]","[REDISEÑAR]")</f>
        <v>[OK]</v>
      </c>
      <c r="N1564" s="41" t="str">
        <f>IF(O1564&gt;0,"Sobrado","Faltan")</f>
        <v>Sobrado</v>
      </c>
      <c r="O1564" s="43">
        <f>J1564-J1563</f>
        <v>162.77209966479512</v>
      </c>
      <c r="P1564" s="75"/>
      <c r="Q1564" s="75"/>
    </row>
    <row r="1566" spans="2:17" ht="18" x14ac:dyDescent="0.35">
      <c r="B1566" s="48" t="str">
        <f>'EJE 15'!$S$29</f>
        <v>EJE 15.G-L | PIER F33X | PISO 12</v>
      </c>
      <c r="C1566" s="75"/>
      <c r="D1566" s="75"/>
      <c r="E1566" s="75"/>
      <c r="F1566" s="75"/>
      <c r="G1566" s="75"/>
      <c r="H1566" s="75"/>
      <c r="J1566" s="75"/>
      <c r="K1566" s="75"/>
      <c r="L1566" s="75"/>
      <c r="M1566" s="75"/>
      <c r="N1566" s="75"/>
      <c r="O1566" s="75"/>
      <c r="P1566" s="75"/>
      <c r="Q1566" s="75"/>
    </row>
    <row r="1567" spans="2:17" x14ac:dyDescent="0.3">
      <c r="B1567" s="75"/>
      <c r="C1567" s="75"/>
      <c r="D1567" s="75"/>
      <c r="E1567" s="75"/>
      <c r="F1567" s="75"/>
      <c r="G1567" s="75"/>
      <c r="H1567" s="75"/>
      <c r="J1567" s="75"/>
      <c r="K1567" s="75"/>
      <c r="L1567" s="75"/>
      <c r="M1567" s="75"/>
      <c r="N1567" s="75"/>
      <c r="O1567" s="75"/>
      <c r="P1567" s="75"/>
      <c r="Q1567" s="75"/>
    </row>
    <row r="1568" spans="2:17" x14ac:dyDescent="0.3">
      <c r="B1568" s="17" t="s">
        <v>6</v>
      </c>
      <c r="C1568" s="75"/>
      <c r="D1568" s="75"/>
      <c r="E1568" s="75"/>
      <c r="F1568" s="75"/>
      <c r="G1568" s="75"/>
      <c r="H1568" s="75"/>
      <c r="I1568" s="18" t="s">
        <v>25</v>
      </c>
      <c r="J1568" s="75"/>
      <c r="K1568" s="75"/>
      <c r="L1568" s="75"/>
      <c r="M1568" s="75"/>
      <c r="N1568" s="75"/>
      <c r="O1568" s="75"/>
      <c r="P1568" s="75"/>
      <c r="Q1568" s="75"/>
    </row>
    <row r="1569" spans="2:17" x14ac:dyDescent="0.3">
      <c r="B1569" s="19" t="s">
        <v>99</v>
      </c>
      <c r="C1569" s="61">
        <f>10.1971621297793*'EJE 15'!$G$29</f>
        <v>305.91486389337899</v>
      </c>
      <c r="D1569" s="16" t="s">
        <v>8</v>
      </c>
      <c r="E1569" s="75"/>
      <c r="F1569" s="75"/>
      <c r="G1569" s="75"/>
      <c r="H1569" s="75"/>
      <c r="I1569" s="19" t="s">
        <v>58</v>
      </c>
      <c r="J1569" s="16">
        <f>C1576/16</f>
        <v>14.375</v>
      </c>
      <c r="K1569" s="16" t="s">
        <v>5</v>
      </c>
      <c r="L1569" s="21"/>
      <c r="M1569" s="39" t="str">
        <f>IF(J1569&lt;C1574,"[OK]","[REDISEÑAR]")</f>
        <v>[OK]</v>
      </c>
      <c r="N1569" s="75"/>
      <c r="O1569" s="75"/>
      <c r="P1569" s="75"/>
      <c r="Q1569" s="75"/>
    </row>
    <row r="1570" spans="2:17" x14ac:dyDescent="0.3">
      <c r="B1570" s="19" t="s">
        <v>30</v>
      </c>
      <c r="C1570" s="16">
        <v>4200</v>
      </c>
      <c r="D1570" s="16" t="s">
        <v>8</v>
      </c>
      <c r="E1570" s="75"/>
      <c r="F1570" s="75"/>
      <c r="G1570" s="75"/>
      <c r="H1570" s="75"/>
      <c r="I1570" s="19" t="s">
        <v>16</v>
      </c>
      <c r="J1570" s="16">
        <f>C1574*C1575</f>
        <v>8475</v>
      </c>
      <c r="K1570" s="16" t="s">
        <v>17</v>
      </c>
      <c r="L1570" s="21"/>
      <c r="M1570" s="75"/>
      <c r="N1570" s="75"/>
      <c r="O1570" s="75"/>
      <c r="P1570" s="75"/>
      <c r="Q1570" s="75"/>
    </row>
    <row r="1571" spans="2:17" x14ac:dyDescent="0.3">
      <c r="B1571" s="19" t="s">
        <v>31</v>
      </c>
      <c r="C1571" s="16">
        <v>2800</v>
      </c>
      <c r="D1571" s="16" t="s">
        <v>8</v>
      </c>
      <c r="E1571" s="75"/>
      <c r="F1571" s="75"/>
      <c r="G1571" s="75"/>
      <c r="H1571" s="75"/>
      <c r="I1571" s="19" t="s">
        <v>51</v>
      </c>
      <c r="J1571" s="16">
        <f>MIN(0.8*C1575/5,3*C1574,45)</f>
        <v>45</v>
      </c>
      <c r="K1571" s="16" t="s">
        <v>5</v>
      </c>
      <c r="L1571" s="21"/>
      <c r="M1571" s="39" t="str">
        <f>IF(J1571&gt;C1587,"[OK]","[REDISEÑAR]")</f>
        <v>[OK]</v>
      </c>
      <c r="N1571" s="75"/>
      <c r="O1571" s="75"/>
      <c r="P1571" s="75"/>
      <c r="Q1571" s="75"/>
    </row>
    <row r="1572" spans="2:17" x14ac:dyDescent="0.3">
      <c r="B1572" s="75"/>
      <c r="C1572" s="75"/>
      <c r="D1572" s="75"/>
      <c r="E1572" s="75"/>
      <c r="F1572" s="75"/>
      <c r="G1572" s="75"/>
      <c r="H1572" s="75"/>
      <c r="I1572" s="19" t="s">
        <v>56</v>
      </c>
      <c r="J1572" s="16">
        <f>MIN(0.8*C1576/3,3*C1575,45)</f>
        <v>45</v>
      </c>
      <c r="K1572" s="16" t="s">
        <v>5</v>
      </c>
      <c r="L1572" s="21"/>
      <c r="M1572" s="39" t="str">
        <f>IF(J1572&gt;C1587,"[OK]","[REDISEÑAR]")</f>
        <v>[OK]</v>
      </c>
      <c r="N1572" s="75"/>
      <c r="O1572" s="75"/>
      <c r="P1572" s="75"/>
      <c r="Q1572" s="75"/>
    </row>
    <row r="1573" spans="2:17" x14ac:dyDescent="0.3">
      <c r="B1573" s="17" t="s">
        <v>3</v>
      </c>
      <c r="C1573" s="75"/>
      <c r="D1573" s="75"/>
      <c r="E1573" s="75"/>
      <c r="F1573" s="75"/>
      <c r="G1573" s="75"/>
      <c r="H1573" s="75"/>
      <c r="I1573" s="19" t="s">
        <v>62</v>
      </c>
      <c r="J1573" s="16">
        <f>0.8*C1575</f>
        <v>271.2</v>
      </c>
      <c r="K1573" s="29" t="s">
        <v>5</v>
      </c>
      <c r="L1573" s="75"/>
      <c r="M1573" s="75"/>
      <c r="N1573" s="75"/>
      <c r="O1573" s="75"/>
      <c r="P1573" s="75"/>
      <c r="Q1573" s="75"/>
    </row>
    <row r="1574" spans="2:17" x14ac:dyDescent="0.3">
      <c r="B1574" s="19" t="str">
        <f>"Espesor del muro (h)"</f>
        <v>Espesor del muro (h)</v>
      </c>
      <c r="C1574" s="49">
        <f>'EJE 15'!$H$29</f>
        <v>25</v>
      </c>
      <c r="D1574" s="16" t="s">
        <v>5</v>
      </c>
      <c r="E1574" s="75"/>
      <c r="F1574" s="75"/>
      <c r="G1574" s="75"/>
      <c r="H1574" s="75"/>
      <c r="J1574" s="75"/>
      <c r="K1574" s="75"/>
      <c r="L1574" s="75"/>
      <c r="M1574" s="75"/>
      <c r="N1574" s="75"/>
      <c r="O1574" s="75"/>
      <c r="P1574" s="75"/>
      <c r="Q1574" s="75"/>
    </row>
    <row r="1575" spans="2:17" x14ac:dyDescent="0.3">
      <c r="B1575" s="19" t="s">
        <v>63</v>
      </c>
      <c r="C1575" s="49">
        <f>'EJE 15'!$I$29</f>
        <v>339</v>
      </c>
      <c r="D1575" s="16" t="s">
        <v>5</v>
      </c>
      <c r="E1575" s="75"/>
      <c r="F1575" s="75"/>
      <c r="G1575" s="75"/>
      <c r="H1575" s="75"/>
      <c r="I1575" s="18" t="s">
        <v>26</v>
      </c>
      <c r="J1575" s="75"/>
      <c r="K1575" s="75"/>
      <c r="L1575" s="75"/>
      <c r="M1575" s="75"/>
      <c r="N1575" s="75"/>
      <c r="O1575" s="75"/>
      <c r="P1575" s="75"/>
      <c r="Q1575" s="75"/>
    </row>
    <row r="1576" spans="2:17" x14ac:dyDescent="0.3">
      <c r="B1576" s="19" t="s">
        <v>10</v>
      </c>
      <c r="C1576" s="49">
        <f>'EJE 15'!$J$29</f>
        <v>230</v>
      </c>
      <c r="D1576" s="16" t="s">
        <v>5</v>
      </c>
      <c r="E1576" s="75"/>
      <c r="F1576" s="75"/>
      <c r="G1576" s="75"/>
      <c r="H1576" s="75"/>
      <c r="I1576" s="19" t="s">
        <v>28</v>
      </c>
      <c r="J1576" s="16">
        <f>0.35*C1569</f>
        <v>107.07020236268264</v>
      </c>
      <c r="K1576" s="16" t="s">
        <v>8</v>
      </c>
      <c r="L1576" s="21"/>
      <c r="M1576" s="75"/>
      <c r="N1576" s="75"/>
      <c r="O1576" s="75"/>
      <c r="P1576" s="75"/>
      <c r="Q1576" s="75"/>
    </row>
    <row r="1577" spans="2:17" x14ac:dyDescent="0.3">
      <c r="B1577" s="75"/>
      <c r="C1577" s="75"/>
      <c r="D1577" s="75"/>
      <c r="E1577" s="75"/>
      <c r="F1577" s="75"/>
      <c r="G1577" s="75"/>
      <c r="H1577" s="75"/>
      <c r="I1577" s="19" t="s">
        <v>27</v>
      </c>
      <c r="J1577" s="30">
        <f>C1579*1000/J1570</f>
        <v>15.96075516224189</v>
      </c>
      <c r="K1577" s="16" t="s">
        <v>8</v>
      </c>
      <c r="L1577" s="21"/>
      <c r="M1577" s="39" t="str">
        <f>IF(J1577&lt;J1576,"[OK]","[REDISEÑAR]")</f>
        <v>[OK]</v>
      </c>
      <c r="N1577" s="41" t="s">
        <v>112</v>
      </c>
      <c r="O1577" s="59">
        <f>J1577/J1576</f>
        <v>0.14906813296361826</v>
      </c>
      <c r="P1577" s="75"/>
      <c r="Q1577" s="75"/>
    </row>
    <row r="1578" spans="2:17" x14ac:dyDescent="0.3">
      <c r="B1578" s="17" t="s">
        <v>11</v>
      </c>
      <c r="C1578" s="75"/>
      <c r="D1578" s="75"/>
      <c r="E1578" s="75"/>
      <c r="F1578" s="75"/>
      <c r="G1578" s="75"/>
      <c r="H1578" s="75"/>
      <c r="J1578" s="75"/>
      <c r="K1578" s="75"/>
      <c r="L1578" s="75"/>
      <c r="M1578" s="75"/>
      <c r="N1578" s="75"/>
      <c r="O1578" s="75"/>
      <c r="P1578" s="75"/>
      <c r="Q1578" s="75"/>
    </row>
    <row r="1579" spans="2:17" x14ac:dyDescent="0.3">
      <c r="B1579" s="19" t="str">
        <f>"$N_U$"</f>
        <v>$N_U$</v>
      </c>
      <c r="C1579" s="60">
        <f>'EJE 15'!$K$29</f>
        <v>135.26740000000001</v>
      </c>
      <c r="D1579" s="16" t="s">
        <v>12</v>
      </c>
      <c r="E1579" s="75"/>
      <c r="F1579" s="75"/>
      <c r="G1579" s="75"/>
      <c r="H1579" s="75"/>
      <c r="I1579" s="18" t="s">
        <v>54</v>
      </c>
      <c r="J1579" s="75"/>
      <c r="K1579" s="75"/>
      <c r="L1579" s="75"/>
      <c r="M1579" s="75"/>
      <c r="N1579" s="75"/>
      <c r="O1579" s="75"/>
      <c r="P1579" s="75"/>
      <c r="Q1579" s="75"/>
    </row>
    <row r="1580" spans="2:17" x14ac:dyDescent="0.3">
      <c r="B1580" s="19" t="s">
        <v>14</v>
      </c>
      <c r="C1580" s="60">
        <f>'EJE 15'!$L$29</f>
        <v>2.5070000000000001</v>
      </c>
      <c r="D1580" s="16" t="s">
        <v>12</v>
      </c>
      <c r="E1580" s="75"/>
      <c r="F1580" s="75"/>
      <c r="G1580" s="75"/>
      <c r="H1580" s="75"/>
      <c r="I1580" s="19" t="s">
        <v>72</v>
      </c>
      <c r="J1580" s="16">
        <f>1.2*C1580+C1581+1.4*C1582</f>
        <v>22.833780000000001</v>
      </c>
      <c r="K1580" s="16" t="s">
        <v>12</v>
      </c>
      <c r="L1580" s="75"/>
      <c r="M1580" s="75" t="s">
        <v>68</v>
      </c>
      <c r="N1580" s="75"/>
      <c r="O1580" s="75"/>
      <c r="P1580" s="75"/>
      <c r="Q1580" s="75"/>
    </row>
    <row r="1581" spans="2:17" x14ac:dyDescent="0.3">
      <c r="B1581" s="19" t="s">
        <v>13</v>
      </c>
      <c r="C1581" s="60">
        <f>'EJE 15'!$M$29</f>
        <v>5.0799999999999998E-2</v>
      </c>
      <c r="D1581" s="16" t="s">
        <v>12</v>
      </c>
      <c r="E1581" s="75"/>
      <c r="F1581" s="75"/>
      <c r="G1581" s="75"/>
      <c r="H1581" s="75"/>
      <c r="I1581" s="19" t="s">
        <v>69</v>
      </c>
      <c r="J1581" s="16">
        <f>SUM(C1580:C1582)</f>
        <v>16.682500000000001</v>
      </c>
      <c r="K1581" s="16" t="s">
        <v>12</v>
      </c>
      <c r="L1581" s="75"/>
      <c r="M1581" s="75" t="s">
        <v>70</v>
      </c>
      <c r="N1581" s="75"/>
      <c r="O1581" s="75"/>
      <c r="P1581" s="75"/>
      <c r="Q1581" s="75"/>
    </row>
    <row r="1582" spans="2:17" x14ac:dyDescent="0.3">
      <c r="B1582" s="19" t="s">
        <v>15</v>
      </c>
      <c r="C1582" s="60">
        <f>'EJE 15'!$N$29</f>
        <v>14.124700000000001</v>
      </c>
      <c r="D1582" s="16" t="s">
        <v>12</v>
      </c>
      <c r="E1582" s="75"/>
      <c r="F1582" s="75"/>
      <c r="G1582" s="75"/>
      <c r="H1582" s="75"/>
      <c r="I1582" s="19" t="s">
        <v>73</v>
      </c>
      <c r="J1582" s="16">
        <f>IF(C1583=0,J1580,C1583)</f>
        <v>22.833780000000001</v>
      </c>
      <c r="K1582" s="16" t="s">
        <v>12</v>
      </c>
      <c r="L1582" s="75"/>
      <c r="M1582" s="40" t="s">
        <v>74</v>
      </c>
      <c r="N1582" s="75"/>
      <c r="O1582" s="75"/>
      <c r="P1582" s="75"/>
      <c r="Q1582" s="75"/>
    </row>
    <row r="1583" spans="2:17" x14ac:dyDescent="0.3">
      <c r="B1583" s="19" t="s">
        <v>55</v>
      </c>
      <c r="C1583" s="16">
        <v>0</v>
      </c>
      <c r="D1583" s="16" t="s">
        <v>12</v>
      </c>
      <c r="E1583" s="75"/>
      <c r="F1583" s="75"/>
      <c r="G1583" s="75"/>
      <c r="H1583" s="75"/>
      <c r="I1583" s="19" t="s">
        <v>71</v>
      </c>
      <c r="J1583" s="16">
        <f>IF(C1583=0,J1581,C1583)</f>
        <v>16.682500000000001</v>
      </c>
      <c r="K1583" s="16" t="s">
        <v>12</v>
      </c>
      <c r="L1583" s="75"/>
      <c r="M1583" s="40" t="s">
        <v>75</v>
      </c>
      <c r="N1583" s="75"/>
      <c r="O1583" s="75"/>
      <c r="P1583" s="75"/>
      <c r="Q1583" s="75"/>
    </row>
    <row r="1584" spans="2:17" x14ac:dyDescent="0.3">
      <c r="B1584" s="75"/>
      <c r="C1584" s="75"/>
      <c r="D1584" s="75"/>
      <c r="E1584" s="75"/>
      <c r="F1584" s="75"/>
      <c r="G1584" s="75"/>
      <c r="H1584" s="75"/>
      <c r="J1584" s="75"/>
      <c r="K1584" s="75"/>
      <c r="L1584" s="75"/>
      <c r="M1584" s="75"/>
      <c r="N1584" s="75"/>
      <c r="O1584" s="75"/>
      <c r="P1584" s="75"/>
      <c r="Q1584" s="75"/>
    </row>
    <row r="1585" spans="2:17" x14ac:dyDescent="0.3">
      <c r="B1585" s="33" t="s">
        <v>42</v>
      </c>
      <c r="C1585" s="75"/>
      <c r="D1585" s="75"/>
      <c r="E1585" s="75"/>
      <c r="F1585" s="75"/>
      <c r="G1585" s="75"/>
      <c r="H1585" s="75"/>
      <c r="I1585" s="27" t="s">
        <v>76</v>
      </c>
      <c r="J1585" s="75"/>
      <c r="K1585" s="75"/>
      <c r="L1585" s="75"/>
      <c r="M1585" s="75"/>
      <c r="N1585" s="75"/>
      <c r="O1585" s="75"/>
      <c r="P1585" s="75"/>
      <c r="Q1585" s="75"/>
    </row>
    <row r="1586" spans="2:17" x14ac:dyDescent="0.3">
      <c r="B1586" s="31" t="s">
        <v>41</v>
      </c>
      <c r="C1586" s="16">
        <v>10</v>
      </c>
      <c r="D1586" s="29" t="s">
        <v>35</v>
      </c>
      <c r="E1586" s="75"/>
      <c r="F1586" s="75"/>
      <c r="G1586" s="75"/>
      <c r="H1586" s="75"/>
      <c r="I1586" s="19" t="s">
        <v>29</v>
      </c>
      <c r="J1586" s="30">
        <f>J1583*1000/J1570</f>
        <v>1.9684365781710915</v>
      </c>
      <c r="K1586" s="29" t="s">
        <v>8</v>
      </c>
      <c r="L1586" s="75"/>
      <c r="M1586" s="75"/>
      <c r="N1586" s="75"/>
      <c r="O1586" s="75"/>
      <c r="P1586" s="75"/>
      <c r="Q1586" s="75"/>
    </row>
    <row r="1587" spans="2:17" x14ac:dyDescent="0.3">
      <c r="B1587" s="31" t="s">
        <v>43</v>
      </c>
      <c r="C1587" s="16">
        <v>14</v>
      </c>
      <c r="D1587" s="29" t="s">
        <v>5</v>
      </c>
      <c r="E1587" s="75"/>
      <c r="F1587" s="39" t="str">
        <f>IF(OR(C1587&gt;25,C1587&lt;10),"[REDISEÑAR]",IF(AND(C1587&lt;=J1588,C1587&lt;=J1602),"[OK]","[REDISEÑAR]"))</f>
        <v>[OK]</v>
      </c>
      <c r="G1587" s="75"/>
      <c r="H1587" s="75"/>
      <c r="I1587" s="19" t="s">
        <v>61</v>
      </c>
      <c r="J1587" s="37">
        <f>MAX(J1586*100*C1574/(2*C1571),C1591)</f>
        <v>3.125</v>
      </c>
      <c r="K1587" s="29" t="s">
        <v>32</v>
      </c>
      <c r="L1587" s="75"/>
      <c r="M1587" s="15"/>
      <c r="N1587" s="15"/>
      <c r="O1587" s="15"/>
      <c r="P1587" s="75"/>
      <c r="Q1587" s="75"/>
    </row>
    <row r="1588" spans="2:17" x14ac:dyDescent="0.3">
      <c r="B1588" s="75"/>
      <c r="C1588" s="50" t="str">
        <f>"$\phi$"&amp;C1586&amp;"@"&amp;C1587</f>
        <v>$\phi$10@14</v>
      </c>
      <c r="D1588" s="75"/>
      <c r="E1588" s="75"/>
      <c r="F1588" s="39" t="str">
        <f>IF(OR(J1587=C1591,J1598=C1591),"[ÁREA MINIMA]","[]")</f>
        <v>[ÁREA MINIMA]</v>
      </c>
      <c r="G1588" s="75"/>
      <c r="H1588" s="75"/>
      <c r="I1588" s="63" t="s">
        <v>34</v>
      </c>
      <c r="J1588" s="63">
        <f>ROUNDDOWN((1/J1587)*C1590*100,0)</f>
        <v>25</v>
      </c>
      <c r="K1588" s="64" t="s">
        <v>5</v>
      </c>
      <c r="L1588" s="75"/>
      <c r="M1588" s="39" t="str">
        <f>IF(OR(J1588&lt;10,J1588&gt;25),"[REDISEÑAR]","[OK")</f>
        <v>[OK</v>
      </c>
      <c r="N1588" s="41" t="s">
        <v>80</v>
      </c>
      <c r="O1588" s="42">
        <f>1/J1587*(C1586/2)^2*PI()</f>
        <v>25.132741228718345</v>
      </c>
      <c r="P1588" s="75" t="str">
        <f>"$\phi$"&amp;C1586&amp;"@"&amp;J1588</f>
        <v>$\phi$10@25</v>
      </c>
      <c r="Q1588" s="75"/>
    </row>
    <row r="1589" spans="2:17" x14ac:dyDescent="0.3">
      <c r="B1589" s="18" t="s">
        <v>52</v>
      </c>
      <c r="C1589" s="75"/>
      <c r="D1589" s="75"/>
      <c r="E1589" s="75"/>
      <c r="F1589" s="62" t="str">
        <f>IF(J1577&lt;J1576,IF(J1605&gt;J1594,"[OK]","[REDISEÑAR]"),"[REDISEÑAR]")</f>
        <v>[OK]</v>
      </c>
      <c r="G1589" s="75"/>
      <c r="H1589" s="75"/>
      <c r="I1589" s="31" t="s">
        <v>48</v>
      </c>
      <c r="J1589" s="30">
        <f>C1590*2*IF(C1575/C1587&gt;=1,C1575/C1587,0)</f>
        <v>38.035711055962139</v>
      </c>
      <c r="K1589" s="29" t="s">
        <v>17</v>
      </c>
      <c r="L1589" s="75"/>
      <c r="M1589" s="75"/>
      <c r="N1589" s="15"/>
      <c r="O1589" s="44"/>
      <c r="P1589" s="75"/>
      <c r="Q1589" s="75"/>
    </row>
    <row r="1590" spans="2:17" x14ac:dyDescent="0.3">
      <c r="B1590" s="31" t="s">
        <v>66</v>
      </c>
      <c r="C1590" s="30">
        <f>(C1586/(2*10))^2*PI()</f>
        <v>0.78539816339744828</v>
      </c>
      <c r="D1590" s="29" t="s">
        <v>17</v>
      </c>
      <c r="E1590" s="75"/>
      <c r="F1590" s="75"/>
      <c r="G1590" s="75"/>
      <c r="H1590" s="75"/>
      <c r="I1590" s="19" t="s">
        <v>49</v>
      </c>
      <c r="J1590" s="34">
        <f>C1571*J1589/1000</f>
        <v>106.49999095669399</v>
      </c>
      <c r="K1590" s="16" t="s">
        <v>12</v>
      </c>
      <c r="L1590" s="75"/>
      <c r="M1590" s="39" t="str">
        <f>IF(J1590&gt;J1583,"[OK]","[REDISEÑAR]")</f>
        <v>[OK]</v>
      </c>
      <c r="N1590" s="41" t="str">
        <f>IF(O1590&gt;0,"Sobrado","Faltan")</f>
        <v>Sobrado</v>
      </c>
      <c r="O1590" s="43">
        <f>J1590-J1583</f>
        <v>89.817490956693987</v>
      </c>
      <c r="P1590" s="75"/>
      <c r="Q1590" s="75"/>
    </row>
    <row r="1591" spans="2:17" x14ac:dyDescent="0.3">
      <c r="B1591" s="31" t="s">
        <v>78</v>
      </c>
      <c r="C1591" s="37">
        <f>2.5/1000*100*C1574/2</f>
        <v>3.125</v>
      </c>
      <c r="D1591" s="16" t="s">
        <v>17</v>
      </c>
      <c r="E1591" s="75"/>
      <c r="F1591" s="75"/>
      <c r="G1591" s="75"/>
      <c r="H1591" s="75"/>
      <c r="J1591" s="75"/>
      <c r="K1591" s="75"/>
      <c r="L1591" s="75"/>
      <c r="M1591" s="75"/>
      <c r="N1591" s="75"/>
      <c r="O1591" s="15"/>
      <c r="P1591" s="75"/>
      <c r="Q1591" s="75"/>
    </row>
    <row r="1592" spans="2:17" x14ac:dyDescent="0.3">
      <c r="B1592" s="31" t="s">
        <v>114</v>
      </c>
      <c r="C1592" s="37">
        <f>C1590*100/C1587</f>
        <v>5.6099868814103448</v>
      </c>
      <c r="D1592" s="29" t="s">
        <v>32</v>
      </c>
      <c r="E1592" s="75"/>
      <c r="F1592" s="75"/>
      <c r="G1592" s="75"/>
      <c r="H1592" s="75"/>
      <c r="I1592" s="18" t="s">
        <v>77</v>
      </c>
      <c r="J1592" s="75"/>
      <c r="K1592" s="75"/>
      <c r="L1592" s="75"/>
      <c r="M1592" s="17" t="s">
        <v>67</v>
      </c>
      <c r="N1592" s="75"/>
      <c r="O1592" s="75"/>
      <c r="P1592" s="75"/>
      <c r="Q1592" s="75"/>
    </row>
    <row r="1593" spans="2:17" x14ac:dyDescent="0.3">
      <c r="B1593" s="75"/>
      <c r="C1593" s="75"/>
      <c r="D1593" s="75"/>
      <c r="E1593" s="75"/>
      <c r="F1593" s="75"/>
      <c r="G1593" s="75"/>
      <c r="H1593" s="75"/>
      <c r="I1593" s="19" t="s">
        <v>33</v>
      </c>
      <c r="J1593" s="16">
        <v>0.6</v>
      </c>
      <c r="K1593" s="16" t="s">
        <v>50</v>
      </c>
      <c r="L1593" s="75"/>
      <c r="M1593" s="19" t="s">
        <v>64</v>
      </c>
      <c r="N1593" s="30">
        <f>SQRT(C1569*0.0980665)*(1/0.0980665)/1000*J1595*0.17</f>
        <v>51.211241914522745</v>
      </c>
      <c r="O1593" s="16" t="s">
        <v>12</v>
      </c>
      <c r="P1593" s="75"/>
      <c r="Q1593" s="75"/>
    </row>
    <row r="1594" spans="2:17" x14ac:dyDescent="0.3">
      <c r="B1594" s="17" t="s">
        <v>37</v>
      </c>
      <c r="C1594" s="75"/>
      <c r="D1594" s="75"/>
      <c r="E1594" s="75"/>
      <c r="F1594" s="75"/>
      <c r="G1594" s="75"/>
      <c r="H1594" s="75"/>
      <c r="I1594" s="19" t="s">
        <v>46</v>
      </c>
      <c r="J1594" s="34">
        <f>J1582/J1593</f>
        <v>38.0563</v>
      </c>
      <c r="K1594" s="16" t="s">
        <v>12</v>
      </c>
      <c r="L1594" s="75"/>
      <c r="M1594" s="19" t="s">
        <v>57</v>
      </c>
      <c r="N1594" s="16">
        <f>IF(C1576/J1573&lt;=1.5,0.25,IF(C1576/J1573&gt;=2,0.17,0.17+(0.25-0.17)/(C1576/J1573-1.5)*C1576/J1573))</f>
        <v>0.25</v>
      </c>
      <c r="O1594" s="29" t="s">
        <v>50</v>
      </c>
      <c r="P1594" s="75"/>
      <c r="Q1594" s="75"/>
    </row>
    <row r="1595" spans="2:17" x14ac:dyDescent="0.3">
      <c r="B1595" s="31" t="s">
        <v>115</v>
      </c>
      <c r="C1595" s="37">
        <f>O1590</f>
        <v>89.817490956693987</v>
      </c>
      <c r="D1595" s="29" t="s">
        <v>12</v>
      </c>
      <c r="E1595" s="75"/>
      <c r="F1595" s="75"/>
      <c r="G1595" s="75"/>
      <c r="H1595" s="75"/>
      <c r="I1595" s="19" t="s">
        <v>36</v>
      </c>
      <c r="J1595" s="35">
        <f>J1573*C1574*0.8-J1603</f>
        <v>5393.5714311552301</v>
      </c>
      <c r="K1595" s="16" t="s">
        <v>17</v>
      </c>
      <c r="L1595" s="75"/>
      <c r="M1595" s="19" t="s">
        <v>59</v>
      </c>
      <c r="N1595" s="30">
        <f>SQRT(C1569*0.0980665)*(1/0.0980665)/1000*J1595*N1594</f>
        <v>75.31064987429815</v>
      </c>
      <c r="O1595" s="29" t="s">
        <v>12</v>
      </c>
      <c r="P1595" s="75"/>
      <c r="Q1595" s="75"/>
    </row>
    <row r="1596" spans="2:17" x14ac:dyDescent="0.3">
      <c r="B1596" s="31" t="s">
        <v>116</v>
      </c>
      <c r="C1596" s="37">
        <f>O1605</f>
        <v>140.95493106255552</v>
      </c>
      <c r="D1596" s="29" t="s">
        <v>12</v>
      </c>
      <c r="E1596" s="75"/>
      <c r="F1596" s="75"/>
      <c r="G1596" s="75"/>
      <c r="H1596" s="75"/>
      <c r="I1596" s="19" t="s">
        <v>60</v>
      </c>
      <c r="J1596" s="34">
        <f>MIN(N1595,N1593)</f>
        <v>51.211241914522745</v>
      </c>
      <c r="K1596" s="29" t="s">
        <v>12</v>
      </c>
      <c r="L1596" s="75"/>
      <c r="M1596" s="75"/>
      <c r="N1596" s="75"/>
      <c r="O1596" s="75"/>
      <c r="P1596" s="75"/>
      <c r="Q1596" s="75"/>
    </row>
    <row r="1597" spans="2:17" x14ac:dyDescent="0.3">
      <c r="B1597" s="19" t="s">
        <v>117</v>
      </c>
      <c r="C1597" s="36">
        <f>C1590*2*C1575/C1587/J1570</f>
        <v>4.4879895051282755E-3</v>
      </c>
      <c r="D1597" s="16" t="s">
        <v>50</v>
      </c>
      <c r="E1597" s="75"/>
      <c r="F1597" s="75"/>
      <c r="G1597" s="75"/>
      <c r="H1597" s="75"/>
      <c r="I1597" s="19" t="s">
        <v>39</v>
      </c>
      <c r="J1597" s="34">
        <f>J1594-J1596</f>
        <v>-13.154941914522745</v>
      </c>
      <c r="K1597" s="16" t="s">
        <v>12</v>
      </c>
      <c r="L1597" s="75"/>
      <c r="M1597" s="75"/>
      <c r="N1597" s="75"/>
      <c r="O1597" s="75"/>
      <c r="P1597" s="75"/>
      <c r="Q1597" s="75"/>
    </row>
    <row r="1598" spans="2:17" x14ac:dyDescent="0.3">
      <c r="B1598" s="75"/>
      <c r="C1598" s="75"/>
      <c r="D1598" s="75"/>
      <c r="E1598" s="75"/>
      <c r="F1598" s="75"/>
      <c r="G1598" s="75"/>
      <c r="H1598" s="75"/>
      <c r="I1598" s="19" t="s">
        <v>61</v>
      </c>
      <c r="J1598" s="37">
        <f>MAX(J1597/(C1570*J1573/1000/100)/2,C1591)</f>
        <v>3.125</v>
      </c>
      <c r="K1598" s="29" t="s">
        <v>32</v>
      </c>
      <c r="L1598" s="75"/>
      <c r="M1598" s="75"/>
      <c r="N1598" s="75"/>
      <c r="O1598" s="75"/>
      <c r="P1598" s="75"/>
      <c r="Q1598" s="75"/>
    </row>
    <row r="1599" spans="2:17" x14ac:dyDescent="0.3">
      <c r="B1599" s="75"/>
      <c r="C1599" s="75"/>
      <c r="D1599" s="75"/>
      <c r="E1599" s="75"/>
      <c r="F1599" s="75"/>
      <c r="G1599" s="75"/>
      <c r="H1599" s="75"/>
      <c r="I1599" s="19" t="s">
        <v>65</v>
      </c>
      <c r="J1599" s="36">
        <f>J1598/C1574/100*2</f>
        <v>2.5000000000000001E-3</v>
      </c>
      <c r="K1599" s="16" t="s">
        <v>50</v>
      </c>
      <c r="L1599" s="75"/>
      <c r="M1599" s="75"/>
      <c r="N1599" s="75"/>
      <c r="O1599" s="75"/>
      <c r="P1599" s="75"/>
      <c r="Q1599" s="75"/>
    </row>
    <row r="1600" spans="2:17" x14ac:dyDescent="0.3">
      <c r="B1600" s="75"/>
      <c r="C1600" s="75"/>
      <c r="D1600" s="75"/>
      <c r="E1600" s="75"/>
      <c r="F1600" s="75"/>
      <c r="G1600" s="75"/>
      <c r="H1600" s="75"/>
      <c r="I1600" s="19" t="s">
        <v>53</v>
      </c>
      <c r="J1600" s="16">
        <f>MAX(0.0025,0.0025*0.5*(2.5-C1574/(C1575*0.8))*(J1599-0.0025))</f>
        <v>2.5000000000000001E-3</v>
      </c>
      <c r="K1600" s="29" t="s">
        <v>50</v>
      </c>
      <c r="L1600" s="75"/>
      <c r="M1600" s="39" t="str">
        <f>IF(OR(J1599&gt;J1600,ABS(J1599-J1600)&lt;0.0001),"[OK]","[REDISEÑAR]")</f>
        <v>[OK]</v>
      </c>
      <c r="N1600" s="75"/>
      <c r="O1600" s="75"/>
      <c r="P1600" s="75"/>
      <c r="Q1600" s="75"/>
    </row>
    <row r="1601" spans="2:17" x14ac:dyDescent="0.3">
      <c r="B1601" s="75"/>
      <c r="C1601" s="75"/>
      <c r="D1601" s="75"/>
      <c r="E1601" s="75"/>
      <c r="F1601" s="75"/>
      <c r="G1601" s="75"/>
      <c r="H1601" s="75"/>
      <c r="I1601" s="19" t="s">
        <v>47</v>
      </c>
      <c r="J1601" s="34">
        <f>SQRT(C1569*0.0980665)*(1/0.0980665)/1000*0.66*0.8*C1575*C1574</f>
        <v>249.92723308409288</v>
      </c>
      <c r="K1601" s="16" t="s">
        <v>12</v>
      </c>
      <c r="L1601" s="75"/>
      <c r="M1601" s="40" t="s">
        <v>44</v>
      </c>
      <c r="N1601" s="75"/>
      <c r="O1601" s="15"/>
      <c r="P1601" s="75"/>
      <c r="Q1601" s="75"/>
    </row>
    <row r="1602" spans="2:17" x14ac:dyDescent="0.3">
      <c r="B1602" s="75"/>
      <c r="C1602" s="75"/>
      <c r="D1602" s="75"/>
      <c r="E1602" s="75"/>
      <c r="F1602" s="75"/>
      <c r="G1602" s="75"/>
      <c r="H1602" s="75"/>
      <c r="I1602" s="63" t="s">
        <v>34</v>
      </c>
      <c r="J1602" s="63">
        <f>ROUNDDOWN(1/J1598*C1590*100,0)</f>
        <v>25</v>
      </c>
      <c r="K1602" s="64" t="s">
        <v>5</v>
      </c>
      <c r="L1602" s="75"/>
      <c r="M1602" s="39" t="str">
        <f>IF(OR(J1602&lt;10,J1602&gt;25),"[REDISEÑAR]","[OK")</f>
        <v>[OK</v>
      </c>
      <c r="N1602" s="41" t="s">
        <v>80</v>
      </c>
      <c r="O1602" s="42">
        <f>1/J1598*(C1586/2)^2*PI()</f>
        <v>25.132741228718345</v>
      </c>
      <c r="P1602" s="75" t="str">
        <f>"$\phi$"&amp;C1586&amp;"@"&amp;J1602</f>
        <v>$\phi$10@25</v>
      </c>
      <c r="Q1602" s="75"/>
    </row>
    <row r="1603" spans="2:17" x14ac:dyDescent="0.3">
      <c r="B1603" s="75"/>
      <c r="C1603" s="75"/>
      <c r="D1603" s="75"/>
      <c r="E1603" s="75"/>
      <c r="F1603" s="75"/>
      <c r="G1603" s="75"/>
      <c r="H1603" s="75"/>
      <c r="I1603" s="31" t="s">
        <v>48</v>
      </c>
      <c r="J1603" s="30">
        <f>C1590*2*IF(J1573/C1587&gt;=1,J1573/C1587,0)</f>
        <v>30.428568844769707</v>
      </c>
      <c r="K1603" s="29" t="s">
        <v>17</v>
      </c>
      <c r="L1603" s="75"/>
      <c r="M1603" s="75"/>
      <c r="N1603" s="15"/>
      <c r="O1603" s="15"/>
      <c r="P1603" s="75"/>
      <c r="Q1603" s="75"/>
    </row>
    <row r="1604" spans="2:17" x14ac:dyDescent="0.3">
      <c r="B1604" s="75"/>
      <c r="C1604" s="75"/>
      <c r="D1604" s="75"/>
      <c r="E1604" s="75"/>
      <c r="F1604" s="75"/>
      <c r="G1604" s="75"/>
      <c r="H1604" s="75"/>
      <c r="I1604" s="19" t="s">
        <v>81</v>
      </c>
      <c r="J1604" s="34">
        <f>MIN(J1603*C1570/1000,J1601)</f>
        <v>127.79998914803276</v>
      </c>
      <c r="K1604" s="16" t="s">
        <v>12</v>
      </c>
      <c r="L1604" s="75"/>
      <c r="M1604" s="40" t="s">
        <v>82</v>
      </c>
      <c r="N1604" s="15"/>
      <c r="O1604" s="15"/>
      <c r="P1604" s="75"/>
      <c r="Q1604" s="75"/>
    </row>
    <row r="1605" spans="2:17" x14ac:dyDescent="0.3">
      <c r="B1605" s="75"/>
      <c r="C1605" s="75"/>
      <c r="D1605" s="75"/>
      <c r="E1605" s="75"/>
      <c r="F1605" s="75"/>
      <c r="G1605" s="75"/>
      <c r="H1605" s="75"/>
      <c r="I1605" s="19" t="s">
        <v>79</v>
      </c>
      <c r="J1605" s="34">
        <f>J1604+J1596</f>
        <v>179.01123106255551</v>
      </c>
      <c r="K1605" s="16" t="s">
        <v>12</v>
      </c>
      <c r="L1605" s="75"/>
      <c r="M1605" s="39" t="str">
        <f>IF(J1605&gt;J1594,"[OK]","[REDISEÑAR]")</f>
        <v>[OK]</v>
      </c>
      <c r="N1605" s="41" t="str">
        <f>IF(O1605&gt;0,"Sobrado","Faltan")</f>
        <v>Sobrado</v>
      </c>
      <c r="O1605" s="43">
        <f>J1605-J1594</f>
        <v>140.95493106255552</v>
      </c>
      <c r="P1605" s="75"/>
      <c r="Q1605" s="75"/>
    </row>
    <row r="1606" spans="2:17" x14ac:dyDescent="0.3">
      <c r="B1606" s="75"/>
      <c r="C1606" s="75"/>
      <c r="D1606" s="75"/>
      <c r="E1606" s="75"/>
      <c r="F1606" s="75"/>
      <c r="G1606" s="75"/>
      <c r="H1606" s="75"/>
      <c r="J1606" s="75"/>
      <c r="K1606" s="75"/>
      <c r="L1606" s="75"/>
      <c r="M1606" s="75"/>
      <c r="N1606" s="75"/>
      <c r="O1606" s="75"/>
      <c r="P1606" s="75"/>
      <c r="Q1606" s="75"/>
    </row>
    <row r="1607" spans="2:17" x14ac:dyDescent="0.3">
      <c r="B1607" s="75"/>
      <c r="C1607" s="75"/>
      <c r="D1607" s="75"/>
      <c r="E1607" s="75"/>
      <c r="F1607" s="75"/>
      <c r="G1607" s="75"/>
      <c r="H1607" s="75"/>
      <c r="I1607" s="18" t="s">
        <v>45</v>
      </c>
      <c r="J1607" s="75"/>
      <c r="K1607" s="75"/>
      <c r="L1607" s="75"/>
      <c r="M1607" s="75"/>
      <c r="N1607" s="75"/>
      <c r="O1607" s="15"/>
      <c r="P1607" s="75"/>
      <c r="Q1607" s="75"/>
    </row>
    <row r="1608" spans="2:17" x14ac:dyDescent="0.3">
      <c r="B1608" s="75"/>
      <c r="C1608" s="75"/>
      <c r="D1608" s="75"/>
      <c r="E1608" s="75"/>
      <c r="F1608" s="75"/>
      <c r="G1608" s="75"/>
      <c r="H1608" s="75"/>
      <c r="I1608" s="19" t="s">
        <v>40</v>
      </c>
      <c r="J1608" s="16">
        <f>J1582</f>
        <v>22.833780000000001</v>
      </c>
      <c r="K1608" s="16" t="s">
        <v>12</v>
      </c>
      <c r="L1608" s="75"/>
      <c r="M1608" s="75"/>
      <c r="N1608" s="75"/>
      <c r="O1608" s="26"/>
      <c r="P1608" s="75"/>
      <c r="Q1608" s="75"/>
    </row>
    <row r="1609" spans="2:17" x14ac:dyDescent="0.3">
      <c r="B1609" s="75"/>
      <c r="C1609" s="75"/>
      <c r="D1609" s="75"/>
      <c r="E1609" s="75"/>
      <c r="F1609" s="75"/>
      <c r="G1609" s="75"/>
      <c r="H1609" s="75"/>
      <c r="I1609" s="19" t="s">
        <v>46</v>
      </c>
      <c r="J1609" s="34">
        <f>J1594</f>
        <v>38.0563</v>
      </c>
      <c r="K1609" s="16" t="s">
        <v>12</v>
      </c>
      <c r="L1609" s="75"/>
      <c r="M1609" s="75"/>
      <c r="N1609" s="75"/>
      <c r="O1609" s="75"/>
      <c r="P1609" s="75"/>
      <c r="Q1609" s="75"/>
    </row>
    <row r="1610" spans="2:17" x14ac:dyDescent="0.3">
      <c r="B1610" s="75"/>
      <c r="C1610" s="75"/>
      <c r="D1610" s="75"/>
      <c r="E1610" s="75"/>
      <c r="F1610" s="75"/>
      <c r="G1610" s="75"/>
      <c r="H1610" s="75"/>
      <c r="I1610" s="19" t="s">
        <v>38</v>
      </c>
      <c r="J1610" s="34">
        <f>2/3*J1595*SQRT(C1569*0.0980665)*(1/0.0980665)/1000</f>
        <v>200.82839966479511</v>
      </c>
      <c r="K1610" s="16" t="s">
        <v>12</v>
      </c>
      <c r="L1610" s="75"/>
      <c r="M1610" s="39" t="str">
        <f>IF(J1610&gt;J1609,"[OK]","[REDISEÑAR]")</f>
        <v>[OK]</v>
      </c>
      <c r="N1610" s="41" t="str">
        <f>IF(O1610&gt;0,"Sobrado","Faltan")</f>
        <v>Sobrado</v>
      </c>
      <c r="O1610" s="43">
        <f>J1610-J1609</f>
        <v>162.77209966479512</v>
      </c>
      <c r="P1610" s="75"/>
      <c r="Q1610" s="75"/>
    </row>
    <row r="1612" spans="2:17" ht="18" x14ac:dyDescent="0.35">
      <c r="B1612" s="48" t="str">
        <f>'EJE 15'!$S$29</f>
        <v>EJE 15.G-L | PIER F33X | PISO 12</v>
      </c>
      <c r="C1612" s="75"/>
      <c r="D1612" s="75"/>
      <c r="E1612" s="75"/>
      <c r="F1612" s="75"/>
      <c r="G1612" s="75"/>
      <c r="H1612" s="75"/>
      <c r="J1612" s="75"/>
      <c r="K1612" s="75"/>
      <c r="L1612" s="75"/>
      <c r="M1612" s="75"/>
      <c r="N1612" s="75"/>
      <c r="O1612" s="75"/>
      <c r="P1612" s="75"/>
      <c r="Q1612" s="75"/>
    </row>
    <row r="1613" spans="2:17" x14ac:dyDescent="0.3">
      <c r="B1613" s="75"/>
      <c r="C1613" s="75"/>
      <c r="D1613" s="75"/>
      <c r="E1613" s="75"/>
      <c r="F1613" s="75"/>
      <c r="G1613" s="75"/>
      <c r="H1613" s="75"/>
      <c r="J1613" s="75"/>
      <c r="K1613" s="75"/>
      <c r="L1613" s="75"/>
      <c r="M1613" s="75"/>
      <c r="N1613" s="75"/>
      <c r="O1613" s="75"/>
      <c r="P1613" s="75"/>
      <c r="Q1613" s="75"/>
    </row>
    <row r="1614" spans="2:17" x14ac:dyDescent="0.3">
      <c r="B1614" s="17" t="s">
        <v>6</v>
      </c>
      <c r="C1614" s="75"/>
      <c r="D1614" s="75"/>
      <c r="E1614" s="75"/>
      <c r="F1614" s="75"/>
      <c r="G1614" s="75"/>
      <c r="H1614" s="75"/>
      <c r="I1614" s="18" t="s">
        <v>25</v>
      </c>
      <c r="J1614" s="75"/>
      <c r="K1614" s="75"/>
      <c r="L1614" s="75"/>
      <c r="M1614" s="75"/>
      <c r="N1614" s="75"/>
      <c r="O1614" s="75"/>
      <c r="P1614" s="75"/>
      <c r="Q1614" s="75"/>
    </row>
    <row r="1615" spans="2:17" x14ac:dyDescent="0.3">
      <c r="B1615" s="19" t="s">
        <v>99</v>
      </c>
      <c r="C1615" s="61">
        <f>10.1971621297793*'EJE 15'!$G$29</f>
        <v>305.91486389337899</v>
      </c>
      <c r="D1615" s="16" t="s">
        <v>8</v>
      </c>
      <c r="E1615" s="75"/>
      <c r="F1615" s="75"/>
      <c r="G1615" s="75"/>
      <c r="H1615" s="75"/>
      <c r="I1615" s="19" t="s">
        <v>58</v>
      </c>
      <c r="J1615" s="16">
        <f>C1622/16</f>
        <v>14.375</v>
      </c>
      <c r="K1615" s="16" t="s">
        <v>5</v>
      </c>
      <c r="L1615" s="21"/>
      <c r="M1615" s="39" t="str">
        <f>IF(J1615&lt;C1620,"[OK]","[REDISEÑAR]")</f>
        <v>[OK]</v>
      </c>
      <c r="N1615" s="75"/>
      <c r="O1615" s="75"/>
      <c r="P1615" s="75"/>
      <c r="Q1615" s="75"/>
    </row>
    <row r="1616" spans="2:17" x14ac:dyDescent="0.3">
      <c r="B1616" s="19" t="s">
        <v>30</v>
      </c>
      <c r="C1616" s="16">
        <v>4200</v>
      </c>
      <c r="D1616" s="16" t="s">
        <v>8</v>
      </c>
      <c r="E1616" s="75"/>
      <c r="F1616" s="75"/>
      <c r="G1616" s="75"/>
      <c r="H1616" s="75"/>
      <c r="I1616" s="19" t="s">
        <v>16</v>
      </c>
      <c r="J1616" s="16">
        <f>C1620*C1621</f>
        <v>8475</v>
      </c>
      <c r="K1616" s="16" t="s">
        <v>17</v>
      </c>
      <c r="L1616" s="21"/>
      <c r="M1616" s="75"/>
      <c r="N1616" s="75"/>
      <c r="O1616" s="75"/>
      <c r="P1616" s="75"/>
      <c r="Q1616" s="75"/>
    </row>
    <row r="1617" spans="2:17" x14ac:dyDescent="0.3">
      <c r="B1617" s="19" t="s">
        <v>31</v>
      </c>
      <c r="C1617" s="16">
        <v>2800</v>
      </c>
      <c r="D1617" s="16" t="s">
        <v>8</v>
      </c>
      <c r="E1617" s="75"/>
      <c r="F1617" s="75"/>
      <c r="G1617" s="75"/>
      <c r="H1617" s="75"/>
      <c r="I1617" s="19" t="s">
        <v>51</v>
      </c>
      <c r="J1617" s="16">
        <f>MIN(0.8*C1621/5,3*C1620,45)</f>
        <v>45</v>
      </c>
      <c r="K1617" s="16" t="s">
        <v>5</v>
      </c>
      <c r="L1617" s="21"/>
      <c r="M1617" s="39" t="str">
        <f>IF(J1617&gt;C1633,"[OK]","[REDISEÑAR]")</f>
        <v>[OK]</v>
      </c>
      <c r="N1617" s="75"/>
      <c r="O1617" s="75"/>
      <c r="P1617" s="75"/>
      <c r="Q1617" s="75"/>
    </row>
    <row r="1618" spans="2:17" x14ac:dyDescent="0.3">
      <c r="B1618" s="75"/>
      <c r="C1618" s="75"/>
      <c r="D1618" s="75"/>
      <c r="E1618" s="75"/>
      <c r="F1618" s="75"/>
      <c r="G1618" s="75"/>
      <c r="H1618" s="75"/>
      <c r="I1618" s="19" t="s">
        <v>56</v>
      </c>
      <c r="J1618" s="16">
        <f>MIN(0.8*C1622/3,3*C1621,45)</f>
        <v>45</v>
      </c>
      <c r="K1618" s="16" t="s">
        <v>5</v>
      </c>
      <c r="L1618" s="21"/>
      <c r="M1618" s="39" t="str">
        <f>IF(J1618&gt;C1633,"[OK]","[REDISEÑAR]")</f>
        <v>[OK]</v>
      </c>
      <c r="N1618" s="75"/>
      <c r="O1618" s="75"/>
      <c r="P1618" s="75"/>
      <c r="Q1618" s="75"/>
    </row>
    <row r="1619" spans="2:17" x14ac:dyDescent="0.3">
      <c r="B1619" s="17" t="s">
        <v>3</v>
      </c>
      <c r="C1619" s="75"/>
      <c r="D1619" s="75"/>
      <c r="E1619" s="75"/>
      <c r="F1619" s="75"/>
      <c r="G1619" s="75"/>
      <c r="H1619" s="75"/>
      <c r="I1619" s="19" t="s">
        <v>62</v>
      </c>
      <c r="J1619" s="16">
        <f>0.8*C1621</f>
        <v>271.2</v>
      </c>
      <c r="K1619" s="29" t="s">
        <v>5</v>
      </c>
      <c r="L1619" s="75"/>
      <c r="M1619" s="75"/>
      <c r="N1619" s="75"/>
      <c r="O1619" s="75"/>
      <c r="P1619" s="75"/>
      <c r="Q1619" s="75"/>
    </row>
    <row r="1620" spans="2:17" x14ac:dyDescent="0.3">
      <c r="B1620" s="19" t="str">
        <f>"Espesor del muro (h)"</f>
        <v>Espesor del muro (h)</v>
      </c>
      <c r="C1620" s="49">
        <f>'EJE 15'!$H$29</f>
        <v>25</v>
      </c>
      <c r="D1620" s="16" t="s">
        <v>5</v>
      </c>
      <c r="E1620" s="75"/>
      <c r="F1620" s="75"/>
      <c r="G1620" s="75"/>
      <c r="H1620" s="75"/>
      <c r="J1620" s="75"/>
      <c r="K1620" s="75"/>
      <c r="L1620" s="75"/>
      <c r="M1620" s="75"/>
      <c r="N1620" s="75"/>
      <c r="O1620" s="75"/>
      <c r="P1620" s="75"/>
      <c r="Q1620" s="75"/>
    </row>
    <row r="1621" spans="2:17" x14ac:dyDescent="0.3">
      <c r="B1621" s="19" t="s">
        <v>63</v>
      </c>
      <c r="C1621" s="49">
        <f>'EJE 15'!$I$29</f>
        <v>339</v>
      </c>
      <c r="D1621" s="16" t="s">
        <v>5</v>
      </c>
      <c r="E1621" s="75"/>
      <c r="F1621" s="75"/>
      <c r="G1621" s="75"/>
      <c r="H1621" s="75"/>
      <c r="I1621" s="18" t="s">
        <v>26</v>
      </c>
      <c r="J1621" s="75"/>
      <c r="K1621" s="75"/>
      <c r="L1621" s="75"/>
      <c r="M1621" s="75"/>
      <c r="N1621" s="75"/>
      <c r="O1621" s="75"/>
      <c r="P1621" s="75"/>
      <c r="Q1621" s="75"/>
    </row>
    <row r="1622" spans="2:17" x14ac:dyDescent="0.3">
      <c r="B1622" s="19" t="s">
        <v>10</v>
      </c>
      <c r="C1622" s="49">
        <f>'EJE 15'!$J$29</f>
        <v>230</v>
      </c>
      <c r="D1622" s="16" t="s">
        <v>5</v>
      </c>
      <c r="E1622" s="75"/>
      <c r="F1622" s="75"/>
      <c r="G1622" s="75"/>
      <c r="H1622" s="75"/>
      <c r="I1622" s="19" t="s">
        <v>28</v>
      </c>
      <c r="J1622" s="16">
        <f>0.35*C1615</f>
        <v>107.07020236268264</v>
      </c>
      <c r="K1622" s="16" t="s">
        <v>8</v>
      </c>
      <c r="L1622" s="21"/>
      <c r="M1622" s="75"/>
      <c r="N1622" s="75"/>
      <c r="O1622" s="75"/>
      <c r="P1622" s="75"/>
      <c r="Q1622" s="75"/>
    </row>
    <row r="1623" spans="2:17" x14ac:dyDescent="0.3">
      <c r="B1623" s="75"/>
      <c r="C1623" s="75"/>
      <c r="D1623" s="75"/>
      <c r="E1623" s="75"/>
      <c r="F1623" s="75"/>
      <c r="G1623" s="75"/>
      <c r="H1623" s="75"/>
      <c r="I1623" s="19" t="s">
        <v>27</v>
      </c>
      <c r="J1623" s="30">
        <f>C1625*1000/J1616</f>
        <v>15.96075516224189</v>
      </c>
      <c r="K1623" s="16" t="s">
        <v>8</v>
      </c>
      <c r="L1623" s="21"/>
      <c r="M1623" s="39" t="str">
        <f>IF(J1623&lt;J1622,"[OK]","[REDISEÑAR]")</f>
        <v>[OK]</v>
      </c>
      <c r="N1623" s="41" t="s">
        <v>112</v>
      </c>
      <c r="O1623" s="59">
        <f>J1623/J1622</f>
        <v>0.14906813296361826</v>
      </c>
      <c r="P1623" s="75"/>
      <c r="Q1623" s="75"/>
    </row>
    <row r="1624" spans="2:17" x14ac:dyDescent="0.3">
      <c r="B1624" s="17" t="s">
        <v>11</v>
      </c>
      <c r="C1624" s="75"/>
      <c r="D1624" s="75"/>
      <c r="E1624" s="75"/>
      <c r="F1624" s="75"/>
      <c r="G1624" s="75"/>
      <c r="H1624" s="75"/>
      <c r="J1624" s="75"/>
      <c r="K1624" s="75"/>
      <c r="L1624" s="75"/>
      <c r="M1624" s="75"/>
      <c r="N1624" s="75"/>
      <c r="O1624" s="75"/>
      <c r="P1624" s="75"/>
      <c r="Q1624" s="75"/>
    </row>
    <row r="1625" spans="2:17" x14ac:dyDescent="0.3">
      <c r="B1625" s="19" t="str">
        <f>"$N_U$"</f>
        <v>$N_U$</v>
      </c>
      <c r="C1625" s="60">
        <f>'EJE 15'!$K$29</f>
        <v>135.26740000000001</v>
      </c>
      <c r="D1625" s="16" t="s">
        <v>12</v>
      </c>
      <c r="E1625" s="75"/>
      <c r="F1625" s="75"/>
      <c r="G1625" s="75"/>
      <c r="H1625" s="75"/>
      <c r="I1625" s="18" t="s">
        <v>54</v>
      </c>
      <c r="J1625" s="75"/>
      <c r="K1625" s="75"/>
      <c r="L1625" s="75"/>
      <c r="M1625" s="75"/>
      <c r="N1625" s="75"/>
      <c r="O1625" s="75"/>
      <c r="P1625" s="75"/>
      <c r="Q1625" s="75"/>
    </row>
    <row r="1626" spans="2:17" x14ac:dyDescent="0.3">
      <c r="B1626" s="19" t="s">
        <v>14</v>
      </c>
      <c r="C1626" s="60">
        <f>'EJE 15'!$L$29</f>
        <v>2.5070000000000001</v>
      </c>
      <c r="D1626" s="16" t="s">
        <v>12</v>
      </c>
      <c r="E1626" s="75"/>
      <c r="F1626" s="75"/>
      <c r="G1626" s="75"/>
      <c r="H1626" s="75"/>
      <c r="I1626" s="19" t="s">
        <v>72</v>
      </c>
      <c r="J1626" s="16">
        <f>1.2*C1626+C1627+1.4*C1628</f>
        <v>22.833780000000001</v>
      </c>
      <c r="K1626" s="16" t="s">
        <v>12</v>
      </c>
      <c r="L1626" s="75"/>
      <c r="M1626" s="75" t="s">
        <v>68</v>
      </c>
      <c r="N1626" s="75"/>
      <c r="O1626" s="75"/>
      <c r="P1626" s="75"/>
      <c r="Q1626" s="75"/>
    </row>
    <row r="1627" spans="2:17" x14ac:dyDescent="0.3">
      <c r="B1627" s="19" t="s">
        <v>13</v>
      </c>
      <c r="C1627" s="60">
        <f>'EJE 15'!$M$29</f>
        <v>5.0799999999999998E-2</v>
      </c>
      <c r="D1627" s="16" t="s">
        <v>12</v>
      </c>
      <c r="E1627" s="75"/>
      <c r="F1627" s="75"/>
      <c r="G1627" s="75"/>
      <c r="H1627" s="75"/>
      <c r="I1627" s="19" t="s">
        <v>69</v>
      </c>
      <c r="J1627" s="16">
        <f>SUM(C1626:C1628)</f>
        <v>16.682500000000001</v>
      </c>
      <c r="K1627" s="16" t="s">
        <v>12</v>
      </c>
      <c r="L1627" s="75"/>
      <c r="M1627" s="75" t="s">
        <v>70</v>
      </c>
      <c r="N1627" s="75"/>
      <c r="O1627" s="75"/>
      <c r="P1627" s="75"/>
      <c r="Q1627" s="75"/>
    </row>
    <row r="1628" spans="2:17" x14ac:dyDescent="0.3">
      <c r="B1628" s="19" t="s">
        <v>15</v>
      </c>
      <c r="C1628" s="60">
        <f>'EJE 15'!$N$29</f>
        <v>14.124700000000001</v>
      </c>
      <c r="D1628" s="16" t="s">
        <v>12</v>
      </c>
      <c r="E1628" s="75"/>
      <c r="F1628" s="75"/>
      <c r="G1628" s="75"/>
      <c r="H1628" s="75"/>
      <c r="I1628" s="19" t="s">
        <v>73</v>
      </c>
      <c r="J1628" s="16">
        <f>IF(C1629=0,J1626,C1629)</f>
        <v>22.833780000000001</v>
      </c>
      <c r="K1628" s="16" t="s">
        <v>12</v>
      </c>
      <c r="L1628" s="75"/>
      <c r="M1628" s="40" t="s">
        <v>74</v>
      </c>
      <c r="N1628" s="75"/>
      <c r="O1628" s="75"/>
      <c r="P1628" s="75"/>
      <c r="Q1628" s="75"/>
    </row>
    <row r="1629" spans="2:17" x14ac:dyDescent="0.3">
      <c r="B1629" s="19" t="s">
        <v>55</v>
      </c>
      <c r="C1629" s="16">
        <v>0</v>
      </c>
      <c r="D1629" s="16" t="s">
        <v>12</v>
      </c>
      <c r="E1629" s="75"/>
      <c r="F1629" s="75"/>
      <c r="G1629" s="75"/>
      <c r="H1629" s="75"/>
      <c r="I1629" s="19" t="s">
        <v>71</v>
      </c>
      <c r="J1629" s="16">
        <f>IF(C1629=0,J1627,C1629)</f>
        <v>16.682500000000001</v>
      </c>
      <c r="K1629" s="16" t="s">
        <v>12</v>
      </c>
      <c r="L1629" s="75"/>
      <c r="M1629" s="40" t="s">
        <v>75</v>
      </c>
      <c r="N1629" s="75"/>
      <c r="O1629" s="75"/>
      <c r="P1629" s="75"/>
      <c r="Q1629" s="75"/>
    </row>
    <row r="1630" spans="2:17" x14ac:dyDescent="0.3">
      <c r="B1630" s="75"/>
      <c r="C1630" s="75"/>
      <c r="D1630" s="75"/>
      <c r="E1630" s="75"/>
      <c r="F1630" s="75"/>
      <c r="G1630" s="75"/>
      <c r="H1630" s="75"/>
      <c r="J1630" s="75"/>
      <c r="K1630" s="75"/>
      <c r="L1630" s="75"/>
      <c r="M1630" s="75"/>
      <c r="N1630" s="75"/>
      <c r="O1630" s="75"/>
      <c r="P1630" s="75"/>
      <c r="Q1630" s="75"/>
    </row>
    <row r="1631" spans="2:17" x14ac:dyDescent="0.3">
      <c r="B1631" s="33" t="s">
        <v>42</v>
      </c>
      <c r="C1631" s="75"/>
      <c r="D1631" s="75"/>
      <c r="E1631" s="75"/>
      <c r="F1631" s="75"/>
      <c r="G1631" s="75"/>
      <c r="H1631" s="75"/>
      <c r="I1631" s="27" t="s">
        <v>76</v>
      </c>
      <c r="J1631" s="75"/>
      <c r="K1631" s="75"/>
      <c r="L1631" s="75"/>
      <c r="M1631" s="75"/>
      <c r="N1631" s="75"/>
      <c r="O1631" s="75"/>
      <c r="P1631" s="75"/>
      <c r="Q1631" s="75"/>
    </row>
    <row r="1632" spans="2:17" x14ac:dyDescent="0.3">
      <c r="B1632" s="31" t="s">
        <v>41</v>
      </c>
      <c r="C1632" s="16">
        <v>10</v>
      </c>
      <c r="D1632" s="29" t="s">
        <v>35</v>
      </c>
      <c r="E1632" s="75"/>
      <c r="F1632" s="75"/>
      <c r="G1632" s="75"/>
      <c r="H1632" s="75"/>
      <c r="I1632" s="19" t="s">
        <v>29</v>
      </c>
      <c r="J1632" s="30">
        <f>J1629*1000/J1616</f>
        <v>1.9684365781710915</v>
      </c>
      <c r="K1632" s="29" t="s">
        <v>8</v>
      </c>
      <c r="L1632" s="75"/>
      <c r="M1632" s="75"/>
      <c r="N1632" s="75"/>
      <c r="O1632" s="75"/>
      <c r="P1632" s="75"/>
      <c r="Q1632" s="75"/>
    </row>
    <row r="1633" spans="2:17" x14ac:dyDescent="0.3">
      <c r="B1633" s="31" t="s">
        <v>43</v>
      </c>
      <c r="C1633" s="16">
        <v>14</v>
      </c>
      <c r="D1633" s="29" t="s">
        <v>5</v>
      </c>
      <c r="E1633" s="75"/>
      <c r="F1633" s="39" t="str">
        <f>IF(OR(C1633&gt;25,C1633&lt;10),"[REDISEÑAR]",IF(AND(C1633&lt;=J1634,C1633&lt;=J1648),"[OK]","[REDISEÑAR]"))</f>
        <v>[OK]</v>
      </c>
      <c r="G1633" s="75"/>
      <c r="H1633" s="75"/>
      <c r="I1633" s="19" t="s">
        <v>61</v>
      </c>
      <c r="J1633" s="37">
        <f>MAX(J1632*100*C1620/(2*C1617),C1637)</f>
        <v>3.125</v>
      </c>
      <c r="K1633" s="29" t="s">
        <v>32</v>
      </c>
      <c r="L1633" s="75"/>
      <c r="M1633" s="15"/>
      <c r="N1633" s="15"/>
      <c r="O1633" s="15"/>
      <c r="P1633" s="75"/>
      <c r="Q1633" s="75"/>
    </row>
    <row r="1634" spans="2:17" x14ac:dyDescent="0.3">
      <c r="B1634" s="75"/>
      <c r="C1634" s="50" t="str">
        <f>"$\phi$"&amp;C1632&amp;"@"&amp;C1633</f>
        <v>$\phi$10@14</v>
      </c>
      <c r="D1634" s="75"/>
      <c r="E1634" s="75"/>
      <c r="F1634" s="39" t="str">
        <f>IF(OR(J1633=C1637,J1644=C1637),"[ÁREA MINIMA]","[]")</f>
        <v>[ÁREA MINIMA]</v>
      </c>
      <c r="G1634" s="75"/>
      <c r="H1634" s="75"/>
      <c r="I1634" s="63" t="s">
        <v>34</v>
      </c>
      <c r="J1634" s="63">
        <f>ROUNDDOWN((1/J1633)*C1636*100,0)</f>
        <v>25</v>
      </c>
      <c r="K1634" s="64" t="s">
        <v>5</v>
      </c>
      <c r="L1634" s="75"/>
      <c r="M1634" s="39" t="str">
        <f>IF(OR(J1634&lt;10,J1634&gt;25),"[REDISEÑAR]","[OK")</f>
        <v>[OK</v>
      </c>
      <c r="N1634" s="41" t="s">
        <v>80</v>
      </c>
      <c r="O1634" s="42">
        <f>1/J1633*(C1632/2)^2*PI()</f>
        <v>25.132741228718345</v>
      </c>
      <c r="P1634" s="75" t="str">
        <f>"$\phi$"&amp;C1632&amp;"@"&amp;J1634</f>
        <v>$\phi$10@25</v>
      </c>
      <c r="Q1634" s="75"/>
    </row>
    <row r="1635" spans="2:17" x14ac:dyDescent="0.3">
      <c r="B1635" s="18" t="s">
        <v>52</v>
      </c>
      <c r="C1635" s="75"/>
      <c r="D1635" s="75"/>
      <c r="E1635" s="75"/>
      <c r="F1635" s="62" t="str">
        <f>IF(J1623&lt;J1622,IF(J1651&gt;J1640,"[OK]","[REDISEÑAR]"),"[REDISEÑAR]")</f>
        <v>[OK]</v>
      </c>
      <c r="G1635" s="75"/>
      <c r="H1635" s="75"/>
      <c r="I1635" s="31" t="s">
        <v>48</v>
      </c>
      <c r="J1635" s="30">
        <f>C1636*2*IF(C1621/C1633&gt;=1,C1621/C1633,0)</f>
        <v>38.035711055962139</v>
      </c>
      <c r="K1635" s="29" t="s">
        <v>17</v>
      </c>
      <c r="L1635" s="75"/>
      <c r="M1635" s="75"/>
      <c r="N1635" s="15"/>
      <c r="O1635" s="44"/>
      <c r="P1635" s="75"/>
      <c r="Q1635" s="75"/>
    </row>
    <row r="1636" spans="2:17" x14ac:dyDescent="0.3">
      <c r="B1636" s="31" t="s">
        <v>66</v>
      </c>
      <c r="C1636" s="30">
        <f>(C1632/(2*10))^2*PI()</f>
        <v>0.78539816339744828</v>
      </c>
      <c r="D1636" s="29" t="s">
        <v>17</v>
      </c>
      <c r="E1636" s="75"/>
      <c r="F1636" s="75"/>
      <c r="G1636" s="75"/>
      <c r="H1636" s="75"/>
      <c r="I1636" s="19" t="s">
        <v>49</v>
      </c>
      <c r="J1636" s="34">
        <f>C1617*J1635/1000</f>
        <v>106.49999095669399</v>
      </c>
      <c r="K1636" s="16" t="s">
        <v>12</v>
      </c>
      <c r="L1636" s="75"/>
      <c r="M1636" s="39" t="str">
        <f>IF(J1636&gt;J1629,"[OK]","[REDISEÑAR]")</f>
        <v>[OK]</v>
      </c>
      <c r="N1636" s="41" t="str">
        <f>IF(O1636&gt;0,"Sobrado","Faltan")</f>
        <v>Sobrado</v>
      </c>
      <c r="O1636" s="43">
        <f>J1636-J1629</f>
        <v>89.817490956693987</v>
      </c>
      <c r="P1636" s="75"/>
      <c r="Q1636" s="75"/>
    </row>
    <row r="1637" spans="2:17" x14ac:dyDescent="0.3">
      <c r="B1637" s="31" t="s">
        <v>78</v>
      </c>
      <c r="C1637" s="37">
        <f>2.5/1000*100*C1620/2</f>
        <v>3.125</v>
      </c>
      <c r="D1637" s="16" t="s">
        <v>17</v>
      </c>
      <c r="E1637" s="75"/>
      <c r="F1637" s="75"/>
      <c r="G1637" s="75"/>
      <c r="H1637" s="75"/>
      <c r="J1637" s="75"/>
      <c r="K1637" s="75"/>
      <c r="L1637" s="75"/>
      <c r="M1637" s="75"/>
      <c r="N1637" s="75"/>
      <c r="O1637" s="15"/>
      <c r="P1637" s="75"/>
      <c r="Q1637" s="75"/>
    </row>
    <row r="1638" spans="2:17" x14ac:dyDescent="0.3">
      <c r="B1638" s="31" t="s">
        <v>114</v>
      </c>
      <c r="C1638" s="37">
        <f>C1636*100/C1633</f>
        <v>5.6099868814103448</v>
      </c>
      <c r="D1638" s="29" t="s">
        <v>32</v>
      </c>
      <c r="E1638" s="75"/>
      <c r="F1638" s="75"/>
      <c r="G1638" s="75"/>
      <c r="H1638" s="75"/>
      <c r="I1638" s="18" t="s">
        <v>77</v>
      </c>
      <c r="J1638" s="75"/>
      <c r="K1638" s="75"/>
      <c r="L1638" s="75"/>
      <c r="M1638" s="17" t="s">
        <v>67</v>
      </c>
      <c r="N1638" s="75"/>
      <c r="O1638" s="75"/>
      <c r="P1638" s="75"/>
      <c r="Q1638" s="75"/>
    </row>
    <row r="1639" spans="2:17" x14ac:dyDescent="0.3">
      <c r="B1639" s="75"/>
      <c r="C1639" s="75"/>
      <c r="D1639" s="75"/>
      <c r="E1639" s="75"/>
      <c r="F1639" s="75"/>
      <c r="G1639" s="75"/>
      <c r="H1639" s="75"/>
      <c r="I1639" s="19" t="s">
        <v>33</v>
      </c>
      <c r="J1639" s="16">
        <v>0.6</v>
      </c>
      <c r="K1639" s="16" t="s">
        <v>50</v>
      </c>
      <c r="L1639" s="75"/>
      <c r="M1639" s="19" t="s">
        <v>64</v>
      </c>
      <c r="N1639" s="30">
        <f>SQRT(C1615*0.0980665)*(1/0.0980665)/1000*J1641*0.17</f>
        <v>51.211241914522745</v>
      </c>
      <c r="O1639" s="16" t="s">
        <v>12</v>
      </c>
      <c r="P1639" s="75"/>
      <c r="Q1639" s="75"/>
    </row>
    <row r="1640" spans="2:17" x14ac:dyDescent="0.3">
      <c r="B1640" s="17" t="s">
        <v>37</v>
      </c>
      <c r="C1640" s="75"/>
      <c r="D1640" s="75"/>
      <c r="E1640" s="75"/>
      <c r="F1640" s="75"/>
      <c r="G1640" s="75"/>
      <c r="H1640" s="75"/>
      <c r="I1640" s="19" t="s">
        <v>46</v>
      </c>
      <c r="J1640" s="34">
        <f>J1628/J1639</f>
        <v>38.0563</v>
      </c>
      <c r="K1640" s="16" t="s">
        <v>12</v>
      </c>
      <c r="L1640" s="75"/>
      <c r="M1640" s="19" t="s">
        <v>57</v>
      </c>
      <c r="N1640" s="16">
        <f>IF(C1622/J1619&lt;=1.5,0.25,IF(C1622/J1619&gt;=2,0.17,0.17+(0.25-0.17)/(C1622/J1619-1.5)*C1622/J1619))</f>
        <v>0.25</v>
      </c>
      <c r="O1640" s="29" t="s">
        <v>50</v>
      </c>
      <c r="P1640" s="75"/>
      <c r="Q1640" s="75"/>
    </row>
    <row r="1641" spans="2:17" x14ac:dyDescent="0.3">
      <c r="B1641" s="31" t="s">
        <v>115</v>
      </c>
      <c r="C1641" s="37">
        <f>O1636</f>
        <v>89.817490956693987</v>
      </c>
      <c r="D1641" s="29" t="s">
        <v>12</v>
      </c>
      <c r="E1641" s="75"/>
      <c r="F1641" s="75"/>
      <c r="G1641" s="75"/>
      <c r="H1641" s="75"/>
      <c r="I1641" s="19" t="s">
        <v>36</v>
      </c>
      <c r="J1641" s="35">
        <f>J1619*C1620*0.8-J1649</f>
        <v>5393.5714311552301</v>
      </c>
      <c r="K1641" s="16" t="s">
        <v>17</v>
      </c>
      <c r="L1641" s="75"/>
      <c r="M1641" s="19" t="s">
        <v>59</v>
      </c>
      <c r="N1641" s="30">
        <f>SQRT(C1615*0.0980665)*(1/0.0980665)/1000*J1641*N1640</f>
        <v>75.31064987429815</v>
      </c>
      <c r="O1641" s="29" t="s">
        <v>12</v>
      </c>
      <c r="P1641" s="75"/>
      <c r="Q1641" s="75"/>
    </row>
    <row r="1642" spans="2:17" x14ac:dyDescent="0.3">
      <c r="B1642" s="31" t="s">
        <v>116</v>
      </c>
      <c r="C1642" s="37">
        <f>O1651</f>
        <v>140.95493106255552</v>
      </c>
      <c r="D1642" s="29" t="s">
        <v>12</v>
      </c>
      <c r="E1642" s="75"/>
      <c r="F1642" s="75"/>
      <c r="G1642" s="75"/>
      <c r="H1642" s="75"/>
      <c r="I1642" s="19" t="s">
        <v>60</v>
      </c>
      <c r="J1642" s="34">
        <f>MIN(N1641,N1639)</f>
        <v>51.211241914522745</v>
      </c>
      <c r="K1642" s="29" t="s">
        <v>12</v>
      </c>
      <c r="L1642" s="75"/>
      <c r="M1642" s="75"/>
      <c r="N1642" s="75"/>
      <c r="O1642" s="75"/>
      <c r="P1642" s="75"/>
      <c r="Q1642" s="75"/>
    </row>
    <row r="1643" spans="2:17" x14ac:dyDescent="0.3">
      <c r="B1643" s="19" t="s">
        <v>117</v>
      </c>
      <c r="C1643" s="36">
        <f>C1636*2*C1621/C1633/J1616</f>
        <v>4.4879895051282755E-3</v>
      </c>
      <c r="D1643" s="16" t="s">
        <v>50</v>
      </c>
      <c r="E1643" s="75"/>
      <c r="F1643" s="75"/>
      <c r="G1643" s="75"/>
      <c r="H1643" s="75"/>
      <c r="I1643" s="19" t="s">
        <v>39</v>
      </c>
      <c r="J1643" s="34">
        <f>J1640-J1642</f>
        <v>-13.154941914522745</v>
      </c>
      <c r="K1643" s="16" t="s">
        <v>12</v>
      </c>
      <c r="L1643" s="75"/>
      <c r="M1643" s="75"/>
      <c r="N1643" s="75"/>
      <c r="O1643" s="75"/>
      <c r="P1643" s="75"/>
      <c r="Q1643" s="75"/>
    </row>
    <row r="1644" spans="2:17" x14ac:dyDescent="0.3">
      <c r="B1644" s="75"/>
      <c r="C1644" s="75"/>
      <c r="D1644" s="75"/>
      <c r="E1644" s="75"/>
      <c r="F1644" s="75"/>
      <c r="G1644" s="75"/>
      <c r="H1644" s="75"/>
      <c r="I1644" s="19" t="s">
        <v>61</v>
      </c>
      <c r="J1644" s="37">
        <f>MAX(J1643/(C1616*J1619/1000/100)/2,C1637)</f>
        <v>3.125</v>
      </c>
      <c r="K1644" s="29" t="s">
        <v>32</v>
      </c>
      <c r="L1644" s="75"/>
      <c r="M1644" s="75"/>
      <c r="N1644" s="75"/>
      <c r="O1644" s="75"/>
      <c r="P1644" s="75"/>
      <c r="Q1644" s="75"/>
    </row>
    <row r="1645" spans="2:17" x14ac:dyDescent="0.3">
      <c r="B1645" s="75"/>
      <c r="C1645" s="75"/>
      <c r="D1645" s="75"/>
      <c r="E1645" s="75"/>
      <c r="F1645" s="75"/>
      <c r="G1645" s="75"/>
      <c r="H1645" s="75"/>
      <c r="I1645" s="19" t="s">
        <v>65</v>
      </c>
      <c r="J1645" s="36">
        <f>J1644/C1620/100*2</f>
        <v>2.5000000000000001E-3</v>
      </c>
      <c r="K1645" s="16" t="s">
        <v>50</v>
      </c>
      <c r="L1645" s="75"/>
      <c r="M1645" s="75"/>
      <c r="N1645" s="75"/>
      <c r="O1645" s="75"/>
      <c r="P1645" s="75"/>
      <c r="Q1645" s="75"/>
    </row>
    <row r="1646" spans="2:17" x14ac:dyDescent="0.3">
      <c r="B1646" s="75"/>
      <c r="C1646" s="75"/>
      <c r="D1646" s="75"/>
      <c r="E1646" s="75"/>
      <c r="F1646" s="75"/>
      <c r="G1646" s="75"/>
      <c r="H1646" s="75"/>
      <c r="I1646" s="19" t="s">
        <v>53</v>
      </c>
      <c r="J1646" s="16">
        <f>MAX(0.0025,0.0025*0.5*(2.5-C1620/(C1621*0.8))*(J1645-0.0025))</f>
        <v>2.5000000000000001E-3</v>
      </c>
      <c r="K1646" s="29" t="s">
        <v>50</v>
      </c>
      <c r="L1646" s="75"/>
      <c r="M1646" s="39" t="str">
        <f>IF(OR(J1645&gt;J1646,ABS(J1645-J1646)&lt;0.0001),"[OK]","[REDISEÑAR]")</f>
        <v>[OK]</v>
      </c>
      <c r="N1646" s="75"/>
      <c r="O1646" s="75"/>
      <c r="P1646" s="75"/>
      <c r="Q1646" s="75"/>
    </row>
    <row r="1647" spans="2:17" x14ac:dyDescent="0.3">
      <c r="B1647" s="75"/>
      <c r="C1647" s="75"/>
      <c r="D1647" s="75"/>
      <c r="E1647" s="75"/>
      <c r="F1647" s="75"/>
      <c r="G1647" s="75"/>
      <c r="H1647" s="75"/>
      <c r="I1647" s="19" t="s">
        <v>47</v>
      </c>
      <c r="J1647" s="34">
        <f>SQRT(C1615*0.0980665)*(1/0.0980665)/1000*0.66*0.8*C1621*C1620</f>
        <v>249.92723308409288</v>
      </c>
      <c r="K1647" s="16" t="s">
        <v>12</v>
      </c>
      <c r="L1647" s="75"/>
      <c r="M1647" s="40" t="s">
        <v>44</v>
      </c>
      <c r="N1647" s="75"/>
      <c r="O1647" s="15"/>
      <c r="P1647" s="75"/>
      <c r="Q1647" s="75"/>
    </row>
    <row r="1648" spans="2:17" x14ac:dyDescent="0.3">
      <c r="B1648" s="75"/>
      <c r="C1648" s="75"/>
      <c r="D1648" s="75"/>
      <c r="E1648" s="75"/>
      <c r="F1648" s="75"/>
      <c r="G1648" s="75"/>
      <c r="H1648" s="75"/>
      <c r="I1648" s="63" t="s">
        <v>34</v>
      </c>
      <c r="J1648" s="63">
        <f>ROUNDDOWN(1/J1644*C1636*100,0)</f>
        <v>25</v>
      </c>
      <c r="K1648" s="64" t="s">
        <v>5</v>
      </c>
      <c r="L1648" s="75"/>
      <c r="M1648" s="39" t="str">
        <f>IF(OR(J1648&lt;10,J1648&gt;25),"[REDISEÑAR]","[OK")</f>
        <v>[OK</v>
      </c>
      <c r="N1648" s="41" t="s">
        <v>80</v>
      </c>
      <c r="O1648" s="42">
        <f>1/J1644*(C1632/2)^2*PI()</f>
        <v>25.132741228718345</v>
      </c>
      <c r="P1648" s="75" t="str">
        <f>"$\phi$"&amp;C1632&amp;"@"&amp;J1648</f>
        <v>$\phi$10@25</v>
      </c>
      <c r="Q1648" s="75"/>
    </row>
    <row r="1649" spans="2:17" x14ac:dyDescent="0.3">
      <c r="B1649" s="75"/>
      <c r="C1649" s="75"/>
      <c r="D1649" s="75"/>
      <c r="E1649" s="75"/>
      <c r="F1649" s="75"/>
      <c r="G1649" s="75"/>
      <c r="H1649" s="75"/>
      <c r="I1649" s="31" t="s">
        <v>48</v>
      </c>
      <c r="J1649" s="30">
        <f>C1636*2*IF(J1619/C1633&gt;=1,J1619/C1633,0)</f>
        <v>30.428568844769707</v>
      </c>
      <c r="K1649" s="29" t="s">
        <v>17</v>
      </c>
      <c r="L1649" s="75"/>
      <c r="M1649" s="75"/>
      <c r="N1649" s="15"/>
      <c r="O1649" s="15"/>
      <c r="P1649" s="75"/>
      <c r="Q1649" s="75"/>
    </row>
    <row r="1650" spans="2:17" x14ac:dyDescent="0.3">
      <c r="B1650" s="75"/>
      <c r="C1650" s="75"/>
      <c r="D1650" s="75"/>
      <c r="E1650" s="75"/>
      <c r="F1650" s="75"/>
      <c r="G1650" s="75"/>
      <c r="H1650" s="75"/>
      <c r="I1650" s="19" t="s">
        <v>81</v>
      </c>
      <c r="J1650" s="34">
        <f>MIN(J1649*C1616/1000,J1647)</f>
        <v>127.79998914803276</v>
      </c>
      <c r="K1650" s="16" t="s">
        <v>12</v>
      </c>
      <c r="L1650" s="75"/>
      <c r="M1650" s="40" t="s">
        <v>82</v>
      </c>
      <c r="N1650" s="15"/>
      <c r="O1650" s="15"/>
      <c r="P1650" s="75"/>
      <c r="Q1650" s="75"/>
    </row>
    <row r="1651" spans="2:17" x14ac:dyDescent="0.3">
      <c r="B1651" s="75"/>
      <c r="C1651" s="75"/>
      <c r="D1651" s="75"/>
      <c r="E1651" s="75"/>
      <c r="F1651" s="75"/>
      <c r="G1651" s="75"/>
      <c r="H1651" s="75"/>
      <c r="I1651" s="19" t="s">
        <v>79</v>
      </c>
      <c r="J1651" s="34">
        <f>J1650+J1642</f>
        <v>179.01123106255551</v>
      </c>
      <c r="K1651" s="16" t="s">
        <v>12</v>
      </c>
      <c r="L1651" s="75"/>
      <c r="M1651" s="39" t="str">
        <f>IF(J1651&gt;J1640,"[OK]","[REDISEÑAR]")</f>
        <v>[OK]</v>
      </c>
      <c r="N1651" s="41" t="str">
        <f>IF(O1651&gt;0,"Sobrado","Faltan")</f>
        <v>Sobrado</v>
      </c>
      <c r="O1651" s="43">
        <f>J1651-J1640</f>
        <v>140.95493106255552</v>
      </c>
      <c r="P1651" s="75"/>
      <c r="Q1651" s="75"/>
    </row>
    <row r="1652" spans="2:17" x14ac:dyDescent="0.3">
      <c r="B1652" s="75"/>
      <c r="C1652" s="75"/>
      <c r="D1652" s="75"/>
      <c r="E1652" s="75"/>
      <c r="F1652" s="75"/>
      <c r="G1652" s="75"/>
      <c r="H1652" s="75"/>
      <c r="J1652" s="75"/>
      <c r="K1652" s="75"/>
      <c r="L1652" s="75"/>
      <c r="M1652" s="75"/>
      <c r="N1652" s="75"/>
      <c r="O1652" s="75"/>
      <c r="P1652" s="75"/>
      <c r="Q1652" s="75"/>
    </row>
    <row r="1653" spans="2:17" x14ac:dyDescent="0.3">
      <c r="B1653" s="75"/>
      <c r="C1653" s="75"/>
      <c r="D1653" s="75"/>
      <c r="E1653" s="75"/>
      <c r="F1653" s="75"/>
      <c r="G1653" s="75"/>
      <c r="H1653" s="75"/>
      <c r="I1653" s="18" t="s">
        <v>45</v>
      </c>
      <c r="J1653" s="75"/>
      <c r="K1653" s="75"/>
      <c r="L1653" s="75"/>
      <c r="M1653" s="75"/>
      <c r="N1653" s="75"/>
      <c r="O1653" s="15"/>
      <c r="P1653" s="75"/>
      <c r="Q1653" s="75"/>
    </row>
    <row r="1654" spans="2:17" x14ac:dyDescent="0.3">
      <c r="B1654" s="75"/>
      <c r="C1654" s="75"/>
      <c r="D1654" s="75"/>
      <c r="E1654" s="75"/>
      <c r="F1654" s="75"/>
      <c r="G1654" s="75"/>
      <c r="H1654" s="75"/>
      <c r="I1654" s="19" t="s">
        <v>40</v>
      </c>
      <c r="J1654" s="16">
        <f>J1628</f>
        <v>22.833780000000001</v>
      </c>
      <c r="K1654" s="16" t="s">
        <v>12</v>
      </c>
      <c r="L1654" s="75"/>
      <c r="M1654" s="75"/>
      <c r="N1654" s="75"/>
      <c r="O1654" s="26"/>
      <c r="P1654" s="75"/>
      <c r="Q1654" s="75"/>
    </row>
    <row r="1655" spans="2:17" x14ac:dyDescent="0.3">
      <c r="B1655" s="75"/>
      <c r="C1655" s="75"/>
      <c r="D1655" s="75"/>
      <c r="E1655" s="75"/>
      <c r="F1655" s="75"/>
      <c r="G1655" s="75"/>
      <c r="H1655" s="75"/>
      <c r="I1655" s="19" t="s">
        <v>46</v>
      </c>
      <c r="J1655" s="34">
        <f>J1640</f>
        <v>38.0563</v>
      </c>
      <c r="K1655" s="16" t="s">
        <v>12</v>
      </c>
      <c r="L1655" s="75"/>
      <c r="M1655" s="75"/>
      <c r="N1655" s="75"/>
      <c r="O1655" s="75"/>
      <c r="P1655" s="75"/>
      <c r="Q1655" s="75"/>
    </row>
    <row r="1656" spans="2:17" x14ac:dyDescent="0.3">
      <c r="B1656" s="75"/>
      <c r="C1656" s="75"/>
      <c r="D1656" s="75"/>
      <c r="E1656" s="75"/>
      <c r="F1656" s="75"/>
      <c r="G1656" s="75"/>
      <c r="H1656" s="75"/>
      <c r="I1656" s="19" t="s">
        <v>38</v>
      </c>
      <c r="J1656" s="34">
        <f>2/3*J1641*SQRT(C1615*0.0980665)*(1/0.0980665)/1000</f>
        <v>200.82839966479511</v>
      </c>
      <c r="K1656" s="16" t="s">
        <v>12</v>
      </c>
      <c r="L1656" s="75"/>
      <c r="M1656" s="39" t="str">
        <f>IF(J1656&gt;J1655,"[OK]","[REDISEÑAR]")</f>
        <v>[OK]</v>
      </c>
      <c r="N1656" s="41" t="str">
        <f>IF(O1656&gt;0,"Sobrado","Faltan")</f>
        <v>Sobrado</v>
      </c>
      <c r="O1656" s="43">
        <f>J1656-J1655</f>
        <v>162.77209966479512</v>
      </c>
      <c r="P1656" s="75"/>
      <c r="Q1656" s="75"/>
    </row>
    <row r="1658" spans="2:17" ht="18" x14ac:dyDescent="0.35">
      <c r="B1658" s="48" t="str">
        <f>'EJE 15'!$S$29</f>
        <v>EJE 15.G-L | PIER F33X | PISO 12</v>
      </c>
      <c r="C1658" s="75"/>
      <c r="D1658" s="75"/>
      <c r="E1658" s="75"/>
      <c r="F1658" s="75"/>
      <c r="G1658" s="75"/>
      <c r="H1658" s="75"/>
      <c r="J1658" s="75"/>
      <c r="K1658" s="75"/>
      <c r="L1658" s="75"/>
      <c r="M1658" s="75"/>
      <c r="N1658" s="75"/>
      <c r="O1658" s="75"/>
      <c r="P1658" s="75"/>
      <c r="Q1658" s="75"/>
    </row>
    <row r="1659" spans="2:17" x14ac:dyDescent="0.3">
      <c r="B1659" s="75"/>
      <c r="C1659" s="75"/>
      <c r="D1659" s="75"/>
      <c r="E1659" s="75"/>
      <c r="F1659" s="75"/>
      <c r="G1659" s="75"/>
      <c r="H1659" s="75"/>
      <c r="J1659" s="75"/>
      <c r="K1659" s="75"/>
      <c r="L1659" s="75"/>
      <c r="M1659" s="75"/>
      <c r="N1659" s="75"/>
      <c r="O1659" s="75"/>
      <c r="P1659" s="75"/>
      <c r="Q1659" s="75"/>
    </row>
    <row r="1660" spans="2:17" x14ac:dyDescent="0.3">
      <c r="B1660" s="17" t="s">
        <v>6</v>
      </c>
      <c r="C1660" s="75"/>
      <c r="D1660" s="75"/>
      <c r="E1660" s="75"/>
      <c r="F1660" s="75"/>
      <c r="G1660" s="75"/>
      <c r="H1660" s="75"/>
      <c r="I1660" s="18" t="s">
        <v>25</v>
      </c>
      <c r="J1660" s="75"/>
      <c r="K1660" s="75"/>
      <c r="L1660" s="75"/>
      <c r="M1660" s="75"/>
      <c r="N1660" s="75"/>
      <c r="O1660" s="75"/>
      <c r="P1660" s="75"/>
      <c r="Q1660" s="75"/>
    </row>
    <row r="1661" spans="2:17" x14ac:dyDescent="0.3">
      <c r="B1661" s="19" t="s">
        <v>99</v>
      </c>
      <c r="C1661" s="61">
        <f>10.1971621297793*'EJE 15'!$G$29</f>
        <v>305.91486389337899</v>
      </c>
      <c r="D1661" s="16" t="s">
        <v>8</v>
      </c>
      <c r="E1661" s="75"/>
      <c r="F1661" s="75"/>
      <c r="G1661" s="75"/>
      <c r="H1661" s="75"/>
      <c r="I1661" s="19" t="s">
        <v>58</v>
      </c>
      <c r="J1661" s="16">
        <f>C1668/16</f>
        <v>14.375</v>
      </c>
      <c r="K1661" s="16" t="s">
        <v>5</v>
      </c>
      <c r="L1661" s="21"/>
      <c r="M1661" s="39" t="str">
        <f>IF(J1661&lt;C1666,"[OK]","[REDISEÑAR]")</f>
        <v>[OK]</v>
      </c>
      <c r="N1661" s="75"/>
      <c r="O1661" s="75"/>
      <c r="P1661" s="75"/>
      <c r="Q1661" s="75"/>
    </row>
    <row r="1662" spans="2:17" x14ac:dyDescent="0.3">
      <c r="B1662" s="19" t="s">
        <v>30</v>
      </c>
      <c r="C1662" s="16">
        <v>4200</v>
      </c>
      <c r="D1662" s="16" t="s">
        <v>8</v>
      </c>
      <c r="E1662" s="75"/>
      <c r="F1662" s="75"/>
      <c r="G1662" s="75"/>
      <c r="H1662" s="75"/>
      <c r="I1662" s="19" t="s">
        <v>16</v>
      </c>
      <c r="J1662" s="16">
        <f>C1666*C1667</f>
        <v>8475</v>
      </c>
      <c r="K1662" s="16" t="s">
        <v>17</v>
      </c>
      <c r="L1662" s="21"/>
      <c r="M1662" s="75"/>
      <c r="N1662" s="75"/>
      <c r="O1662" s="75"/>
      <c r="P1662" s="75"/>
      <c r="Q1662" s="75"/>
    </row>
    <row r="1663" spans="2:17" x14ac:dyDescent="0.3">
      <c r="B1663" s="19" t="s">
        <v>31</v>
      </c>
      <c r="C1663" s="16">
        <v>2800</v>
      </c>
      <c r="D1663" s="16" t="s">
        <v>8</v>
      </c>
      <c r="E1663" s="75"/>
      <c r="F1663" s="75"/>
      <c r="G1663" s="75"/>
      <c r="H1663" s="75"/>
      <c r="I1663" s="19" t="s">
        <v>51</v>
      </c>
      <c r="J1663" s="16">
        <f>MIN(0.8*C1667/5,3*C1666,45)</f>
        <v>45</v>
      </c>
      <c r="K1663" s="16" t="s">
        <v>5</v>
      </c>
      <c r="L1663" s="21"/>
      <c r="M1663" s="39" t="str">
        <f>IF(J1663&gt;C1679,"[OK]","[REDISEÑAR]")</f>
        <v>[OK]</v>
      </c>
      <c r="N1663" s="75"/>
      <c r="O1663" s="75"/>
      <c r="P1663" s="75"/>
      <c r="Q1663" s="75"/>
    </row>
    <row r="1664" spans="2:17" x14ac:dyDescent="0.3">
      <c r="B1664" s="75"/>
      <c r="C1664" s="75"/>
      <c r="D1664" s="75"/>
      <c r="E1664" s="75"/>
      <c r="F1664" s="75"/>
      <c r="G1664" s="75"/>
      <c r="H1664" s="75"/>
      <c r="I1664" s="19" t="s">
        <v>56</v>
      </c>
      <c r="J1664" s="16">
        <f>MIN(0.8*C1668/3,3*C1667,45)</f>
        <v>45</v>
      </c>
      <c r="K1664" s="16" t="s">
        <v>5</v>
      </c>
      <c r="L1664" s="21"/>
      <c r="M1664" s="39" t="str">
        <f>IF(J1664&gt;C1679,"[OK]","[REDISEÑAR]")</f>
        <v>[OK]</v>
      </c>
      <c r="N1664" s="75"/>
      <c r="O1664" s="75"/>
      <c r="P1664" s="75"/>
      <c r="Q1664" s="75"/>
    </row>
    <row r="1665" spans="2:17" x14ac:dyDescent="0.3">
      <c r="B1665" s="17" t="s">
        <v>3</v>
      </c>
      <c r="C1665" s="75"/>
      <c r="D1665" s="75"/>
      <c r="E1665" s="75"/>
      <c r="F1665" s="75"/>
      <c r="G1665" s="75"/>
      <c r="H1665" s="75"/>
      <c r="I1665" s="19" t="s">
        <v>62</v>
      </c>
      <c r="J1665" s="16">
        <f>0.8*C1667</f>
        <v>271.2</v>
      </c>
      <c r="K1665" s="29" t="s">
        <v>5</v>
      </c>
      <c r="L1665" s="75"/>
      <c r="M1665" s="75"/>
      <c r="N1665" s="75"/>
      <c r="O1665" s="75"/>
      <c r="P1665" s="75"/>
      <c r="Q1665" s="75"/>
    </row>
    <row r="1666" spans="2:17" x14ac:dyDescent="0.3">
      <c r="B1666" s="19" t="str">
        <f>"Espesor del muro (h)"</f>
        <v>Espesor del muro (h)</v>
      </c>
      <c r="C1666" s="49">
        <f>'EJE 15'!$H$29</f>
        <v>25</v>
      </c>
      <c r="D1666" s="16" t="s">
        <v>5</v>
      </c>
      <c r="E1666" s="75"/>
      <c r="F1666" s="75"/>
      <c r="G1666" s="75"/>
      <c r="H1666" s="75"/>
      <c r="J1666" s="75"/>
      <c r="K1666" s="75"/>
      <c r="L1666" s="75"/>
      <c r="M1666" s="75"/>
      <c r="N1666" s="75"/>
      <c r="O1666" s="75"/>
      <c r="P1666" s="75"/>
      <c r="Q1666" s="75"/>
    </row>
    <row r="1667" spans="2:17" x14ac:dyDescent="0.3">
      <c r="B1667" s="19" t="s">
        <v>63</v>
      </c>
      <c r="C1667" s="49">
        <f>'EJE 15'!$I$29</f>
        <v>339</v>
      </c>
      <c r="D1667" s="16" t="s">
        <v>5</v>
      </c>
      <c r="E1667" s="75"/>
      <c r="F1667" s="75"/>
      <c r="G1667" s="75"/>
      <c r="H1667" s="75"/>
      <c r="I1667" s="18" t="s">
        <v>26</v>
      </c>
      <c r="J1667" s="75"/>
      <c r="K1667" s="75"/>
      <c r="L1667" s="75"/>
      <c r="M1667" s="75"/>
      <c r="N1667" s="75"/>
      <c r="O1667" s="75"/>
      <c r="P1667" s="75"/>
      <c r="Q1667" s="75"/>
    </row>
    <row r="1668" spans="2:17" x14ac:dyDescent="0.3">
      <c r="B1668" s="19" t="s">
        <v>10</v>
      </c>
      <c r="C1668" s="49">
        <f>'EJE 15'!$J$29</f>
        <v>230</v>
      </c>
      <c r="D1668" s="16" t="s">
        <v>5</v>
      </c>
      <c r="E1668" s="75"/>
      <c r="F1668" s="75"/>
      <c r="G1668" s="75"/>
      <c r="H1668" s="75"/>
      <c r="I1668" s="19" t="s">
        <v>28</v>
      </c>
      <c r="J1668" s="16">
        <f>0.35*C1661</f>
        <v>107.07020236268264</v>
      </c>
      <c r="K1668" s="16" t="s">
        <v>8</v>
      </c>
      <c r="L1668" s="21"/>
      <c r="M1668" s="75"/>
      <c r="N1668" s="75"/>
      <c r="O1668" s="75"/>
      <c r="P1668" s="75"/>
      <c r="Q1668" s="75"/>
    </row>
    <row r="1669" spans="2:17" x14ac:dyDescent="0.3">
      <c r="B1669" s="75"/>
      <c r="C1669" s="75"/>
      <c r="D1669" s="75"/>
      <c r="E1669" s="75"/>
      <c r="F1669" s="75"/>
      <c r="G1669" s="75"/>
      <c r="H1669" s="75"/>
      <c r="I1669" s="19" t="s">
        <v>27</v>
      </c>
      <c r="J1669" s="30">
        <f>C1671*1000/J1662</f>
        <v>15.96075516224189</v>
      </c>
      <c r="K1669" s="16" t="s">
        <v>8</v>
      </c>
      <c r="L1669" s="21"/>
      <c r="M1669" s="39" t="str">
        <f>IF(J1669&lt;J1668,"[OK]","[REDISEÑAR]")</f>
        <v>[OK]</v>
      </c>
      <c r="N1669" s="41" t="s">
        <v>112</v>
      </c>
      <c r="O1669" s="59">
        <f>J1669/J1668</f>
        <v>0.14906813296361826</v>
      </c>
      <c r="P1669" s="75"/>
      <c r="Q1669" s="75"/>
    </row>
    <row r="1670" spans="2:17" x14ac:dyDescent="0.3">
      <c r="B1670" s="17" t="s">
        <v>11</v>
      </c>
      <c r="C1670" s="75"/>
      <c r="D1670" s="75"/>
      <c r="E1670" s="75"/>
      <c r="F1670" s="75"/>
      <c r="G1670" s="75"/>
      <c r="H1670" s="75"/>
      <c r="J1670" s="75"/>
      <c r="K1670" s="75"/>
      <c r="L1670" s="75"/>
      <c r="M1670" s="75"/>
      <c r="N1670" s="75"/>
      <c r="O1670" s="75"/>
      <c r="P1670" s="75"/>
      <c r="Q1670" s="75"/>
    </row>
    <row r="1671" spans="2:17" x14ac:dyDescent="0.3">
      <c r="B1671" s="19" t="str">
        <f>"$N_U$"</f>
        <v>$N_U$</v>
      </c>
      <c r="C1671" s="60">
        <f>'EJE 15'!$K$29</f>
        <v>135.26740000000001</v>
      </c>
      <c r="D1671" s="16" t="s">
        <v>12</v>
      </c>
      <c r="E1671" s="75"/>
      <c r="F1671" s="75"/>
      <c r="G1671" s="75"/>
      <c r="H1671" s="75"/>
      <c r="I1671" s="18" t="s">
        <v>54</v>
      </c>
      <c r="J1671" s="75"/>
      <c r="K1671" s="75"/>
      <c r="L1671" s="75"/>
      <c r="M1671" s="75"/>
      <c r="N1671" s="75"/>
      <c r="O1671" s="75"/>
      <c r="P1671" s="75"/>
      <c r="Q1671" s="75"/>
    </row>
    <row r="1672" spans="2:17" x14ac:dyDescent="0.3">
      <c r="B1672" s="19" t="s">
        <v>14</v>
      </c>
      <c r="C1672" s="60">
        <f>'EJE 15'!$L$29</f>
        <v>2.5070000000000001</v>
      </c>
      <c r="D1672" s="16" t="s">
        <v>12</v>
      </c>
      <c r="E1672" s="75"/>
      <c r="F1672" s="75"/>
      <c r="G1672" s="75"/>
      <c r="H1672" s="75"/>
      <c r="I1672" s="19" t="s">
        <v>72</v>
      </c>
      <c r="J1672" s="16">
        <f>1.2*C1672+C1673+1.4*C1674</f>
        <v>22.833780000000001</v>
      </c>
      <c r="K1672" s="16" t="s">
        <v>12</v>
      </c>
      <c r="L1672" s="75"/>
      <c r="M1672" s="75" t="s">
        <v>68</v>
      </c>
      <c r="N1672" s="75"/>
      <c r="O1672" s="75"/>
      <c r="P1672" s="75"/>
      <c r="Q1672" s="75"/>
    </row>
    <row r="1673" spans="2:17" x14ac:dyDescent="0.3">
      <c r="B1673" s="19" t="s">
        <v>13</v>
      </c>
      <c r="C1673" s="60">
        <f>'EJE 15'!$M$29</f>
        <v>5.0799999999999998E-2</v>
      </c>
      <c r="D1673" s="16" t="s">
        <v>12</v>
      </c>
      <c r="E1673" s="75"/>
      <c r="F1673" s="75"/>
      <c r="G1673" s="75"/>
      <c r="H1673" s="75"/>
      <c r="I1673" s="19" t="s">
        <v>69</v>
      </c>
      <c r="J1673" s="16">
        <f>SUM(C1672:C1674)</f>
        <v>16.682500000000001</v>
      </c>
      <c r="K1673" s="16" t="s">
        <v>12</v>
      </c>
      <c r="L1673" s="75"/>
      <c r="M1673" s="75" t="s">
        <v>70</v>
      </c>
      <c r="N1673" s="75"/>
      <c r="O1673" s="75"/>
      <c r="P1673" s="75"/>
      <c r="Q1673" s="75"/>
    </row>
    <row r="1674" spans="2:17" x14ac:dyDescent="0.3">
      <c r="B1674" s="19" t="s">
        <v>15</v>
      </c>
      <c r="C1674" s="60">
        <f>'EJE 15'!$N$29</f>
        <v>14.124700000000001</v>
      </c>
      <c r="D1674" s="16" t="s">
        <v>12</v>
      </c>
      <c r="E1674" s="75"/>
      <c r="F1674" s="75"/>
      <c r="G1674" s="75"/>
      <c r="H1674" s="75"/>
      <c r="I1674" s="19" t="s">
        <v>73</v>
      </c>
      <c r="J1674" s="16">
        <f>IF(C1675=0,J1672,C1675)</f>
        <v>22.833780000000001</v>
      </c>
      <c r="K1674" s="16" t="s">
        <v>12</v>
      </c>
      <c r="L1674" s="75"/>
      <c r="M1674" s="40" t="s">
        <v>74</v>
      </c>
      <c r="N1674" s="75"/>
      <c r="O1674" s="75"/>
      <c r="P1674" s="75"/>
      <c r="Q1674" s="75"/>
    </row>
    <row r="1675" spans="2:17" x14ac:dyDescent="0.3">
      <c r="B1675" s="19" t="s">
        <v>55</v>
      </c>
      <c r="C1675" s="16">
        <v>0</v>
      </c>
      <c r="D1675" s="16" t="s">
        <v>12</v>
      </c>
      <c r="E1675" s="75"/>
      <c r="F1675" s="75"/>
      <c r="G1675" s="75"/>
      <c r="H1675" s="75"/>
      <c r="I1675" s="19" t="s">
        <v>71</v>
      </c>
      <c r="J1675" s="16">
        <f>IF(C1675=0,J1673,C1675)</f>
        <v>16.682500000000001</v>
      </c>
      <c r="K1675" s="16" t="s">
        <v>12</v>
      </c>
      <c r="L1675" s="75"/>
      <c r="M1675" s="40" t="s">
        <v>75</v>
      </c>
      <c r="N1675" s="75"/>
      <c r="O1675" s="75"/>
      <c r="P1675" s="75"/>
      <c r="Q1675" s="75"/>
    </row>
    <row r="1676" spans="2:17" x14ac:dyDescent="0.3">
      <c r="B1676" s="75"/>
      <c r="C1676" s="75"/>
      <c r="D1676" s="75"/>
      <c r="E1676" s="75"/>
      <c r="F1676" s="75"/>
      <c r="G1676" s="75"/>
      <c r="H1676" s="75"/>
      <c r="J1676" s="75"/>
      <c r="K1676" s="75"/>
      <c r="L1676" s="75"/>
      <c r="M1676" s="75"/>
      <c r="N1676" s="75"/>
      <c r="O1676" s="75"/>
      <c r="P1676" s="75"/>
      <c r="Q1676" s="75"/>
    </row>
    <row r="1677" spans="2:17" x14ac:dyDescent="0.3">
      <c r="B1677" s="33" t="s">
        <v>42</v>
      </c>
      <c r="C1677" s="75"/>
      <c r="D1677" s="75"/>
      <c r="E1677" s="75"/>
      <c r="F1677" s="75"/>
      <c r="G1677" s="75"/>
      <c r="H1677" s="75"/>
      <c r="I1677" s="27" t="s">
        <v>76</v>
      </c>
      <c r="J1677" s="75"/>
      <c r="K1677" s="75"/>
      <c r="L1677" s="75"/>
      <c r="M1677" s="75"/>
      <c r="N1677" s="75"/>
      <c r="O1677" s="75"/>
      <c r="P1677" s="75"/>
      <c r="Q1677" s="75"/>
    </row>
    <row r="1678" spans="2:17" x14ac:dyDescent="0.3">
      <c r="B1678" s="31" t="s">
        <v>41</v>
      </c>
      <c r="C1678" s="16">
        <v>10</v>
      </c>
      <c r="D1678" s="29" t="s">
        <v>35</v>
      </c>
      <c r="E1678" s="75"/>
      <c r="F1678" s="75"/>
      <c r="G1678" s="75"/>
      <c r="H1678" s="75"/>
      <c r="I1678" s="19" t="s">
        <v>29</v>
      </c>
      <c r="J1678" s="30">
        <f>J1675*1000/J1662</f>
        <v>1.9684365781710915</v>
      </c>
      <c r="K1678" s="29" t="s">
        <v>8</v>
      </c>
      <c r="L1678" s="75"/>
      <c r="M1678" s="75"/>
      <c r="N1678" s="75"/>
      <c r="O1678" s="75"/>
      <c r="P1678" s="75"/>
      <c r="Q1678" s="75"/>
    </row>
    <row r="1679" spans="2:17" x14ac:dyDescent="0.3">
      <c r="B1679" s="31" t="s">
        <v>43</v>
      </c>
      <c r="C1679" s="16">
        <v>14</v>
      </c>
      <c r="D1679" s="29" t="s">
        <v>5</v>
      </c>
      <c r="E1679" s="75"/>
      <c r="F1679" s="39" t="str">
        <f>IF(OR(C1679&gt;25,C1679&lt;10),"[REDISEÑAR]",IF(AND(C1679&lt;=J1680,C1679&lt;=J1694),"[OK]","[REDISEÑAR]"))</f>
        <v>[OK]</v>
      </c>
      <c r="G1679" s="75"/>
      <c r="H1679" s="75"/>
      <c r="I1679" s="19" t="s">
        <v>61</v>
      </c>
      <c r="J1679" s="37">
        <f>MAX(J1678*100*C1666/(2*C1663),C1683)</f>
        <v>3.125</v>
      </c>
      <c r="K1679" s="29" t="s">
        <v>32</v>
      </c>
      <c r="L1679" s="75"/>
      <c r="M1679" s="15"/>
      <c r="N1679" s="15"/>
      <c r="O1679" s="15"/>
      <c r="P1679" s="75"/>
      <c r="Q1679" s="75"/>
    </row>
    <row r="1680" spans="2:17" x14ac:dyDescent="0.3">
      <c r="B1680" s="75"/>
      <c r="C1680" s="50" t="str">
        <f>"$\phi$"&amp;C1678&amp;"@"&amp;C1679</f>
        <v>$\phi$10@14</v>
      </c>
      <c r="D1680" s="75"/>
      <c r="E1680" s="75"/>
      <c r="F1680" s="39" t="str">
        <f>IF(OR(J1679=C1683,J1690=C1683),"[ÁREA MINIMA]","[]")</f>
        <v>[ÁREA MINIMA]</v>
      </c>
      <c r="G1680" s="75"/>
      <c r="H1680" s="75"/>
      <c r="I1680" s="63" t="s">
        <v>34</v>
      </c>
      <c r="J1680" s="63">
        <f>ROUNDDOWN((1/J1679)*C1682*100,0)</f>
        <v>25</v>
      </c>
      <c r="K1680" s="64" t="s">
        <v>5</v>
      </c>
      <c r="L1680" s="75"/>
      <c r="M1680" s="39" t="str">
        <f>IF(OR(J1680&lt;10,J1680&gt;25),"[REDISEÑAR]","[OK")</f>
        <v>[OK</v>
      </c>
      <c r="N1680" s="41" t="s">
        <v>80</v>
      </c>
      <c r="O1680" s="42">
        <f>1/J1679*(C1678/2)^2*PI()</f>
        <v>25.132741228718345</v>
      </c>
      <c r="P1680" s="75" t="str">
        <f>"$\phi$"&amp;C1678&amp;"@"&amp;J1680</f>
        <v>$\phi$10@25</v>
      </c>
      <c r="Q1680" s="75"/>
    </row>
    <row r="1681" spans="2:17" x14ac:dyDescent="0.3">
      <c r="B1681" s="18" t="s">
        <v>52</v>
      </c>
      <c r="C1681" s="75"/>
      <c r="D1681" s="75"/>
      <c r="E1681" s="75"/>
      <c r="F1681" s="62" t="str">
        <f>IF(J1669&lt;J1668,IF(J1697&gt;J1686,"[OK]","[REDISEÑAR]"),"[REDISEÑAR]")</f>
        <v>[OK]</v>
      </c>
      <c r="G1681" s="75"/>
      <c r="H1681" s="75"/>
      <c r="I1681" s="31" t="s">
        <v>48</v>
      </c>
      <c r="J1681" s="30">
        <f>C1682*2*IF(C1667/C1679&gt;=1,C1667/C1679,0)</f>
        <v>38.035711055962139</v>
      </c>
      <c r="K1681" s="29" t="s">
        <v>17</v>
      </c>
      <c r="L1681" s="75"/>
      <c r="M1681" s="75"/>
      <c r="N1681" s="15"/>
      <c r="O1681" s="44"/>
      <c r="P1681" s="75"/>
      <c r="Q1681" s="75"/>
    </row>
    <row r="1682" spans="2:17" x14ac:dyDescent="0.3">
      <c r="B1682" s="31" t="s">
        <v>66</v>
      </c>
      <c r="C1682" s="30">
        <f>(C1678/(2*10))^2*PI()</f>
        <v>0.78539816339744828</v>
      </c>
      <c r="D1682" s="29" t="s">
        <v>17</v>
      </c>
      <c r="E1682" s="75"/>
      <c r="F1682" s="75"/>
      <c r="G1682" s="75"/>
      <c r="H1682" s="75"/>
      <c r="I1682" s="19" t="s">
        <v>49</v>
      </c>
      <c r="J1682" s="34">
        <f>C1663*J1681/1000</f>
        <v>106.49999095669399</v>
      </c>
      <c r="K1682" s="16" t="s">
        <v>12</v>
      </c>
      <c r="L1682" s="75"/>
      <c r="M1682" s="39" t="str">
        <f>IF(J1682&gt;J1675,"[OK]","[REDISEÑAR]")</f>
        <v>[OK]</v>
      </c>
      <c r="N1682" s="41" t="str">
        <f>IF(O1682&gt;0,"Sobrado","Faltan")</f>
        <v>Sobrado</v>
      </c>
      <c r="O1682" s="43">
        <f>J1682-J1675</f>
        <v>89.817490956693987</v>
      </c>
      <c r="P1682" s="75"/>
      <c r="Q1682" s="75"/>
    </row>
    <row r="1683" spans="2:17" x14ac:dyDescent="0.3">
      <c r="B1683" s="31" t="s">
        <v>78</v>
      </c>
      <c r="C1683" s="37">
        <f>2.5/1000*100*C1666/2</f>
        <v>3.125</v>
      </c>
      <c r="D1683" s="16" t="s">
        <v>17</v>
      </c>
      <c r="E1683" s="75"/>
      <c r="F1683" s="75"/>
      <c r="G1683" s="75"/>
      <c r="H1683" s="75"/>
      <c r="J1683" s="75"/>
      <c r="K1683" s="75"/>
      <c r="L1683" s="75"/>
      <c r="M1683" s="75"/>
      <c r="N1683" s="75"/>
      <c r="O1683" s="15"/>
      <c r="P1683" s="75"/>
      <c r="Q1683" s="75"/>
    </row>
    <row r="1684" spans="2:17" x14ac:dyDescent="0.3">
      <c r="B1684" s="31" t="s">
        <v>114</v>
      </c>
      <c r="C1684" s="37">
        <f>C1682*100/C1679</f>
        <v>5.6099868814103448</v>
      </c>
      <c r="D1684" s="29" t="s">
        <v>32</v>
      </c>
      <c r="E1684" s="75"/>
      <c r="F1684" s="75"/>
      <c r="G1684" s="75"/>
      <c r="H1684" s="75"/>
      <c r="I1684" s="18" t="s">
        <v>77</v>
      </c>
      <c r="J1684" s="75"/>
      <c r="K1684" s="75"/>
      <c r="L1684" s="75"/>
      <c r="M1684" s="17" t="s">
        <v>67</v>
      </c>
      <c r="N1684" s="75"/>
      <c r="O1684" s="75"/>
      <c r="P1684" s="75"/>
      <c r="Q1684" s="75"/>
    </row>
    <row r="1685" spans="2:17" x14ac:dyDescent="0.3">
      <c r="B1685" s="75"/>
      <c r="C1685" s="75"/>
      <c r="D1685" s="75"/>
      <c r="E1685" s="75"/>
      <c r="F1685" s="75"/>
      <c r="G1685" s="75"/>
      <c r="H1685" s="75"/>
      <c r="I1685" s="19" t="s">
        <v>33</v>
      </c>
      <c r="J1685" s="16">
        <v>0.6</v>
      </c>
      <c r="K1685" s="16" t="s">
        <v>50</v>
      </c>
      <c r="L1685" s="75"/>
      <c r="M1685" s="19" t="s">
        <v>64</v>
      </c>
      <c r="N1685" s="30">
        <f>SQRT(C1661*0.0980665)*(1/0.0980665)/1000*J1687*0.17</f>
        <v>51.211241914522745</v>
      </c>
      <c r="O1685" s="16" t="s">
        <v>12</v>
      </c>
      <c r="P1685" s="75"/>
      <c r="Q1685" s="75"/>
    </row>
    <row r="1686" spans="2:17" x14ac:dyDescent="0.3">
      <c r="B1686" s="17" t="s">
        <v>37</v>
      </c>
      <c r="C1686" s="75"/>
      <c r="D1686" s="75"/>
      <c r="E1686" s="75"/>
      <c r="F1686" s="75"/>
      <c r="G1686" s="75"/>
      <c r="H1686" s="75"/>
      <c r="I1686" s="19" t="s">
        <v>46</v>
      </c>
      <c r="J1686" s="34">
        <f>J1674/J1685</f>
        <v>38.0563</v>
      </c>
      <c r="K1686" s="16" t="s">
        <v>12</v>
      </c>
      <c r="L1686" s="75"/>
      <c r="M1686" s="19" t="s">
        <v>57</v>
      </c>
      <c r="N1686" s="16">
        <f>IF(C1668/J1665&lt;=1.5,0.25,IF(C1668/J1665&gt;=2,0.17,0.17+(0.25-0.17)/(C1668/J1665-1.5)*C1668/J1665))</f>
        <v>0.25</v>
      </c>
      <c r="O1686" s="29" t="s">
        <v>50</v>
      </c>
      <c r="P1686" s="75"/>
      <c r="Q1686" s="75"/>
    </row>
    <row r="1687" spans="2:17" x14ac:dyDescent="0.3">
      <c r="B1687" s="31" t="s">
        <v>115</v>
      </c>
      <c r="C1687" s="37">
        <f>O1682</f>
        <v>89.817490956693987</v>
      </c>
      <c r="D1687" s="29" t="s">
        <v>12</v>
      </c>
      <c r="E1687" s="75"/>
      <c r="F1687" s="75"/>
      <c r="G1687" s="75"/>
      <c r="H1687" s="75"/>
      <c r="I1687" s="19" t="s">
        <v>36</v>
      </c>
      <c r="J1687" s="35">
        <f>J1665*C1666*0.8-J1695</f>
        <v>5393.5714311552301</v>
      </c>
      <c r="K1687" s="16" t="s">
        <v>17</v>
      </c>
      <c r="L1687" s="75"/>
      <c r="M1687" s="19" t="s">
        <v>59</v>
      </c>
      <c r="N1687" s="30">
        <f>SQRT(C1661*0.0980665)*(1/0.0980665)/1000*J1687*N1686</f>
        <v>75.31064987429815</v>
      </c>
      <c r="O1687" s="29" t="s">
        <v>12</v>
      </c>
      <c r="P1687" s="75"/>
      <c r="Q1687" s="75"/>
    </row>
    <row r="1688" spans="2:17" x14ac:dyDescent="0.3">
      <c r="B1688" s="31" t="s">
        <v>116</v>
      </c>
      <c r="C1688" s="37">
        <f>O1697</f>
        <v>140.95493106255552</v>
      </c>
      <c r="D1688" s="29" t="s">
        <v>12</v>
      </c>
      <c r="E1688" s="75"/>
      <c r="F1688" s="75"/>
      <c r="G1688" s="75"/>
      <c r="H1688" s="75"/>
      <c r="I1688" s="19" t="s">
        <v>60</v>
      </c>
      <c r="J1688" s="34">
        <f>MIN(N1687,N1685)</f>
        <v>51.211241914522745</v>
      </c>
      <c r="K1688" s="29" t="s">
        <v>12</v>
      </c>
      <c r="L1688" s="75"/>
      <c r="M1688" s="75"/>
      <c r="N1688" s="75"/>
      <c r="O1688" s="75"/>
      <c r="P1688" s="75"/>
      <c r="Q1688" s="75"/>
    </row>
    <row r="1689" spans="2:17" x14ac:dyDescent="0.3">
      <c r="B1689" s="19" t="s">
        <v>117</v>
      </c>
      <c r="C1689" s="36">
        <f>C1682*2*C1667/C1679/J1662</f>
        <v>4.4879895051282755E-3</v>
      </c>
      <c r="D1689" s="16" t="s">
        <v>50</v>
      </c>
      <c r="E1689" s="75"/>
      <c r="F1689" s="75"/>
      <c r="G1689" s="75"/>
      <c r="H1689" s="75"/>
      <c r="I1689" s="19" t="s">
        <v>39</v>
      </c>
      <c r="J1689" s="34">
        <f>J1686-J1688</f>
        <v>-13.154941914522745</v>
      </c>
      <c r="K1689" s="16" t="s">
        <v>12</v>
      </c>
      <c r="L1689" s="75"/>
      <c r="M1689" s="75"/>
      <c r="N1689" s="75"/>
      <c r="O1689" s="75"/>
      <c r="P1689" s="75"/>
      <c r="Q1689" s="75"/>
    </row>
    <row r="1690" spans="2:17" x14ac:dyDescent="0.3">
      <c r="B1690" s="75"/>
      <c r="C1690" s="75"/>
      <c r="D1690" s="75"/>
      <c r="E1690" s="75"/>
      <c r="F1690" s="75"/>
      <c r="G1690" s="75"/>
      <c r="H1690" s="75"/>
      <c r="I1690" s="19" t="s">
        <v>61</v>
      </c>
      <c r="J1690" s="37">
        <f>MAX(J1689/(C1662*J1665/1000/100)/2,C1683)</f>
        <v>3.125</v>
      </c>
      <c r="K1690" s="29" t="s">
        <v>32</v>
      </c>
      <c r="L1690" s="75"/>
      <c r="M1690" s="75"/>
      <c r="N1690" s="75"/>
      <c r="O1690" s="75"/>
      <c r="P1690" s="75"/>
      <c r="Q1690" s="75"/>
    </row>
    <row r="1691" spans="2:17" x14ac:dyDescent="0.3">
      <c r="B1691" s="75"/>
      <c r="C1691" s="75"/>
      <c r="D1691" s="75"/>
      <c r="E1691" s="75"/>
      <c r="F1691" s="75"/>
      <c r="G1691" s="75"/>
      <c r="H1691" s="75"/>
      <c r="I1691" s="19" t="s">
        <v>65</v>
      </c>
      <c r="J1691" s="36">
        <f>J1690/C1666/100*2</f>
        <v>2.5000000000000001E-3</v>
      </c>
      <c r="K1691" s="16" t="s">
        <v>50</v>
      </c>
      <c r="L1691" s="75"/>
      <c r="M1691" s="75"/>
      <c r="N1691" s="75"/>
      <c r="O1691" s="75"/>
      <c r="P1691" s="75"/>
      <c r="Q1691" s="75"/>
    </row>
    <row r="1692" spans="2:17" x14ac:dyDescent="0.3">
      <c r="B1692" s="75"/>
      <c r="C1692" s="75"/>
      <c r="D1692" s="75"/>
      <c r="E1692" s="75"/>
      <c r="F1692" s="75"/>
      <c r="G1692" s="75"/>
      <c r="H1692" s="75"/>
      <c r="I1692" s="19" t="s">
        <v>53</v>
      </c>
      <c r="J1692" s="16">
        <f>MAX(0.0025,0.0025*0.5*(2.5-C1666/(C1667*0.8))*(J1691-0.0025))</f>
        <v>2.5000000000000001E-3</v>
      </c>
      <c r="K1692" s="29" t="s">
        <v>50</v>
      </c>
      <c r="L1692" s="75"/>
      <c r="M1692" s="39" t="str">
        <f>IF(OR(J1691&gt;J1692,ABS(J1691-J1692)&lt;0.0001),"[OK]","[REDISEÑAR]")</f>
        <v>[OK]</v>
      </c>
      <c r="N1692" s="75"/>
      <c r="O1692" s="75"/>
      <c r="P1692" s="75"/>
      <c r="Q1692" s="75"/>
    </row>
    <row r="1693" spans="2:17" x14ac:dyDescent="0.3">
      <c r="B1693" s="75"/>
      <c r="C1693" s="75"/>
      <c r="D1693" s="75"/>
      <c r="E1693" s="75"/>
      <c r="F1693" s="75"/>
      <c r="G1693" s="75"/>
      <c r="H1693" s="75"/>
      <c r="I1693" s="19" t="s">
        <v>47</v>
      </c>
      <c r="J1693" s="34">
        <f>SQRT(C1661*0.0980665)*(1/0.0980665)/1000*0.66*0.8*C1667*C1666</f>
        <v>249.92723308409288</v>
      </c>
      <c r="K1693" s="16" t="s">
        <v>12</v>
      </c>
      <c r="L1693" s="75"/>
      <c r="M1693" s="40" t="s">
        <v>44</v>
      </c>
      <c r="N1693" s="75"/>
      <c r="O1693" s="15"/>
      <c r="P1693" s="75"/>
      <c r="Q1693" s="75"/>
    </row>
    <row r="1694" spans="2:17" x14ac:dyDescent="0.3">
      <c r="B1694" s="75"/>
      <c r="C1694" s="75"/>
      <c r="D1694" s="75"/>
      <c r="E1694" s="75"/>
      <c r="F1694" s="75"/>
      <c r="G1694" s="75"/>
      <c r="H1694" s="75"/>
      <c r="I1694" s="63" t="s">
        <v>34</v>
      </c>
      <c r="J1694" s="63">
        <f>ROUNDDOWN(1/J1690*C1682*100,0)</f>
        <v>25</v>
      </c>
      <c r="K1694" s="64" t="s">
        <v>5</v>
      </c>
      <c r="L1694" s="75"/>
      <c r="M1694" s="39" t="str">
        <f>IF(OR(J1694&lt;10,J1694&gt;25),"[REDISEÑAR]","[OK")</f>
        <v>[OK</v>
      </c>
      <c r="N1694" s="41" t="s">
        <v>80</v>
      </c>
      <c r="O1694" s="42">
        <f>1/J1690*(C1678/2)^2*PI()</f>
        <v>25.132741228718345</v>
      </c>
      <c r="P1694" s="75" t="str">
        <f>"$\phi$"&amp;C1678&amp;"@"&amp;J1694</f>
        <v>$\phi$10@25</v>
      </c>
      <c r="Q1694" s="75"/>
    </row>
    <row r="1695" spans="2:17" x14ac:dyDescent="0.3">
      <c r="B1695" s="75"/>
      <c r="C1695" s="75"/>
      <c r="D1695" s="75"/>
      <c r="E1695" s="75"/>
      <c r="F1695" s="75"/>
      <c r="G1695" s="75"/>
      <c r="H1695" s="75"/>
      <c r="I1695" s="31" t="s">
        <v>48</v>
      </c>
      <c r="J1695" s="30">
        <f>C1682*2*IF(J1665/C1679&gt;=1,J1665/C1679,0)</f>
        <v>30.428568844769707</v>
      </c>
      <c r="K1695" s="29" t="s">
        <v>17</v>
      </c>
      <c r="L1695" s="75"/>
      <c r="M1695" s="75"/>
      <c r="N1695" s="15"/>
      <c r="O1695" s="15"/>
      <c r="P1695" s="75"/>
      <c r="Q1695" s="75"/>
    </row>
    <row r="1696" spans="2:17" x14ac:dyDescent="0.3">
      <c r="B1696" s="75"/>
      <c r="C1696" s="75"/>
      <c r="D1696" s="75"/>
      <c r="E1696" s="75"/>
      <c r="F1696" s="75"/>
      <c r="G1696" s="75"/>
      <c r="H1696" s="75"/>
      <c r="I1696" s="19" t="s">
        <v>81</v>
      </c>
      <c r="J1696" s="34">
        <f>MIN(J1695*C1662/1000,J1693)</f>
        <v>127.79998914803276</v>
      </c>
      <c r="K1696" s="16" t="s">
        <v>12</v>
      </c>
      <c r="L1696" s="75"/>
      <c r="M1696" s="40" t="s">
        <v>82</v>
      </c>
      <c r="N1696" s="15"/>
      <c r="O1696" s="15"/>
      <c r="P1696" s="75"/>
      <c r="Q1696" s="75"/>
    </row>
    <row r="1697" spans="2:17" x14ac:dyDescent="0.3">
      <c r="B1697" s="75"/>
      <c r="C1697" s="75"/>
      <c r="D1697" s="75"/>
      <c r="E1697" s="75"/>
      <c r="F1697" s="75"/>
      <c r="G1697" s="75"/>
      <c r="H1697" s="75"/>
      <c r="I1697" s="19" t="s">
        <v>79</v>
      </c>
      <c r="J1697" s="34">
        <f>J1696+J1688</f>
        <v>179.01123106255551</v>
      </c>
      <c r="K1697" s="16" t="s">
        <v>12</v>
      </c>
      <c r="L1697" s="75"/>
      <c r="M1697" s="39" t="str">
        <f>IF(J1697&gt;J1686,"[OK]","[REDISEÑAR]")</f>
        <v>[OK]</v>
      </c>
      <c r="N1697" s="41" t="str">
        <f>IF(O1697&gt;0,"Sobrado","Faltan")</f>
        <v>Sobrado</v>
      </c>
      <c r="O1697" s="43">
        <f>J1697-J1686</f>
        <v>140.95493106255552</v>
      </c>
      <c r="P1697" s="75"/>
      <c r="Q1697" s="75"/>
    </row>
    <row r="1698" spans="2:17" x14ac:dyDescent="0.3">
      <c r="B1698" s="75"/>
      <c r="C1698" s="75"/>
      <c r="D1698" s="75"/>
      <c r="E1698" s="75"/>
      <c r="F1698" s="75"/>
      <c r="G1698" s="75"/>
      <c r="H1698" s="75"/>
      <c r="J1698" s="75"/>
      <c r="K1698" s="75"/>
      <c r="L1698" s="75"/>
      <c r="M1698" s="75"/>
      <c r="N1698" s="75"/>
      <c r="O1698" s="75"/>
      <c r="P1698" s="75"/>
      <c r="Q1698" s="75"/>
    </row>
    <row r="1699" spans="2:17" x14ac:dyDescent="0.3">
      <c r="B1699" s="75"/>
      <c r="C1699" s="75"/>
      <c r="D1699" s="75"/>
      <c r="E1699" s="75"/>
      <c r="F1699" s="75"/>
      <c r="G1699" s="75"/>
      <c r="H1699" s="75"/>
      <c r="I1699" s="18" t="s">
        <v>45</v>
      </c>
      <c r="J1699" s="75"/>
      <c r="K1699" s="75"/>
      <c r="L1699" s="75"/>
      <c r="M1699" s="75"/>
      <c r="N1699" s="75"/>
      <c r="O1699" s="15"/>
      <c r="P1699" s="75"/>
      <c r="Q1699" s="75"/>
    </row>
    <row r="1700" spans="2:17" x14ac:dyDescent="0.3">
      <c r="B1700" s="75"/>
      <c r="C1700" s="75"/>
      <c r="D1700" s="75"/>
      <c r="E1700" s="75"/>
      <c r="F1700" s="75"/>
      <c r="G1700" s="75"/>
      <c r="H1700" s="75"/>
      <c r="I1700" s="19" t="s">
        <v>40</v>
      </c>
      <c r="J1700" s="16">
        <f>J1674</f>
        <v>22.833780000000001</v>
      </c>
      <c r="K1700" s="16" t="s">
        <v>12</v>
      </c>
      <c r="L1700" s="75"/>
      <c r="M1700" s="75"/>
      <c r="N1700" s="75"/>
      <c r="O1700" s="26"/>
      <c r="P1700" s="75"/>
      <c r="Q1700" s="75"/>
    </row>
    <row r="1701" spans="2:17" x14ac:dyDescent="0.3">
      <c r="B1701" s="75"/>
      <c r="C1701" s="75"/>
      <c r="D1701" s="75"/>
      <c r="E1701" s="75"/>
      <c r="F1701" s="75"/>
      <c r="G1701" s="75"/>
      <c r="H1701" s="75"/>
      <c r="I1701" s="19" t="s">
        <v>46</v>
      </c>
      <c r="J1701" s="34">
        <f>J1686</f>
        <v>38.0563</v>
      </c>
      <c r="K1701" s="16" t="s">
        <v>12</v>
      </c>
      <c r="L1701" s="75"/>
      <c r="M1701" s="75"/>
      <c r="N1701" s="75"/>
      <c r="O1701" s="75"/>
      <c r="P1701" s="75"/>
      <c r="Q1701" s="75"/>
    </row>
    <row r="1702" spans="2:17" x14ac:dyDescent="0.3">
      <c r="B1702" s="75"/>
      <c r="C1702" s="75"/>
      <c r="D1702" s="75"/>
      <c r="E1702" s="75"/>
      <c r="F1702" s="75"/>
      <c r="G1702" s="75"/>
      <c r="H1702" s="75"/>
      <c r="I1702" s="19" t="s">
        <v>38</v>
      </c>
      <c r="J1702" s="34">
        <f>2/3*J1687*SQRT(C1661*0.0980665)*(1/0.0980665)/1000</f>
        <v>200.82839966479511</v>
      </c>
      <c r="K1702" s="16" t="s">
        <v>12</v>
      </c>
      <c r="L1702" s="75"/>
      <c r="M1702" s="39" t="str">
        <f>IF(J1702&gt;J1701,"[OK]","[REDISEÑAR]")</f>
        <v>[OK]</v>
      </c>
      <c r="N1702" s="41" t="str">
        <f>IF(O1702&gt;0,"Sobrado","Faltan")</f>
        <v>Sobrado</v>
      </c>
      <c r="O1702" s="43">
        <f>J1702-J1701</f>
        <v>162.77209966479512</v>
      </c>
      <c r="P1702" s="75"/>
      <c r="Q1702" s="75"/>
    </row>
    <row r="1704" spans="2:17" ht="18" x14ac:dyDescent="0.35">
      <c r="B1704" s="48" t="str">
        <f>'EJE 15'!$S$29</f>
        <v>EJE 15.G-L | PIER F33X | PISO 12</v>
      </c>
      <c r="C1704" s="75"/>
      <c r="D1704" s="75"/>
      <c r="E1704" s="75"/>
      <c r="F1704" s="75"/>
      <c r="G1704" s="75"/>
      <c r="H1704" s="75"/>
      <c r="J1704" s="75"/>
      <c r="K1704" s="75"/>
      <c r="L1704" s="75"/>
      <c r="M1704" s="75"/>
      <c r="N1704" s="75"/>
      <c r="O1704" s="75"/>
      <c r="P1704" s="75"/>
      <c r="Q1704" s="75"/>
    </row>
    <row r="1705" spans="2:17" x14ac:dyDescent="0.3">
      <c r="B1705" s="75"/>
      <c r="C1705" s="75"/>
      <c r="D1705" s="75"/>
      <c r="E1705" s="75"/>
      <c r="F1705" s="75"/>
      <c r="G1705" s="75"/>
      <c r="H1705" s="75"/>
      <c r="J1705" s="75"/>
      <c r="K1705" s="75"/>
      <c r="L1705" s="75"/>
      <c r="M1705" s="75"/>
      <c r="N1705" s="75"/>
      <c r="O1705" s="75"/>
      <c r="P1705" s="75"/>
      <c r="Q1705" s="75"/>
    </row>
    <row r="1706" spans="2:17" x14ac:dyDescent="0.3">
      <c r="B1706" s="17" t="s">
        <v>6</v>
      </c>
      <c r="C1706" s="75"/>
      <c r="D1706" s="75"/>
      <c r="E1706" s="75"/>
      <c r="F1706" s="75"/>
      <c r="G1706" s="75"/>
      <c r="H1706" s="75"/>
      <c r="I1706" s="18" t="s">
        <v>25</v>
      </c>
      <c r="J1706" s="75"/>
      <c r="K1706" s="75"/>
      <c r="L1706" s="75"/>
      <c r="M1706" s="75"/>
      <c r="N1706" s="75"/>
      <c r="O1706" s="75"/>
      <c r="P1706" s="75"/>
      <c r="Q1706" s="75"/>
    </row>
    <row r="1707" spans="2:17" x14ac:dyDescent="0.3">
      <c r="B1707" s="19" t="s">
        <v>99</v>
      </c>
      <c r="C1707" s="61">
        <f>10.1971621297793*'EJE 15'!$G$29</f>
        <v>305.91486389337899</v>
      </c>
      <c r="D1707" s="16" t="s">
        <v>8</v>
      </c>
      <c r="E1707" s="75"/>
      <c r="F1707" s="75"/>
      <c r="G1707" s="75"/>
      <c r="H1707" s="75"/>
      <c r="I1707" s="19" t="s">
        <v>58</v>
      </c>
      <c r="J1707" s="16">
        <f>C1714/16</f>
        <v>14.375</v>
      </c>
      <c r="K1707" s="16" t="s">
        <v>5</v>
      </c>
      <c r="L1707" s="21"/>
      <c r="M1707" s="39" t="str">
        <f>IF(J1707&lt;C1712,"[OK]","[REDISEÑAR]")</f>
        <v>[OK]</v>
      </c>
      <c r="N1707" s="75"/>
      <c r="O1707" s="75"/>
      <c r="P1707" s="75"/>
      <c r="Q1707" s="75"/>
    </row>
    <row r="1708" spans="2:17" x14ac:dyDescent="0.3">
      <c r="B1708" s="19" t="s">
        <v>30</v>
      </c>
      <c r="C1708" s="16">
        <v>4200</v>
      </c>
      <c r="D1708" s="16" t="s">
        <v>8</v>
      </c>
      <c r="E1708" s="75"/>
      <c r="F1708" s="75"/>
      <c r="G1708" s="75"/>
      <c r="H1708" s="75"/>
      <c r="I1708" s="19" t="s">
        <v>16</v>
      </c>
      <c r="J1708" s="16">
        <f>C1712*C1713</f>
        <v>8475</v>
      </c>
      <c r="K1708" s="16" t="s">
        <v>17</v>
      </c>
      <c r="L1708" s="21"/>
      <c r="M1708" s="75"/>
      <c r="N1708" s="75"/>
      <c r="O1708" s="75"/>
      <c r="P1708" s="75"/>
      <c r="Q1708" s="75"/>
    </row>
    <row r="1709" spans="2:17" x14ac:dyDescent="0.3">
      <c r="B1709" s="19" t="s">
        <v>31</v>
      </c>
      <c r="C1709" s="16">
        <v>2800</v>
      </c>
      <c r="D1709" s="16" t="s">
        <v>8</v>
      </c>
      <c r="E1709" s="75"/>
      <c r="F1709" s="75"/>
      <c r="G1709" s="75"/>
      <c r="H1709" s="75"/>
      <c r="I1709" s="19" t="s">
        <v>51</v>
      </c>
      <c r="J1709" s="16">
        <f>MIN(0.8*C1713/5,3*C1712,45)</f>
        <v>45</v>
      </c>
      <c r="K1709" s="16" t="s">
        <v>5</v>
      </c>
      <c r="L1709" s="21"/>
      <c r="M1709" s="39" t="str">
        <f>IF(J1709&gt;C1725,"[OK]","[REDISEÑAR]")</f>
        <v>[OK]</v>
      </c>
      <c r="N1709" s="75"/>
      <c r="O1709" s="75"/>
      <c r="P1709" s="75"/>
      <c r="Q1709" s="75"/>
    </row>
    <row r="1710" spans="2:17" x14ac:dyDescent="0.3">
      <c r="B1710" s="75"/>
      <c r="C1710" s="75"/>
      <c r="D1710" s="75"/>
      <c r="E1710" s="75"/>
      <c r="F1710" s="75"/>
      <c r="G1710" s="75"/>
      <c r="H1710" s="75"/>
      <c r="I1710" s="19" t="s">
        <v>56</v>
      </c>
      <c r="J1710" s="16">
        <f>MIN(0.8*C1714/3,3*C1713,45)</f>
        <v>45</v>
      </c>
      <c r="K1710" s="16" t="s">
        <v>5</v>
      </c>
      <c r="L1710" s="21"/>
      <c r="M1710" s="39" t="str">
        <f>IF(J1710&gt;C1725,"[OK]","[REDISEÑAR]")</f>
        <v>[OK]</v>
      </c>
      <c r="N1710" s="75"/>
      <c r="O1710" s="75"/>
      <c r="P1710" s="75"/>
      <c r="Q1710" s="75"/>
    </row>
    <row r="1711" spans="2:17" x14ac:dyDescent="0.3">
      <c r="B1711" s="17" t="s">
        <v>3</v>
      </c>
      <c r="C1711" s="75"/>
      <c r="D1711" s="75"/>
      <c r="E1711" s="75"/>
      <c r="F1711" s="75"/>
      <c r="G1711" s="75"/>
      <c r="H1711" s="75"/>
      <c r="I1711" s="19" t="s">
        <v>62</v>
      </c>
      <c r="J1711" s="16">
        <f>0.8*C1713</f>
        <v>271.2</v>
      </c>
      <c r="K1711" s="29" t="s">
        <v>5</v>
      </c>
      <c r="L1711" s="75"/>
      <c r="M1711" s="75"/>
      <c r="N1711" s="75"/>
      <c r="O1711" s="75"/>
      <c r="P1711" s="75"/>
      <c r="Q1711" s="75"/>
    </row>
    <row r="1712" spans="2:17" x14ac:dyDescent="0.3">
      <c r="B1712" s="19" t="str">
        <f>"Espesor del muro (h)"</f>
        <v>Espesor del muro (h)</v>
      </c>
      <c r="C1712" s="49">
        <f>'EJE 15'!$H$29</f>
        <v>25</v>
      </c>
      <c r="D1712" s="16" t="s">
        <v>5</v>
      </c>
      <c r="E1712" s="75"/>
      <c r="F1712" s="75"/>
      <c r="G1712" s="75"/>
      <c r="H1712" s="75"/>
      <c r="J1712" s="75"/>
      <c r="K1712" s="75"/>
      <c r="L1712" s="75"/>
      <c r="M1712" s="75"/>
      <c r="N1712" s="75"/>
      <c r="O1712" s="75"/>
      <c r="P1712" s="75"/>
      <c r="Q1712" s="75"/>
    </row>
    <row r="1713" spans="2:17" x14ac:dyDescent="0.3">
      <c r="B1713" s="19" t="s">
        <v>63</v>
      </c>
      <c r="C1713" s="49">
        <f>'EJE 15'!$I$29</f>
        <v>339</v>
      </c>
      <c r="D1713" s="16" t="s">
        <v>5</v>
      </c>
      <c r="E1713" s="75"/>
      <c r="F1713" s="75"/>
      <c r="G1713" s="75"/>
      <c r="H1713" s="75"/>
      <c r="I1713" s="18" t="s">
        <v>26</v>
      </c>
      <c r="J1713" s="75"/>
      <c r="K1713" s="75"/>
      <c r="L1713" s="75"/>
      <c r="M1713" s="75"/>
      <c r="N1713" s="75"/>
      <c r="O1713" s="75"/>
      <c r="P1713" s="75"/>
      <c r="Q1713" s="75"/>
    </row>
    <row r="1714" spans="2:17" x14ac:dyDescent="0.3">
      <c r="B1714" s="19" t="s">
        <v>10</v>
      </c>
      <c r="C1714" s="49">
        <f>'EJE 15'!$J$29</f>
        <v>230</v>
      </c>
      <c r="D1714" s="16" t="s">
        <v>5</v>
      </c>
      <c r="E1714" s="75"/>
      <c r="F1714" s="75"/>
      <c r="G1714" s="75"/>
      <c r="H1714" s="75"/>
      <c r="I1714" s="19" t="s">
        <v>28</v>
      </c>
      <c r="J1714" s="16">
        <f>0.35*C1707</f>
        <v>107.07020236268264</v>
      </c>
      <c r="K1714" s="16" t="s">
        <v>8</v>
      </c>
      <c r="L1714" s="21"/>
      <c r="M1714" s="75"/>
      <c r="N1714" s="75"/>
      <c r="O1714" s="75"/>
      <c r="P1714" s="75"/>
      <c r="Q1714" s="75"/>
    </row>
    <row r="1715" spans="2:17" x14ac:dyDescent="0.3">
      <c r="B1715" s="75"/>
      <c r="C1715" s="75"/>
      <c r="D1715" s="75"/>
      <c r="E1715" s="75"/>
      <c r="F1715" s="75"/>
      <c r="G1715" s="75"/>
      <c r="H1715" s="75"/>
      <c r="I1715" s="19" t="s">
        <v>27</v>
      </c>
      <c r="J1715" s="30">
        <f>C1717*1000/J1708</f>
        <v>15.96075516224189</v>
      </c>
      <c r="K1715" s="16" t="s">
        <v>8</v>
      </c>
      <c r="L1715" s="21"/>
      <c r="M1715" s="39" t="str">
        <f>IF(J1715&lt;J1714,"[OK]","[REDISEÑAR]")</f>
        <v>[OK]</v>
      </c>
      <c r="N1715" s="41" t="s">
        <v>112</v>
      </c>
      <c r="O1715" s="59">
        <f>J1715/J1714</f>
        <v>0.14906813296361826</v>
      </c>
      <c r="P1715" s="75"/>
      <c r="Q1715" s="75"/>
    </row>
    <row r="1716" spans="2:17" x14ac:dyDescent="0.3">
      <c r="B1716" s="17" t="s">
        <v>11</v>
      </c>
      <c r="C1716" s="75"/>
      <c r="D1716" s="75"/>
      <c r="E1716" s="75"/>
      <c r="F1716" s="75"/>
      <c r="G1716" s="75"/>
      <c r="H1716" s="75"/>
      <c r="J1716" s="75"/>
      <c r="K1716" s="75"/>
      <c r="L1716" s="75"/>
      <c r="M1716" s="75"/>
      <c r="N1716" s="75"/>
      <c r="O1716" s="75"/>
      <c r="P1716" s="75"/>
      <c r="Q1716" s="75"/>
    </row>
    <row r="1717" spans="2:17" x14ac:dyDescent="0.3">
      <c r="B1717" s="19" t="str">
        <f>"$N_U$"</f>
        <v>$N_U$</v>
      </c>
      <c r="C1717" s="60">
        <f>'EJE 15'!$K$29</f>
        <v>135.26740000000001</v>
      </c>
      <c r="D1717" s="16" t="s">
        <v>12</v>
      </c>
      <c r="E1717" s="75"/>
      <c r="F1717" s="75"/>
      <c r="G1717" s="75"/>
      <c r="H1717" s="75"/>
      <c r="I1717" s="18" t="s">
        <v>54</v>
      </c>
      <c r="J1717" s="75"/>
      <c r="K1717" s="75"/>
      <c r="L1717" s="75"/>
      <c r="M1717" s="75"/>
      <c r="N1717" s="75"/>
      <c r="O1717" s="75"/>
      <c r="P1717" s="75"/>
      <c r="Q1717" s="75"/>
    </row>
    <row r="1718" spans="2:17" x14ac:dyDescent="0.3">
      <c r="B1718" s="19" t="s">
        <v>14</v>
      </c>
      <c r="C1718" s="60">
        <f>'EJE 15'!$L$29</f>
        <v>2.5070000000000001</v>
      </c>
      <c r="D1718" s="16" t="s">
        <v>12</v>
      </c>
      <c r="E1718" s="75"/>
      <c r="F1718" s="75"/>
      <c r="G1718" s="75"/>
      <c r="H1718" s="75"/>
      <c r="I1718" s="19" t="s">
        <v>72</v>
      </c>
      <c r="J1718" s="16">
        <f>1.2*C1718+C1719+1.4*C1720</f>
        <v>22.833780000000001</v>
      </c>
      <c r="K1718" s="16" t="s">
        <v>12</v>
      </c>
      <c r="L1718" s="75"/>
      <c r="M1718" s="75" t="s">
        <v>68</v>
      </c>
      <c r="N1718" s="75"/>
      <c r="O1718" s="75"/>
      <c r="P1718" s="75"/>
      <c r="Q1718" s="75"/>
    </row>
    <row r="1719" spans="2:17" x14ac:dyDescent="0.3">
      <c r="B1719" s="19" t="s">
        <v>13</v>
      </c>
      <c r="C1719" s="60">
        <f>'EJE 15'!$M$29</f>
        <v>5.0799999999999998E-2</v>
      </c>
      <c r="D1719" s="16" t="s">
        <v>12</v>
      </c>
      <c r="E1719" s="75"/>
      <c r="F1719" s="75"/>
      <c r="G1719" s="75"/>
      <c r="H1719" s="75"/>
      <c r="I1719" s="19" t="s">
        <v>69</v>
      </c>
      <c r="J1719" s="16">
        <f>SUM(C1718:C1720)</f>
        <v>16.682500000000001</v>
      </c>
      <c r="K1719" s="16" t="s">
        <v>12</v>
      </c>
      <c r="L1719" s="75"/>
      <c r="M1719" s="75" t="s">
        <v>70</v>
      </c>
      <c r="N1719" s="75"/>
      <c r="O1719" s="75"/>
      <c r="P1719" s="75"/>
      <c r="Q1719" s="75"/>
    </row>
    <row r="1720" spans="2:17" x14ac:dyDescent="0.3">
      <c r="B1720" s="19" t="s">
        <v>15</v>
      </c>
      <c r="C1720" s="60">
        <f>'EJE 15'!$N$29</f>
        <v>14.124700000000001</v>
      </c>
      <c r="D1720" s="16" t="s">
        <v>12</v>
      </c>
      <c r="E1720" s="75"/>
      <c r="F1720" s="75"/>
      <c r="G1720" s="75"/>
      <c r="H1720" s="75"/>
      <c r="I1720" s="19" t="s">
        <v>73</v>
      </c>
      <c r="J1720" s="16">
        <f>IF(C1721=0,J1718,C1721)</f>
        <v>22.833780000000001</v>
      </c>
      <c r="K1720" s="16" t="s">
        <v>12</v>
      </c>
      <c r="L1720" s="75"/>
      <c r="M1720" s="40" t="s">
        <v>74</v>
      </c>
      <c r="N1720" s="75"/>
      <c r="O1720" s="75"/>
      <c r="P1720" s="75"/>
      <c r="Q1720" s="75"/>
    </row>
    <row r="1721" spans="2:17" x14ac:dyDescent="0.3">
      <c r="B1721" s="19" t="s">
        <v>55</v>
      </c>
      <c r="C1721" s="16">
        <v>0</v>
      </c>
      <c r="D1721" s="16" t="s">
        <v>12</v>
      </c>
      <c r="E1721" s="75"/>
      <c r="F1721" s="75"/>
      <c r="G1721" s="75"/>
      <c r="H1721" s="75"/>
      <c r="I1721" s="19" t="s">
        <v>71</v>
      </c>
      <c r="J1721" s="16">
        <f>IF(C1721=0,J1719,C1721)</f>
        <v>16.682500000000001</v>
      </c>
      <c r="K1721" s="16" t="s">
        <v>12</v>
      </c>
      <c r="L1721" s="75"/>
      <c r="M1721" s="40" t="s">
        <v>75</v>
      </c>
      <c r="N1721" s="75"/>
      <c r="O1721" s="75"/>
      <c r="P1721" s="75"/>
      <c r="Q1721" s="75"/>
    </row>
    <row r="1722" spans="2:17" x14ac:dyDescent="0.3">
      <c r="B1722" s="75"/>
      <c r="C1722" s="75"/>
      <c r="D1722" s="75"/>
      <c r="E1722" s="75"/>
      <c r="F1722" s="75"/>
      <c r="G1722" s="75"/>
      <c r="H1722" s="75"/>
      <c r="J1722" s="75"/>
      <c r="K1722" s="75"/>
      <c r="L1722" s="75"/>
      <c r="M1722" s="75"/>
      <c r="N1722" s="75"/>
      <c r="O1722" s="75"/>
      <c r="P1722" s="75"/>
      <c r="Q1722" s="75"/>
    </row>
    <row r="1723" spans="2:17" x14ac:dyDescent="0.3">
      <c r="B1723" s="33" t="s">
        <v>42</v>
      </c>
      <c r="C1723" s="75"/>
      <c r="D1723" s="75"/>
      <c r="E1723" s="75"/>
      <c r="F1723" s="75"/>
      <c r="G1723" s="75"/>
      <c r="H1723" s="75"/>
      <c r="I1723" s="27" t="s">
        <v>76</v>
      </c>
      <c r="J1723" s="75"/>
      <c r="K1723" s="75"/>
      <c r="L1723" s="75"/>
      <c r="M1723" s="75"/>
      <c r="N1723" s="75"/>
      <c r="O1723" s="75"/>
      <c r="P1723" s="75"/>
      <c r="Q1723" s="75"/>
    </row>
    <row r="1724" spans="2:17" x14ac:dyDescent="0.3">
      <c r="B1724" s="31" t="s">
        <v>41</v>
      </c>
      <c r="C1724" s="16">
        <v>10</v>
      </c>
      <c r="D1724" s="29" t="s">
        <v>35</v>
      </c>
      <c r="E1724" s="75"/>
      <c r="F1724" s="75"/>
      <c r="G1724" s="75"/>
      <c r="H1724" s="75"/>
      <c r="I1724" s="19" t="s">
        <v>29</v>
      </c>
      <c r="J1724" s="30">
        <f>J1721*1000/J1708</f>
        <v>1.9684365781710915</v>
      </c>
      <c r="K1724" s="29" t="s">
        <v>8</v>
      </c>
      <c r="L1724" s="75"/>
      <c r="M1724" s="75"/>
      <c r="N1724" s="75"/>
      <c r="O1724" s="75"/>
      <c r="P1724" s="75"/>
      <c r="Q1724" s="75"/>
    </row>
    <row r="1725" spans="2:17" x14ac:dyDescent="0.3">
      <c r="B1725" s="31" t="s">
        <v>43</v>
      </c>
      <c r="C1725" s="16">
        <v>14</v>
      </c>
      <c r="D1725" s="29" t="s">
        <v>5</v>
      </c>
      <c r="E1725" s="75"/>
      <c r="F1725" s="39" t="str">
        <f>IF(OR(C1725&gt;25,C1725&lt;10),"[REDISEÑAR]",IF(AND(C1725&lt;=J1726,C1725&lt;=J1740),"[OK]","[REDISEÑAR]"))</f>
        <v>[OK]</v>
      </c>
      <c r="G1725" s="75"/>
      <c r="H1725" s="75"/>
      <c r="I1725" s="19" t="s">
        <v>61</v>
      </c>
      <c r="J1725" s="37">
        <f>MAX(J1724*100*C1712/(2*C1709),C1729)</f>
        <v>3.125</v>
      </c>
      <c r="K1725" s="29" t="s">
        <v>32</v>
      </c>
      <c r="L1725" s="75"/>
      <c r="M1725" s="15"/>
      <c r="N1725" s="15"/>
      <c r="O1725" s="15"/>
      <c r="P1725" s="75"/>
      <c r="Q1725" s="75"/>
    </row>
    <row r="1726" spans="2:17" x14ac:dyDescent="0.3">
      <c r="B1726" s="75"/>
      <c r="C1726" s="50" t="str">
        <f>"$\phi$"&amp;C1724&amp;"@"&amp;C1725</f>
        <v>$\phi$10@14</v>
      </c>
      <c r="D1726" s="75"/>
      <c r="E1726" s="75"/>
      <c r="F1726" s="39" t="str">
        <f>IF(OR(J1725=C1729,J1736=C1729),"[ÁREA MINIMA]","[]")</f>
        <v>[ÁREA MINIMA]</v>
      </c>
      <c r="G1726" s="75"/>
      <c r="H1726" s="75"/>
      <c r="I1726" s="63" t="s">
        <v>34</v>
      </c>
      <c r="J1726" s="63">
        <f>ROUNDDOWN((1/J1725)*C1728*100,0)</f>
        <v>25</v>
      </c>
      <c r="K1726" s="64" t="s">
        <v>5</v>
      </c>
      <c r="L1726" s="75"/>
      <c r="M1726" s="39" t="str">
        <f>IF(OR(J1726&lt;10,J1726&gt;25),"[REDISEÑAR]","[OK")</f>
        <v>[OK</v>
      </c>
      <c r="N1726" s="41" t="s">
        <v>80</v>
      </c>
      <c r="O1726" s="42">
        <f>1/J1725*(C1724/2)^2*PI()</f>
        <v>25.132741228718345</v>
      </c>
      <c r="P1726" s="75" t="str">
        <f>"$\phi$"&amp;C1724&amp;"@"&amp;J1726</f>
        <v>$\phi$10@25</v>
      </c>
      <c r="Q1726" s="75"/>
    </row>
    <row r="1727" spans="2:17" x14ac:dyDescent="0.3">
      <c r="B1727" s="18" t="s">
        <v>52</v>
      </c>
      <c r="C1727" s="75"/>
      <c r="D1727" s="75"/>
      <c r="E1727" s="75"/>
      <c r="F1727" s="62" t="str">
        <f>IF(J1715&lt;J1714,IF(J1743&gt;J1732,"[OK]","[REDISEÑAR]"),"[REDISEÑAR]")</f>
        <v>[OK]</v>
      </c>
      <c r="G1727" s="75"/>
      <c r="H1727" s="75"/>
      <c r="I1727" s="31" t="s">
        <v>48</v>
      </c>
      <c r="J1727" s="30">
        <f>C1728*2*IF(C1713/C1725&gt;=1,C1713/C1725,0)</f>
        <v>38.035711055962139</v>
      </c>
      <c r="K1727" s="29" t="s">
        <v>17</v>
      </c>
      <c r="L1727" s="75"/>
      <c r="M1727" s="75"/>
      <c r="N1727" s="15"/>
      <c r="O1727" s="44"/>
      <c r="P1727" s="75"/>
      <c r="Q1727" s="75"/>
    </row>
    <row r="1728" spans="2:17" x14ac:dyDescent="0.3">
      <c r="B1728" s="31" t="s">
        <v>66</v>
      </c>
      <c r="C1728" s="30">
        <f>(C1724/(2*10))^2*PI()</f>
        <v>0.78539816339744828</v>
      </c>
      <c r="D1728" s="29" t="s">
        <v>17</v>
      </c>
      <c r="E1728" s="75"/>
      <c r="F1728" s="75"/>
      <c r="G1728" s="75"/>
      <c r="H1728" s="75"/>
      <c r="I1728" s="19" t="s">
        <v>49</v>
      </c>
      <c r="J1728" s="34">
        <f>C1709*J1727/1000</f>
        <v>106.49999095669399</v>
      </c>
      <c r="K1728" s="16" t="s">
        <v>12</v>
      </c>
      <c r="L1728" s="75"/>
      <c r="M1728" s="39" t="str">
        <f>IF(J1728&gt;J1721,"[OK]","[REDISEÑAR]")</f>
        <v>[OK]</v>
      </c>
      <c r="N1728" s="41" t="str">
        <f>IF(O1728&gt;0,"Sobrado","Faltan")</f>
        <v>Sobrado</v>
      </c>
      <c r="O1728" s="43">
        <f>J1728-J1721</f>
        <v>89.817490956693987</v>
      </c>
      <c r="P1728" s="75"/>
      <c r="Q1728" s="75"/>
    </row>
    <row r="1729" spans="2:17" x14ac:dyDescent="0.3">
      <c r="B1729" s="31" t="s">
        <v>78</v>
      </c>
      <c r="C1729" s="37">
        <f>2.5/1000*100*C1712/2</f>
        <v>3.125</v>
      </c>
      <c r="D1729" s="16" t="s">
        <v>17</v>
      </c>
      <c r="E1729" s="75"/>
      <c r="F1729" s="75"/>
      <c r="G1729" s="75"/>
      <c r="H1729" s="75"/>
      <c r="J1729" s="75"/>
      <c r="K1729" s="75"/>
      <c r="L1729" s="75"/>
      <c r="M1729" s="75"/>
      <c r="N1729" s="75"/>
      <c r="O1729" s="15"/>
      <c r="P1729" s="75"/>
      <c r="Q1729" s="75"/>
    </row>
    <row r="1730" spans="2:17" x14ac:dyDescent="0.3">
      <c r="B1730" s="31" t="s">
        <v>114</v>
      </c>
      <c r="C1730" s="37">
        <f>C1728*100/C1725</f>
        <v>5.6099868814103448</v>
      </c>
      <c r="D1730" s="29" t="s">
        <v>32</v>
      </c>
      <c r="E1730" s="75"/>
      <c r="F1730" s="75"/>
      <c r="G1730" s="75"/>
      <c r="H1730" s="75"/>
      <c r="I1730" s="18" t="s">
        <v>77</v>
      </c>
      <c r="J1730" s="75"/>
      <c r="K1730" s="75"/>
      <c r="L1730" s="75"/>
      <c r="M1730" s="17" t="s">
        <v>67</v>
      </c>
      <c r="N1730" s="75"/>
      <c r="O1730" s="75"/>
      <c r="P1730" s="75"/>
      <c r="Q1730" s="75"/>
    </row>
    <row r="1731" spans="2:17" x14ac:dyDescent="0.3">
      <c r="B1731" s="75"/>
      <c r="C1731" s="75"/>
      <c r="D1731" s="75"/>
      <c r="E1731" s="75"/>
      <c r="F1731" s="75"/>
      <c r="G1731" s="75"/>
      <c r="H1731" s="75"/>
      <c r="I1731" s="19" t="s">
        <v>33</v>
      </c>
      <c r="J1731" s="16">
        <v>0.6</v>
      </c>
      <c r="K1731" s="16" t="s">
        <v>50</v>
      </c>
      <c r="L1731" s="75"/>
      <c r="M1731" s="19" t="s">
        <v>64</v>
      </c>
      <c r="N1731" s="30">
        <f>SQRT(C1707*0.0980665)*(1/0.0980665)/1000*J1733*0.17</f>
        <v>51.211241914522745</v>
      </c>
      <c r="O1731" s="16" t="s">
        <v>12</v>
      </c>
      <c r="P1731" s="75"/>
      <c r="Q1731" s="75"/>
    </row>
    <row r="1732" spans="2:17" x14ac:dyDescent="0.3">
      <c r="B1732" s="17" t="s">
        <v>37</v>
      </c>
      <c r="C1732" s="75"/>
      <c r="D1732" s="75"/>
      <c r="E1732" s="75"/>
      <c r="F1732" s="75"/>
      <c r="G1732" s="75"/>
      <c r="H1732" s="75"/>
      <c r="I1732" s="19" t="s">
        <v>46</v>
      </c>
      <c r="J1732" s="34">
        <f>J1720/J1731</f>
        <v>38.0563</v>
      </c>
      <c r="K1732" s="16" t="s">
        <v>12</v>
      </c>
      <c r="L1732" s="75"/>
      <c r="M1732" s="19" t="s">
        <v>57</v>
      </c>
      <c r="N1732" s="16">
        <f>IF(C1714/J1711&lt;=1.5,0.25,IF(C1714/J1711&gt;=2,0.17,0.17+(0.25-0.17)/(C1714/J1711-1.5)*C1714/J1711))</f>
        <v>0.25</v>
      </c>
      <c r="O1732" s="29" t="s">
        <v>50</v>
      </c>
      <c r="P1732" s="75"/>
      <c r="Q1732" s="75"/>
    </row>
    <row r="1733" spans="2:17" x14ac:dyDescent="0.3">
      <c r="B1733" s="31" t="s">
        <v>115</v>
      </c>
      <c r="C1733" s="37">
        <f>O1728</f>
        <v>89.817490956693987</v>
      </c>
      <c r="D1733" s="29" t="s">
        <v>12</v>
      </c>
      <c r="E1733" s="75"/>
      <c r="F1733" s="75"/>
      <c r="G1733" s="75"/>
      <c r="H1733" s="75"/>
      <c r="I1733" s="19" t="s">
        <v>36</v>
      </c>
      <c r="J1733" s="35">
        <f>J1711*C1712*0.8-J1741</f>
        <v>5393.5714311552301</v>
      </c>
      <c r="K1733" s="16" t="s">
        <v>17</v>
      </c>
      <c r="L1733" s="75"/>
      <c r="M1733" s="19" t="s">
        <v>59</v>
      </c>
      <c r="N1733" s="30">
        <f>SQRT(C1707*0.0980665)*(1/0.0980665)/1000*J1733*N1732</f>
        <v>75.31064987429815</v>
      </c>
      <c r="O1733" s="29" t="s">
        <v>12</v>
      </c>
      <c r="P1733" s="75"/>
      <c r="Q1733" s="75"/>
    </row>
    <row r="1734" spans="2:17" x14ac:dyDescent="0.3">
      <c r="B1734" s="31" t="s">
        <v>116</v>
      </c>
      <c r="C1734" s="37">
        <f>O1743</f>
        <v>140.95493106255552</v>
      </c>
      <c r="D1734" s="29" t="s">
        <v>12</v>
      </c>
      <c r="E1734" s="75"/>
      <c r="F1734" s="75"/>
      <c r="G1734" s="75"/>
      <c r="H1734" s="75"/>
      <c r="I1734" s="19" t="s">
        <v>60</v>
      </c>
      <c r="J1734" s="34">
        <f>MIN(N1733,N1731)</f>
        <v>51.211241914522745</v>
      </c>
      <c r="K1734" s="29" t="s">
        <v>12</v>
      </c>
      <c r="L1734" s="75"/>
      <c r="M1734" s="75"/>
      <c r="N1734" s="75"/>
      <c r="O1734" s="75"/>
      <c r="P1734" s="75"/>
      <c r="Q1734" s="75"/>
    </row>
    <row r="1735" spans="2:17" x14ac:dyDescent="0.3">
      <c r="B1735" s="19" t="s">
        <v>117</v>
      </c>
      <c r="C1735" s="36">
        <f>C1728*2*C1713/C1725/J1708</f>
        <v>4.4879895051282755E-3</v>
      </c>
      <c r="D1735" s="16" t="s">
        <v>50</v>
      </c>
      <c r="E1735" s="75"/>
      <c r="F1735" s="75"/>
      <c r="G1735" s="75"/>
      <c r="H1735" s="75"/>
      <c r="I1735" s="19" t="s">
        <v>39</v>
      </c>
      <c r="J1735" s="34">
        <f>J1732-J1734</f>
        <v>-13.154941914522745</v>
      </c>
      <c r="K1735" s="16" t="s">
        <v>12</v>
      </c>
      <c r="L1735" s="75"/>
      <c r="M1735" s="75"/>
      <c r="N1735" s="75"/>
      <c r="O1735" s="75"/>
      <c r="P1735" s="75"/>
      <c r="Q1735" s="75"/>
    </row>
    <row r="1736" spans="2:17" x14ac:dyDescent="0.3">
      <c r="B1736" s="75"/>
      <c r="C1736" s="75"/>
      <c r="D1736" s="75"/>
      <c r="E1736" s="75"/>
      <c r="F1736" s="75"/>
      <c r="G1736" s="75"/>
      <c r="H1736" s="75"/>
      <c r="I1736" s="19" t="s">
        <v>61</v>
      </c>
      <c r="J1736" s="37">
        <f>MAX(J1735/(C1708*J1711/1000/100)/2,C1729)</f>
        <v>3.125</v>
      </c>
      <c r="K1736" s="29" t="s">
        <v>32</v>
      </c>
      <c r="L1736" s="75"/>
      <c r="M1736" s="75"/>
      <c r="N1736" s="75"/>
      <c r="O1736" s="75"/>
      <c r="P1736" s="75"/>
      <c r="Q1736" s="75"/>
    </row>
    <row r="1737" spans="2:17" x14ac:dyDescent="0.3">
      <c r="B1737" s="75"/>
      <c r="C1737" s="75"/>
      <c r="D1737" s="75"/>
      <c r="E1737" s="75"/>
      <c r="F1737" s="75"/>
      <c r="G1737" s="75"/>
      <c r="H1737" s="75"/>
      <c r="I1737" s="19" t="s">
        <v>65</v>
      </c>
      <c r="J1737" s="36">
        <f>J1736/C1712/100*2</f>
        <v>2.5000000000000001E-3</v>
      </c>
      <c r="K1737" s="16" t="s">
        <v>50</v>
      </c>
      <c r="L1737" s="75"/>
      <c r="M1737" s="75"/>
      <c r="N1737" s="75"/>
      <c r="O1737" s="75"/>
      <c r="P1737" s="75"/>
      <c r="Q1737" s="75"/>
    </row>
    <row r="1738" spans="2:17" x14ac:dyDescent="0.3">
      <c r="B1738" s="75"/>
      <c r="C1738" s="75"/>
      <c r="D1738" s="75"/>
      <c r="E1738" s="75"/>
      <c r="F1738" s="75"/>
      <c r="G1738" s="75"/>
      <c r="H1738" s="75"/>
      <c r="I1738" s="19" t="s">
        <v>53</v>
      </c>
      <c r="J1738" s="16">
        <f>MAX(0.0025,0.0025*0.5*(2.5-C1712/(C1713*0.8))*(J1737-0.0025))</f>
        <v>2.5000000000000001E-3</v>
      </c>
      <c r="K1738" s="29" t="s">
        <v>50</v>
      </c>
      <c r="L1738" s="75"/>
      <c r="M1738" s="39" t="str">
        <f>IF(OR(J1737&gt;J1738,ABS(J1737-J1738)&lt;0.0001),"[OK]","[REDISEÑAR]")</f>
        <v>[OK]</v>
      </c>
      <c r="N1738" s="75"/>
      <c r="O1738" s="75"/>
      <c r="P1738" s="75"/>
      <c r="Q1738" s="75"/>
    </row>
    <row r="1739" spans="2:17" x14ac:dyDescent="0.3">
      <c r="B1739" s="75"/>
      <c r="C1739" s="75"/>
      <c r="D1739" s="75"/>
      <c r="E1739" s="75"/>
      <c r="F1739" s="75"/>
      <c r="G1739" s="75"/>
      <c r="H1739" s="75"/>
      <c r="I1739" s="19" t="s">
        <v>47</v>
      </c>
      <c r="J1739" s="34">
        <f>SQRT(C1707*0.0980665)*(1/0.0980665)/1000*0.66*0.8*C1713*C1712</f>
        <v>249.92723308409288</v>
      </c>
      <c r="K1739" s="16" t="s">
        <v>12</v>
      </c>
      <c r="L1739" s="75"/>
      <c r="M1739" s="40" t="s">
        <v>44</v>
      </c>
      <c r="N1739" s="75"/>
      <c r="O1739" s="15"/>
      <c r="P1739" s="75"/>
      <c r="Q1739" s="75"/>
    </row>
    <row r="1740" spans="2:17" x14ac:dyDescent="0.3">
      <c r="B1740" s="75"/>
      <c r="C1740" s="75"/>
      <c r="D1740" s="75"/>
      <c r="E1740" s="75"/>
      <c r="F1740" s="75"/>
      <c r="G1740" s="75"/>
      <c r="H1740" s="75"/>
      <c r="I1740" s="63" t="s">
        <v>34</v>
      </c>
      <c r="J1740" s="63">
        <f>ROUNDDOWN(1/J1736*C1728*100,0)</f>
        <v>25</v>
      </c>
      <c r="K1740" s="64" t="s">
        <v>5</v>
      </c>
      <c r="L1740" s="75"/>
      <c r="M1740" s="39" t="str">
        <f>IF(OR(J1740&lt;10,J1740&gt;25),"[REDISEÑAR]","[OK")</f>
        <v>[OK</v>
      </c>
      <c r="N1740" s="41" t="s">
        <v>80</v>
      </c>
      <c r="O1740" s="42">
        <f>1/J1736*(C1724/2)^2*PI()</f>
        <v>25.132741228718345</v>
      </c>
      <c r="P1740" s="75" t="str">
        <f>"$\phi$"&amp;C1724&amp;"@"&amp;J1740</f>
        <v>$\phi$10@25</v>
      </c>
      <c r="Q1740" s="75"/>
    </row>
    <row r="1741" spans="2:17" x14ac:dyDescent="0.3">
      <c r="B1741" s="75"/>
      <c r="C1741" s="75"/>
      <c r="D1741" s="75"/>
      <c r="E1741" s="75"/>
      <c r="F1741" s="75"/>
      <c r="G1741" s="75"/>
      <c r="H1741" s="75"/>
      <c r="I1741" s="31" t="s">
        <v>48</v>
      </c>
      <c r="J1741" s="30">
        <f>C1728*2*IF(J1711/C1725&gt;=1,J1711/C1725,0)</f>
        <v>30.428568844769707</v>
      </c>
      <c r="K1741" s="29" t="s">
        <v>17</v>
      </c>
      <c r="L1741" s="75"/>
      <c r="M1741" s="75"/>
      <c r="N1741" s="15"/>
      <c r="O1741" s="15"/>
      <c r="P1741" s="75"/>
      <c r="Q1741" s="75"/>
    </row>
    <row r="1742" spans="2:17" x14ac:dyDescent="0.3">
      <c r="B1742" s="75"/>
      <c r="C1742" s="75"/>
      <c r="D1742" s="75"/>
      <c r="E1742" s="75"/>
      <c r="F1742" s="75"/>
      <c r="G1742" s="75"/>
      <c r="H1742" s="75"/>
      <c r="I1742" s="19" t="s">
        <v>81</v>
      </c>
      <c r="J1742" s="34">
        <f>MIN(J1741*C1708/1000,J1739)</f>
        <v>127.79998914803276</v>
      </c>
      <c r="K1742" s="16" t="s">
        <v>12</v>
      </c>
      <c r="L1742" s="75"/>
      <c r="M1742" s="40" t="s">
        <v>82</v>
      </c>
      <c r="N1742" s="15"/>
      <c r="O1742" s="15"/>
      <c r="P1742" s="75"/>
      <c r="Q1742" s="75"/>
    </row>
    <row r="1743" spans="2:17" x14ac:dyDescent="0.3">
      <c r="B1743" s="75"/>
      <c r="C1743" s="75"/>
      <c r="D1743" s="75"/>
      <c r="E1743" s="75"/>
      <c r="F1743" s="75"/>
      <c r="G1743" s="75"/>
      <c r="H1743" s="75"/>
      <c r="I1743" s="19" t="s">
        <v>79</v>
      </c>
      <c r="J1743" s="34">
        <f>J1742+J1734</f>
        <v>179.01123106255551</v>
      </c>
      <c r="K1743" s="16" t="s">
        <v>12</v>
      </c>
      <c r="L1743" s="75"/>
      <c r="M1743" s="39" t="str">
        <f>IF(J1743&gt;J1732,"[OK]","[REDISEÑAR]")</f>
        <v>[OK]</v>
      </c>
      <c r="N1743" s="41" t="str">
        <f>IF(O1743&gt;0,"Sobrado","Faltan")</f>
        <v>Sobrado</v>
      </c>
      <c r="O1743" s="43">
        <f>J1743-J1732</f>
        <v>140.95493106255552</v>
      </c>
      <c r="P1743" s="75"/>
      <c r="Q1743" s="75"/>
    </row>
    <row r="1744" spans="2:17" x14ac:dyDescent="0.3">
      <c r="B1744" s="75"/>
      <c r="C1744" s="75"/>
      <c r="D1744" s="75"/>
      <c r="E1744" s="75"/>
      <c r="F1744" s="75"/>
      <c r="G1744" s="75"/>
      <c r="H1744" s="75"/>
      <c r="J1744" s="75"/>
      <c r="K1744" s="75"/>
      <c r="L1744" s="75"/>
      <c r="M1744" s="75"/>
      <c r="N1744" s="75"/>
      <c r="O1744" s="75"/>
      <c r="P1744" s="75"/>
      <c r="Q1744" s="75"/>
    </row>
    <row r="1745" spans="2:17" x14ac:dyDescent="0.3">
      <c r="B1745" s="75"/>
      <c r="C1745" s="75"/>
      <c r="D1745" s="75"/>
      <c r="E1745" s="75"/>
      <c r="F1745" s="75"/>
      <c r="G1745" s="75"/>
      <c r="H1745" s="75"/>
      <c r="I1745" s="18" t="s">
        <v>45</v>
      </c>
      <c r="J1745" s="75"/>
      <c r="K1745" s="75"/>
      <c r="L1745" s="75"/>
      <c r="M1745" s="75"/>
      <c r="N1745" s="75"/>
      <c r="O1745" s="15"/>
      <c r="P1745" s="75"/>
      <c r="Q1745" s="75"/>
    </row>
    <row r="1746" spans="2:17" x14ac:dyDescent="0.3">
      <c r="B1746" s="75"/>
      <c r="C1746" s="75"/>
      <c r="D1746" s="75"/>
      <c r="E1746" s="75"/>
      <c r="F1746" s="75"/>
      <c r="G1746" s="75"/>
      <c r="H1746" s="75"/>
      <c r="I1746" s="19" t="s">
        <v>40</v>
      </c>
      <c r="J1746" s="16">
        <f>J1720</f>
        <v>22.833780000000001</v>
      </c>
      <c r="K1746" s="16" t="s">
        <v>12</v>
      </c>
      <c r="L1746" s="75"/>
      <c r="M1746" s="75"/>
      <c r="N1746" s="75"/>
      <c r="O1746" s="26"/>
      <c r="P1746" s="75"/>
      <c r="Q1746" s="75"/>
    </row>
    <row r="1747" spans="2:17" x14ac:dyDescent="0.3">
      <c r="B1747" s="75"/>
      <c r="C1747" s="75"/>
      <c r="D1747" s="75"/>
      <c r="E1747" s="75"/>
      <c r="F1747" s="75"/>
      <c r="G1747" s="75"/>
      <c r="H1747" s="75"/>
      <c r="I1747" s="19" t="s">
        <v>46</v>
      </c>
      <c r="J1747" s="34">
        <f>J1732</f>
        <v>38.0563</v>
      </c>
      <c r="K1747" s="16" t="s">
        <v>12</v>
      </c>
      <c r="L1747" s="75"/>
      <c r="M1747" s="75"/>
      <c r="N1747" s="75"/>
      <c r="O1747" s="75"/>
      <c r="P1747" s="75"/>
      <c r="Q1747" s="75"/>
    </row>
    <row r="1748" spans="2:17" x14ac:dyDescent="0.3">
      <c r="B1748" s="75"/>
      <c r="C1748" s="75"/>
      <c r="D1748" s="75"/>
      <c r="E1748" s="75"/>
      <c r="F1748" s="75"/>
      <c r="G1748" s="75"/>
      <c r="H1748" s="75"/>
      <c r="I1748" s="19" t="s">
        <v>38</v>
      </c>
      <c r="J1748" s="34">
        <f>2/3*J1733*SQRT(C1707*0.0980665)*(1/0.0980665)/1000</f>
        <v>200.82839966479511</v>
      </c>
      <c r="K1748" s="16" t="s">
        <v>12</v>
      </c>
      <c r="L1748" s="75"/>
      <c r="M1748" s="39" t="str">
        <f>IF(J1748&gt;J1747,"[OK]","[REDISEÑAR]")</f>
        <v>[OK]</v>
      </c>
      <c r="N1748" s="41" t="str">
        <f>IF(O1748&gt;0,"Sobrado","Faltan")</f>
        <v>Sobrado</v>
      </c>
      <c r="O1748" s="43">
        <f>J1748-J1747</f>
        <v>162.77209966479512</v>
      </c>
      <c r="P1748" s="75"/>
      <c r="Q1748" s="75"/>
    </row>
    <row r="1750" spans="2:17" ht="18" x14ac:dyDescent="0.35">
      <c r="B1750" s="48" t="str">
        <f>'EJE 15'!$S$29</f>
        <v>EJE 15.G-L | PIER F33X | PISO 12</v>
      </c>
      <c r="C1750" s="75"/>
      <c r="D1750" s="75"/>
      <c r="E1750" s="75"/>
      <c r="F1750" s="75"/>
      <c r="G1750" s="75"/>
      <c r="H1750" s="75"/>
      <c r="J1750" s="75"/>
      <c r="K1750" s="75"/>
      <c r="L1750" s="75"/>
      <c r="M1750" s="75"/>
      <c r="N1750" s="75"/>
      <c r="O1750" s="75"/>
      <c r="P1750" s="75"/>
      <c r="Q1750" s="75"/>
    </row>
    <row r="1751" spans="2:17" x14ac:dyDescent="0.3">
      <c r="B1751" s="75"/>
      <c r="C1751" s="75"/>
      <c r="D1751" s="75"/>
      <c r="E1751" s="75"/>
      <c r="F1751" s="75"/>
      <c r="G1751" s="75"/>
      <c r="H1751" s="75"/>
      <c r="J1751" s="75"/>
      <c r="K1751" s="75"/>
      <c r="L1751" s="75"/>
      <c r="M1751" s="75"/>
      <c r="N1751" s="75"/>
      <c r="O1751" s="75"/>
      <c r="P1751" s="75"/>
      <c r="Q1751" s="75"/>
    </row>
    <row r="1752" spans="2:17" x14ac:dyDescent="0.3">
      <c r="B1752" s="17" t="s">
        <v>6</v>
      </c>
      <c r="C1752" s="75"/>
      <c r="D1752" s="75"/>
      <c r="E1752" s="75"/>
      <c r="F1752" s="75"/>
      <c r="G1752" s="75"/>
      <c r="H1752" s="75"/>
      <c r="I1752" s="18" t="s">
        <v>25</v>
      </c>
      <c r="J1752" s="75"/>
      <c r="K1752" s="75"/>
      <c r="L1752" s="75"/>
      <c r="M1752" s="75"/>
      <c r="N1752" s="75"/>
      <c r="O1752" s="75"/>
      <c r="P1752" s="75"/>
      <c r="Q1752" s="75"/>
    </row>
    <row r="1753" spans="2:17" x14ac:dyDescent="0.3">
      <c r="B1753" s="19" t="s">
        <v>99</v>
      </c>
      <c r="C1753" s="61">
        <f>10.1971621297793*'EJE 15'!$G$29</f>
        <v>305.91486389337899</v>
      </c>
      <c r="D1753" s="16" t="s">
        <v>8</v>
      </c>
      <c r="E1753" s="75"/>
      <c r="F1753" s="75"/>
      <c r="G1753" s="75"/>
      <c r="H1753" s="75"/>
      <c r="I1753" s="19" t="s">
        <v>58</v>
      </c>
      <c r="J1753" s="16">
        <f>C1760/16</f>
        <v>14.375</v>
      </c>
      <c r="K1753" s="16" t="s">
        <v>5</v>
      </c>
      <c r="L1753" s="21"/>
      <c r="M1753" s="39" t="str">
        <f>IF(J1753&lt;C1758,"[OK]","[REDISEÑAR]")</f>
        <v>[OK]</v>
      </c>
      <c r="N1753" s="75"/>
      <c r="O1753" s="75"/>
      <c r="P1753" s="75"/>
      <c r="Q1753" s="75"/>
    </row>
    <row r="1754" spans="2:17" x14ac:dyDescent="0.3">
      <c r="B1754" s="19" t="s">
        <v>30</v>
      </c>
      <c r="C1754" s="16">
        <v>4200</v>
      </c>
      <c r="D1754" s="16" t="s">
        <v>8</v>
      </c>
      <c r="E1754" s="75"/>
      <c r="F1754" s="75"/>
      <c r="G1754" s="75"/>
      <c r="H1754" s="75"/>
      <c r="I1754" s="19" t="s">
        <v>16</v>
      </c>
      <c r="J1754" s="16">
        <f>C1758*C1759</f>
        <v>8475</v>
      </c>
      <c r="K1754" s="16" t="s">
        <v>17</v>
      </c>
      <c r="L1754" s="21"/>
      <c r="M1754" s="75"/>
      <c r="N1754" s="75"/>
      <c r="O1754" s="75"/>
      <c r="P1754" s="75"/>
      <c r="Q1754" s="75"/>
    </row>
    <row r="1755" spans="2:17" x14ac:dyDescent="0.3">
      <c r="B1755" s="19" t="s">
        <v>31</v>
      </c>
      <c r="C1755" s="16">
        <v>2800</v>
      </c>
      <c r="D1755" s="16" t="s">
        <v>8</v>
      </c>
      <c r="E1755" s="75"/>
      <c r="F1755" s="75"/>
      <c r="G1755" s="75"/>
      <c r="H1755" s="75"/>
      <c r="I1755" s="19" t="s">
        <v>51</v>
      </c>
      <c r="J1755" s="16">
        <f>MIN(0.8*C1759/5,3*C1758,45)</f>
        <v>45</v>
      </c>
      <c r="K1755" s="16" t="s">
        <v>5</v>
      </c>
      <c r="L1755" s="21"/>
      <c r="M1755" s="39" t="str">
        <f>IF(J1755&gt;C1771,"[OK]","[REDISEÑAR]")</f>
        <v>[OK]</v>
      </c>
      <c r="N1755" s="75"/>
      <c r="O1755" s="75"/>
      <c r="P1755" s="75"/>
      <c r="Q1755" s="75"/>
    </row>
    <row r="1756" spans="2:17" x14ac:dyDescent="0.3">
      <c r="B1756" s="75"/>
      <c r="C1756" s="75"/>
      <c r="D1756" s="75"/>
      <c r="E1756" s="75"/>
      <c r="F1756" s="75"/>
      <c r="G1756" s="75"/>
      <c r="H1756" s="75"/>
      <c r="I1756" s="19" t="s">
        <v>56</v>
      </c>
      <c r="J1756" s="16">
        <f>MIN(0.8*C1760/3,3*C1759,45)</f>
        <v>45</v>
      </c>
      <c r="K1756" s="16" t="s">
        <v>5</v>
      </c>
      <c r="L1756" s="21"/>
      <c r="M1756" s="39" t="str">
        <f>IF(J1756&gt;C1771,"[OK]","[REDISEÑAR]")</f>
        <v>[OK]</v>
      </c>
      <c r="N1756" s="75"/>
      <c r="O1756" s="75"/>
      <c r="P1756" s="75"/>
      <c r="Q1756" s="75"/>
    </row>
    <row r="1757" spans="2:17" x14ac:dyDescent="0.3">
      <c r="B1757" s="17" t="s">
        <v>3</v>
      </c>
      <c r="C1757" s="75"/>
      <c r="D1757" s="75"/>
      <c r="E1757" s="75"/>
      <c r="F1757" s="75"/>
      <c r="G1757" s="75"/>
      <c r="H1757" s="75"/>
      <c r="I1757" s="19" t="s">
        <v>62</v>
      </c>
      <c r="J1757" s="16">
        <f>0.8*C1759</f>
        <v>271.2</v>
      </c>
      <c r="K1757" s="29" t="s">
        <v>5</v>
      </c>
      <c r="L1757" s="75"/>
      <c r="M1757" s="75"/>
      <c r="N1757" s="75"/>
      <c r="O1757" s="75"/>
      <c r="P1757" s="75"/>
      <c r="Q1757" s="75"/>
    </row>
    <row r="1758" spans="2:17" x14ac:dyDescent="0.3">
      <c r="B1758" s="19" t="str">
        <f>"Espesor del muro (h)"</f>
        <v>Espesor del muro (h)</v>
      </c>
      <c r="C1758" s="49">
        <f>'EJE 15'!$H$29</f>
        <v>25</v>
      </c>
      <c r="D1758" s="16" t="s">
        <v>5</v>
      </c>
      <c r="E1758" s="75"/>
      <c r="F1758" s="75"/>
      <c r="G1758" s="75"/>
      <c r="H1758" s="75"/>
      <c r="J1758" s="75"/>
      <c r="K1758" s="75"/>
      <c r="L1758" s="75"/>
      <c r="M1758" s="75"/>
      <c r="N1758" s="75"/>
      <c r="O1758" s="75"/>
      <c r="P1758" s="75"/>
      <c r="Q1758" s="75"/>
    </row>
    <row r="1759" spans="2:17" x14ac:dyDescent="0.3">
      <c r="B1759" s="19" t="s">
        <v>63</v>
      </c>
      <c r="C1759" s="49">
        <f>'EJE 15'!$I$29</f>
        <v>339</v>
      </c>
      <c r="D1759" s="16" t="s">
        <v>5</v>
      </c>
      <c r="E1759" s="75"/>
      <c r="F1759" s="75"/>
      <c r="G1759" s="75"/>
      <c r="H1759" s="75"/>
      <c r="I1759" s="18" t="s">
        <v>26</v>
      </c>
      <c r="J1759" s="75"/>
      <c r="K1759" s="75"/>
      <c r="L1759" s="75"/>
      <c r="M1759" s="75"/>
      <c r="N1759" s="75"/>
      <c r="O1759" s="75"/>
      <c r="P1759" s="75"/>
      <c r="Q1759" s="75"/>
    </row>
    <row r="1760" spans="2:17" x14ac:dyDescent="0.3">
      <c r="B1760" s="19" t="s">
        <v>10</v>
      </c>
      <c r="C1760" s="49">
        <f>'EJE 15'!$J$29</f>
        <v>230</v>
      </c>
      <c r="D1760" s="16" t="s">
        <v>5</v>
      </c>
      <c r="E1760" s="75"/>
      <c r="F1760" s="75"/>
      <c r="G1760" s="75"/>
      <c r="H1760" s="75"/>
      <c r="I1760" s="19" t="s">
        <v>28</v>
      </c>
      <c r="J1760" s="16">
        <f>0.35*C1753</f>
        <v>107.07020236268264</v>
      </c>
      <c r="K1760" s="16" t="s">
        <v>8</v>
      </c>
      <c r="L1760" s="21"/>
      <c r="M1760" s="75"/>
      <c r="N1760" s="75"/>
      <c r="O1760" s="75"/>
      <c r="P1760" s="75"/>
      <c r="Q1760" s="75"/>
    </row>
    <row r="1761" spans="2:17" x14ac:dyDescent="0.3">
      <c r="B1761" s="75"/>
      <c r="C1761" s="75"/>
      <c r="D1761" s="75"/>
      <c r="E1761" s="75"/>
      <c r="F1761" s="75"/>
      <c r="G1761" s="75"/>
      <c r="H1761" s="75"/>
      <c r="I1761" s="19" t="s">
        <v>27</v>
      </c>
      <c r="J1761" s="30">
        <f>C1763*1000/J1754</f>
        <v>15.96075516224189</v>
      </c>
      <c r="K1761" s="16" t="s">
        <v>8</v>
      </c>
      <c r="L1761" s="21"/>
      <c r="M1761" s="39" t="str">
        <f>IF(J1761&lt;J1760,"[OK]","[REDISEÑAR]")</f>
        <v>[OK]</v>
      </c>
      <c r="N1761" s="41" t="s">
        <v>112</v>
      </c>
      <c r="O1761" s="59">
        <f>J1761/J1760</f>
        <v>0.14906813296361826</v>
      </c>
      <c r="P1761" s="75"/>
      <c r="Q1761" s="75"/>
    </row>
    <row r="1762" spans="2:17" x14ac:dyDescent="0.3">
      <c r="B1762" s="17" t="s">
        <v>11</v>
      </c>
      <c r="C1762" s="75"/>
      <c r="D1762" s="75"/>
      <c r="E1762" s="75"/>
      <c r="F1762" s="75"/>
      <c r="G1762" s="75"/>
      <c r="H1762" s="75"/>
      <c r="J1762" s="75"/>
      <c r="K1762" s="75"/>
      <c r="L1762" s="75"/>
      <c r="M1762" s="75"/>
      <c r="N1762" s="75"/>
      <c r="O1762" s="75"/>
      <c r="P1762" s="75"/>
      <c r="Q1762" s="75"/>
    </row>
    <row r="1763" spans="2:17" x14ac:dyDescent="0.3">
      <c r="B1763" s="19" t="str">
        <f>"$N_U$"</f>
        <v>$N_U$</v>
      </c>
      <c r="C1763" s="60">
        <f>'EJE 15'!$K$29</f>
        <v>135.26740000000001</v>
      </c>
      <c r="D1763" s="16" t="s">
        <v>12</v>
      </c>
      <c r="E1763" s="75"/>
      <c r="F1763" s="75"/>
      <c r="G1763" s="75"/>
      <c r="H1763" s="75"/>
      <c r="I1763" s="18" t="s">
        <v>54</v>
      </c>
      <c r="J1763" s="75"/>
      <c r="K1763" s="75"/>
      <c r="L1763" s="75"/>
      <c r="M1763" s="75"/>
      <c r="N1763" s="75"/>
      <c r="O1763" s="75"/>
      <c r="P1763" s="75"/>
      <c r="Q1763" s="75"/>
    </row>
    <row r="1764" spans="2:17" x14ac:dyDescent="0.3">
      <c r="B1764" s="19" t="s">
        <v>14</v>
      </c>
      <c r="C1764" s="60">
        <f>'EJE 15'!$L$29</f>
        <v>2.5070000000000001</v>
      </c>
      <c r="D1764" s="16" t="s">
        <v>12</v>
      </c>
      <c r="E1764" s="75"/>
      <c r="F1764" s="75"/>
      <c r="G1764" s="75"/>
      <c r="H1764" s="75"/>
      <c r="I1764" s="19" t="s">
        <v>72</v>
      </c>
      <c r="J1764" s="16">
        <f>1.2*C1764+C1765+1.4*C1766</f>
        <v>22.833780000000001</v>
      </c>
      <c r="K1764" s="16" t="s">
        <v>12</v>
      </c>
      <c r="L1764" s="75"/>
      <c r="M1764" s="75" t="s">
        <v>68</v>
      </c>
      <c r="N1764" s="75"/>
      <c r="O1764" s="75"/>
      <c r="P1764" s="75"/>
      <c r="Q1764" s="75"/>
    </row>
    <row r="1765" spans="2:17" x14ac:dyDescent="0.3">
      <c r="B1765" s="19" t="s">
        <v>13</v>
      </c>
      <c r="C1765" s="60">
        <f>'EJE 15'!$M$29</f>
        <v>5.0799999999999998E-2</v>
      </c>
      <c r="D1765" s="16" t="s">
        <v>12</v>
      </c>
      <c r="E1765" s="75"/>
      <c r="F1765" s="75"/>
      <c r="G1765" s="75"/>
      <c r="H1765" s="75"/>
      <c r="I1765" s="19" t="s">
        <v>69</v>
      </c>
      <c r="J1765" s="16">
        <f>SUM(C1764:C1766)</f>
        <v>16.682500000000001</v>
      </c>
      <c r="K1765" s="16" t="s">
        <v>12</v>
      </c>
      <c r="L1765" s="75"/>
      <c r="M1765" s="75" t="s">
        <v>70</v>
      </c>
      <c r="N1765" s="75"/>
      <c r="O1765" s="75"/>
      <c r="P1765" s="75"/>
      <c r="Q1765" s="75"/>
    </row>
    <row r="1766" spans="2:17" x14ac:dyDescent="0.3">
      <c r="B1766" s="19" t="s">
        <v>15</v>
      </c>
      <c r="C1766" s="60">
        <f>'EJE 15'!$N$29</f>
        <v>14.124700000000001</v>
      </c>
      <c r="D1766" s="16" t="s">
        <v>12</v>
      </c>
      <c r="E1766" s="75"/>
      <c r="F1766" s="75"/>
      <c r="G1766" s="75"/>
      <c r="H1766" s="75"/>
      <c r="I1766" s="19" t="s">
        <v>73</v>
      </c>
      <c r="J1766" s="16">
        <f>IF(C1767=0,J1764,C1767)</f>
        <v>22.833780000000001</v>
      </c>
      <c r="K1766" s="16" t="s">
        <v>12</v>
      </c>
      <c r="L1766" s="75"/>
      <c r="M1766" s="40" t="s">
        <v>74</v>
      </c>
      <c r="N1766" s="75"/>
      <c r="O1766" s="75"/>
      <c r="P1766" s="75"/>
      <c r="Q1766" s="75"/>
    </row>
    <row r="1767" spans="2:17" x14ac:dyDescent="0.3">
      <c r="B1767" s="19" t="s">
        <v>55</v>
      </c>
      <c r="C1767" s="16">
        <v>0</v>
      </c>
      <c r="D1767" s="16" t="s">
        <v>12</v>
      </c>
      <c r="E1767" s="75"/>
      <c r="F1767" s="75"/>
      <c r="G1767" s="75"/>
      <c r="H1767" s="75"/>
      <c r="I1767" s="19" t="s">
        <v>71</v>
      </c>
      <c r="J1767" s="16">
        <f>IF(C1767=0,J1765,C1767)</f>
        <v>16.682500000000001</v>
      </c>
      <c r="K1767" s="16" t="s">
        <v>12</v>
      </c>
      <c r="L1767" s="75"/>
      <c r="M1767" s="40" t="s">
        <v>75</v>
      </c>
      <c r="N1767" s="75"/>
      <c r="O1767" s="75"/>
      <c r="P1767" s="75"/>
      <c r="Q1767" s="75"/>
    </row>
    <row r="1768" spans="2:17" x14ac:dyDescent="0.3">
      <c r="B1768" s="75"/>
      <c r="C1768" s="75"/>
      <c r="D1768" s="75"/>
      <c r="E1768" s="75"/>
      <c r="F1768" s="75"/>
      <c r="G1768" s="75"/>
      <c r="H1768" s="75"/>
      <c r="J1768" s="75"/>
      <c r="K1768" s="75"/>
      <c r="L1768" s="75"/>
      <c r="M1768" s="75"/>
      <c r="N1768" s="75"/>
      <c r="O1768" s="75"/>
      <c r="P1768" s="75"/>
      <c r="Q1768" s="75"/>
    </row>
    <row r="1769" spans="2:17" x14ac:dyDescent="0.3">
      <c r="B1769" s="33" t="s">
        <v>42</v>
      </c>
      <c r="C1769" s="75"/>
      <c r="D1769" s="75"/>
      <c r="E1769" s="75"/>
      <c r="F1769" s="75"/>
      <c r="G1769" s="75"/>
      <c r="H1769" s="75"/>
      <c r="I1769" s="27" t="s">
        <v>76</v>
      </c>
      <c r="J1769" s="75"/>
      <c r="K1769" s="75"/>
      <c r="L1769" s="75"/>
      <c r="M1769" s="75"/>
      <c r="N1769" s="75"/>
      <c r="O1769" s="75"/>
      <c r="P1769" s="75"/>
      <c r="Q1769" s="75"/>
    </row>
    <row r="1770" spans="2:17" x14ac:dyDescent="0.3">
      <c r="B1770" s="31" t="s">
        <v>41</v>
      </c>
      <c r="C1770" s="16">
        <v>10</v>
      </c>
      <c r="D1770" s="29" t="s">
        <v>35</v>
      </c>
      <c r="E1770" s="75"/>
      <c r="F1770" s="75"/>
      <c r="G1770" s="75"/>
      <c r="H1770" s="75"/>
      <c r="I1770" s="19" t="s">
        <v>29</v>
      </c>
      <c r="J1770" s="30">
        <f>J1767*1000/J1754</f>
        <v>1.9684365781710915</v>
      </c>
      <c r="K1770" s="29" t="s">
        <v>8</v>
      </c>
      <c r="L1770" s="75"/>
      <c r="M1770" s="75"/>
      <c r="N1770" s="75"/>
      <c r="O1770" s="75"/>
      <c r="P1770" s="75"/>
      <c r="Q1770" s="75"/>
    </row>
    <row r="1771" spans="2:17" x14ac:dyDescent="0.3">
      <c r="B1771" s="31" t="s">
        <v>43</v>
      </c>
      <c r="C1771" s="16">
        <v>14</v>
      </c>
      <c r="D1771" s="29" t="s">
        <v>5</v>
      </c>
      <c r="E1771" s="75"/>
      <c r="F1771" s="39" t="str">
        <f>IF(OR(C1771&gt;25,C1771&lt;10),"[REDISEÑAR]",IF(AND(C1771&lt;=J1772,C1771&lt;=J1786),"[OK]","[REDISEÑAR]"))</f>
        <v>[OK]</v>
      </c>
      <c r="G1771" s="75"/>
      <c r="H1771" s="75"/>
      <c r="I1771" s="19" t="s">
        <v>61</v>
      </c>
      <c r="J1771" s="37">
        <f>MAX(J1770*100*C1758/(2*C1755),C1775)</f>
        <v>3.125</v>
      </c>
      <c r="K1771" s="29" t="s">
        <v>32</v>
      </c>
      <c r="L1771" s="75"/>
      <c r="M1771" s="15"/>
      <c r="N1771" s="15"/>
      <c r="O1771" s="15"/>
      <c r="P1771" s="75"/>
      <c r="Q1771" s="75"/>
    </row>
    <row r="1772" spans="2:17" x14ac:dyDescent="0.3">
      <c r="B1772" s="75"/>
      <c r="C1772" s="50" t="str">
        <f>"$\phi$"&amp;C1770&amp;"@"&amp;C1771</f>
        <v>$\phi$10@14</v>
      </c>
      <c r="D1772" s="75"/>
      <c r="E1772" s="75"/>
      <c r="F1772" s="39" t="str">
        <f>IF(OR(J1771=C1775,J1782=C1775),"[ÁREA MINIMA]","[]")</f>
        <v>[ÁREA MINIMA]</v>
      </c>
      <c r="G1772" s="75"/>
      <c r="H1772" s="75"/>
      <c r="I1772" s="63" t="s">
        <v>34</v>
      </c>
      <c r="J1772" s="63">
        <f>ROUNDDOWN((1/J1771)*C1774*100,0)</f>
        <v>25</v>
      </c>
      <c r="K1772" s="64" t="s">
        <v>5</v>
      </c>
      <c r="L1772" s="75"/>
      <c r="M1772" s="39" t="str">
        <f>IF(OR(J1772&lt;10,J1772&gt;25),"[REDISEÑAR]","[OK")</f>
        <v>[OK</v>
      </c>
      <c r="N1772" s="41" t="s">
        <v>80</v>
      </c>
      <c r="O1772" s="42">
        <f>1/J1771*(C1770/2)^2*PI()</f>
        <v>25.132741228718345</v>
      </c>
      <c r="P1772" s="75" t="str">
        <f>"$\phi$"&amp;C1770&amp;"@"&amp;J1772</f>
        <v>$\phi$10@25</v>
      </c>
      <c r="Q1772" s="75"/>
    </row>
    <row r="1773" spans="2:17" x14ac:dyDescent="0.3">
      <c r="B1773" s="18" t="s">
        <v>52</v>
      </c>
      <c r="C1773" s="75"/>
      <c r="D1773" s="75"/>
      <c r="E1773" s="75"/>
      <c r="F1773" s="62" t="str">
        <f>IF(J1761&lt;J1760,IF(J1789&gt;J1778,"[OK]","[REDISEÑAR]"),"[REDISEÑAR]")</f>
        <v>[OK]</v>
      </c>
      <c r="G1773" s="75"/>
      <c r="H1773" s="75"/>
      <c r="I1773" s="31" t="s">
        <v>48</v>
      </c>
      <c r="J1773" s="30">
        <f>C1774*2*IF(C1759/C1771&gt;=1,C1759/C1771,0)</f>
        <v>38.035711055962139</v>
      </c>
      <c r="K1773" s="29" t="s">
        <v>17</v>
      </c>
      <c r="L1773" s="75"/>
      <c r="M1773" s="75"/>
      <c r="N1773" s="15"/>
      <c r="O1773" s="44"/>
      <c r="P1773" s="75"/>
      <c r="Q1773" s="75"/>
    </row>
    <row r="1774" spans="2:17" x14ac:dyDescent="0.3">
      <c r="B1774" s="31" t="s">
        <v>66</v>
      </c>
      <c r="C1774" s="30">
        <f>(C1770/(2*10))^2*PI()</f>
        <v>0.78539816339744828</v>
      </c>
      <c r="D1774" s="29" t="s">
        <v>17</v>
      </c>
      <c r="E1774" s="75"/>
      <c r="F1774" s="75"/>
      <c r="G1774" s="75"/>
      <c r="H1774" s="75"/>
      <c r="I1774" s="19" t="s">
        <v>49</v>
      </c>
      <c r="J1774" s="34">
        <f>C1755*J1773/1000</f>
        <v>106.49999095669399</v>
      </c>
      <c r="K1774" s="16" t="s">
        <v>12</v>
      </c>
      <c r="L1774" s="75"/>
      <c r="M1774" s="39" t="str">
        <f>IF(J1774&gt;J1767,"[OK]","[REDISEÑAR]")</f>
        <v>[OK]</v>
      </c>
      <c r="N1774" s="41" t="str">
        <f>IF(O1774&gt;0,"Sobrado","Faltan")</f>
        <v>Sobrado</v>
      </c>
      <c r="O1774" s="43">
        <f>J1774-J1767</f>
        <v>89.817490956693987</v>
      </c>
      <c r="P1774" s="75"/>
      <c r="Q1774" s="75"/>
    </row>
    <row r="1775" spans="2:17" x14ac:dyDescent="0.3">
      <c r="B1775" s="31" t="s">
        <v>78</v>
      </c>
      <c r="C1775" s="37">
        <f>2.5/1000*100*C1758/2</f>
        <v>3.125</v>
      </c>
      <c r="D1775" s="16" t="s">
        <v>17</v>
      </c>
      <c r="E1775" s="75"/>
      <c r="F1775" s="75"/>
      <c r="G1775" s="75"/>
      <c r="H1775" s="75"/>
      <c r="J1775" s="75"/>
      <c r="K1775" s="75"/>
      <c r="L1775" s="75"/>
      <c r="M1775" s="75"/>
      <c r="N1775" s="75"/>
      <c r="O1775" s="15"/>
      <c r="P1775" s="75"/>
      <c r="Q1775" s="75"/>
    </row>
    <row r="1776" spans="2:17" x14ac:dyDescent="0.3">
      <c r="B1776" s="31" t="s">
        <v>114</v>
      </c>
      <c r="C1776" s="37">
        <f>C1774*100/C1771</f>
        <v>5.6099868814103448</v>
      </c>
      <c r="D1776" s="29" t="s">
        <v>32</v>
      </c>
      <c r="E1776" s="75"/>
      <c r="F1776" s="75"/>
      <c r="G1776" s="75"/>
      <c r="H1776" s="75"/>
      <c r="I1776" s="18" t="s">
        <v>77</v>
      </c>
      <c r="J1776" s="75"/>
      <c r="K1776" s="75"/>
      <c r="L1776" s="75"/>
      <c r="M1776" s="17" t="s">
        <v>67</v>
      </c>
      <c r="N1776" s="75"/>
      <c r="O1776" s="75"/>
      <c r="P1776" s="75"/>
      <c r="Q1776" s="75"/>
    </row>
    <row r="1777" spans="2:17" x14ac:dyDescent="0.3">
      <c r="B1777" s="75"/>
      <c r="C1777" s="75"/>
      <c r="D1777" s="75"/>
      <c r="E1777" s="75"/>
      <c r="F1777" s="75"/>
      <c r="G1777" s="75"/>
      <c r="H1777" s="75"/>
      <c r="I1777" s="19" t="s">
        <v>33</v>
      </c>
      <c r="J1777" s="16">
        <v>0.6</v>
      </c>
      <c r="K1777" s="16" t="s">
        <v>50</v>
      </c>
      <c r="L1777" s="75"/>
      <c r="M1777" s="19" t="s">
        <v>64</v>
      </c>
      <c r="N1777" s="30">
        <f>SQRT(C1753*0.0980665)*(1/0.0980665)/1000*J1779*0.17</f>
        <v>51.211241914522745</v>
      </c>
      <c r="O1777" s="16" t="s">
        <v>12</v>
      </c>
      <c r="P1777" s="75"/>
      <c r="Q1777" s="75"/>
    </row>
    <row r="1778" spans="2:17" x14ac:dyDescent="0.3">
      <c r="B1778" s="17" t="s">
        <v>37</v>
      </c>
      <c r="C1778" s="75"/>
      <c r="D1778" s="75"/>
      <c r="E1778" s="75"/>
      <c r="F1778" s="75"/>
      <c r="G1778" s="75"/>
      <c r="H1778" s="75"/>
      <c r="I1778" s="19" t="s">
        <v>46</v>
      </c>
      <c r="J1778" s="34">
        <f>J1766/J1777</f>
        <v>38.0563</v>
      </c>
      <c r="K1778" s="16" t="s">
        <v>12</v>
      </c>
      <c r="L1778" s="75"/>
      <c r="M1778" s="19" t="s">
        <v>57</v>
      </c>
      <c r="N1778" s="16">
        <f>IF(C1760/J1757&lt;=1.5,0.25,IF(C1760/J1757&gt;=2,0.17,0.17+(0.25-0.17)/(C1760/J1757-1.5)*C1760/J1757))</f>
        <v>0.25</v>
      </c>
      <c r="O1778" s="29" t="s">
        <v>50</v>
      </c>
      <c r="P1778" s="75"/>
      <c r="Q1778" s="75"/>
    </row>
    <row r="1779" spans="2:17" x14ac:dyDescent="0.3">
      <c r="B1779" s="31" t="s">
        <v>115</v>
      </c>
      <c r="C1779" s="37">
        <f>O1774</f>
        <v>89.817490956693987</v>
      </c>
      <c r="D1779" s="29" t="s">
        <v>12</v>
      </c>
      <c r="E1779" s="75"/>
      <c r="F1779" s="75"/>
      <c r="G1779" s="75"/>
      <c r="H1779" s="75"/>
      <c r="I1779" s="19" t="s">
        <v>36</v>
      </c>
      <c r="J1779" s="35">
        <f>J1757*C1758*0.8-J1787</f>
        <v>5393.5714311552301</v>
      </c>
      <c r="K1779" s="16" t="s">
        <v>17</v>
      </c>
      <c r="L1779" s="75"/>
      <c r="M1779" s="19" t="s">
        <v>59</v>
      </c>
      <c r="N1779" s="30">
        <f>SQRT(C1753*0.0980665)*(1/0.0980665)/1000*J1779*N1778</f>
        <v>75.31064987429815</v>
      </c>
      <c r="O1779" s="29" t="s">
        <v>12</v>
      </c>
      <c r="P1779" s="75"/>
      <c r="Q1779" s="75"/>
    </row>
    <row r="1780" spans="2:17" x14ac:dyDescent="0.3">
      <c r="B1780" s="31" t="s">
        <v>116</v>
      </c>
      <c r="C1780" s="37">
        <f>O1789</f>
        <v>140.95493106255552</v>
      </c>
      <c r="D1780" s="29" t="s">
        <v>12</v>
      </c>
      <c r="E1780" s="75"/>
      <c r="F1780" s="75"/>
      <c r="G1780" s="75"/>
      <c r="H1780" s="75"/>
      <c r="I1780" s="19" t="s">
        <v>60</v>
      </c>
      <c r="J1780" s="34">
        <f>MIN(N1779,N1777)</f>
        <v>51.211241914522745</v>
      </c>
      <c r="K1780" s="29" t="s">
        <v>12</v>
      </c>
      <c r="L1780" s="75"/>
      <c r="M1780" s="75"/>
      <c r="N1780" s="75"/>
      <c r="O1780" s="75"/>
      <c r="P1780" s="75"/>
      <c r="Q1780" s="75"/>
    </row>
    <row r="1781" spans="2:17" x14ac:dyDescent="0.3">
      <c r="B1781" s="19" t="s">
        <v>117</v>
      </c>
      <c r="C1781" s="36">
        <f>C1774*2*C1759/C1771/J1754</f>
        <v>4.4879895051282755E-3</v>
      </c>
      <c r="D1781" s="16" t="s">
        <v>50</v>
      </c>
      <c r="E1781" s="75"/>
      <c r="F1781" s="75"/>
      <c r="G1781" s="75"/>
      <c r="H1781" s="75"/>
      <c r="I1781" s="19" t="s">
        <v>39</v>
      </c>
      <c r="J1781" s="34">
        <f>J1778-J1780</f>
        <v>-13.154941914522745</v>
      </c>
      <c r="K1781" s="16" t="s">
        <v>12</v>
      </c>
      <c r="L1781" s="75"/>
      <c r="M1781" s="75"/>
      <c r="N1781" s="75"/>
      <c r="O1781" s="75"/>
      <c r="P1781" s="75"/>
      <c r="Q1781" s="75"/>
    </row>
    <row r="1782" spans="2:17" x14ac:dyDescent="0.3">
      <c r="B1782" s="75"/>
      <c r="C1782" s="75"/>
      <c r="D1782" s="75"/>
      <c r="E1782" s="75"/>
      <c r="F1782" s="75"/>
      <c r="G1782" s="75"/>
      <c r="H1782" s="75"/>
      <c r="I1782" s="19" t="s">
        <v>61</v>
      </c>
      <c r="J1782" s="37">
        <f>MAX(J1781/(C1754*J1757/1000/100)/2,C1775)</f>
        <v>3.125</v>
      </c>
      <c r="K1782" s="29" t="s">
        <v>32</v>
      </c>
      <c r="L1782" s="75"/>
      <c r="M1782" s="75"/>
      <c r="N1782" s="75"/>
      <c r="O1782" s="75"/>
      <c r="P1782" s="75"/>
      <c r="Q1782" s="75"/>
    </row>
    <row r="1783" spans="2:17" x14ac:dyDescent="0.3">
      <c r="B1783" s="75"/>
      <c r="C1783" s="75"/>
      <c r="D1783" s="75"/>
      <c r="E1783" s="75"/>
      <c r="F1783" s="75"/>
      <c r="G1783" s="75"/>
      <c r="H1783" s="75"/>
      <c r="I1783" s="19" t="s">
        <v>65</v>
      </c>
      <c r="J1783" s="36">
        <f>J1782/C1758/100*2</f>
        <v>2.5000000000000001E-3</v>
      </c>
      <c r="K1783" s="16" t="s">
        <v>50</v>
      </c>
      <c r="L1783" s="75"/>
      <c r="M1783" s="75"/>
      <c r="N1783" s="75"/>
      <c r="O1783" s="75"/>
      <c r="P1783" s="75"/>
      <c r="Q1783" s="75"/>
    </row>
    <row r="1784" spans="2:17" x14ac:dyDescent="0.3">
      <c r="B1784" s="75"/>
      <c r="C1784" s="75"/>
      <c r="D1784" s="75"/>
      <c r="E1784" s="75"/>
      <c r="F1784" s="75"/>
      <c r="G1784" s="75"/>
      <c r="H1784" s="75"/>
      <c r="I1784" s="19" t="s">
        <v>53</v>
      </c>
      <c r="J1784" s="16">
        <f>MAX(0.0025,0.0025*0.5*(2.5-C1758/(C1759*0.8))*(J1783-0.0025))</f>
        <v>2.5000000000000001E-3</v>
      </c>
      <c r="K1784" s="29" t="s">
        <v>50</v>
      </c>
      <c r="L1784" s="75"/>
      <c r="M1784" s="39" t="str">
        <f>IF(OR(J1783&gt;J1784,ABS(J1783-J1784)&lt;0.0001),"[OK]","[REDISEÑAR]")</f>
        <v>[OK]</v>
      </c>
      <c r="N1784" s="75"/>
      <c r="O1784" s="75"/>
      <c r="P1784" s="75"/>
      <c r="Q1784" s="75"/>
    </row>
    <row r="1785" spans="2:17" x14ac:dyDescent="0.3">
      <c r="B1785" s="75"/>
      <c r="C1785" s="75"/>
      <c r="D1785" s="75"/>
      <c r="E1785" s="75"/>
      <c r="F1785" s="75"/>
      <c r="G1785" s="75"/>
      <c r="H1785" s="75"/>
      <c r="I1785" s="19" t="s">
        <v>47</v>
      </c>
      <c r="J1785" s="34">
        <f>SQRT(C1753*0.0980665)*(1/0.0980665)/1000*0.66*0.8*C1759*C1758</f>
        <v>249.92723308409288</v>
      </c>
      <c r="K1785" s="16" t="s">
        <v>12</v>
      </c>
      <c r="L1785" s="75"/>
      <c r="M1785" s="40" t="s">
        <v>44</v>
      </c>
      <c r="N1785" s="75"/>
      <c r="O1785" s="15"/>
      <c r="P1785" s="75"/>
      <c r="Q1785" s="75"/>
    </row>
    <row r="1786" spans="2:17" x14ac:dyDescent="0.3">
      <c r="B1786" s="75"/>
      <c r="C1786" s="75"/>
      <c r="D1786" s="75"/>
      <c r="E1786" s="75"/>
      <c r="F1786" s="75"/>
      <c r="G1786" s="75"/>
      <c r="H1786" s="75"/>
      <c r="I1786" s="63" t="s">
        <v>34</v>
      </c>
      <c r="J1786" s="63">
        <f>ROUNDDOWN(1/J1782*C1774*100,0)</f>
        <v>25</v>
      </c>
      <c r="K1786" s="64" t="s">
        <v>5</v>
      </c>
      <c r="L1786" s="75"/>
      <c r="M1786" s="39" t="str">
        <f>IF(OR(J1786&lt;10,J1786&gt;25),"[REDISEÑAR]","[OK")</f>
        <v>[OK</v>
      </c>
      <c r="N1786" s="41" t="s">
        <v>80</v>
      </c>
      <c r="O1786" s="42">
        <f>1/J1782*(C1770/2)^2*PI()</f>
        <v>25.132741228718345</v>
      </c>
      <c r="P1786" s="75" t="str">
        <f>"$\phi$"&amp;C1770&amp;"@"&amp;J1786</f>
        <v>$\phi$10@25</v>
      </c>
      <c r="Q1786" s="75"/>
    </row>
    <row r="1787" spans="2:17" x14ac:dyDescent="0.3">
      <c r="B1787" s="75"/>
      <c r="C1787" s="75"/>
      <c r="D1787" s="75"/>
      <c r="E1787" s="75"/>
      <c r="F1787" s="75"/>
      <c r="G1787" s="75"/>
      <c r="H1787" s="75"/>
      <c r="I1787" s="31" t="s">
        <v>48</v>
      </c>
      <c r="J1787" s="30">
        <f>C1774*2*IF(J1757/C1771&gt;=1,J1757/C1771,0)</f>
        <v>30.428568844769707</v>
      </c>
      <c r="K1787" s="29" t="s">
        <v>17</v>
      </c>
      <c r="L1787" s="75"/>
      <c r="M1787" s="75"/>
      <c r="N1787" s="15"/>
      <c r="O1787" s="15"/>
      <c r="P1787" s="75"/>
      <c r="Q1787" s="75"/>
    </row>
    <row r="1788" spans="2:17" x14ac:dyDescent="0.3">
      <c r="B1788" s="75"/>
      <c r="C1788" s="75"/>
      <c r="D1788" s="75"/>
      <c r="E1788" s="75"/>
      <c r="F1788" s="75"/>
      <c r="G1788" s="75"/>
      <c r="H1788" s="75"/>
      <c r="I1788" s="19" t="s">
        <v>81</v>
      </c>
      <c r="J1788" s="34">
        <f>MIN(J1787*C1754/1000,J1785)</f>
        <v>127.79998914803276</v>
      </c>
      <c r="K1788" s="16" t="s">
        <v>12</v>
      </c>
      <c r="L1788" s="75"/>
      <c r="M1788" s="40" t="s">
        <v>82</v>
      </c>
      <c r="N1788" s="15"/>
      <c r="O1788" s="15"/>
      <c r="P1788" s="75"/>
      <c r="Q1788" s="75"/>
    </row>
    <row r="1789" spans="2:17" x14ac:dyDescent="0.3">
      <c r="B1789" s="75"/>
      <c r="C1789" s="75"/>
      <c r="D1789" s="75"/>
      <c r="E1789" s="75"/>
      <c r="F1789" s="75"/>
      <c r="G1789" s="75"/>
      <c r="H1789" s="75"/>
      <c r="I1789" s="19" t="s">
        <v>79</v>
      </c>
      <c r="J1789" s="34">
        <f>J1788+J1780</f>
        <v>179.01123106255551</v>
      </c>
      <c r="K1789" s="16" t="s">
        <v>12</v>
      </c>
      <c r="L1789" s="75"/>
      <c r="M1789" s="39" t="str">
        <f>IF(J1789&gt;J1778,"[OK]","[REDISEÑAR]")</f>
        <v>[OK]</v>
      </c>
      <c r="N1789" s="41" t="str">
        <f>IF(O1789&gt;0,"Sobrado","Faltan")</f>
        <v>Sobrado</v>
      </c>
      <c r="O1789" s="43">
        <f>J1789-J1778</f>
        <v>140.95493106255552</v>
      </c>
      <c r="P1789" s="75"/>
      <c r="Q1789" s="75"/>
    </row>
    <row r="1790" spans="2:17" x14ac:dyDescent="0.3">
      <c r="B1790" s="75"/>
      <c r="C1790" s="75"/>
      <c r="D1790" s="75"/>
      <c r="E1790" s="75"/>
      <c r="F1790" s="75"/>
      <c r="G1790" s="75"/>
      <c r="H1790" s="75"/>
      <c r="J1790" s="75"/>
      <c r="K1790" s="75"/>
      <c r="L1790" s="75"/>
      <c r="M1790" s="75"/>
      <c r="N1790" s="75"/>
      <c r="O1790" s="75"/>
      <c r="P1790" s="75"/>
      <c r="Q1790" s="75"/>
    </row>
    <row r="1791" spans="2:17" x14ac:dyDescent="0.3">
      <c r="B1791" s="75"/>
      <c r="C1791" s="75"/>
      <c r="D1791" s="75"/>
      <c r="E1791" s="75"/>
      <c r="F1791" s="75"/>
      <c r="G1791" s="75"/>
      <c r="H1791" s="75"/>
      <c r="I1791" s="18" t="s">
        <v>45</v>
      </c>
      <c r="J1791" s="75"/>
      <c r="K1791" s="75"/>
      <c r="L1791" s="75"/>
      <c r="M1791" s="75"/>
      <c r="N1791" s="75"/>
      <c r="O1791" s="15"/>
      <c r="P1791" s="75"/>
      <c r="Q1791" s="75"/>
    </row>
    <row r="1792" spans="2:17" x14ac:dyDescent="0.3">
      <c r="B1792" s="75"/>
      <c r="C1792" s="75"/>
      <c r="D1792" s="75"/>
      <c r="E1792" s="75"/>
      <c r="F1792" s="75"/>
      <c r="G1792" s="75"/>
      <c r="H1792" s="75"/>
      <c r="I1792" s="19" t="s">
        <v>40</v>
      </c>
      <c r="J1792" s="16">
        <f>J1766</f>
        <v>22.833780000000001</v>
      </c>
      <c r="K1792" s="16" t="s">
        <v>12</v>
      </c>
      <c r="L1792" s="75"/>
      <c r="M1792" s="75"/>
      <c r="N1792" s="75"/>
      <c r="O1792" s="26"/>
      <c r="P1792" s="75"/>
      <c r="Q1792" s="75"/>
    </row>
    <row r="1793" spans="2:17" x14ac:dyDescent="0.3">
      <c r="B1793" s="75"/>
      <c r="C1793" s="75"/>
      <c r="D1793" s="75"/>
      <c r="E1793" s="75"/>
      <c r="F1793" s="75"/>
      <c r="G1793" s="75"/>
      <c r="H1793" s="75"/>
      <c r="I1793" s="19" t="s">
        <v>46</v>
      </c>
      <c r="J1793" s="34">
        <f>J1778</f>
        <v>38.0563</v>
      </c>
      <c r="K1793" s="16" t="s">
        <v>12</v>
      </c>
      <c r="L1793" s="75"/>
      <c r="M1793" s="75"/>
      <c r="N1793" s="75"/>
      <c r="O1793" s="75"/>
      <c r="P1793" s="75"/>
      <c r="Q1793" s="75"/>
    </row>
    <row r="1794" spans="2:17" x14ac:dyDescent="0.3">
      <c r="B1794" s="75"/>
      <c r="C1794" s="75"/>
      <c r="D1794" s="75"/>
      <c r="E1794" s="75"/>
      <c r="F1794" s="75"/>
      <c r="G1794" s="75"/>
      <c r="H1794" s="75"/>
      <c r="I1794" s="19" t="s">
        <v>38</v>
      </c>
      <c r="J1794" s="34">
        <f>2/3*J1779*SQRT(C1753*0.0980665)*(1/0.0980665)/1000</f>
        <v>200.82839966479511</v>
      </c>
      <c r="K1794" s="16" t="s">
        <v>12</v>
      </c>
      <c r="L1794" s="75"/>
      <c r="M1794" s="39" t="str">
        <f>IF(J1794&gt;J1793,"[OK]","[REDISEÑAR]")</f>
        <v>[OK]</v>
      </c>
      <c r="N1794" s="41" t="str">
        <f>IF(O1794&gt;0,"Sobrado","Faltan")</f>
        <v>Sobrado</v>
      </c>
      <c r="O1794" s="43">
        <f>J1794-J1793</f>
        <v>162.77209966479512</v>
      </c>
      <c r="P1794" s="75"/>
      <c r="Q1794" s="75"/>
    </row>
    <row r="1796" spans="2:17" ht="18" x14ac:dyDescent="0.35">
      <c r="B1796" s="48" t="str">
        <f>'EJE 15'!$S$29</f>
        <v>EJE 15.G-L | PIER F33X | PISO 12</v>
      </c>
      <c r="C1796" s="75"/>
      <c r="D1796" s="75"/>
      <c r="E1796" s="75"/>
      <c r="F1796" s="75"/>
      <c r="G1796" s="75"/>
      <c r="H1796" s="75"/>
      <c r="J1796" s="75"/>
      <c r="K1796" s="75"/>
      <c r="L1796" s="75"/>
      <c r="M1796" s="75"/>
      <c r="N1796" s="75"/>
      <c r="O1796" s="75"/>
      <c r="P1796" s="75"/>
      <c r="Q1796" s="75"/>
    </row>
    <row r="1797" spans="2:17" x14ac:dyDescent="0.3">
      <c r="B1797" s="75"/>
      <c r="C1797" s="75"/>
      <c r="D1797" s="75"/>
      <c r="E1797" s="75"/>
      <c r="F1797" s="75"/>
      <c r="G1797" s="75"/>
      <c r="H1797" s="75"/>
      <c r="J1797" s="75"/>
      <c r="K1797" s="75"/>
      <c r="L1797" s="75"/>
      <c r="M1797" s="75"/>
      <c r="N1797" s="75"/>
      <c r="O1797" s="75"/>
      <c r="P1797" s="75"/>
      <c r="Q1797" s="75"/>
    </row>
    <row r="1798" spans="2:17" x14ac:dyDescent="0.3">
      <c r="B1798" s="17" t="s">
        <v>6</v>
      </c>
      <c r="C1798" s="75"/>
      <c r="D1798" s="75"/>
      <c r="E1798" s="75"/>
      <c r="F1798" s="75"/>
      <c r="G1798" s="75"/>
      <c r="H1798" s="75"/>
      <c r="I1798" s="18" t="s">
        <v>25</v>
      </c>
      <c r="J1798" s="75"/>
      <c r="K1798" s="75"/>
      <c r="L1798" s="75"/>
      <c r="M1798" s="75"/>
      <c r="N1798" s="75"/>
      <c r="O1798" s="75"/>
      <c r="P1798" s="75"/>
      <c r="Q1798" s="75"/>
    </row>
    <row r="1799" spans="2:17" x14ac:dyDescent="0.3">
      <c r="B1799" s="19" t="s">
        <v>99</v>
      </c>
      <c r="C1799" s="61">
        <f>10.1971621297793*'EJE 15'!$G$29</f>
        <v>305.91486389337899</v>
      </c>
      <c r="D1799" s="16" t="s">
        <v>8</v>
      </c>
      <c r="E1799" s="75"/>
      <c r="F1799" s="75"/>
      <c r="G1799" s="75"/>
      <c r="H1799" s="75"/>
      <c r="I1799" s="19" t="s">
        <v>58</v>
      </c>
      <c r="J1799" s="16">
        <f>C1806/16</f>
        <v>14.375</v>
      </c>
      <c r="K1799" s="16" t="s">
        <v>5</v>
      </c>
      <c r="L1799" s="21"/>
      <c r="M1799" s="39" t="str">
        <f>IF(J1799&lt;C1804,"[OK]","[REDISEÑAR]")</f>
        <v>[OK]</v>
      </c>
      <c r="N1799" s="75"/>
      <c r="O1799" s="75"/>
      <c r="P1799" s="75"/>
      <c r="Q1799" s="75"/>
    </row>
    <row r="1800" spans="2:17" x14ac:dyDescent="0.3">
      <c r="B1800" s="19" t="s">
        <v>30</v>
      </c>
      <c r="C1800" s="16">
        <v>4200</v>
      </c>
      <c r="D1800" s="16" t="s">
        <v>8</v>
      </c>
      <c r="E1800" s="75"/>
      <c r="F1800" s="75"/>
      <c r="G1800" s="75"/>
      <c r="H1800" s="75"/>
      <c r="I1800" s="19" t="s">
        <v>16</v>
      </c>
      <c r="J1800" s="16">
        <f>C1804*C1805</f>
        <v>8475</v>
      </c>
      <c r="K1800" s="16" t="s">
        <v>17</v>
      </c>
      <c r="L1800" s="21"/>
      <c r="M1800" s="75"/>
      <c r="N1800" s="75"/>
      <c r="O1800" s="75"/>
      <c r="P1800" s="75"/>
      <c r="Q1800" s="75"/>
    </row>
    <row r="1801" spans="2:17" x14ac:dyDescent="0.3">
      <c r="B1801" s="19" t="s">
        <v>31</v>
      </c>
      <c r="C1801" s="16">
        <v>2800</v>
      </c>
      <c r="D1801" s="16" t="s">
        <v>8</v>
      </c>
      <c r="E1801" s="75"/>
      <c r="F1801" s="75"/>
      <c r="G1801" s="75"/>
      <c r="H1801" s="75"/>
      <c r="I1801" s="19" t="s">
        <v>51</v>
      </c>
      <c r="J1801" s="16">
        <f>MIN(0.8*C1805/5,3*C1804,45)</f>
        <v>45</v>
      </c>
      <c r="K1801" s="16" t="s">
        <v>5</v>
      </c>
      <c r="L1801" s="21"/>
      <c r="M1801" s="39" t="str">
        <f>IF(J1801&gt;C1817,"[OK]","[REDISEÑAR]")</f>
        <v>[OK]</v>
      </c>
      <c r="N1801" s="75"/>
      <c r="O1801" s="75"/>
      <c r="P1801" s="75"/>
      <c r="Q1801" s="75"/>
    </row>
    <row r="1802" spans="2:17" x14ac:dyDescent="0.3">
      <c r="B1802" s="75"/>
      <c r="C1802" s="75"/>
      <c r="D1802" s="75"/>
      <c r="E1802" s="75"/>
      <c r="F1802" s="75"/>
      <c r="G1802" s="75"/>
      <c r="H1802" s="75"/>
      <c r="I1802" s="19" t="s">
        <v>56</v>
      </c>
      <c r="J1802" s="16">
        <f>MIN(0.8*C1806/3,3*C1805,45)</f>
        <v>45</v>
      </c>
      <c r="K1802" s="16" t="s">
        <v>5</v>
      </c>
      <c r="L1802" s="21"/>
      <c r="M1802" s="39" t="str">
        <f>IF(J1802&gt;C1817,"[OK]","[REDISEÑAR]")</f>
        <v>[OK]</v>
      </c>
      <c r="N1802" s="75"/>
      <c r="O1802" s="75"/>
      <c r="P1802" s="75"/>
      <c r="Q1802" s="75"/>
    </row>
    <row r="1803" spans="2:17" x14ac:dyDescent="0.3">
      <c r="B1803" s="17" t="s">
        <v>3</v>
      </c>
      <c r="C1803" s="75"/>
      <c r="D1803" s="75"/>
      <c r="E1803" s="75"/>
      <c r="F1803" s="75"/>
      <c r="G1803" s="75"/>
      <c r="H1803" s="75"/>
      <c r="I1803" s="19" t="s">
        <v>62</v>
      </c>
      <c r="J1803" s="16">
        <f>0.8*C1805</f>
        <v>271.2</v>
      </c>
      <c r="K1803" s="29" t="s">
        <v>5</v>
      </c>
      <c r="L1803" s="75"/>
      <c r="M1803" s="75"/>
      <c r="N1803" s="75"/>
      <c r="O1803" s="75"/>
      <c r="P1803" s="75"/>
      <c r="Q1803" s="75"/>
    </row>
    <row r="1804" spans="2:17" x14ac:dyDescent="0.3">
      <c r="B1804" s="19" t="str">
        <f>"Espesor del muro (h)"</f>
        <v>Espesor del muro (h)</v>
      </c>
      <c r="C1804" s="49">
        <f>'EJE 15'!$H$29</f>
        <v>25</v>
      </c>
      <c r="D1804" s="16" t="s">
        <v>5</v>
      </c>
      <c r="E1804" s="75"/>
      <c r="F1804" s="75"/>
      <c r="G1804" s="75"/>
      <c r="H1804" s="75"/>
      <c r="J1804" s="75"/>
      <c r="K1804" s="75"/>
      <c r="L1804" s="75"/>
      <c r="M1804" s="75"/>
      <c r="N1804" s="75"/>
      <c r="O1804" s="75"/>
      <c r="P1804" s="75"/>
      <c r="Q1804" s="75"/>
    </row>
    <row r="1805" spans="2:17" x14ac:dyDescent="0.3">
      <c r="B1805" s="19" t="s">
        <v>63</v>
      </c>
      <c r="C1805" s="49">
        <f>'EJE 15'!$I$29</f>
        <v>339</v>
      </c>
      <c r="D1805" s="16" t="s">
        <v>5</v>
      </c>
      <c r="E1805" s="75"/>
      <c r="F1805" s="75"/>
      <c r="G1805" s="75"/>
      <c r="H1805" s="75"/>
      <c r="I1805" s="18" t="s">
        <v>26</v>
      </c>
      <c r="J1805" s="75"/>
      <c r="K1805" s="75"/>
      <c r="L1805" s="75"/>
      <c r="M1805" s="75"/>
      <c r="N1805" s="75"/>
      <c r="O1805" s="75"/>
      <c r="P1805" s="75"/>
      <c r="Q1805" s="75"/>
    </row>
    <row r="1806" spans="2:17" x14ac:dyDescent="0.3">
      <c r="B1806" s="19" t="s">
        <v>10</v>
      </c>
      <c r="C1806" s="49">
        <f>'EJE 15'!$J$29</f>
        <v>230</v>
      </c>
      <c r="D1806" s="16" t="s">
        <v>5</v>
      </c>
      <c r="E1806" s="75"/>
      <c r="F1806" s="75"/>
      <c r="G1806" s="75"/>
      <c r="H1806" s="75"/>
      <c r="I1806" s="19" t="s">
        <v>28</v>
      </c>
      <c r="J1806" s="16">
        <f>0.35*C1799</f>
        <v>107.07020236268264</v>
      </c>
      <c r="K1806" s="16" t="s">
        <v>8</v>
      </c>
      <c r="L1806" s="21"/>
      <c r="M1806" s="75"/>
      <c r="N1806" s="75"/>
      <c r="O1806" s="75"/>
      <c r="P1806" s="75"/>
      <c r="Q1806" s="75"/>
    </row>
    <row r="1807" spans="2:17" x14ac:dyDescent="0.3">
      <c r="B1807" s="75"/>
      <c r="C1807" s="75"/>
      <c r="D1807" s="75"/>
      <c r="E1807" s="75"/>
      <c r="F1807" s="75"/>
      <c r="G1807" s="75"/>
      <c r="H1807" s="75"/>
      <c r="I1807" s="19" t="s">
        <v>27</v>
      </c>
      <c r="J1807" s="30">
        <f>C1809*1000/J1800</f>
        <v>15.96075516224189</v>
      </c>
      <c r="K1807" s="16" t="s">
        <v>8</v>
      </c>
      <c r="L1807" s="21"/>
      <c r="M1807" s="39" t="str">
        <f>IF(J1807&lt;J1806,"[OK]","[REDISEÑAR]")</f>
        <v>[OK]</v>
      </c>
      <c r="N1807" s="41" t="s">
        <v>112</v>
      </c>
      <c r="O1807" s="59">
        <f>J1807/J1806</f>
        <v>0.14906813296361826</v>
      </c>
      <c r="P1807" s="75"/>
      <c r="Q1807" s="75"/>
    </row>
    <row r="1808" spans="2:17" x14ac:dyDescent="0.3">
      <c r="B1808" s="17" t="s">
        <v>11</v>
      </c>
      <c r="C1808" s="75"/>
      <c r="D1808" s="75"/>
      <c r="E1808" s="75"/>
      <c r="F1808" s="75"/>
      <c r="G1808" s="75"/>
      <c r="H1808" s="75"/>
      <c r="J1808" s="75"/>
      <c r="K1808" s="75"/>
      <c r="L1808" s="75"/>
      <c r="M1808" s="75"/>
      <c r="N1808" s="75"/>
      <c r="O1808" s="75"/>
      <c r="P1808" s="75"/>
      <c r="Q1808" s="75"/>
    </row>
    <row r="1809" spans="2:17" x14ac:dyDescent="0.3">
      <c r="B1809" s="19" t="str">
        <f>"$N_U$"</f>
        <v>$N_U$</v>
      </c>
      <c r="C1809" s="60">
        <f>'EJE 15'!$K$29</f>
        <v>135.26740000000001</v>
      </c>
      <c r="D1809" s="16" t="s">
        <v>12</v>
      </c>
      <c r="E1809" s="75"/>
      <c r="F1809" s="75"/>
      <c r="G1809" s="75"/>
      <c r="H1809" s="75"/>
      <c r="I1809" s="18" t="s">
        <v>54</v>
      </c>
      <c r="J1809" s="75"/>
      <c r="K1809" s="75"/>
      <c r="L1809" s="75"/>
      <c r="M1809" s="75"/>
      <c r="N1809" s="75"/>
      <c r="O1809" s="75"/>
      <c r="P1809" s="75"/>
      <c r="Q1809" s="75"/>
    </row>
    <row r="1810" spans="2:17" x14ac:dyDescent="0.3">
      <c r="B1810" s="19" t="s">
        <v>14</v>
      </c>
      <c r="C1810" s="60">
        <f>'EJE 15'!$L$29</f>
        <v>2.5070000000000001</v>
      </c>
      <c r="D1810" s="16" t="s">
        <v>12</v>
      </c>
      <c r="E1810" s="75"/>
      <c r="F1810" s="75"/>
      <c r="G1810" s="75"/>
      <c r="H1810" s="75"/>
      <c r="I1810" s="19" t="s">
        <v>72</v>
      </c>
      <c r="J1810" s="16">
        <f>1.2*C1810+C1811+1.4*C1812</f>
        <v>22.833780000000001</v>
      </c>
      <c r="K1810" s="16" t="s">
        <v>12</v>
      </c>
      <c r="L1810" s="75"/>
      <c r="M1810" s="75" t="s">
        <v>68</v>
      </c>
      <c r="N1810" s="75"/>
      <c r="O1810" s="75"/>
      <c r="P1810" s="75"/>
      <c r="Q1810" s="75"/>
    </row>
    <row r="1811" spans="2:17" x14ac:dyDescent="0.3">
      <c r="B1811" s="19" t="s">
        <v>13</v>
      </c>
      <c r="C1811" s="60">
        <f>'EJE 15'!$M$29</f>
        <v>5.0799999999999998E-2</v>
      </c>
      <c r="D1811" s="16" t="s">
        <v>12</v>
      </c>
      <c r="E1811" s="75"/>
      <c r="F1811" s="75"/>
      <c r="G1811" s="75"/>
      <c r="H1811" s="75"/>
      <c r="I1811" s="19" t="s">
        <v>69</v>
      </c>
      <c r="J1811" s="16">
        <f>SUM(C1810:C1812)</f>
        <v>16.682500000000001</v>
      </c>
      <c r="K1811" s="16" t="s">
        <v>12</v>
      </c>
      <c r="L1811" s="75"/>
      <c r="M1811" s="75" t="s">
        <v>70</v>
      </c>
      <c r="N1811" s="75"/>
      <c r="O1811" s="75"/>
      <c r="P1811" s="75"/>
      <c r="Q1811" s="75"/>
    </row>
    <row r="1812" spans="2:17" x14ac:dyDescent="0.3">
      <c r="B1812" s="19" t="s">
        <v>15</v>
      </c>
      <c r="C1812" s="60">
        <f>'EJE 15'!$N$29</f>
        <v>14.124700000000001</v>
      </c>
      <c r="D1812" s="16" t="s">
        <v>12</v>
      </c>
      <c r="E1812" s="75"/>
      <c r="F1812" s="75"/>
      <c r="G1812" s="75"/>
      <c r="H1812" s="75"/>
      <c r="I1812" s="19" t="s">
        <v>73</v>
      </c>
      <c r="J1812" s="16">
        <f>IF(C1813=0,J1810,C1813)</f>
        <v>22.833780000000001</v>
      </c>
      <c r="K1812" s="16" t="s">
        <v>12</v>
      </c>
      <c r="L1812" s="75"/>
      <c r="M1812" s="40" t="s">
        <v>74</v>
      </c>
      <c r="N1812" s="75"/>
      <c r="O1812" s="75"/>
      <c r="P1812" s="75"/>
      <c r="Q1812" s="75"/>
    </row>
    <row r="1813" spans="2:17" x14ac:dyDescent="0.3">
      <c r="B1813" s="19" t="s">
        <v>55</v>
      </c>
      <c r="C1813" s="16">
        <v>0</v>
      </c>
      <c r="D1813" s="16" t="s">
        <v>12</v>
      </c>
      <c r="E1813" s="75"/>
      <c r="F1813" s="75"/>
      <c r="G1813" s="75"/>
      <c r="H1813" s="75"/>
      <c r="I1813" s="19" t="s">
        <v>71</v>
      </c>
      <c r="J1813" s="16">
        <f>IF(C1813=0,J1811,C1813)</f>
        <v>16.682500000000001</v>
      </c>
      <c r="K1813" s="16" t="s">
        <v>12</v>
      </c>
      <c r="L1813" s="75"/>
      <c r="M1813" s="40" t="s">
        <v>75</v>
      </c>
      <c r="N1813" s="75"/>
      <c r="O1813" s="75"/>
      <c r="P1813" s="75"/>
      <c r="Q1813" s="75"/>
    </row>
    <row r="1814" spans="2:17" x14ac:dyDescent="0.3">
      <c r="B1814" s="75"/>
      <c r="C1814" s="75"/>
      <c r="D1814" s="75"/>
      <c r="E1814" s="75"/>
      <c r="F1814" s="75"/>
      <c r="G1814" s="75"/>
      <c r="H1814" s="75"/>
      <c r="J1814" s="75"/>
      <c r="K1814" s="75"/>
      <c r="L1814" s="75"/>
      <c r="M1814" s="75"/>
      <c r="N1814" s="75"/>
      <c r="O1814" s="75"/>
      <c r="P1814" s="75"/>
      <c r="Q1814" s="75"/>
    </row>
    <row r="1815" spans="2:17" x14ac:dyDescent="0.3">
      <c r="B1815" s="33" t="s">
        <v>42</v>
      </c>
      <c r="C1815" s="75"/>
      <c r="D1815" s="75"/>
      <c r="E1815" s="75"/>
      <c r="F1815" s="75"/>
      <c r="G1815" s="75"/>
      <c r="H1815" s="75"/>
      <c r="I1815" s="27" t="s">
        <v>76</v>
      </c>
      <c r="J1815" s="75"/>
      <c r="K1815" s="75"/>
      <c r="L1815" s="75"/>
      <c r="M1815" s="75"/>
      <c r="N1815" s="75"/>
      <c r="O1815" s="75"/>
      <c r="P1815" s="75"/>
      <c r="Q1815" s="75"/>
    </row>
    <row r="1816" spans="2:17" x14ac:dyDescent="0.3">
      <c r="B1816" s="31" t="s">
        <v>41</v>
      </c>
      <c r="C1816" s="16">
        <v>10</v>
      </c>
      <c r="D1816" s="29" t="s">
        <v>35</v>
      </c>
      <c r="E1816" s="75"/>
      <c r="F1816" s="75"/>
      <c r="G1816" s="75"/>
      <c r="H1816" s="75"/>
      <c r="I1816" s="19" t="s">
        <v>29</v>
      </c>
      <c r="J1816" s="30">
        <f>J1813*1000/J1800</f>
        <v>1.9684365781710915</v>
      </c>
      <c r="K1816" s="29" t="s">
        <v>8</v>
      </c>
      <c r="L1816" s="75"/>
      <c r="M1816" s="75"/>
      <c r="N1816" s="75"/>
      <c r="O1816" s="75"/>
      <c r="P1816" s="75"/>
      <c r="Q1816" s="75"/>
    </row>
    <row r="1817" spans="2:17" x14ac:dyDescent="0.3">
      <c r="B1817" s="31" t="s">
        <v>43</v>
      </c>
      <c r="C1817" s="16">
        <v>14</v>
      </c>
      <c r="D1817" s="29" t="s">
        <v>5</v>
      </c>
      <c r="E1817" s="75"/>
      <c r="F1817" s="39" t="str">
        <f>IF(OR(C1817&gt;25,C1817&lt;10),"[REDISEÑAR]",IF(AND(C1817&lt;=J1818,C1817&lt;=J1832),"[OK]","[REDISEÑAR]"))</f>
        <v>[OK]</v>
      </c>
      <c r="G1817" s="75"/>
      <c r="H1817" s="75"/>
      <c r="I1817" s="19" t="s">
        <v>61</v>
      </c>
      <c r="J1817" s="37">
        <f>MAX(J1816*100*C1804/(2*C1801),C1821)</f>
        <v>3.125</v>
      </c>
      <c r="K1817" s="29" t="s">
        <v>32</v>
      </c>
      <c r="L1817" s="75"/>
      <c r="M1817" s="15"/>
      <c r="N1817" s="15"/>
      <c r="O1817" s="15"/>
      <c r="P1817" s="75"/>
      <c r="Q1817" s="75"/>
    </row>
    <row r="1818" spans="2:17" x14ac:dyDescent="0.3">
      <c r="B1818" s="75"/>
      <c r="C1818" s="50" t="str">
        <f>"$\phi$"&amp;C1816&amp;"@"&amp;C1817</f>
        <v>$\phi$10@14</v>
      </c>
      <c r="D1818" s="75"/>
      <c r="E1818" s="75"/>
      <c r="F1818" s="39" t="str">
        <f>IF(OR(J1817=C1821,J1828=C1821),"[ÁREA MINIMA]","[]")</f>
        <v>[ÁREA MINIMA]</v>
      </c>
      <c r="G1818" s="75"/>
      <c r="H1818" s="75"/>
      <c r="I1818" s="63" t="s">
        <v>34</v>
      </c>
      <c r="J1818" s="63">
        <f>ROUNDDOWN((1/J1817)*C1820*100,0)</f>
        <v>25</v>
      </c>
      <c r="K1818" s="64" t="s">
        <v>5</v>
      </c>
      <c r="L1818" s="75"/>
      <c r="M1818" s="39" t="str">
        <f>IF(OR(J1818&lt;10,J1818&gt;25),"[REDISEÑAR]","[OK")</f>
        <v>[OK</v>
      </c>
      <c r="N1818" s="41" t="s">
        <v>80</v>
      </c>
      <c r="O1818" s="42">
        <f>1/J1817*(C1816/2)^2*PI()</f>
        <v>25.132741228718345</v>
      </c>
      <c r="P1818" s="75" t="str">
        <f>"$\phi$"&amp;C1816&amp;"@"&amp;J1818</f>
        <v>$\phi$10@25</v>
      </c>
      <c r="Q1818" s="75"/>
    </row>
    <row r="1819" spans="2:17" x14ac:dyDescent="0.3">
      <c r="B1819" s="18" t="s">
        <v>52</v>
      </c>
      <c r="C1819" s="75"/>
      <c r="D1819" s="75"/>
      <c r="E1819" s="75"/>
      <c r="F1819" s="62" t="str">
        <f>IF(J1807&lt;J1806,IF(J1835&gt;J1824,"[OK]","[REDISEÑAR]"),"[REDISEÑAR]")</f>
        <v>[OK]</v>
      </c>
      <c r="G1819" s="75"/>
      <c r="H1819" s="75"/>
      <c r="I1819" s="31" t="s">
        <v>48</v>
      </c>
      <c r="J1819" s="30">
        <f>C1820*2*IF(C1805/C1817&gt;=1,C1805/C1817,0)</f>
        <v>38.035711055962139</v>
      </c>
      <c r="K1819" s="29" t="s">
        <v>17</v>
      </c>
      <c r="L1819" s="75"/>
      <c r="M1819" s="75"/>
      <c r="N1819" s="15"/>
      <c r="O1819" s="44"/>
      <c r="P1819" s="75"/>
      <c r="Q1819" s="75"/>
    </row>
    <row r="1820" spans="2:17" x14ac:dyDescent="0.3">
      <c r="B1820" s="31" t="s">
        <v>66</v>
      </c>
      <c r="C1820" s="30">
        <f>(C1816/(2*10))^2*PI()</f>
        <v>0.78539816339744828</v>
      </c>
      <c r="D1820" s="29" t="s">
        <v>17</v>
      </c>
      <c r="E1820" s="75"/>
      <c r="F1820" s="75"/>
      <c r="G1820" s="75"/>
      <c r="H1820" s="75"/>
      <c r="I1820" s="19" t="s">
        <v>49</v>
      </c>
      <c r="J1820" s="34">
        <f>C1801*J1819/1000</f>
        <v>106.49999095669399</v>
      </c>
      <c r="K1820" s="16" t="s">
        <v>12</v>
      </c>
      <c r="L1820" s="75"/>
      <c r="M1820" s="39" t="str">
        <f>IF(J1820&gt;J1813,"[OK]","[REDISEÑAR]")</f>
        <v>[OK]</v>
      </c>
      <c r="N1820" s="41" t="str">
        <f>IF(O1820&gt;0,"Sobrado","Faltan")</f>
        <v>Sobrado</v>
      </c>
      <c r="O1820" s="43">
        <f>J1820-J1813</f>
        <v>89.817490956693987</v>
      </c>
      <c r="P1820" s="75"/>
      <c r="Q1820" s="75"/>
    </row>
    <row r="1821" spans="2:17" x14ac:dyDescent="0.3">
      <c r="B1821" s="31" t="s">
        <v>78</v>
      </c>
      <c r="C1821" s="37">
        <f>2.5/1000*100*C1804/2</f>
        <v>3.125</v>
      </c>
      <c r="D1821" s="16" t="s">
        <v>17</v>
      </c>
      <c r="E1821" s="75"/>
      <c r="F1821" s="75"/>
      <c r="G1821" s="75"/>
      <c r="H1821" s="75"/>
      <c r="J1821" s="75"/>
      <c r="K1821" s="75"/>
      <c r="L1821" s="75"/>
      <c r="M1821" s="75"/>
      <c r="N1821" s="75"/>
      <c r="O1821" s="15"/>
      <c r="P1821" s="75"/>
      <c r="Q1821" s="75"/>
    </row>
    <row r="1822" spans="2:17" x14ac:dyDescent="0.3">
      <c r="B1822" s="31" t="s">
        <v>114</v>
      </c>
      <c r="C1822" s="37">
        <f>C1820*100/C1817</f>
        <v>5.6099868814103448</v>
      </c>
      <c r="D1822" s="29" t="s">
        <v>32</v>
      </c>
      <c r="E1822" s="75"/>
      <c r="F1822" s="75"/>
      <c r="G1822" s="75"/>
      <c r="H1822" s="75"/>
      <c r="I1822" s="18" t="s">
        <v>77</v>
      </c>
      <c r="J1822" s="75"/>
      <c r="K1822" s="75"/>
      <c r="L1822" s="75"/>
      <c r="M1822" s="17" t="s">
        <v>67</v>
      </c>
      <c r="N1822" s="75"/>
      <c r="O1822" s="75"/>
      <c r="P1822" s="75"/>
      <c r="Q1822" s="75"/>
    </row>
    <row r="1823" spans="2:17" x14ac:dyDescent="0.3">
      <c r="B1823" s="75"/>
      <c r="C1823" s="75"/>
      <c r="D1823" s="75"/>
      <c r="E1823" s="75"/>
      <c r="F1823" s="75"/>
      <c r="G1823" s="75"/>
      <c r="H1823" s="75"/>
      <c r="I1823" s="19" t="s">
        <v>33</v>
      </c>
      <c r="J1823" s="16">
        <v>0.6</v>
      </c>
      <c r="K1823" s="16" t="s">
        <v>50</v>
      </c>
      <c r="L1823" s="75"/>
      <c r="M1823" s="19" t="s">
        <v>64</v>
      </c>
      <c r="N1823" s="30">
        <f>SQRT(C1799*0.0980665)*(1/0.0980665)/1000*J1825*0.17</f>
        <v>51.211241914522745</v>
      </c>
      <c r="O1823" s="16" t="s">
        <v>12</v>
      </c>
      <c r="P1823" s="75"/>
      <c r="Q1823" s="75"/>
    </row>
    <row r="1824" spans="2:17" x14ac:dyDescent="0.3">
      <c r="B1824" s="17" t="s">
        <v>37</v>
      </c>
      <c r="C1824" s="75"/>
      <c r="D1824" s="75"/>
      <c r="E1824" s="75"/>
      <c r="F1824" s="75"/>
      <c r="G1824" s="75"/>
      <c r="H1824" s="75"/>
      <c r="I1824" s="19" t="s">
        <v>46</v>
      </c>
      <c r="J1824" s="34">
        <f>J1812/J1823</f>
        <v>38.0563</v>
      </c>
      <c r="K1824" s="16" t="s">
        <v>12</v>
      </c>
      <c r="L1824" s="75"/>
      <c r="M1824" s="19" t="s">
        <v>57</v>
      </c>
      <c r="N1824" s="16">
        <f>IF(C1806/J1803&lt;=1.5,0.25,IF(C1806/J1803&gt;=2,0.17,0.17+(0.25-0.17)/(C1806/J1803-1.5)*C1806/J1803))</f>
        <v>0.25</v>
      </c>
      <c r="O1824" s="29" t="s">
        <v>50</v>
      </c>
      <c r="P1824" s="75"/>
      <c r="Q1824" s="75"/>
    </row>
    <row r="1825" spans="2:17" x14ac:dyDescent="0.3">
      <c r="B1825" s="31" t="s">
        <v>115</v>
      </c>
      <c r="C1825" s="37">
        <f>O1820</f>
        <v>89.817490956693987</v>
      </c>
      <c r="D1825" s="29" t="s">
        <v>12</v>
      </c>
      <c r="E1825" s="75"/>
      <c r="F1825" s="75"/>
      <c r="G1825" s="75"/>
      <c r="H1825" s="75"/>
      <c r="I1825" s="19" t="s">
        <v>36</v>
      </c>
      <c r="J1825" s="35">
        <f>J1803*C1804*0.8-J1833</f>
        <v>5393.5714311552301</v>
      </c>
      <c r="K1825" s="16" t="s">
        <v>17</v>
      </c>
      <c r="L1825" s="75"/>
      <c r="M1825" s="19" t="s">
        <v>59</v>
      </c>
      <c r="N1825" s="30">
        <f>SQRT(C1799*0.0980665)*(1/0.0980665)/1000*J1825*N1824</f>
        <v>75.31064987429815</v>
      </c>
      <c r="O1825" s="29" t="s">
        <v>12</v>
      </c>
      <c r="P1825" s="75"/>
      <c r="Q1825" s="75"/>
    </row>
    <row r="1826" spans="2:17" x14ac:dyDescent="0.3">
      <c r="B1826" s="31" t="s">
        <v>116</v>
      </c>
      <c r="C1826" s="37">
        <f>O1835</f>
        <v>140.95493106255552</v>
      </c>
      <c r="D1826" s="29" t="s">
        <v>12</v>
      </c>
      <c r="E1826" s="75"/>
      <c r="F1826" s="75"/>
      <c r="G1826" s="75"/>
      <c r="H1826" s="75"/>
      <c r="I1826" s="19" t="s">
        <v>60</v>
      </c>
      <c r="J1826" s="34">
        <f>MIN(N1825,N1823)</f>
        <v>51.211241914522745</v>
      </c>
      <c r="K1826" s="29" t="s">
        <v>12</v>
      </c>
      <c r="L1826" s="75"/>
      <c r="M1826" s="75"/>
      <c r="N1826" s="75"/>
      <c r="O1826" s="75"/>
      <c r="P1826" s="75"/>
      <c r="Q1826" s="75"/>
    </row>
    <row r="1827" spans="2:17" x14ac:dyDescent="0.3">
      <c r="B1827" s="19" t="s">
        <v>117</v>
      </c>
      <c r="C1827" s="36">
        <f>C1820*2*C1805/C1817/J1800</f>
        <v>4.4879895051282755E-3</v>
      </c>
      <c r="D1827" s="16" t="s">
        <v>50</v>
      </c>
      <c r="E1827" s="75"/>
      <c r="F1827" s="75"/>
      <c r="G1827" s="75"/>
      <c r="H1827" s="75"/>
      <c r="I1827" s="19" t="s">
        <v>39</v>
      </c>
      <c r="J1827" s="34">
        <f>J1824-J1826</f>
        <v>-13.154941914522745</v>
      </c>
      <c r="K1827" s="16" t="s">
        <v>12</v>
      </c>
      <c r="L1827" s="75"/>
      <c r="M1827" s="75"/>
      <c r="N1827" s="75"/>
      <c r="O1827" s="75"/>
      <c r="P1827" s="75"/>
      <c r="Q1827" s="75"/>
    </row>
    <row r="1828" spans="2:17" x14ac:dyDescent="0.3">
      <c r="B1828" s="75"/>
      <c r="C1828" s="75"/>
      <c r="D1828" s="75"/>
      <c r="E1828" s="75"/>
      <c r="F1828" s="75"/>
      <c r="G1828" s="75"/>
      <c r="H1828" s="75"/>
      <c r="I1828" s="19" t="s">
        <v>61</v>
      </c>
      <c r="J1828" s="37">
        <f>MAX(J1827/(C1800*J1803/1000/100)/2,C1821)</f>
        <v>3.125</v>
      </c>
      <c r="K1828" s="29" t="s">
        <v>32</v>
      </c>
      <c r="L1828" s="75"/>
      <c r="M1828" s="75"/>
      <c r="N1828" s="75"/>
      <c r="O1828" s="75"/>
      <c r="P1828" s="75"/>
      <c r="Q1828" s="75"/>
    </row>
    <row r="1829" spans="2:17" x14ac:dyDescent="0.3">
      <c r="B1829" s="75"/>
      <c r="C1829" s="75"/>
      <c r="D1829" s="75"/>
      <c r="E1829" s="75"/>
      <c r="F1829" s="75"/>
      <c r="G1829" s="75"/>
      <c r="H1829" s="75"/>
      <c r="I1829" s="19" t="s">
        <v>65</v>
      </c>
      <c r="J1829" s="36">
        <f>J1828/C1804/100*2</f>
        <v>2.5000000000000001E-3</v>
      </c>
      <c r="K1829" s="16" t="s">
        <v>50</v>
      </c>
      <c r="L1829" s="75"/>
      <c r="M1829" s="75"/>
      <c r="N1829" s="75"/>
      <c r="O1829" s="75"/>
      <c r="P1829" s="75"/>
      <c r="Q1829" s="75"/>
    </row>
    <row r="1830" spans="2:17" x14ac:dyDescent="0.3">
      <c r="B1830" s="75"/>
      <c r="C1830" s="75"/>
      <c r="D1830" s="75"/>
      <c r="E1830" s="75"/>
      <c r="F1830" s="75"/>
      <c r="G1830" s="75"/>
      <c r="H1830" s="75"/>
      <c r="I1830" s="19" t="s">
        <v>53</v>
      </c>
      <c r="J1830" s="16">
        <f>MAX(0.0025,0.0025*0.5*(2.5-C1804/(C1805*0.8))*(J1829-0.0025))</f>
        <v>2.5000000000000001E-3</v>
      </c>
      <c r="K1830" s="29" t="s">
        <v>50</v>
      </c>
      <c r="L1830" s="75"/>
      <c r="M1830" s="39" t="str">
        <f>IF(OR(J1829&gt;J1830,ABS(J1829-J1830)&lt;0.0001),"[OK]","[REDISEÑAR]")</f>
        <v>[OK]</v>
      </c>
      <c r="N1830" s="75"/>
      <c r="O1830" s="75"/>
      <c r="P1830" s="75"/>
      <c r="Q1830" s="75"/>
    </row>
    <row r="1831" spans="2:17" x14ac:dyDescent="0.3">
      <c r="B1831" s="75"/>
      <c r="C1831" s="75"/>
      <c r="D1831" s="75"/>
      <c r="E1831" s="75"/>
      <c r="F1831" s="75"/>
      <c r="G1831" s="75"/>
      <c r="H1831" s="75"/>
      <c r="I1831" s="19" t="s">
        <v>47</v>
      </c>
      <c r="J1831" s="34">
        <f>SQRT(C1799*0.0980665)*(1/0.0980665)/1000*0.66*0.8*C1805*C1804</f>
        <v>249.92723308409288</v>
      </c>
      <c r="K1831" s="16" t="s">
        <v>12</v>
      </c>
      <c r="L1831" s="75"/>
      <c r="M1831" s="40" t="s">
        <v>44</v>
      </c>
      <c r="N1831" s="75"/>
      <c r="O1831" s="15"/>
      <c r="P1831" s="75"/>
      <c r="Q1831" s="75"/>
    </row>
    <row r="1832" spans="2:17" x14ac:dyDescent="0.3">
      <c r="B1832" s="75"/>
      <c r="C1832" s="75"/>
      <c r="D1832" s="75"/>
      <c r="E1832" s="75"/>
      <c r="F1832" s="75"/>
      <c r="G1832" s="75"/>
      <c r="H1832" s="75"/>
      <c r="I1832" s="63" t="s">
        <v>34</v>
      </c>
      <c r="J1832" s="63">
        <f>ROUNDDOWN(1/J1828*C1820*100,0)</f>
        <v>25</v>
      </c>
      <c r="K1832" s="64" t="s">
        <v>5</v>
      </c>
      <c r="L1832" s="75"/>
      <c r="M1832" s="39" t="str">
        <f>IF(OR(J1832&lt;10,J1832&gt;25),"[REDISEÑAR]","[OK")</f>
        <v>[OK</v>
      </c>
      <c r="N1832" s="41" t="s">
        <v>80</v>
      </c>
      <c r="O1832" s="42">
        <f>1/J1828*(C1816/2)^2*PI()</f>
        <v>25.132741228718345</v>
      </c>
      <c r="P1832" s="75" t="str">
        <f>"$\phi$"&amp;C1816&amp;"@"&amp;J1832</f>
        <v>$\phi$10@25</v>
      </c>
      <c r="Q1832" s="75"/>
    </row>
    <row r="1833" spans="2:17" x14ac:dyDescent="0.3">
      <c r="B1833" s="75"/>
      <c r="C1833" s="75"/>
      <c r="D1833" s="75"/>
      <c r="E1833" s="75"/>
      <c r="F1833" s="75"/>
      <c r="G1833" s="75"/>
      <c r="H1833" s="75"/>
      <c r="I1833" s="31" t="s">
        <v>48</v>
      </c>
      <c r="J1833" s="30">
        <f>C1820*2*IF(J1803/C1817&gt;=1,J1803/C1817,0)</f>
        <v>30.428568844769707</v>
      </c>
      <c r="K1833" s="29" t="s">
        <v>17</v>
      </c>
      <c r="L1833" s="75"/>
      <c r="M1833" s="75"/>
      <c r="N1833" s="15"/>
      <c r="O1833" s="15"/>
      <c r="P1833" s="75"/>
      <c r="Q1833" s="75"/>
    </row>
    <row r="1834" spans="2:17" x14ac:dyDescent="0.3">
      <c r="B1834" s="75"/>
      <c r="C1834" s="75"/>
      <c r="D1834" s="75"/>
      <c r="E1834" s="75"/>
      <c r="F1834" s="75"/>
      <c r="G1834" s="75"/>
      <c r="H1834" s="75"/>
      <c r="I1834" s="19" t="s">
        <v>81</v>
      </c>
      <c r="J1834" s="34">
        <f>MIN(J1833*C1800/1000,J1831)</f>
        <v>127.79998914803276</v>
      </c>
      <c r="K1834" s="16" t="s">
        <v>12</v>
      </c>
      <c r="L1834" s="75"/>
      <c r="M1834" s="40" t="s">
        <v>82</v>
      </c>
      <c r="N1834" s="15"/>
      <c r="O1834" s="15"/>
      <c r="P1834" s="75"/>
      <c r="Q1834" s="75"/>
    </row>
    <row r="1835" spans="2:17" x14ac:dyDescent="0.3">
      <c r="B1835" s="75"/>
      <c r="C1835" s="75"/>
      <c r="D1835" s="75"/>
      <c r="E1835" s="75"/>
      <c r="F1835" s="75"/>
      <c r="G1835" s="75"/>
      <c r="H1835" s="75"/>
      <c r="I1835" s="19" t="s">
        <v>79</v>
      </c>
      <c r="J1835" s="34">
        <f>J1834+J1826</f>
        <v>179.01123106255551</v>
      </c>
      <c r="K1835" s="16" t="s">
        <v>12</v>
      </c>
      <c r="L1835" s="75"/>
      <c r="M1835" s="39" t="str">
        <f>IF(J1835&gt;J1824,"[OK]","[REDISEÑAR]")</f>
        <v>[OK]</v>
      </c>
      <c r="N1835" s="41" t="str">
        <f>IF(O1835&gt;0,"Sobrado","Faltan")</f>
        <v>Sobrado</v>
      </c>
      <c r="O1835" s="43">
        <f>J1835-J1824</f>
        <v>140.95493106255552</v>
      </c>
      <c r="P1835" s="75"/>
      <c r="Q1835" s="75"/>
    </row>
    <row r="1836" spans="2:17" x14ac:dyDescent="0.3">
      <c r="B1836" s="75"/>
      <c r="C1836" s="75"/>
      <c r="D1836" s="75"/>
      <c r="E1836" s="75"/>
      <c r="F1836" s="75"/>
      <c r="G1836" s="75"/>
      <c r="H1836" s="75"/>
      <c r="J1836" s="75"/>
      <c r="K1836" s="75"/>
      <c r="L1836" s="75"/>
      <c r="M1836" s="75"/>
      <c r="N1836" s="75"/>
      <c r="O1836" s="75"/>
      <c r="P1836" s="75"/>
      <c r="Q1836" s="75"/>
    </row>
    <row r="1837" spans="2:17" x14ac:dyDescent="0.3">
      <c r="B1837" s="75"/>
      <c r="C1837" s="75"/>
      <c r="D1837" s="75"/>
      <c r="E1837" s="75"/>
      <c r="F1837" s="75"/>
      <c r="G1837" s="75"/>
      <c r="H1837" s="75"/>
      <c r="I1837" s="18" t="s">
        <v>45</v>
      </c>
      <c r="J1837" s="75"/>
      <c r="K1837" s="75"/>
      <c r="L1837" s="75"/>
      <c r="M1837" s="75"/>
      <c r="N1837" s="75"/>
      <c r="O1837" s="15"/>
      <c r="P1837" s="75"/>
      <c r="Q1837" s="75"/>
    </row>
    <row r="1838" spans="2:17" x14ac:dyDescent="0.3">
      <c r="B1838" s="75"/>
      <c r="C1838" s="75"/>
      <c r="D1838" s="75"/>
      <c r="E1838" s="75"/>
      <c r="F1838" s="75"/>
      <c r="G1838" s="75"/>
      <c r="H1838" s="75"/>
      <c r="I1838" s="19" t="s">
        <v>40</v>
      </c>
      <c r="J1838" s="16">
        <f>J1812</f>
        <v>22.833780000000001</v>
      </c>
      <c r="K1838" s="16" t="s">
        <v>12</v>
      </c>
      <c r="L1838" s="75"/>
      <c r="M1838" s="75"/>
      <c r="N1838" s="75"/>
      <c r="O1838" s="26"/>
      <c r="P1838" s="75"/>
      <c r="Q1838" s="75"/>
    </row>
    <row r="1839" spans="2:17" x14ac:dyDescent="0.3">
      <c r="B1839" s="75"/>
      <c r="C1839" s="75"/>
      <c r="D1839" s="75"/>
      <c r="E1839" s="75"/>
      <c r="F1839" s="75"/>
      <c r="G1839" s="75"/>
      <c r="H1839" s="75"/>
      <c r="I1839" s="19" t="s">
        <v>46</v>
      </c>
      <c r="J1839" s="34">
        <f>J1824</f>
        <v>38.0563</v>
      </c>
      <c r="K1839" s="16" t="s">
        <v>12</v>
      </c>
      <c r="L1839" s="75"/>
      <c r="M1839" s="75"/>
      <c r="N1839" s="75"/>
      <c r="O1839" s="75"/>
      <c r="P1839" s="75"/>
      <c r="Q1839" s="75"/>
    </row>
    <row r="1840" spans="2:17" x14ac:dyDescent="0.3">
      <c r="B1840" s="75"/>
      <c r="C1840" s="75"/>
      <c r="D1840" s="75"/>
      <c r="E1840" s="75"/>
      <c r="F1840" s="75"/>
      <c r="G1840" s="75"/>
      <c r="H1840" s="75"/>
      <c r="I1840" s="19" t="s">
        <v>38</v>
      </c>
      <c r="J1840" s="34">
        <f>2/3*J1825*SQRT(C1799*0.0980665)*(1/0.0980665)/1000</f>
        <v>200.82839966479511</v>
      </c>
      <c r="K1840" s="16" t="s">
        <v>12</v>
      </c>
      <c r="L1840" s="75"/>
      <c r="M1840" s="39" t="str">
        <f>IF(J1840&gt;J1839,"[OK]","[REDISEÑAR]")</f>
        <v>[OK]</v>
      </c>
      <c r="N1840" s="41" t="str">
        <f>IF(O1840&gt;0,"Sobrado","Faltan")</f>
        <v>Sobrado</v>
      </c>
      <c r="O1840" s="43">
        <f>J1840-J1839</f>
        <v>162.77209966479512</v>
      </c>
      <c r="P1840" s="75"/>
      <c r="Q1840" s="75"/>
    </row>
    <row r="1842" spans="2:17" ht="18" x14ac:dyDescent="0.35">
      <c r="B1842" s="48" t="str">
        <f>'EJE 15'!$S$29</f>
        <v>EJE 15.G-L | PIER F33X | PISO 12</v>
      </c>
      <c r="C1842" s="75"/>
      <c r="D1842" s="75"/>
      <c r="E1842" s="75"/>
      <c r="F1842" s="75"/>
      <c r="G1842" s="75"/>
      <c r="H1842" s="75"/>
      <c r="J1842" s="75"/>
      <c r="K1842" s="75"/>
      <c r="L1842" s="75"/>
      <c r="M1842" s="75"/>
      <c r="N1842" s="75"/>
      <c r="O1842" s="75"/>
      <c r="P1842" s="75"/>
      <c r="Q1842" s="75"/>
    </row>
    <row r="1843" spans="2:17" x14ac:dyDescent="0.3">
      <c r="B1843" s="75"/>
      <c r="C1843" s="75"/>
      <c r="D1843" s="75"/>
      <c r="E1843" s="75"/>
      <c r="F1843" s="75"/>
      <c r="G1843" s="75"/>
      <c r="H1843" s="75"/>
      <c r="J1843" s="75"/>
      <c r="K1843" s="75"/>
      <c r="L1843" s="75"/>
      <c r="M1843" s="75"/>
      <c r="N1843" s="75"/>
      <c r="O1843" s="75"/>
      <c r="P1843" s="75"/>
      <c r="Q1843" s="75"/>
    </row>
    <row r="1844" spans="2:17" x14ac:dyDescent="0.3">
      <c r="B1844" s="17" t="s">
        <v>6</v>
      </c>
      <c r="C1844" s="75"/>
      <c r="D1844" s="75"/>
      <c r="E1844" s="75"/>
      <c r="F1844" s="75"/>
      <c r="G1844" s="75"/>
      <c r="H1844" s="75"/>
      <c r="I1844" s="18" t="s">
        <v>25</v>
      </c>
      <c r="J1844" s="75"/>
      <c r="K1844" s="75"/>
      <c r="L1844" s="75"/>
      <c r="M1844" s="75"/>
      <c r="N1844" s="75"/>
      <c r="O1844" s="75"/>
      <c r="P1844" s="75"/>
      <c r="Q1844" s="75"/>
    </row>
    <row r="1845" spans="2:17" x14ac:dyDescent="0.3">
      <c r="B1845" s="19" t="s">
        <v>99</v>
      </c>
      <c r="C1845" s="61">
        <f>10.1971621297793*'EJE 15'!$G$29</f>
        <v>305.91486389337899</v>
      </c>
      <c r="D1845" s="16" t="s">
        <v>8</v>
      </c>
      <c r="E1845" s="75"/>
      <c r="F1845" s="75"/>
      <c r="G1845" s="75"/>
      <c r="H1845" s="75"/>
      <c r="I1845" s="19" t="s">
        <v>58</v>
      </c>
      <c r="J1845" s="16">
        <f>C1852/16</f>
        <v>14.375</v>
      </c>
      <c r="K1845" s="16" t="s">
        <v>5</v>
      </c>
      <c r="L1845" s="21"/>
      <c r="M1845" s="39" t="str">
        <f>IF(J1845&lt;C1850,"[OK]","[REDISEÑAR]")</f>
        <v>[OK]</v>
      </c>
      <c r="N1845" s="75"/>
      <c r="O1845" s="75"/>
      <c r="P1845" s="75"/>
      <c r="Q1845" s="75"/>
    </row>
    <row r="1846" spans="2:17" x14ac:dyDescent="0.3">
      <c r="B1846" s="19" t="s">
        <v>30</v>
      </c>
      <c r="C1846" s="16">
        <v>4200</v>
      </c>
      <c r="D1846" s="16" t="s">
        <v>8</v>
      </c>
      <c r="E1846" s="75"/>
      <c r="F1846" s="75"/>
      <c r="G1846" s="75"/>
      <c r="H1846" s="75"/>
      <c r="I1846" s="19" t="s">
        <v>16</v>
      </c>
      <c r="J1846" s="16">
        <f>C1850*C1851</f>
        <v>8475</v>
      </c>
      <c r="K1846" s="16" t="s">
        <v>17</v>
      </c>
      <c r="L1846" s="21"/>
      <c r="M1846" s="75"/>
      <c r="N1846" s="75"/>
      <c r="O1846" s="75"/>
      <c r="P1846" s="75"/>
      <c r="Q1846" s="75"/>
    </row>
    <row r="1847" spans="2:17" x14ac:dyDescent="0.3">
      <c r="B1847" s="19" t="s">
        <v>31</v>
      </c>
      <c r="C1847" s="16">
        <v>2800</v>
      </c>
      <c r="D1847" s="16" t="s">
        <v>8</v>
      </c>
      <c r="E1847" s="75"/>
      <c r="F1847" s="75"/>
      <c r="G1847" s="75"/>
      <c r="H1847" s="75"/>
      <c r="I1847" s="19" t="s">
        <v>51</v>
      </c>
      <c r="J1847" s="16">
        <f>MIN(0.8*C1851/5,3*C1850,45)</f>
        <v>45</v>
      </c>
      <c r="K1847" s="16" t="s">
        <v>5</v>
      </c>
      <c r="L1847" s="21"/>
      <c r="M1847" s="39" t="str">
        <f>IF(J1847&gt;C1863,"[OK]","[REDISEÑAR]")</f>
        <v>[OK]</v>
      </c>
      <c r="N1847" s="75"/>
      <c r="O1847" s="75"/>
      <c r="P1847" s="75"/>
      <c r="Q1847" s="75"/>
    </row>
    <row r="1848" spans="2:17" x14ac:dyDescent="0.3">
      <c r="B1848" s="75"/>
      <c r="C1848" s="75"/>
      <c r="D1848" s="75"/>
      <c r="E1848" s="75"/>
      <c r="F1848" s="75"/>
      <c r="G1848" s="75"/>
      <c r="H1848" s="75"/>
      <c r="I1848" s="19" t="s">
        <v>56</v>
      </c>
      <c r="J1848" s="16">
        <f>MIN(0.8*C1852/3,3*C1851,45)</f>
        <v>45</v>
      </c>
      <c r="K1848" s="16" t="s">
        <v>5</v>
      </c>
      <c r="L1848" s="21"/>
      <c r="M1848" s="39" t="str">
        <f>IF(J1848&gt;C1863,"[OK]","[REDISEÑAR]")</f>
        <v>[OK]</v>
      </c>
      <c r="N1848" s="75"/>
      <c r="O1848" s="75"/>
      <c r="P1848" s="75"/>
      <c r="Q1848" s="75"/>
    </row>
    <row r="1849" spans="2:17" x14ac:dyDescent="0.3">
      <c r="B1849" s="17" t="s">
        <v>3</v>
      </c>
      <c r="C1849" s="75"/>
      <c r="D1849" s="75"/>
      <c r="E1849" s="75"/>
      <c r="F1849" s="75"/>
      <c r="G1849" s="75"/>
      <c r="H1849" s="75"/>
      <c r="I1849" s="19" t="s">
        <v>62</v>
      </c>
      <c r="J1849" s="16">
        <f>0.8*C1851</f>
        <v>271.2</v>
      </c>
      <c r="K1849" s="29" t="s">
        <v>5</v>
      </c>
      <c r="L1849" s="75"/>
      <c r="M1849" s="75"/>
      <c r="N1849" s="75"/>
      <c r="O1849" s="75"/>
      <c r="P1849" s="75"/>
      <c r="Q1849" s="75"/>
    </row>
    <row r="1850" spans="2:17" x14ac:dyDescent="0.3">
      <c r="B1850" s="19" t="str">
        <f>"Espesor del muro (h)"</f>
        <v>Espesor del muro (h)</v>
      </c>
      <c r="C1850" s="49">
        <f>'EJE 15'!$H$29</f>
        <v>25</v>
      </c>
      <c r="D1850" s="16" t="s">
        <v>5</v>
      </c>
      <c r="E1850" s="75"/>
      <c r="F1850" s="75"/>
      <c r="G1850" s="75"/>
      <c r="H1850" s="75"/>
      <c r="J1850" s="75"/>
      <c r="K1850" s="75"/>
      <c r="L1850" s="75"/>
      <c r="M1850" s="75"/>
      <c r="N1850" s="75"/>
      <c r="O1850" s="75"/>
      <c r="P1850" s="75"/>
      <c r="Q1850" s="75"/>
    </row>
    <row r="1851" spans="2:17" x14ac:dyDescent="0.3">
      <c r="B1851" s="19" t="s">
        <v>63</v>
      </c>
      <c r="C1851" s="49">
        <f>'EJE 15'!$I$29</f>
        <v>339</v>
      </c>
      <c r="D1851" s="16" t="s">
        <v>5</v>
      </c>
      <c r="E1851" s="75"/>
      <c r="F1851" s="75"/>
      <c r="G1851" s="75"/>
      <c r="H1851" s="75"/>
      <c r="I1851" s="18" t="s">
        <v>26</v>
      </c>
      <c r="J1851" s="75"/>
      <c r="K1851" s="75"/>
      <c r="L1851" s="75"/>
      <c r="M1851" s="75"/>
      <c r="N1851" s="75"/>
      <c r="O1851" s="75"/>
      <c r="P1851" s="75"/>
      <c r="Q1851" s="75"/>
    </row>
    <row r="1852" spans="2:17" x14ac:dyDescent="0.3">
      <c r="B1852" s="19" t="s">
        <v>10</v>
      </c>
      <c r="C1852" s="49">
        <f>'EJE 15'!$J$29</f>
        <v>230</v>
      </c>
      <c r="D1852" s="16" t="s">
        <v>5</v>
      </c>
      <c r="E1852" s="75"/>
      <c r="F1852" s="75"/>
      <c r="G1852" s="75"/>
      <c r="H1852" s="75"/>
      <c r="I1852" s="19" t="s">
        <v>28</v>
      </c>
      <c r="J1852" s="16">
        <f>0.35*C1845</f>
        <v>107.07020236268264</v>
      </c>
      <c r="K1852" s="16" t="s">
        <v>8</v>
      </c>
      <c r="L1852" s="21"/>
      <c r="M1852" s="75"/>
      <c r="N1852" s="75"/>
      <c r="O1852" s="75"/>
      <c r="P1852" s="75"/>
      <c r="Q1852" s="75"/>
    </row>
    <row r="1853" spans="2:17" x14ac:dyDescent="0.3">
      <c r="B1853" s="75"/>
      <c r="C1853" s="75"/>
      <c r="D1853" s="75"/>
      <c r="E1853" s="75"/>
      <c r="F1853" s="75"/>
      <c r="G1853" s="75"/>
      <c r="H1853" s="75"/>
      <c r="I1853" s="19" t="s">
        <v>27</v>
      </c>
      <c r="J1853" s="30">
        <f>C1855*1000/J1846</f>
        <v>15.96075516224189</v>
      </c>
      <c r="K1853" s="16" t="s">
        <v>8</v>
      </c>
      <c r="L1853" s="21"/>
      <c r="M1853" s="39" t="str">
        <f>IF(J1853&lt;J1852,"[OK]","[REDISEÑAR]")</f>
        <v>[OK]</v>
      </c>
      <c r="N1853" s="41" t="s">
        <v>112</v>
      </c>
      <c r="O1853" s="59">
        <f>J1853/J1852</f>
        <v>0.14906813296361826</v>
      </c>
      <c r="P1853" s="75"/>
      <c r="Q1853" s="75"/>
    </row>
    <row r="1854" spans="2:17" x14ac:dyDescent="0.3">
      <c r="B1854" s="17" t="s">
        <v>11</v>
      </c>
      <c r="C1854" s="75"/>
      <c r="D1854" s="75"/>
      <c r="E1854" s="75"/>
      <c r="F1854" s="75"/>
      <c r="G1854" s="75"/>
      <c r="H1854" s="75"/>
      <c r="J1854" s="75"/>
      <c r="K1854" s="75"/>
      <c r="L1854" s="75"/>
      <c r="M1854" s="75"/>
      <c r="N1854" s="75"/>
      <c r="O1854" s="75"/>
      <c r="P1854" s="75"/>
      <c r="Q1854" s="75"/>
    </row>
    <row r="1855" spans="2:17" x14ac:dyDescent="0.3">
      <c r="B1855" s="19" t="str">
        <f>"$N_U$"</f>
        <v>$N_U$</v>
      </c>
      <c r="C1855" s="60">
        <f>'EJE 15'!$K$29</f>
        <v>135.26740000000001</v>
      </c>
      <c r="D1855" s="16" t="s">
        <v>12</v>
      </c>
      <c r="E1855" s="75"/>
      <c r="F1855" s="75"/>
      <c r="G1855" s="75"/>
      <c r="H1855" s="75"/>
      <c r="I1855" s="18" t="s">
        <v>54</v>
      </c>
      <c r="J1855" s="75"/>
      <c r="K1855" s="75"/>
      <c r="L1855" s="75"/>
      <c r="M1855" s="75"/>
      <c r="N1855" s="75"/>
      <c r="O1855" s="75"/>
      <c r="P1855" s="75"/>
      <c r="Q1855" s="75"/>
    </row>
    <row r="1856" spans="2:17" x14ac:dyDescent="0.3">
      <c r="B1856" s="19" t="s">
        <v>14</v>
      </c>
      <c r="C1856" s="60">
        <f>'EJE 15'!$L$29</f>
        <v>2.5070000000000001</v>
      </c>
      <c r="D1856" s="16" t="s">
        <v>12</v>
      </c>
      <c r="E1856" s="75"/>
      <c r="F1856" s="75"/>
      <c r="G1856" s="75"/>
      <c r="H1856" s="75"/>
      <c r="I1856" s="19" t="s">
        <v>72</v>
      </c>
      <c r="J1856" s="16">
        <f>1.2*C1856+C1857+1.4*C1858</f>
        <v>22.833780000000001</v>
      </c>
      <c r="K1856" s="16" t="s">
        <v>12</v>
      </c>
      <c r="L1856" s="75"/>
      <c r="M1856" s="75" t="s">
        <v>68</v>
      </c>
      <c r="N1856" s="75"/>
      <c r="O1856" s="75"/>
      <c r="P1856" s="75"/>
      <c r="Q1856" s="75"/>
    </row>
    <row r="1857" spans="2:17" x14ac:dyDescent="0.3">
      <c r="B1857" s="19" t="s">
        <v>13</v>
      </c>
      <c r="C1857" s="60">
        <f>'EJE 15'!$M$29</f>
        <v>5.0799999999999998E-2</v>
      </c>
      <c r="D1857" s="16" t="s">
        <v>12</v>
      </c>
      <c r="E1857" s="75"/>
      <c r="F1857" s="75"/>
      <c r="G1857" s="75"/>
      <c r="H1857" s="75"/>
      <c r="I1857" s="19" t="s">
        <v>69</v>
      </c>
      <c r="J1857" s="16">
        <f>SUM(C1856:C1858)</f>
        <v>16.682500000000001</v>
      </c>
      <c r="K1857" s="16" t="s">
        <v>12</v>
      </c>
      <c r="L1857" s="75"/>
      <c r="M1857" s="75" t="s">
        <v>70</v>
      </c>
      <c r="N1857" s="75"/>
      <c r="O1857" s="75"/>
      <c r="P1857" s="75"/>
      <c r="Q1857" s="75"/>
    </row>
    <row r="1858" spans="2:17" x14ac:dyDescent="0.3">
      <c r="B1858" s="19" t="s">
        <v>15</v>
      </c>
      <c r="C1858" s="60">
        <f>'EJE 15'!$N$29</f>
        <v>14.124700000000001</v>
      </c>
      <c r="D1858" s="16" t="s">
        <v>12</v>
      </c>
      <c r="E1858" s="75"/>
      <c r="F1858" s="75"/>
      <c r="G1858" s="75"/>
      <c r="H1858" s="75"/>
      <c r="I1858" s="19" t="s">
        <v>73</v>
      </c>
      <c r="J1858" s="16">
        <f>IF(C1859=0,J1856,C1859)</f>
        <v>22.833780000000001</v>
      </c>
      <c r="K1858" s="16" t="s">
        <v>12</v>
      </c>
      <c r="L1858" s="75"/>
      <c r="M1858" s="40" t="s">
        <v>74</v>
      </c>
      <c r="N1858" s="75"/>
      <c r="O1858" s="75"/>
      <c r="P1858" s="75"/>
      <c r="Q1858" s="75"/>
    </row>
    <row r="1859" spans="2:17" x14ac:dyDescent="0.3">
      <c r="B1859" s="19" t="s">
        <v>55</v>
      </c>
      <c r="C1859" s="16">
        <v>0</v>
      </c>
      <c r="D1859" s="16" t="s">
        <v>12</v>
      </c>
      <c r="E1859" s="75"/>
      <c r="F1859" s="75"/>
      <c r="G1859" s="75"/>
      <c r="H1859" s="75"/>
      <c r="I1859" s="19" t="s">
        <v>71</v>
      </c>
      <c r="J1859" s="16">
        <f>IF(C1859=0,J1857,C1859)</f>
        <v>16.682500000000001</v>
      </c>
      <c r="K1859" s="16" t="s">
        <v>12</v>
      </c>
      <c r="L1859" s="75"/>
      <c r="M1859" s="40" t="s">
        <v>75</v>
      </c>
      <c r="N1859" s="75"/>
      <c r="O1859" s="75"/>
      <c r="P1859" s="75"/>
      <c r="Q1859" s="75"/>
    </row>
    <row r="1860" spans="2:17" x14ac:dyDescent="0.3">
      <c r="B1860" s="75"/>
      <c r="C1860" s="75"/>
      <c r="D1860" s="75"/>
      <c r="E1860" s="75"/>
      <c r="F1860" s="75"/>
      <c r="G1860" s="75"/>
      <c r="H1860" s="75"/>
      <c r="J1860" s="75"/>
      <c r="K1860" s="75"/>
      <c r="L1860" s="75"/>
      <c r="M1860" s="75"/>
      <c r="N1860" s="75"/>
      <c r="O1860" s="75"/>
      <c r="P1860" s="75"/>
      <c r="Q1860" s="75"/>
    </row>
    <row r="1861" spans="2:17" x14ac:dyDescent="0.3">
      <c r="B1861" s="33" t="s">
        <v>42</v>
      </c>
      <c r="C1861" s="75"/>
      <c r="D1861" s="75"/>
      <c r="E1861" s="75"/>
      <c r="F1861" s="75"/>
      <c r="G1861" s="75"/>
      <c r="H1861" s="75"/>
      <c r="I1861" s="27" t="s">
        <v>76</v>
      </c>
      <c r="J1861" s="75"/>
      <c r="K1861" s="75"/>
      <c r="L1861" s="75"/>
      <c r="M1861" s="75"/>
      <c r="N1861" s="75"/>
      <c r="O1861" s="75"/>
      <c r="P1861" s="75"/>
      <c r="Q1861" s="75"/>
    </row>
    <row r="1862" spans="2:17" x14ac:dyDescent="0.3">
      <c r="B1862" s="31" t="s">
        <v>41</v>
      </c>
      <c r="C1862" s="16">
        <v>10</v>
      </c>
      <c r="D1862" s="29" t="s">
        <v>35</v>
      </c>
      <c r="E1862" s="75"/>
      <c r="F1862" s="75"/>
      <c r="G1862" s="75"/>
      <c r="H1862" s="75"/>
      <c r="I1862" s="19" t="s">
        <v>29</v>
      </c>
      <c r="J1862" s="30">
        <f>J1859*1000/J1846</f>
        <v>1.9684365781710915</v>
      </c>
      <c r="K1862" s="29" t="s">
        <v>8</v>
      </c>
      <c r="L1862" s="75"/>
      <c r="M1862" s="75"/>
      <c r="N1862" s="75"/>
      <c r="O1862" s="75"/>
      <c r="P1862" s="75"/>
      <c r="Q1862" s="75"/>
    </row>
    <row r="1863" spans="2:17" x14ac:dyDescent="0.3">
      <c r="B1863" s="31" t="s">
        <v>43</v>
      </c>
      <c r="C1863" s="16">
        <v>14</v>
      </c>
      <c r="D1863" s="29" t="s">
        <v>5</v>
      </c>
      <c r="E1863" s="75"/>
      <c r="F1863" s="39" t="str">
        <f>IF(OR(C1863&gt;25,C1863&lt;10),"[REDISEÑAR]",IF(AND(C1863&lt;=J1864,C1863&lt;=J1878),"[OK]","[REDISEÑAR]"))</f>
        <v>[OK]</v>
      </c>
      <c r="G1863" s="75"/>
      <c r="H1863" s="75"/>
      <c r="I1863" s="19" t="s">
        <v>61</v>
      </c>
      <c r="J1863" s="37">
        <f>MAX(J1862*100*C1850/(2*C1847),C1867)</f>
        <v>3.125</v>
      </c>
      <c r="K1863" s="29" t="s">
        <v>32</v>
      </c>
      <c r="L1863" s="75"/>
      <c r="M1863" s="15"/>
      <c r="N1863" s="15"/>
      <c r="O1863" s="15"/>
      <c r="P1863" s="75"/>
      <c r="Q1863" s="75"/>
    </row>
    <row r="1864" spans="2:17" x14ac:dyDescent="0.3">
      <c r="B1864" s="75"/>
      <c r="C1864" s="50" t="str">
        <f>"$\phi$"&amp;C1862&amp;"@"&amp;C1863</f>
        <v>$\phi$10@14</v>
      </c>
      <c r="D1864" s="75"/>
      <c r="E1864" s="75"/>
      <c r="F1864" s="39" t="str">
        <f>IF(OR(J1863=C1867,J1874=C1867),"[ÁREA MINIMA]","[]")</f>
        <v>[ÁREA MINIMA]</v>
      </c>
      <c r="G1864" s="75"/>
      <c r="H1864" s="75"/>
      <c r="I1864" s="63" t="s">
        <v>34</v>
      </c>
      <c r="J1864" s="63">
        <f>ROUNDDOWN((1/J1863)*C1866*100,0)</f>
        <v>25</v>
      </c>
      <c r="K1864" s="64" t="s">
        <v>5</v>
      </c>
      <c r="L1864" s="75"/>
      <c r="M1864" s="39" t="str">
        <f>IF(OR(J1864&lt;10,J1864&gt;25),"[REDISEÑAR]","[OK")</f>
        <v>[OK</v>
      </c>
      <c r="N1864" s="41" t="s">
        <v>80</v>
      </c>
      <c r="O1864" s="42">
        <f>1/J1863*(C1862/2)^2*PI()</f>
        <v>25.132741228718345</v>
      </c>
      <c r="P1864" s="75" t="str">
        <f>"$\phi$"&amp;C1862&amp;"@"&amp;J1864</f>
        <v>$\phi$10@25</v>
      </c>
      <c r="Q1864" s="75"/>
    </row>
    <row r="1865" spans="2:17" x14ac:dyDescent="0.3">
      <c r="B1865" s="18" t="s">
        <v>52</v>
      </c>
      <c r="C1865" s="75"/>
      <c r="D1865" s="75"/>
      <c r="E1865" s="75"/>
      <c r="F1865" s="62" t="str">
        <f>IF(J1853&lt;J1852,IF(J1881&gt;J1870,"[OK]","[REDISEÑAR]"),"[REDISEÑAR]")</f>
        <v>[OK]</v>
      </c>
      <c r="G1865" s="75"/>
      <c r="H1865" s="75"/>
      <c r="I1865" s="31" t="s">
        <v>48</v>
      </c>
      <c r="J1865" s="30">
        <f>C1866*2*IF(C1851/C1863&gt;=1,C1851/C1863,0)</f>
        <v>38.035711055962139</v>
      </c>
      <c r="K1865" s="29" t="s">
        <v>17</v>
      </c>
      <c r="L1865" s="75"/>
      <c r="M1865" s="75"/>
      <c r="N1865" s="15"/>
      <c r="O1865" s="44"/>
      <c r="P1865" s="75"/>
      <c r="Q1865" s="75"/>
    </row>
    <row r="1866" spans="2:17" x14ac:dyDescent="0.3">
      <c r="B1866" s="31" t="s">
        <v>66</v>
      </c>
      <c r="C1866" s="30">
        <f>(C1862/(2*10))^2*PI()</f>
        <v>0.78539816339744828</v>
      </c>
      <c r="D1866" s="29" t="s">
        <v>17</v>
      </c>
      <c r="E1866" s="75"/>
      <c r="F1866" s="75"/>
      <c r="G1866" s="75"/>
      <c r="H1866" s="75"/>
      <c r="I1866" s="19" t="s">
        <v>49</v>
      </c>
      <c r="J1866" s="34">
        <f>C1847*J1865/1000</f>
        <v>106.49999095669399</v>
      </c>
      <c r="K1866" s="16" t="s">
        <v>12</v>
      </c>
      <c r="L1866" s="75"/>
      <c r="M1866" s="39" t="str">
        <f>IF(J1866&gt;J1859,"[OK]","[REDISEÑAR]")</f>
        <v>[OK]</v>
      </c>
      <c r="N1866" s="41" t="str">
        <f>IF(O1866&gt;0,"Sobrado","Faltan")</f>
        <v>Sobrado</v>
      </c>
      <c r="O1866" s="43">
        <f>J1866-J1859</f>
        <v>89.817490956693987</v>
      </c>
      <c r="P1866" s="75"/>
      <c r="Q1866" s="75"/>
    </row>
    <row r="1867" spans="2:17" x14ac:dyDescent="0.3">
      <c r="B1867" s="31" t="s">
        <v>78</v>
      </c>
      <c r="C1867" s="37">
        <f>2.5/1000*100*C1850/2</f>
        <v>3.125</v>
      </c>
      <c r="D1867" s="16" t="s">
        <v>17</v>
      </c>
      <c r="E1867" s="75"/>
      <c r="F1867" s="75"/>
      <c r="G1867" s="75"/>
      <c r="H1867" s="75"/>
      <c r="J1867" s="75"/>
      <c r="K1867" s="75"/>
      <c r="L1867" s="75"/>
      <c r="M1867" s="75"/>
      <c r="N1867" s="75"/>
      <c r="O1867" s="15"/>
      <c r="P1867" s="75"/>
      <c r="Q1867" s="75"/>
    </row>
    <row r="1868" spans="2:17" x14ac:dyDescent="0.3">
      <c r="B1868" s="31" t="s">
        <v>114</v>
      </c>
      <c r="C1868" s="37">
        <f>C1866*100/C1863</f>
        <v>5.6099868814103448</v>
      </c>
      <c r="D1868" s="29" t="s">
        <v>32</v>
      </c>
      <c r="E1868" s="75"/>
      <c r="F1868" s="75"/>
      <c r="G1868" s="75"/>
      <c r="H1868" s="75"/>
      <c r="I1868" s="18" t="s">
        <v>77</v>
      </c>
      <c r="J1868" s="75"/>
      <c r="K1868" s="75"/>
      <c r="L1868" s="75"/>
      <c r="M1868" s="17" t="s">
        <v>67</v>
      </c>
      <c r="N1868" s="75"/>
      <c r="O1868" s="75"/>
      <c r="P1868" s="75"/>
      <c r="Q1868" s="75"/>
    </row>
    <row r="1869" spans="2:17" x14ac:dyDescent="0.3">
      <c r="B1869" s="75"/>
      <c r="C1869" s="75"/>
      <c r="D1869" s="75"/>
      <c r="E1869" s="75"/>
      <c r="F1869" s="75"/>
      <c r="G1869" s="75"/>
      <c r="H1869" s="75"/>
      <c r="I1869" s="19" t="s">
        <v>33</v>
      </c>
      <c r="J1869" s="16">
        <v>0.6</v>
      </c>
      <c r="K1869" s="16" t="s">
        <v>50</v>
      </c>
      <c r="L1869" s="75"/>
      <c r="M1869" s="19" t="s">
        <v>64</v>
      </c>
      <c r="N1869" s="30">
        <f>SQRT(C1845*0.0980665)*(1/0.0980665)/1000*J1871*0.17</f>
        <v>51.211241914522745</v>
      </c>
      <c r="O1869" s="16" t="s">
        <v>12</v>
      </c>
      <c r="P1869" s="75"/>
      <c r="Q1869" s="75"/>
    </row>
    <row r="1870" spans="2:17" x14ac:dyDescent="0.3">
      <c r="B1870" s="17" t="s">
        <v>37</v>
      </c>
      <c r="C1870" s="75"/>
      <c r="D1870" s="75"/>
      <c r="E1870" s="75"/>
      <c r="F1870" s="75"/>
      <c r="G1870" s="75"/>
      <c r="H1870" s="75"/>
      <c r="I1870" s="19" t="s">
        <v>46</v>
      </c>
      <c r="J1870" s="34">
        <f>J1858/J1869</f>
        <v>38.0563</v>
      </c>
      <c r="K1870" s="16" t="s">
        <v>12</v>
      </c>
      <c r="L1870" s="75"/>
      <c r="M1870" s="19" t="s">
        <v>57</v>
      </c>
      <c r="N1870" s="16">
        <f>IF(C1852/J1849&lt;=1.5,0.25,IF(C1852/J1849&gt;=2,0.17,0.17+(0.25-0.17)/(C1852/J1849-1.5)*C1852/J1849))</f>
        <v>0.25</v>
      </c>
      <c r="O1870" s="29" t="s">
        <v>50</v>
      </c>
      <c r="P1870" s="75"/>
      <c r="Q1870" s="75"/>
    </row>
    <row r="1871" spans="2:17" x14ac:dyDescent="0.3">
      <c r="B1871" s="31" t="s">
        <v>115</v>
      </c>
      <c r="C1871" s="37">
        <f>O1866</f>
        <v>89.817490956693987</v>
      </c>
      <c r="D1871" s="29" t="s">
        <v>12</v>
      </c>
      <c r="E1871" s="75"/>
      <c r="F1871" s="75"/>
      <c r="G1871" s="75"/>
      <c r="H1871" s="75"/>
      <c r="I1871" s="19" t="s">
        <v>36</v>
      </c>
      <c r="J1871" s="35">
        <f>J1849*C1850*0.8-J1879</f>
        <v>5393.5714311552301</v>
      </c>
      <c r="K1871" s="16" t="s">
        <v>17</v>
      </c>
      <c r="L1871" s="75"/>
      <c r="M1871" s="19" t="s">
        <v>59</v>
      </c>
      <c r="N1871" s="30">
        <f>SQRT(C1845*0.0980665)*(1/0.0980665)/1000*J1871*N1870</f>
        <v>75.31064987429815</v>
      </c>
      <c r="O1871" s="29" t="s">
        <v>12</v>
      </c>
      <c r="P1871" s="75"/>
      <c r="Q1871" s="75"/>
    </row>
    <row r="1872" spans="2:17" x14ac:dyDescent="0.3">
      <c r="B1872" s="31" t="s">
        <v>116</v>
      </c>
      <c r="C1872" s="37">
        <f>O1881</f>
        <v>140.95493106255552</v>
      </c>
      <c r="D1872" s="29" t="s">
        <v>12</v>
      </c>
      <c r="E1872" s="75"/>
      <c r="F1872" s="75"/>
      <c r="G1872" s="75"/>
      <c r="H1872" s="75"/>
      <c r="I1872" s="19" t="s">
        <v>60</v>
      </c>
      <c r="J1872" s="34">
        <f>MIN(N1871,N1869)</f>
        <v>51.211241914522745</v>
      </c>
      <c r="K1872" s="29" t="s">
        <v>12</v>
      </c>
      <c r="L1872" s="75"/>
      <c r="M1872" s="75"/>
      <c r="N1872" s="75"/>
      <c r="O1872" s="75"/>
      <c r="P1872" s="75"/>
      <c r="Q1872" s="75"/>
    </row>
    <row r="1873" spans="2:17" x14ac:dyDescent="0.3">
      <c r="B1873" s="19" t="s">
        <v>117</v>
      </c>
      <c r="C1873" s="36">
        <f>C1866*2*C1851/C1863/J1846</f>
        <v>4.4879895051282755E-3</v>
      </c>
      <c r="D1873" s="16" t="s">
        <v>50</v>
      </c>
      <c r="E1873" s="75"/>
      <c r="F1873" s="75"/>
      <c r="G1873" s="75"/>
      <c r="H1873" s="75"/>
      <c r="I1873" s="19" t="s">
        <v>39</v>
      </c>
      <c r="J1873" s="34">
        <f>J1870-J1872</f>
        <v>-13.154941914522745</v>
      </c>
      <c r="K1873" s="16" t="s">
        <v>12</v>
      </c>
      <c r="L1873" s="75"/>
      <c r="M1873" s="75"/>
      <c r="N1873" s="75"/>
      <c r="O1873" s="75"/>
      <c r="P1873" s="75"/>
      <c r="Q1873" s="75"/>
    </row>
    <row r="1874" spans="2:17" x14ac:dyDescent="0.3">
      <c r="B1874" s="75"/>
      <c r="C1874" s="75"/>
      <c r="D1874" s="75"/>
      <c r="E1874" s="75"/>
      <c r="F1874" s="75"/>
      <c r="G1874" s="75"/>
      <c r="H1874" s="75"/>
      <c r="I1874" s="19" t="s">
        <v>61</v>
      </c>
      <c r="J1874" s="37">
        <f>MAX(J1873/(C1846*J1849/1000/100)/2,C1867)</f>
        <v>3.125</v>
      </c>
      <c r="K1874" s="29" t="s">
        <v>32</v>
      </c>
      <c r="L1874" s="75"/>
      <c r="M1874" s="75"/>
      <c r="N1874" s="75"/>
      <c r="O1874" s="75"/>
      <c r="P1874" s="75"/>
      <c r="Q1874" s="75"/>
    </row>
    <row r="1875" spans="2:17" x14ac:dyDescent="0.3">
      <c r="B1875" s="75"/>
      <c r="C1875" s="75"/>
      <c r="D1875" s="75"/>
      <c r="E1875" s="75"/>
      <c r="F1875" s="75"/>
      <c r="G1875" s="75"/>
      <c r="H1875" s="75"/>
      <c r="I1875" s="19" t="s">
        <v>65</v>
      </c>
      <c r="J1875" s="36">
        <f>J1874/C1850/100*2</f>
        <v>2.5000000000000001E-3</v>
      </c>
      <c r="K1875" s="16" t="s">
        <v>50</v>
      </c>
      <c r="L1875" s="75"/>
      <c r="M1875" s="75"/>
      <c r="N1875" s="75"/>
      <c r="O1875" s="75"/>
      <c r="P1875" s="75"/>
      <c r="Q1875" s="75"/>
    </row>
    <row r="1876" spans="2:17" x14ac:dyDescent="0.3">
      <c r="B1876" s="75"/>
      <c r="C1876" s="75"/>
      <c r="D1876" s="75"/>
      <c r="E1876" s="75"/>
      <c r="F1876" s="75"/>
      <c r="G1876" s="75"/>
      <c r="H1876" s="75"/>
      <c r="I1876" s="19" t="s">
        <v>53</v>
      </c>
      <c r="J1876" s="16">
        <f>MAX(0.0025,0.0025*0.5*(2.5-C1850/(C1851*0.8))*(J1875-0.0025))</f>
        <v>2.5000000000000001E-3</v>
      </c>
      <c r="K1876" s="29" t="s">
        <v>50</v>
      </c>
      <c r="L1876" s="75"/>
      <c r="M1876" s="39" t="str">
        <f>IF(OR(J1875&gt;J1876,ABS(J1875-J1876)&lt;0.0001),"[OK]","[REDISEÑAR]")</f>
        <v>[OK]</v>
      </c>
      <c r="N1876" s="75"/>
      <c r="O1876" s="75"/>
      <c r="P1876" s="75"/>
      <c r="Q1876" s="75"/>
    </row>
    <row r="1877" spans="2:17" x14ac:dyDescent="0.3">
      <c r="B1877" s="75"/>
      <c r="C1877" s="75"/>
      <c r="D1877" s="75"/>
      <c r="E1877" s="75"/>
      <c r="F1877" s="75"/>
      <c r="G1877" s="75"/>
      <c r="H1877" s="75"/>
      <c r="I1877" s="19" t="s">
        <v>47</v>
      </c>
      <c r="J1877" s="34">
        <f>SQRT(C1845*0.0980665)*(1/0.0980665)/1000*0.66*0.8*C1851*C1850</f>
        <v>249.92723308409288</v>
      </c>
      <c r="K1877" s="16" t="s">
        <v>12</v>
      </c>
      <c r="L1877" s="75"/>
      <c r="M1877" s="40" t="s">
        <v>44</v>
      </c>
      <c r="N1877" s="75"/>
      <c r="O1877" s="15"/>
      <c r="P1877" s="75"/>
      <c r="Q1877" s="75"/>
    </row>
    <row r="1878" spans="2:17" x14ac:dyDescent="0.3">
      <c r="B1878" s="75"/>
      <c r="C1878" s="75"/>
      <c r="D1878" s="75"/>
      <c r="E1878" s="75"/>
      <c r="F1878" s="75"/>
      <c r="G1878" s="75"/>
      <c r="H1878" s="75"/>
      <c r="I1878" s="63" t="s">
        <v>34</v>
      </c>
      <c r="J1878" s="63">
        <f>ROUNDDOWN(1/J1874*C1866*100,0)</f>
        <v>25</v>
      </c>
      <c r="K1878" s="64" t="s">
        <v>5</v>
      </c>
      <c r="L1878" s="75"/>
      <c r="M1878" s="39" t="str">
        <f>IF(OR(J1878&lt;10,J1878&gt;25),"[REDISEÑAR]","[OK")</f>
        <v>[OK</v>
      </c>
      <c r="N1878" s="41" t="s">
        <v>80</v>
      </c>
      <c r="O1878" s="42">
        <f>1/J1874*(C1862/2)^2*PI()</f>
        <v>25.132741228718345</v>
      </c>
      <c r="P1878" s="75" t="str">
        <f>"$\phi$"&amp;C1862&amp;"@"&amp;J1878</f>
        <v>$\phi$10@25</v>
      </c>
      <c r="Q1878" s="75"/>
    </row>
    <row r="1879" spans="2:17" x14ac:dyDescent="0.3">
      <c r="B1879" s="75"/>
      <c r="C1879" s="75"/>
      <c r="D1879" s="75"/>
      <c r="E1879" s="75"/>
      <c r="F1879" s="75"/>
      <c r="G1879" s="75"/>
      <c r="H1879" s="75"/>
      <c r="I1879" s="31" t="s">
        <v>48</v>
      </c>
      <c r="J1879" s="30">
        <f>C1866*2*IF(J1849/C1863&gt;=1,J1849/C1863,0)</f>
        <v>30.428568844769707</v>
      </c>
      <c r="K1879" s="29" t="s">
        <v>17</v>
      </c>
      <c r="L1879" s="75"/>
      <c r="M1879" s="75"/>
      <c r="N1879" s="15"/>
      <c r="O1879" s="15"/>
      <c r="P1879" s="75"/>
      <c r="Q1879" s="75"/>
    </row>
    <row r="1880" spans="2:17" x14ac:dyDescent="0.3">
      <c r="B1880" s="75"/>
      <c r="C1880" s="75"/>
      <c r="D1880" s="75"/>
      <c r="E1880" s="75"/>
      <c r="F1880" s="75"/>
      <c r="G1880" s="75"/>
      <c r="H1880" s="75"/>
      <c r="I1880" s="19" t="s">
        <v>81</v>
      </c>
      <c r="J1880" s="34">
        <f>MIN(J1879*C1846/1000,J1877)</f>
        <v>127.79998914803276</v>
      </c>
      <c r="K1880" s="16" t="s">
        <v>12</v>
      </c>
      <c r="L1880" s="75"/>
      <c r="M1880" s="40" t="s">
        <v>82</v>
      </c>
      <c r="N1880" s="15"/>
      <c r="O1880" s="15"/>
      <c r="P1880" s="75"/>
      <c r="Q1880" s="75"/>
    </row>
    <row r="1881" spans="2:17" x14ac:dyDescent="0.3">
      <c r="B1881" s="75"/>
      <c r="C1881" s="75"/>
      <c r="D1881" s="75"/>
      <c r="E1881" s="75"/>
      <c r="F1881" s="75"/>
      <c r="G1881" s="75"/>
      <c r="H1881" s="75"/>
      <c r="I1881" s="19" t="s">
        <v>79</v>
      </c>
      <c r="J1881" s="34">
        <f>J1880+J1872</f>
        <v>179.01123106255551</v>
      </c>
      <c r="K1881" s="16" t="s">
        <v>12</v>
      </c>
      <c r="L1881" s="75"/>
      <c r="M1881" s="39" t="str">
        <f>IF(J1881&gt;J1870,"[OK]","[REDISEÑAR]")</f>
        <v>[OK]</v>
      </c>
      <c r="N1881" s="41" t="str">
        <f>IF(O1881&gt;0,"Sobrado","Faltan")</f>
        <v>Sobrado</v>
      </c>
      <c r="O1881" s="43">
        <f>J1881-J1870</f>
        <v>140.95493106255552</v>
      </c>
      <c r="P1881" s="75"/>
      <c r="Q1881" s="75"/>
    </row>
    <row r="1882" spans="2:17" x14ac:dyDescent="0.3">
      <c r="B1882" s="75"/>
      <c r="C1882" s="75"/>
      <c r="D1882" s="75"/>
      <c r="E1882" s="75"/>
      <c r="F1882" s="75"/>
      <c r="G1882" s="75"/>
      <c r="H1882" s="75"/>
      <c r="J1882" s="75"/>
      <c r="K1882" s="75"/>
      <c r="L1882" s="75"/>
      <c r="M1882" s="75"/>
      <c r="N1882" s="75"/>
      <c r="O1882" s="75"/>
      <c r="P1882" s="75"/>
      <c r="Q1882" s="75"/>
    </row>
    <row r="1883" spans="2:17" x14ac:dyDescent="0.3">
      <c r="B1883" s="75"/>
      <c r="C1883" s="75"/>
      <c r="D1883" s="75"/>
      <c r="E1883" s="75"/>
      <c r="F1883" s="75"/>
      <c r="G1883" s="75"/>
      <c r="H1883" s="75"/>
      <c r="I1883" s="18" t="s">
        <v>45</v>
      </c>
      <c r="J1883" s="75"/>
      <c r="K1883" s="75"/>
      <c r="L1883" s="75"/>
      <c r="M1883" s="75"/>
      <c r="N1883" s="75"/>
      <c r="O1883" s="15"/>
      <c r="P1883" s="75"/>
      <c r="Q1883" s="75"/>
    </row>
    <row r="1884" spans="2:17" x14ac:dyDescent="0.3">
      <c r="B1884" s="75"/>
      <c r="C1884" s="75"/>
      <c r="D1884" s="75"/>
      <c r="E1884" s="75"/>
      <c r="F1884" s="75"/>
      <c r="G1884" s="75"/>
      <c r="H1884" s="75"/>
      <c r="I1884" s="19" t="s">
        <v>40</v>
      </c>
      <c r="J1884" s="16">
        <f>J1858</f>
        <v>22.833780000000001</v>
      </c>
      <c r="K1884" s="16" t="s">
        <v>12</v>
      </c>
      <c r="L1884" s="75"/>
      <c r="M1884" s="75"/>
      <c r="N1884" s="75"/>
      <c r="O1884" s="26"/>
      <c r="P1884" s="75"/>
      <c r="Q1884" s="75"/>
    </row>
    <row r="1885" spans="2:17" x14ac:dyDescent="0.3">
      <c r="B1885" s="75"/>
      <c r="C1885" s="75"/>
      <c r="D1885" s="75"/>
      <c r="E1885" s="75"/>
      <c r="F1885" s="75"/>
      <c r="G1885" s="75"/>
      <c r="H1885" s="75"/>
      <c r="I1885" s="19" t="s">
        <v>46</v>
      </c>
      <c r="J1885" s="34">
        <f>J1870</f>
        <v>38.0563</v>
      </c>
      <c r="K1885" s="16" t="s">
        <v>12</v>
      </c>
      <c r="L1885" s="75"/>
      <c r="M1885" s="75"/>
      <c r="N1885" s="75"/>
      <c r="O1885" s="75"/>
      <c r="P1885" s="75"/>
      <c r="Q1885" s="75"/>
    </row>
    <row r="1886" spans="2:17" x14ac:dyDescent="0.3">
      <c r="B1886" s="75"/>
      <c r="C1886" s="75"/>
      <c r="D1886" s="75"/>
      <c r="E1886" s="75"/>
      <c r="F1886" s="75"/>
      <c r="G1886" s="75"/>
      <c r="H1886" s="75"/>
      <c r="I1886" s="19" t="s">
        <v>38</v>
      </c>
      <c r="J1886" s="34">
        <f>2/3*J1871*SQRT(C1845*0.0980665)*(1/0.0980665)/1000</f>
        <v>200.82839966479511</v>
      </c>
      <c r="K1886" s="16" t="s">
        <v>12</v>
      </c>
      <c r="L1886" s="75"/>
      <c r="M1886" s="39" t="str">
        <f>IF(J1886&gt;J1885,"[OK]","[REDISEÑAR]")</f>
        <v>[OK]</v>
      </c>
      <c r="N1886" s="41" t="str">
        <f>IF(O1886&gt;0,"Sobrado","Faltan")</f>
        <v>Sobrado</v>
      </c>
      <c r="O1886" s="43">
        <f>J1886-J1885</f>
        <v>162.77209966479512</v>
      </c>
      <c r="P1886" s="75"/>
      <c r="Q1886" s="75"/>
    </row>
    <row r="1888" spans="2:17" ht="18" x14ac:dyDescent="0.35">
      <c r="B1888" s="48" t="str">
        <f>'EJE 15'!$S$29</f>
        <v>EJE 15.G-L | PIER F33X | PISO 12</v>
      </c>
      <c r="C1888" s="75"/>
      <c r="D1888" s="75"/>
      <c r="E1888" s="75"/>
      <c r="F1888" s="75"/>
      <c r="G1888" s="75"/>
      <c r="H1888" s="75"/>
      <c r="J1888" s="75"/>
      <c r="K1888" s="75"/>
      <c r="L1888" s="75"/>
      <c r="M1888" s="75"/>
      <c r="N1888" s="75"/>
      <c r="O1888" s="75"/>
      <c r="P1888" s="75"/>
      <c r="Q1888" s="75"/>
    </row>
    <row r="1889" spans="2:17" x14ac:dyDescent="0.3">
      <c r="B1889" s="75"/>
      <c r="C1889" s="75"/>
      <c r="D1889" s="75"/>
      <c r="E1889" s="75"/>
      <c r="F1889" s="75"/>
      <c r="G1889" s="75"/>
      <c r="H1889" s="75"/>
      <c r="J1889" s="75"/>
      <c r="K1889" s="75"/>
      <c r="L1889" s="75"/>
      <c r="M1889" s="75"/>
      <c r="N1889" s="75"/>
      <c r="O1889" s="75"/>
      <c r="P1889" s="75"/>
      <c r="Q1889" s="75"/>
    </row>
    <row r="1890" spans="2:17" x14ac:dyDescent="0.3">
      <c r="B1890" s="17" t="s">
        <v>6</v>
      </c>
      <c r="C1890" s="75"/>
      <c r="D1890" s="75"/>
      <c r="E1890" s="75"/>
      <c r="F1890" s="75"/>
      <c r="G1890" s="75"/>
      <c r="H1890" s="75"/>
      <c r="I1890" s="18" t="s">
        <v>25</v>
      </c>
      <c r="J1890" s="75"/>
      <c r="K1890" s="75"/>
      <c r="L1890" s="75"/>
      <c r="M1890" s="75"/>
      <c r="N1890" s="75"/>
      <c r="O1890" s="75"/>
      <c r="P1890" s="75"/>
      <c r="Q1890" s="75"/>
    </row>
    <row r="1891" spans="2:17" x14ac:dyDescent="0.3">
      <c r="B1891" s="19" t="s">
        <v>99</v>
      </c>
      <c r="C1891" s="61">
        <f>10.1971621297793*'EJE 15'!$G$29</f>
        <v>305.91486389337899</v>
      </c>
      <c r="D1891" s="16" t="s">
        <v>8</v>
      </c>
      <c r="E1891" s="75"/>
      <c r="F1891" s="75"/>
      <c r="G1891" s="75"/>
      <c r="H1891" s="75"/>
      <c r="I1891" s="19" t="s">
        <v>58</v>
      </c>
      <c r="J1891" s="16">
        <f>C1898/16</f>
        <v>14.375</v>
      </c>
      <c r="K1891" s="16" t="s">
        <v>5</v>
      </c>
      <c r="L1891" s="21"/>
      <c r="M1891" s="39" t="str">
        <f>IF(J1891&lt;C1896,"[OK]","[REDISEÑAR]")</f>
        <v>[OK]</v>
      </c>
      <c r="N1891" s="75"/>
      <c r="O1891" s="75"/>
      <c r="P1891" s="75"/>
      <c r="Q1891" s="75"/>
    </row>
    <row r="1892" spans="2:17" x14ac:dyDescent="0.3">
      <c r="B1892" s="19" t="s">
        <v>30</v>
      </c>
      <c r="C1892" s="16">
        <v>4200</v>
      </c>
      <c r="D1892" s="16" t="s">
        <v>8</v>
      </c>
      <c r="E1892" s="75"/>
      <c r="F1892" s="75"/>
      <c r="G1892" s="75"/>
      <c r="H1892" s="75"/>
      <c r="I1892" s="19" t="s">
        <v>16</v>
      </c>
      <c r="J1892" s="16">
        <f>C1896*C1897</f>
        <v>8475</v>
      </c>
      <c r="K1892" s="16" t="s">
        <v>17</v>
      </c>
      <c r="L1892" s="21"/>
      <c r="M1892" s="75"/>
      <c r="N1892" s="75"/>
      <c r="O1892" s="75"/>
      <c r="P1892" s="75"/>
      <c r="Q1892" s="75"/>
    </row>
    <row r="1893" spans="2:17" x14ac:dyDescent="0.3">
      <c r="B1893" s="19" t="s">
        <v>31</v>
      </c>
      <c r="C1893" s="16">
        <v>2800</v>
      </c>
      <c r="D1893" s="16" t="s">
        <v>8</v>
      </c>
      <c r="E1893" s="75"/>
      <c r="F1893" s="75"/>
      <c r="G1893" s="75"/>
      <c r="H1893" s="75"/>
      <c r="I1893" s="19" t="s">
        <v>51</v>
      </c>
      <c r="J1893" s="16">
        <f>MIN(0.8*C1897/5,3*C1896,45)</f>
        <v>45</v>
      </c>
      <c r="K1893" s="16" t="s">
        <v>5</v>
      </c>
      <c r="L1893" s="21"/>
      <c r="M1893" s="39" t="str">
        <f>IF(J1893&gt;C1909,"[OK]","[REDISEÑAR]")</f>
        <v>[OK]</v>
      </c>
      <c r="N1893" s="75"/>
      <c r="O1893" s="75"/>
      <c r="P1893" s="75"/>
      <c r="Q1893" s="75"/>
    </row>
    <row r="1894" spans="2:17" x14ac:dyDescent="0.3">
      <c r="B1894" s="75"/>
      <c r="C1894" s="75"/>
      <c r="D1894" s="75"/>
      <c r="E1894" s="75"/>
      <c r="F1894" s="75"/>
      <c r="G1894" s="75"/>
      <c r="H1894" s="75"/>
      <c r="I1894" s="19" t="s">
        <v>56</v>
      </c>
      <c r="J1894" s="16">
        <f>MIN(0.8*C1898/3,3*C1897,45)</f>
        <v>45</v>
      </c>
      <c r="K1894" s="16" t="s">
        <v>5</v>
      </c>
      <c r="L1894" s="21"/>
      <c r="M1894" s="39" t="str">
        <f>IF(J1894&gt;C1909,"[OK]","[REDISEÑAR]")</f>
        <v>[OK]</v>
      </c>
      <c r="N1894" s="75"/>
      <c r="O1894" s="75"/>
      <c r="P1894" s="75"/>
      <c r="Q1894" s="75"/>
    </row>
    <row r="1895" spans="2:17" x14ac:dyDescent="0.3">
      <c r="B1895" s="17" t="s">
        <v>3</v>
      </c>
      <c r="C1895" s="75"/>
      <c r="D1895" s="75"/>
      <c r="E1895" s="75"/>
      <c r="F1895" s="75"/>
      <c r="G1895" s="75"/>
      <c r="H1895" s="75"/>
      <c r="I1895" s="19" t="s">
        <v>62</v>
      </c>
      <c r="J1895" s="16">
        <f>0.8*C1897</f>
        <v>271.2</v>
      </c>
      <c r="K1895" s="29" t="s">
        <v>5</v>
      </c>
      <c r="L1895" s="75"/>
      <c r="M1895" s="75"/>
      <c r="N1895" s="75"/>
      <c r="O1895" s="75"/>
      <c r="P1895" s="75"/>
      <c r="Q1895" s="75"/>
    </row>
    <row r="1896" spans="2:17" x14ac:dyDescent="0.3">
      <c r="B1896" s="19" t="str">
        <f>"Espesor del muro (h)"</f>
        <v>Espesor del muro (h)</v>
      </c>
      <c r="C1896" s="49">
        <f>'EJE 15'!$H$29</f>
        <v>25</v>
      </c>
      <c r="D1896" s="16" t="s">
        <v>5</v>
      </c>
      <c r="E1896" s="75"/>
      <c r="F1896" s="75"/>
      <c r="G1896" s="75"/>
      <c r="H1896" s="75"/>
      <c r="J1896" s="75"/>
      <c r="K1896" s="75"/>
      <c r="L1896" s="75"/>
      <c r="M1896" s="75"/>
      <c r="N1896" s="75"/>
      <c r="O1896" s="75"/>
      <c r="P1896" s="75"/>
      <c r="Q1896" s="75"/>
    </row>
    <row r="1897" spans="2:17" x14ac:dyDescent="0.3">
      <c r="B1897" s="19" t="s">
        <v>63</v>
      </c>
      <c r="C1897" s="49">
        <f>'EJE 15'!$I$29</f>
        <v>339</v>
      </c>
      <c r="D1897" s="16" t="s">
        <v>5</v>
      </c>
      <c r="E1897" s="75"/>
      <c r="F1897" s="75"/>
      <c r="G1897" s="75"/>
      <c r="H1897" s="75"/>
      <c r="I1897" s="18" t="s">
        <v>26</v>
      </c>
      <c r="J1897" s="75"/>
      <c r="K1897" s="75"/>
      <c r="L1897" s="75"/>
      <c r="M1897" s="75"/>
      <c r="N1897" s="75"/>
      <c r="O1897" s="75"/>
      <c r="P1897" s="75"/>
      <c r="Q1897" s="75"/>
    </row>
    <row r="1898" spans="2:17" x14ac:dyDescent="0.3">
      <c r="B1898" s="19" t="s">
        <v>10</v>
      </c>
      <c r="C1898" s="49">
        <f>'EJE 15'!$J$29</f>
        <v>230</v>
      </c>
      <c r="D1898" s="16" t="s">
        <v>5</v>
      </c>
      <c r="E1898" s="75"/>
      <c r="F1898" s="75"/>
      <c r="G1898" s="75"/>
      <c r="H1898" s="75"/>
      <c r="I1898" s="19" t="s">
        <v>28</v>
      </c>
      <c r="J1898" s="16">
        <f>0.35*C1891</f>
        <v>107.07020236268264</v>
      </c>
      <c r="K1898" s="16" t="s">
        <v>8</v>
      </c>
      <c r="L1898" s="21"/>
      <c r="M1898" s="75"/>
      <c r="N1898" s="75"/>
      <c r="O1898" s="75"/>
      <c r="P1898" s="75"/>
      <c r="Q1898" s="75"/>
    </row>
    <row r="1899" spans="2:17" x14ac:dyDescent="0.3">
      <c r="B1899" s="75"/>
      <c r="C1899" s="75"/>
      <c r="D1899" s="75"/>
      <c r="E1899" s="75"/>
      <c r="F1899" s="75"/>
      <c r="G1899" s="75"/>
      <c r="H1899" s="75"/>
      <c r="I1899" s="19" t="s">
        <v>27</v>
      </c>
      <c r="J1899" s="30">
        <f>C1901*1000/J1892</f>
        <v>15.96075516224189</v>
      </c>
      <c r="K1899" s="16" t="s">
        <v>8</v>
      </c>
      <c r="L1899" s="21"/>
      <c r="M1899" s="39" t="str">
        <f>IF(J1899&lt;J1898,"[OK]","[REDISEÑAR]")</f>
        <v>[OK]</v>
      </c>
      <c r="N1899" s="41" t="s">
        <v>112</v>
      </c>
      <c r="O1899" s="59">
        <f>J1899/J1898</f>
        <v>0.14906813296361826</v>
      </c>
      <c r="P1899" s="75"/>
      <c r="Q1899" s="75"/>
    </row>
    <row r="1900" spans="2:17" x14ac:dyDescent="0.3">
      <c r="B1900" s="17" t="s">
        <v>11</v>
      </c>
      <c r="C1900" s="75"/>
      <c r="D1900" s="75"/>
      <c r="E1900" s="75"/>
      <c r="F1900" s="75"/>
      <c r="G1900" s="75"/>
      <c r="H1900" s="75"/>
      <c r="J1900" s="75"/>
      <c r="K1900" s="75"/>
      <c r="L1900" s="75"/>
      <c r="M1900" s="75"/>
      <c r="N1900" s="75"/>
      <c r="O1900" s="75"/>
      <c r="P1900" s="75"/>
      <c r="Q1900" s="75"/>
    </row>
    <row r="1901" spans="2:17" x14ac:dyDescent="0.3">
      <c r="B1901" s="19" t="str">
        <f>"$N_U$"</f>
        <v>$N_U$</v>
      </c>
      <c r="C1901" s="60">
        <f>'EJE 15'!$K$29</f>
        <v>135.26740000000001</v>
      </c>
      <c r="D1901" s="16" t="s">
        <v>12</v>
      </c>
      <c r="E1901" s="75"/>
      <c r="F1901" s="75"/>
      <c r="G1901" s="75"/>
      <c r="H1901" s="75"/>
      <c r="I1901" s="18" t="s">
        <v>54</v>
      </c>
      <c r="J1901" s="75"/>
      <c r="K1901" s="75"/>
      <c r="L1901" s="75"/>
      <c r="M1901" s="75"/>
      <c r="N1901" s="75"/>
      <c r="O1901" s="75"/>
      <c r="P1901" s="75"/>
      <c r="Q1901" s="75"/>
    </row>
    <row r="1902" spans="2:17" x14ac:dyDescent="0.3">
      <c r="B1902" s="19" t="s">
        <v>14</v>
      </c>
      <c r="C1902" s="60">
        <f>'EJE 15'!$L$29</f>
        <v>2.5070000000000001</v>
      </c>
      <c r="D1902" s="16" t="s">
        <v>12</v>
      </c>
      <c r="E1902" s="75"/>
      <c r="F1902" s="75"/>
      <c r="G1902" s="75"/>
      <c r="H1902" s="75"/>
      <c r="I1902" s="19" t="s">
        <v>72</v>
      </c>
      <c r="J1902" s="16">
        <f>1.2*C1902+C1903+1.4*C1904</f>
        <v>22.833780000000001</v>
      </c>
      <c r="K1902" s="16" t="s">
        <v>12</v>
      </c>
      <c r="L1902" s="75"/>
      <c r="M1902" s="75" t="s">
        <v>68</v>
      </c>
      <c r="N1902" s="75"/>
      <c r="O1902" s="75"/>
      <c r="P1902" s="75"/>
      <c r="Q1902" s="75"/>
    </row>
    <row r="1903" spans="2:17" x14ac:dyDescent="0.3">
      <c r="B1903" s="19" t="s">
        <v>13</v>
      </c>
      <c r="C1903" s="60">
        <f>'EJE 15'!$M$29</f>
        <v>5.0799999999999998E-2</v>
      </c>
      <c r="D1903" s="16" t="s">
        <v>12</v>
      </c>
      <c r="E1903" s="75"/>
      <c r="F1903" s="75"/>
      <c r="G1903" s="75"/>
      <c r="H1903" s="75"/>
      <c r="I1903" s="19" t="s">
        <v>69</v>
      </c>
      <c r="J1903" s="16">
        <f>SUM(C1902:C1904)</f>
        <v>16.682500000000001</v>
      </c>
      <c r="K1903" s="16" t="s">
        <v>12</v>
      </c>
      <c r="L1903" s="75"/>
      <c r="M1903" s="75" t="s">
        <v>70</v>
      </c>
      <c r="N1903" s="75"/>
      <c r="O1903" s="75"/>
      <c r="P1903" s="75"/>
      <c r="Q1903" s="75"/>
    </row>
    <row r="1904" spans="2:17" x14ac:dyDescent="0.3">
      <c r="B1904" s="19" t="s">
        <v>15</v>
      </c>
      <c r="C1904" s="60">
        <f>'EJE 15'!$N$29</f>
        <v>14.124700000000001</v>
      </c>
      <c r="D1904" s="16" t="s">
        <v>12</v>
      </c>
      <c r="E1904" s="75"/>
      <c r="F1904" s="75"/>
      <c r="G1904" s="75"/>
      <c r="H1904" s="75"/>
      <c r="I1904" s="19" t="s">
        <v>73</v>
      </c>
      <c r="J1904" s="16">
        <f>IF(C1905=0,J1902,C1905)</f>
        <v>22.833780000000001</v>
      </c>
      <c r="K1904" s="16" t="s">
        <v>12</v>
      </c>
      <c r="L1904" s="75"/>
      <c r="M1904" s="40" t="s">
        <v>74</v>
      </c>
      <c r="N1904" s="75"/>
      <c r="O1904" s="75"/>
      <c r="P1904" s="75"/>
      <c r="Q1904" s="75"/>
    </row>
    <row r="1905" spans="2:17" x14ac:dyDescent="0.3">
      <c r="B1905" s="19" t="s">
        <v>55</v>
      </c>
      <c r="C1905" s="16">
        <v>0</v>
      </c>
      <c r="D1905" s="16" t="s">
        <v>12</v>
      </c>
      <c r="E1905" s="75"/>
      <c r="F1905" s="75"/>
      <c r="G1905" s="75"/>
      <c r="H1905" s="75"/>
      <c r="I1905" s="19" t="s">
        <v>71</v>
      </c>
      <c r="J1905" s="16">
        <f>IF(C1905=0,J1903,C1905)</f>
        <v>16.682500000000001</v>
      </c>
      <c r="K1905" s="16" t="s">
        <v>12</v>
      </c>
      <c r="L1905" s="75"/>
      <c r="M1905" s="40" t="s">
        <v>75</v>
      </c>
      <c r="N1905" s="75"/>
      <c r="O1905" s="75"/>
      <c r="P1905" s="75"/>
      <c r="Q1905" s="75"/>
    </row>
    <row r="1906" spans="2:17" x14ac:dyDescent="0.3">
      <c r="B1906" s="75"/>
      <c r="C1906" s="75"/>
      <c r="D1906" s="75"/>
      <c r="E1906" s="75"/>
      <c r="F1906" s="75"/>
      <c r="G1906" s="75"/>
      <c r="H1906" s="75"/>
      <c r="J1906" s="75"/>
      <c r="K1906" s="75"/>
      <c r="L1906" s="75"/>
      <c r="M1906" s="75"/>
      <c r="N1906" s="75"/>
      <c r="O1906" s="75"/>
      <c r="P1906" s="75"/>
      <c r="Q1906" s="75"/>
    </row>
    <row r="1907" spans="2:17" x14ac:dyDescent="0.3">
      <c r="B1907" s="33" t="s">
        <v>42</v>
      </c>
      <c r="C1907" s="75"/>
      <c r="D1907" s="75"/>
      <c r="E1907" s="75"/>
      <c r="F1907" s="75"/>
      <c r="G1907" s="75"/>
      <c r="H1907" s="75"/>
      <c r="I1907" s="27" t="s">
        <v>76</v>
      </c>
      <c r="J1907" s="75"/>
      <c r="K1907" s="75"/>
      <c r="L1907" s="75"/>
      <c r="M1907" s="75"/>
      <c r="N1907" s="75"/>
      <c r="O1907" s="75"/>
      <c r="P1907" s="75"/>
      <c r="Q1907" s="75"/>
    </row>
    <row r="1908" spans="2:17" x14ac:dyDescent="0.3">
      <c r="B1908" s="31" t="s">
        <v>41</v>
      </c>
      <c r="C1908" s="16">
        <v>10</v>
      </c>
      <c r="D1908" s="29" t="s">
        <v>35</v>
      </c>
      <c r="E1908" s="75"/>
      <c r="F1908" s="75"/>
      <c r="G1908" s="75"/>
      <c r="H1908" s="75"/>
      <c r="I1908" s="19" t="s">
        <v>29</v>
      </c>
      <c r="J1908" s="30">
        <f>J1905*1000/J1892</f>
        <v>1.9684365781710915</v>
      </c>
      <c r="K1908" s="29" t="s">
        <v>8</v>
      </c>
      <c r="L1908" s="75"/>
      <c r="M1908" s="75"/>
      <c r="N1908" s="75"/>
      <c r="O1908" s="75"/>
      <c r="P1908" s="75"/>
      <c r="Q1908" s="75"/>
    </row>
    <row r="1909" spans="2:17" x14ac:dyDescent="0.3">
      <c r="B1909" s="31" t="s">
        <v>43</v>
      </c>
      <c r="C1909" s="16">
        <v>14</v>
      </c>
      <c r="D1909" s="29" t="s">
        <v>5</v>
      </c>
      <c r="E1909" s="75"/>
      <c r="F1909" s="39" t="str">
        <f>IF(OR(C1909&gt;25,C1909&lt;10),"[REDISEÑAR]",IF(AND(C1909&lt;=J1910,C1909&lt;=J1924),"[OK]","[REDISEÑAR]"))</f>
        <v>[OK]</v>
      </c>
      <c r="G1909" s="75"/>
      <c r="H1909" s="75"/>
      <c r="I1909" s="19" t="s">
        <v>61</v>
      </c>
      <c r="J1909" s="37">
        <f>MAX(J1908*100*C1896/(2*C1893),C1913)</f>
        <v>3.125</v>
      </c>
      <c r="K1909" s="29" t="s">
        <v>32</v>
      </c>
      <c r="L1909" s="75"/>
      <c r="M1909" s="15"/>
      <c r="N1909" s="15"/>
      <c r="O1909" s="15"/>
      <c r="P1909" s="75"/>
      <c r="Q1909" s="75"/>
    </row>
    <row r="1910" spans="2:17" x14ac:dyDescent="0.3">
      <c r="B1910" s="75"/>
      <c r="C1910" s="50" t="str">
        <f>"$\phi$"&amp;C1908&amp;"@"&amp;C1909</f>
        <v>$\phi$10@14</v>
      </c>
      <c r="D1910" s="75"/>
      <c r="E1910" s="75"/>
      <c r="F1910" s="39" t="str">
        <f>IF(OR(J1909=C1913,J1920=C1913),"[ÁREA MINIMA]","[]")</f>
        <v>[ÁREA MINIMA]</v>
      </c>
      <c r="G1910" s="75"/>
      <c r="H1910" s="75"/>
      <c r="I1910" s="63" t="s">
        <v>34</v>
      </c>
      <c r="J1910" s="63">
        <f>ROUNDDOWN((1/J1909)*C1912*100,0)</f>
        <v>25</v>
      </c>
      <c r="K1910" s="64" t="s">
        <v>5</v>
      </c>
      <c r="L1910" s="75"/>
      <c r="M1910" s="39" t="str">
        <f>IF(OR(J1910&lt;10,J1910&gt;25),"[REDISEÑAR]","[OK")</f>
        <v>[OK</v>
      </c>
      <c r="N1910" s="41" t="s">
        <v>80</v>
      </c>
      <c r="O1910" s="42">
        <f>1/J1909*(C1908/2)^2*PI()</f>
        <v>25.132741228718345</v>
      </c>
      <c r="P1910" s="75" t="str">
        <f>"$\phi$"&amp;C1908&amp;"@"&amp;J1910</f>
        <v>$\phi$10@25</v>
      </c>
      <c r="Q1910" s="75"/>
    </row>
    <row r="1911" spans="2:17" x14ac:dyDescent="0.3">
      <c r="B1911" s="18" t="s">
        <v>52</v>
      </c>
      <c r="C1911" s="75"/>
      <c r="D1911" s="75"/>
      <c r="E1911" s="75"/>
      <c r="F1911" s="62" t="str">
        <f>IF(J1899&lt;J1898,IF(J1927&gt;J1916,"[OK]","[REDISEÑAR]"),"[REDISEÑAR]")</f>
        <v>[OK]</v>
      </c>
      <c r="G1911" s="75"/>
      <c r="H1911" s="75"/>
      <c r="I1911" s="31" t="s">
        <v>48</v>
      </c>
      <c r="J1911" s="30">
        <f>C1912*2*IF(C1897/C1909&gt;=1,C1897/C1909,0)</f>
        <v>38.035711055962139</v>
      </c>
      <c r="K1911" s="29" t="s">
        <v>17</v>
      </c>
      <c r="L1911" s="75"/>
      <c r="M1911" s="75"/>
      <c r="N1911" s="15"/>
      <c r="O1911" s="44"/>
      <c r="P1911" s="75"/>
      <c r="Q1911" s="75"/>
    </row>
    <row r="1912" spans="2:17" x14ac:dyDescent="0.3">
      <c r="B1912" s="31" t="s">
        <v>66</v>
      </c>
      <c r="C1912" s="30">
        <f>(C1908/(2*10))^2*PI()</f>
        <v>0.78539816339744828</v>
      </c>
      <c r="D1912" s="29" t="s">
        <v>17</v>
      </c>
      <c r="E1912" s="75"/>
      <c r="F1912" s="75"/>
      <c r="G1912" s="75"/>
      <c r="H1912" s="75"/>
      <c r="I1912" s="19" t="s">
        <v>49</v>
      </c>
      <c r="J1912" s="34">
        <f>C1893*J1911/1000</f>
        <v>106.49999095669399</v>
      </c>
      <c r="K1912" s="16" t="s">
        <v>12</v>
      </c>
      <c r="L1912" s="75"/>
      <c r="M1912" s="39" t="str">
        <f>IF(J1912&gt;J1905,"[OK]","[REDISEÑAR]")</f>
        <v>[OK]</v>
      </c>
      <c r="N1912" s="41" t="str">
        <f>IF(O1912&gt;0,"Sobrado","Faltan")</f>
        <v>Sobrado</v>
      </c>
      <c r="O1912" s="43">
        <f>J1912-J1905</f>
        <v>89.817490956693987</v>
      </c>
      <c r="P1912" s="75"/>
      <c r="Q1912" s="75"/>
    </row>
    <row r="1913" spans="2:17" x14ac:dyDescent="0.3">
      <c r="B1913" s="31" t="s">
        <v>78</v>
      </c>
      <c r="C1913" s="37">
        <f>2.5/1000*100*C1896/2</f>
        <v>3.125</v>
      </c>
      <c r="D1913" s="16" t="s">
        <v>17</v>
      </c>
      <c r="E1913" s="75"/>
      <c r="F1913" s="75"/>
      <c r="G1913" s="75"/>
      <c r="H1913" s="75"/>
      <c r="J1913" s="75"/>
      <c r="K1913" s="75"/>
      <c r="L1913" s="75"/>
      <c r="M1913" s="75"/>
      <c r="N1913" s="75"/>
      <c r="O1913" s="15"/>
      <c r="P1913" s="75"/>
      <c r="Q1913" s="75"/>
    </row>
    <row r="1914" spans="2:17" x14ac:dyDescent="0.3">
      <c r="B1914" s="31" t="s">
        <v>114</v>
      </c>
      <c r="C1914" s="37">
        <f>C1912*100/C1909</f>
        <v>5.6099868814103448</v>
      </c>
      <c r="D1914" s="29" t="s">
        <v>32</v>
      </c>
      <c r="E1914" s="75"/>
      <c r="F1914" s="75"/>
      <c r="G1914" s="75"/>
      <c r="H1914" s="75"/>
      <c r="I1914" s="18" t="s">
        <v>77</v>
      </c>
      <c r="J1914" s="75"/>
      <c r="K1914" s="75"/>
      <c r="L1914" s="75"/>
      <c r="M1914" s="17" t="s">
        <v>67</v>
      </c>
      <c r="N1914" s="75"/>
      <c r="O1914" s="75"/>
      <c r="P1914" s="75"/>
      <c r="Q1914" s="75"/>
    </row>
    <row r="1915" spans="2:17" x14ac:dyDescent="0.3">
      <c r="B1915" s="75"/>
      <c r="C1915" s="75"/>
      <c r="D1915" s="75"/>
      <c r="E1915" s="75"/>
      <c r="F1915" s="75"/>
      <c r="G1915" s="75"/>
      <c r="H1915" s="75"/>
      <c r="I1915" s="19" t="s">
        <v>33</v>
      </c>
      <c r="J1915" s="16">
        <v>0.6</v>
      </c>
      <c r="K1915" s="16" t="s">
        <v>50</v>
      </c>
      <c r="L1915" s="75"/>
      <c r="M1915" s="19" t="s">
        <v>64</v>
      </c>
      <c r="N1915" s="30">
        <f>SQRT(C1891*0.0980665)*(1/0.0980665)/1000*J1917*0.17</f>
        <v>51.211241914522745</v>
      </c>
      <c r="O1915" s="16" t="s">
        <v>12</v>
      </c>
      <c r="P1915" s="75"/>
      <c r="Q1915" s="75"/>
    </row>
    <row r="1916" spans="2:17" x14ac:dyDescent="0.3">
      <c r="B1916" s="17" t="s">
        <v>37</v>
      </c>
      <c r="C1916" s="75"/>
      <c r="D1916" s="75"/>
      <c r="E1916" s="75"/>
      <c r="F1916" s="75"/>
      <c r="G1916" s="75"/>
      <c r="H1916" s="75"/>
      <c r="I1916" s="19" t="s">
        <v>46</v>
      </c>
      <c r="J1916" s="34">
        <f>J1904/J1915</f>
        <v>38.0563</v>
      </c>
      <c r="K1916" s="16" t="s">
        <v>12</v>
      </c>
      <c r="L1916" s="75"/>
      <c r="M1916" s="19" t="s">
        <v>57</v>
      </c>
      <c r="N1916" s="16">
        <f>IF(C1898/J1895&lt;=1.5,0.25,IF(C1898/J1895&gt;=2,0.17,0.17+(0.25-0.17)/(C1898/J1895-1.5)*C1898/J1895))</f>
        <v>0.25</v>
      </c>
      <c r="O1916" s="29" t="s">
        <v>50</v>
      </c>
      <c r="P1916" s="75"/>
      <c r="Q1916" s="75"/>
    </row>
    <row r="1917" spans="2:17" x14ac:dyDescent="0.3">
      <c r="B1917" s="31" t="s">
        <v>115</v>
      </c>
      <c r="C1917" s="37">
        <f>O1912</f>
        <v>89.817490956693987</v>
      </c>
      <c r="D1917" s="29" t="s">
        <v>12</v>
      </c>
      <c r="E1917" s="75"/>
      <c r="F1917" s="75"/>
      <c r="G1917" s="75"/>
      <c r="H1917" s="75"/>
      <c r="I1917" s="19" t="s">
        <v>36</v>
      </c>
      <c r="J1917" s="35">
        <f>J1895*C1896*0.8-J1925</f>
        <v>5393.5714311552301</v>
      </c>
      <c r="K1917" s="16" t="s">
        <v>17</v>
      </c>
      <c r="L1917" s="75"/>
      <c r="M1917" s="19" t="s">
        <v>59</v>
      </c>
      <c r="N1917" s="30">
        <f>SQRT(C1891*0.0980665)*(1/0.0980665)/1000*J1917*N1916</f>
        <v>75.31064987429815</v>
      </c>
      <c r="O1917" s="29" t="s">
        <v>12</v>
      </c>
      <c r="P1917" s="75"/>
      <c r="Q1917" s="75"/>
    </row>
    <row r="1918" spans="2:17" x14ac:dyDescent="0.3">
      <c r="B1918" s="31" t="s">
        <v>116</v>
      </c>
      <c r="C1918" s="37">
        <f>O1927</f>
        <v>140.95493106255552</v>
      </c>
      <c r="D1918" s="29" t="s">
        <v>12</v>
      </c>
      <c r="E1918" s="75"/>
      <c r="F1918" s="75"/>
      <c r="G1918" s="75"/>
      <c r="H1918" s="75"/>
      <c r="I1918" s="19" t="s">
        <v>60</v>
      </c>
      <c r="J1918" s="34">
        <f>MIN(N1917,N1915)</f>
        <v>51.211241914522745</v>
      </c>
      <c r="K1918" s="29" t="s">
        <v>12</v>
      </c>
      <c r="L1918" s="75"/>
      <c r="M1918" s="75"/>
      <c r="N1918" s="75"/>
      <c r="O1918" s="75"/>
      <c r="P1918" s="75"/>
      <c r="Q1918" s="75"/>
    </row>
    <row r="1919" spans="2:17" x14ac:dyDescent="0.3">
      <c r="B1919" s="19" t="s">
        <v>117</v>
      </c>
      <c r="C1919" s="36">
        <f>C1912*2*C1897/C1909/J1892</f>
        <v>4.4879895051282755E-3</v>
      </c>
      <c r="D1919" s="16" t="s">
        <v>50</v>
      </c>
      <c r="E1919" s="75"/>
      <c r="F1919" s="75"/>
      <c r="G1919" s="75"/>
      <c r="H1919" s="75"/>
      <c r="I1919" s="19" t="s">
        <v>39</v>
      </c>
      <c r="J1919" s="34">
        <f>J1916-J1918</f>
        <v>-13.154941914522745</v>
      </c>
      <c r="K1919" s="16" t="s">
        <v>12</v>
      </c>
      <c r="L1919" s="75"/>
      <c r="M1919" s="75"/>
      <c r="N1919" s="75"/>
      <c r="O1919" s="75"/>
      <c r="P1919" s="75"/>
      <c r="Q1919" s="75"/>
    </row>
    <row r="1920" spans="2:17" x14ac:dyDescent="0.3">
      <c r="B1920" s="75"/>
      <c r="C1920" s="75"/>
      <c r="D1920" s="75"/>
      <c r="E1920" s="75"/>
      <c r="F1920" s="75"/>
      <c r="G1920" s="75"/>
      <c r="H1920" s="75"/>
      <c r="I1920" s="19" t="s">
        <v>61</v>
      </c>
      <c r="J1920" s="37">
        <f>MAX(J1919/(C1892*J1895/1000/100)/2,C1913)</f>
        <v>3.125</v>
      </c>
      <c r="K1920" s="29" t="s">
        <v>32</v>
      </c>
      <c r="L1920" s="75"/>
      <c r="M1920" s="75"/>
      <c r="N1920" s="75"/>
      <c r="O1920" s="75"/>
      <c r="P1920" s="75"/>
      <c r="Q1920" s="75"/>
    </row>
    <row r="1921" spans="2:17" x14ac:dyDescent="0.3">
      <c r="B1921" s="75"/>
      <c r="C1921" s="75"/>
      <c r="D1921" s="75"/>
      <c r="E1921" s="75"/>
      <c r="F1921" s="75"/>
      <c r="G1921" s="75"/>
      <c r="H1921" s="75"/>
      <c r="I1921" s="19" t="s">
        <v>65</v>
      </c>
      <c r="J1921" s="36">
        <f>J1920/C1896/100*2</f>
        <v>2.5000000000000001E-3</v>
      </c>
      <c r="K1921" s="16" t="s">
        <v>50</v>
      </c>
      <c r="L1921" s="75"/>
      <c r="M1921" s="75"/>
      <c r="N1921" s="75"/>
      <c r="O1921" s="75"/>
      <c r="P1921" s="75"/>
      <c r="Q1921" s="75"/>
    </row>
    <row r="1922" spans="2:17" x14ac:dyDescent="0.3">
      <c r="B1922" s="75"/>
      <c r="C1922" s="75"/>
      <c r="D1922" s="75"/>
      <c r="E1922" s="75"/>
      <c r="F1922" s="75"/>
      <c r="G1922" s="75"/>
      <c r="H1922" s="75"/>
      <c r="I1922" s="19" t="s">
        <v>53</v>
      </c>
      <c r="J1922" s="16">
        <f>MAX(0.0025,0.0025*0.5*(2.5-C1896/(C1897*0.8))*(J1921-0.0025))</f>
        <v>2.5000000000000001E-3</v>
      </c>
      <c r="K1922" s="29" t="s">
        <v>50</v>
      </c>
      <c r="L1922" s="75"/>
      <c r="M1922" s="39" t="str">
        <f>IF(OR(J1921&gt;J1922,ABS(J1921-J1922)&lt;0.0001),"[OK]","[REDISEÑAR]")</f>
        <v>[OK]</v>
      </c>
      <c r="N1922" s="75"/>
      <c r="O1922" s="75"/>
      <c r="P1922" s="75"/>
      <c r="Q1922" s="75"/>
    </row>
    <row r="1923" spans="2:17" x14ac:dyDescent="0.3">
      <c r="B1923" s="75"/>
      <c r="C1923" s="75"/>
      <c r="D1923" s="75"/>
      <c r="E1923" s="75"/>
      <c r="F1923" s="75"/>
      <c r="G1923" s="75"/>
      <c r="H1923" s="75"/>
      <c r="I1923" s="19" t="s">
        <v>47</v>
      </c>
      <c r="J1923" s="34">
        <f>SQRT(C1891*0.0980665)*(1/0.0980665)/1000*0.66*0.8*C1897*C1896</f>
        <v>249.92723308409288</v>
      </c>
      <c r="K1923" s="16" t="s">
        <v>12</v>
      </c>
      <c r="L1923" s="75"/>
      <c r="M1923" s="40" t="s">
        <v>44</v>
      </c>
      <c r="N1923" s="75"/>
      <c r="O1923" s="15"/>
      <c r="P1923" s="75"/>
      <c r="Q1923" s="75"/>
    </row>
    <row r="1924" spans="2:17" x14ac:dyDescent="0.3">
      <c r="B1924" s="75"/>
      <c r="C1924" s="75"/>
      <c r="D1924" s="75"/>
      <c r="E1924" s="75"/>
      <c r="F1924" s="75"/>
      <c r="G1924" s="75"/>
      <c r="H1924" s="75"/>
      <c r="I1924" s="63" t="s">
        <v>34</v>
      </c>
      <c r="J1924" s="63">
        <f>ROUNDDOWN(1/J1920*C1912*100,0)</f>
        <v>25</v>
      </c>
      <c r="K1924" s="64" t="s">
        <v>5</v>
      </c>
      <c r="L1924" s="75"/>
      <c r="M1924" s="39" t="str">
        <f>IF(OR(J1924&lt;10,J1924&gt;25),"[REDISEÑAR]","[OK")</f>
        <v>[OK</v>
      </c>
      <c r="N1924" s="41" t="s">
        <v>80</v>
      </c>
      <c r="O1924" s="42">
        <f>1/J1920*(C1908/2)^2*PI()</f>
        <v>25.132741228718345</v>
      </c>
      <c r="P1924" s="75" t="str">
        <f>"$\phi$"&amp;C1908&amp;"@"&amp;J1924</f>
        <v>$\phi$10@25</v>
      </c>
      <c r="Q1924" s="75"/>
    </row>
    <row r="1925" spans="2:17" x14ac:dyDescent="0.3">
      <c r="B1925" s="75"/>
      <c r="C1925" s="75"/>
      <c r="D1925" s="75"/>
      <c r="E1925" s="75"/>
      <c r="F1925" s="75"/>
      <c r="G1925" s="75"/>
      <c r="H1925" s="75"/>
      <c r="I1925" s="31" t="s">
        <v>48</v>
      </c>
      <c r="J1925" s="30">
        <f>C1912*2*IF(J1895/C1909&gt;=1,J1895/C1909,0)</f>
        <v>30.428568844769707</v>
      </c>
      <c r="K1925" s="29" t="s">
        <v>17</v>
      </c>
      <c r="L1925" s="75"/>
      <c r="M1925" s="75"/>
      <c r="N1925" s="15"/>
      <c r="O1925" s="15"/>
      <c r="P1925" s="75"/>
      <c r="Q1925" s="75"/>
    </row>
    <row r="1926" spans="2:17" x14ac:dyDescent="0.3">
      <c r="B1926" s="75"/>
      <c r="C1926" s="75"/>
      <c r="D1926" s="75"/>
      <c r="E1926" s="75"/>
      <c r="F1926" s="75"/>
      <c r="G1926" s="75"/>
      <c r="H1926" s="75"/>
      <c r="I1926" s="19" t="s">
        <v>81</v>
      </c>
      <c r="J1926" s="34">
        <f>MIN(J1925*C1892/1000,J1923)</f>
        <v>127.79998914803276</v>
      </c>
      <c r="K1926" s="16" t="s">
        <v>12</v>
      </c>
      <c r="L1926" s="75"/>
      <c r="M1926" s="40" t="s">
        <v>82</v>
      </c>
      <c r="N1926" s="15"/>
      <c r="O1926" s="15"/>
      <c r="P1926" s="75"/>
      <c r="Q1926" s="75"/>
    </row>
    <row r="1927" spans="2:17" x14ac:dyDescent="0.3">
      <c r="B1927" s="75"/>
      <c r="C1927" s="75"/>
      <c r="D1927" s="75"/>
      <c r="E1927" s="75"/>
      <c r="F1927" s="75"/>
      <c r="G1927" s="75"/>
      <c r="H1927" s="75"/>
      <c r="I1927" s="19" t="s">
        <v>79</v>
      </c>
      <c r="J1927" s="34">
        <f>J1926+J1918</f>
        <v>179.01123106255551</v>
      </c>
      <c r="K1927" s="16" t="s">
        <v>12</v>
      </c>
      <c r="L1927" s="75"/>
      <c r="M1927" s="39" t="str">
        <f>IF(J1927&gt;J1916,"[OK]","[REDISEÑAR]")</f>
        <v>[OK]</v>
      </c>
      <c r="N1927" s="41" t="str">
        <f>IF(O1927&gt;0,"Sobrado","Faltan")</f>
        <v>Sobrado</v>
      </c>
      <c r="O1927" s="43">
        <f>J1927-J1916</f>
        <v>140.95493106255552</v>
      </c>
      <c r="P1927" s="75"/>
      <c r="Q1927" s="75"/>
    </row>
    <row r="1928" spans="2:17" x14ac:dyDescent="0.3">
      <c r="B1928" s="75"/>
      <c r="C1928" s="75"/>
      <c r="D1928" s="75"/>
      <c r="E1928" s="75"/>
      <c r="F1928" s="75"/>
      <c r="G1928" s="75"/>
      <c r="H1928" s="75"/>
      <c r="J1928" s="75"/>
      <c r="K1928" s="75"/>
      <c r="L1928" s="75"/>
      <c r="M1928" s="75"/>
      <c r="N1928" s="75"/>
      <c r="O1928" s="75"/>
      <c r="P1928" s="75"/>
      <c r="Q1928" s="75"/>
    </row>
    <row r="1929" spans="2:17" x14ac:dyDescent="0.3">
      <c r="B1929" s="75"/>
      <c r="C1929" s="75"/>
      <c r="D1929" s="75"/>
      <c r="E1929" s="75"/>
      <c r="F1929" s="75"/>
      <c r="G1929" s="75"/>
      <c r="H1929" s="75"/>
      <c r="I1929" s="18" t="s">
        <v>45</v>
      </c>
      <c r="J1929" s="75"/>
      <c r="K1929" s="75"/>
      <c r="L1929" s="75"/>
      <c r="M1929" s="75"/>
      <c r="N1929" s="75"/>
      <c r="O1929" s="15"/>
      <c r="P1929" s="75"/>
      <c r="Q1929" s="75"/>
    </row>
    <row r="1930" spans="2:17" x14ac:dyDescent="0.3">
      <c r="B1930" s="75"/>
      <c r="C1930" s="75"/>
      <c r="D1930" s="75"/>
      <c r="E1930" s="75"/>
      <c r="F1930" s="75"/>
      <c r="G1930" s="75"/>
      <c r="H1930" s="75"/>
      <c r="I1930" s="19" t="s">
        <v>40</v>
      </c>
      <c r="J1930" s="16">
        <f>J1904</f>
        <v>22.833780000000001</v>
      </c>
      <c r="K1930" s="16" t="s">
        <v>12</v>
      </c>
      <c r="L1930" s="75"/>
      <c r="M1930" s="75"/>
      <c r="N1930" s="75"/>
      <c r="O1930" s="26"/>
      <c r="P1930" s="75"/>
      <c r="Q1930" s="75"/>
    </row>
    <row r="1931" spans="2:17" x14ac:dyDescent="0.3">
      <c r="B1931" s="75"/>
      <c r="C1931" s="75"/>
      <c r="D1931" s="75"/>
      <c r="E1931" s="75"/>
      <c r="F1931" s="75"/>
      <c r="G1931" s="75"/>
      <c r="H1931" s="75"/>
      <c r="I1931" s="19" t="s">
        <v>46</v>
      </c>
      <c r="J1931" s="34">
        <f>J1916</f>
        <v>38.0563</v>
      </c>
      <c r="K1931" s="16" t="s">
        <v>12</v>
      </c>
      <c r="L1931" s="75"/>
      <c r="M1931" s="75"/>
      <c r="N1931" s="75"/>
      <c r="O1931" s="75"/>
      <c r="P1931" s="75"/>
      <c r="Q1931" s="75"/>
    </row>
    <row r="1932" spans="2:17" x14ac:dyDescent="0.3">
      <c r="B1932" s="75"/>
      <c r="C1932" s="75"/>
      <c r="D1932" s="75"/>
      <c r="E1932" s="75"/>
      <c r="F1932" s="75"/>
      <c r="G1932" s="75"/>
      <c r="H1932" s="75"/>
      <c r="I1932" s="19" t="s">
        <v>38</v>
      </c>
      <c r="J1932" s="34">
        <f>2/3*J1917*SQRT(C1891*0.0980665)*(1/0.0980665)/1000</f>
        <v>200.82839966479511</v>
      </c>
      <c r="K1932" s="16" t="s">
        <v>12</v>
      </c>
      <c r="L1932" s="75"/>
      <c r="M1932" s="39" t="str">
        <f>IF(J1932&gt;J1931,"[OK]","[REDISEÑAR]")</f>
        <v>[OK]</v>
      </c>
      <c r="N1932" s="41" t="str">
        <f>IF(O1932&gt;0,"Sobrado","Faltan")</f>
        <v>Sobrado</v>
      </c>
      <c r="O1932" s="43">
        <f>J1932-J1931</f>
        <v>162.77209966479512</v>
      </c>
      <c r="P1932" s="75"/>
      <c r="Q1932" s="75"/>
    </row>
    <row r="1935" spans="2:17" ht="18" x14ac:dyDescent="0.35">
      <c r="B1935" s="48" t="str">
        <f>'EJE 15'!$S$29</f>
        <v>EJE 15.G-L | PIER F33X | PISO 12</v>
      </c>
      <c r="C1935" s="75"/>
      <c r="D1935" s="75"/>
      <c r="E1935" s="75"/>
      <c r="F1935" s="75"/>
      <c r="G1935" s="75"/>
      <c r="H1935" s="75"/>
      <c r="J1935" s="75"/>
      <c r="K1935" s="75"/>
      <c r="L1935" s="75"/>
      <c r="M1935" s="75"/>
      <c r="N1935" s="75"/>
      <c r="O1935" s="75"/>
      <c r="P1935" s="75"/>
      <c r="Q1935" s="75"/>
    </row>
    <row r="1936" spans="2:17" x14ac:dyDescent="0.3">
      <c r="B1936" s="75"/>
      <c r="C1936" s="75"/>
      <c r="D1936" s="75"/>
      <c r="E1936" s="75"/>
      <c r="F1936" s="75"/>
      <c r="G1936" s="75"/>
      <c r="H1936" s="75"/>
      <c r="J1936" s="75"/>
      <c r="K1936" s="75"/>
      <c r="L1936" s="75"/>
      <c r="M1936" s="75"/>
      <c r="N1936" s="75"/>
      <c r="O1936" s="75"/>
      <c r="P1936" s="75"/>
      <c r="Q1936" s="75"/>
    </row>
    <row r="1937" spans="2:17" x14ac:dyDescent="0.3">
      <c r="B1937" s="17" t="s">
        <v>6</v>
      </c>
      <c r="C1937" s="75"/>
      <c r="D1937" s="75"/>
      <c r="E1937" s="75"/>
      <c r="F1937" s="75"/>
      <c r="G1937" s="75"/>
      <c r="H1937" s="75"/>
      <c r="I1937" s="18" t="s">
        <v>25</v>
      </c>
      <c r="J1937" s="75"/>
      <c r="K1937" s="75"/>
      <c r="L1937" s="75"/>
      <c r="M1937" s="75"/>
      <c r="N1937" s="75"/>
      <c r="O1937" s="75"/>
      <c r="P1937" s="75"/>
      <c r="Q1937" s="75"/>
    </row>
    <row r="1938" spans="2:17" x14ac:dyDescent="0.3">
      <c r="B1938" s="19" t="s">
        <v>99</v>
      </c>
      <c r="C1938" s="61">
        <f>10.1971621297793*'EJE 15'!$G$29</f>
        <v>305.91486389337899</v>
      </c>
      <c r="D1938" s="16" t="s">
        <v>8</v>
      </c>
      <c r="E1938" s="75"/>
      <c r="F1938" s="75"/>
      <c r="G1938" s="75"/>
      <c r="H1938" s="75"/>
      <c r="I1938" s="19" t="s">
        <v>58</v>
      </c>
      <c r="J1938" s="16">
        <f>C1945/16</f>
        <v>14.375</v>
      </c>
      <c r="K1938" s="16" t="s">
        <v>5</v>
      </c>
      <c r="L1938" s="21"/>
      <c r="M1938" s="39" t="str">
        <f>IF(J1938&lt;C1943,"[OK]","[REDISEÑAR]")</f>
        <v>[OK]</v>
      </c>
      <c r="N1938" s="75"/>
      <c r="O1938" s="75"/>
      <c r="P1938" s="75"/>
      <c r="Q1938" s="75"/>
    </row>
    <row r="1939" spans="2:17" x14ac:dyDescent="0.3">
      <c r="B1939" s="19" t="s">
        <v>30</v>
      </c>
      <c r="C1939" s="16">
        <v>4200</v>
      </c>
      <c r="D1939" s="16" t="s">
        <v>8</v>
      </c>
      <c r="E1939" s="75"/>
      <c r="F1939" s="75"/>
      <c r="G1939" s="75"/>
      <c r="H1939" s="75"/>
      <c r="I1939" s="19" t="s">
        <v>16</v>
      </c>
      <c r="J1939" s="16">
        <f>C1943*C1944</f>
        <v>8475</v>
      </c>
      <c r="K1939" s="16" t="s">
        <v>17</v>
      </c>
      <c r="L1939" s="21"/>
      <c r="M1939" s="75"/>
      <c r="N1939" s="75"/>
      <c r="O1939" s="75"/>
      <c r="P1939" s="75"/>
      <c r="Q1939" s="75"/>
    </row>
    <row r="1940" spans="2:17" x14ac:dyDescent="0.3">
      <c r="B1940" s="19" t="s">
        <v>31</v>
      </c>
      <c r="C1940" s="16">
        <v>2800</v>
      </c>
      <c r="D1940" s="16" t="s">
        <v>8</v>
      </c>
      <c r="E1940" s="75"/>
      <c r="F1940" s="75"/>
      <c r="G1940" s="75"/>
      <c r="H1940" s="75"/>
      <c r="I1940" s="19" t="s">
        <v>51</v>
      </c>
      <c r="J1940" s="16">
        <f>MIN(0.8*C1944/5,3*C1943,45)</f>
        <v>45</v>
      </c>
      <c r="K1940" s="16" t="s">
        <v>5</v>
      </c>
      <c r="L1940" s="21"/>
      <c r="M1940" s="39" t="str">
        <f>IF(J1940&gt;C1956,"[OK]","[REDISEÑAR]")</f>
        <v>[OK]</v>
      </c>
      <c r="N1940" s="75"/>
      <c r="O1940" s="75"/>
      <c r="P1940" s="75"/>
      <c r="Q1940" s="75"/>
    </row>
    <row r="1941" spans="2:17" x14ac:dyDescent="0.3">
      <c r="B1941" s="75"/>
      <c r="C1941" s="75"/>
      <c r="D1941" s="75"/>
      <c r="E1941" s="75"/>
      <c r="F1941" s="75"/>
      <c r="G1941" s="75"/>
      <c r="H1941" s="75"/>
      <c r="I1941" s="19" t="s">
        <v>56</v>
      </c>
      <c r="J1941" s="16">
        <f>MIN(0.8*C1945/3,3*C1944,45)</f>
        <v>45</v>
      </c>
      <c r="K1941" s="16" t="s">
        <v>5</v>
      </c>
      <c r="L1941" s="21"/>
      <c r="M1941" s="39" t="str">
        <f>IF(J1941&gt;C1956,"[OK]","[REDISEÑAR]")</f>
        <v>[OK]</v>
      </c>
      <c r="N1941" s="75"/>
      <c r="O1941" s="75"/>
      <c r="P1941" s="75"/>
      <c r="Q1941" s="75"/>
    </row>
    <row r="1942" spans="2:17" x14ac:dyDescent="0.3">
      <c r="B1942" s="17" t="s">
        <v>3</v>
      </c>
      <c r="C1942" s="75"/>
      <c r="D1942" s="75"/>
      <c r="E1942" s="75"/>
      <c r="F1942" s="75"/>
      <c r="G1942" s="75"/>
      <c r="H1942" s="75"/>
      <c r="I1942" s="19" t="s">
        <v>62</v>
      </c>
      <c r="J1942" s="16">
        <f>0.8*C1944</f>
        <v>271.2</v>
      </c>
      <c r="K1942" s="29" t="s">
        <v>5</v>
      </c>
      <c r="L1942" s="75"/>
      <c r="M1942" s="75"/>
      <c r="N1942" s="75"/>
      <c r="O1942" s="75"/>
      <c r="P1942" s="75"/>
      <c r="Q1942" s="75"/>
    </row>
    <row r="1943" spans="2:17" x14ac:dyDescent="0.3">
      <c r="B1943" s="19" t="str">
        <f>"Espesor del muro (h)"</f>
        <v>Espesor del muro (h)</v>
      </c>
      <c r="C1943" s="49">
        <f>'EJE 15'!$H$29</f>
        <v>25</v>
      </c>
      <c r="D1943" s="16" t="s">
        <v>5</v>
      </c>
      <c r="E1943" s="75"/>
      <c r="F1943" s="75"/>
      <c r="G1943" s="75"/>
      <c r="H1943" s="75"/>
      <c r="J1943" s="75"/>
      <c r="K1943" s="75"/>
      <c r="L1943" s="75"/>
      <c r="M1943" s="75"/>
      <c r="N1943" s="75"/>
      <c r="O1943" s="75"/>
      <c r="P1943" s="75"/>
      <c r="Q1943" s="75"/>
    </row>
    <row r="1944" spans="2:17" x14ac:dyDescent="0.3">
      <c r="B1944" s="19" t="s">
        <v>63</v>
      </c>
      <c r="C1944" s="49">
        <f>'EJE 15'!$I$29</f>
        <v>339</v>
      </c>
      <c r="D1944" s="16" t="s">
        <v>5</v>
      </c>
      <c r="E1944" s="75"/>
      <c r="F1944" s="75"/>
      <c r="G1944" s="75"/>
      <c r="H1944" s="75"/>
      <c r="I1944" s="18" t="s">
        <v>26</v>
      </c>
      <c r="J1944" s="75"/>
      <c r="K1944" s="75"/>
      <c r="L1944" s="75"/>
      <c r="M1944" s="75"/>
      <c r="N1944" s="75"/>
      <c r="O1944" s="75"/>
      <c r="P1944" s="75"/>
      <c r="Q1944" s="75"/>
    </row>
    <row r="1945" spans="2:17" x14ac:dyDescent="0.3">
      <c r="B1945" s="19" t="s">
        <v>10</v>
      </c>
      <c r="C1945" s="49">
        <f>'EJE 15'!$J$29</f>
        <v>230</v>
      </c>
      <c r="D1945" s="16" t="s">
        <v>5</v>
      </c>
      <c r="E1945" s="75"/>
      <c r="F1945" s="75"/>
      <c r="G1945" s="75"/>
      <c r="H1945" s="75"/>
      <c r="I1945" s="19" t="s">
        <v>28</v>
      </c>
      <c r="J1945" s="16">
        <f>0.35*C1938</f>
        <v>107.07020236268264</v>
      </c>
      <c r="K1945" s="16" t="s">
        <v>8</v>
      </c>
      <c r="L1945" s="21"/>
      <c r="M1945" s="75"/>
      <c r="N1945" s="75"/>
      <c r="O1945" s="75"/>
      <c r="P1945" s="75"/>
      <c r="Q1945" s="75"/>
    </row>
    <row r="1946" spans="2:17" x14ac:dyDescent="0.3">
      <c r="B1946" s="75"/>
      <c r="C1946" s="75"/>
      <c r="D1946" s="75"/>
      <c r="E1946" s="75"/>
      <c r="F1946" s="75"/>
      <c r="G1946" s="75"/>
      <c r="H1946" s="75"/>
      <c r="I1946" s="19" t="s">
        <v>27</v>
      </c>
      <c r="J1946" s="30">
        <f>C1948*1000/J1939</f>
        <v>15.96075516224189</v>
      </c>
      <c r="K1946" s="16" t="s">
        <v>8</v>
      </c>
      <c r="L1946" s="21"/>
      <c r="M1946" s="39" t="str">
        <f>IF(J1946&lt;J1945,"[OK]","[REDISEÑAR]")</f>
        <v>[OK]</v>
      </c>
      <c r="N1946" s="41" t="s">
        <v>112</v>
      </c>
      <c r="O1946" s="59">
        <f>J1946/J1945</f>
        <v>0.14906813296361826</v>
      </c>
      <c r="P1946" s="75"/>
      <c r="Q1946" s="75"/>
    </row>
    <row r="1947" spans="2:17" x14ac:dyDescent="0.3">
      <c r="B1947" s="17" t="s">
        <v>11</v>
      </c>
      <c r="C1947" s="75"/>
      <c r="D1947" s="75"/>
      <c r="E1947" s="75"/>
      <c r="F1947" s="75"/>
      <c r="G1947" s="75"/>
      <c r="H1947" s="75"/>
      <c r="J1947" s="75"/>
      <c r="K1947" s="75"/>
      <c r="L1947" s="75"/>
      <c r="M1947" s="75"/>
      <c r="N1947" s="75"/>
      <c r="O1947" s="75"/>
      <c r="P1947" s="75"/>
      <c r="Q1947" s="75"/>
    </row>
    <row r="1948" spans="2:17" x14ac:dyDescent="0.3">
      <c r="B1948" s="19" t="str">
        <f>"$N_U$"</f>
        <v>$N_U$</v>
      </c>
      <c r="C1948" s="60">
        <f>'EJE 15'!$K$29</f>
        <v>135.26740000000001</v>
      </c>
      <c r="D1948" s="16" t="s">
        <v>12</v>
      </c>
      <c r="E1948" s="75"/>
      <c r="F1948" s="75"/>
      <c r="G1948" s="75"/>
      <c r="H1948" s="75"/>
      <c r="I1948" s="18" t="s">
        <v>54</v>
      </c>
      <c r="J1948" s="75"/>
      <c r="K1948" s="75"/>
      <c r="L1948" s="75"/>
      <c r="M1948" s="75"/>
      <c r="N1948" s="75"/>
      <c r="O1948" s="75"/>
      <c r="P1948" s="75"/>
      <c r="Q1948" s="75"/>
    </row>
    <row r="1949" spans="2:17" x14ac:dyDescent="0.3">
      <c r="B1949" s="19" t="s">
        <v>14</v>
      </c>
      <c r="C1949" s="60">
        <f>'EJE 15'!$L$29</f>
        <v>2.5070000000000001</v>
      </c>
      <c r="D1949" s="16" t="s">
        <v>12</v>
      </c>
      <c r="E1949" s="75"/>
      <c r="F1949" s="75"/>
      <c r="G1949" s="75"/>
      <c r="H1949" s="75"/>
      <c r="I1949" s="19" t="s">
        <v>72</v>
      </c>
      <c r="J1949" s="16">
        <f>1.2*C1949+C1950+1.4*C1951</f>
        <v>22.833780000000001</v>
      </c>
      <c r="K1949" s="16" t="s">
        <v>12</v>
      </c>
      <c r="L1949" s="75"/>
      <c r="M1949" s="75" t="s">
        <v>68</v>
      </c>
      <c r="N1949" s="75"/>
      <c r="O1949" s="75"/>
      <c r="P1949" s="75"/>
      <c r="Q1949" s="75"/>
    </row>
    <row r="1950" spans="2:17" x14ac:dyDescent="0.3">
      <c r="B1950" s="19" t="s">
        <v>13</v>
      </c>
      <c r="C1950" s="60">
        <f>'EJE 15'!$M$29</f>
        <v>5.0799999999999998E-2</v>
      </c>
      <c r="D1950" s="16" t="s">
        <v>12</v>
      </c>
      <c r="E1950" s="75"/>
      <c r="F1950" s="75"/>
      <c r="G1950" s="75"/>
      <c r="H1950" s="75"/>
      <c r="I1950" s="19" t="s">
        <v>69</v>
      </c>
      <c r="J1950" s="16">
        <f>SUM(C1949:C1951)</f>
        <v>16.682500000000001</v>
      </c>
      <c r="K1950" s="16" t="s">
        <v>12</v>
      </c>
      <c r="L1950" s="75"/>
      <c r="M1950" s="75" t="s">
        <v>70</v>
      </c>
      <c r="N1950" s="75"/>
      <c r="O1950" s="75"/>
      <c r="P1950" s="75"/>
      <c r="Q1950" s="75"/>
    </row>
    <row r="1951" spans="2:17" x14ac:dyDescent="0.3">
      <c r="B1951" s="19" t="s">
        <v>15</v>
      </c>
      <c r="C1951" s="60">
        <f>'EJE 15'!$N$29</f>
        <v>14.124700000000001</v>
      </c>
      <c r="D1951" s="16" t="s">
        <v>12</v>
      </c>
      <c r="E1951" s="75"/>
      <c r="F1951" s="75"/>
      <c r="G1951" s="75"/>
      <c r="H1951" s="75"/>
      <c r="I1951" s="19" t="s">
        <v>73</v>
      </c>
      <c r="J1951" s="16">
        <f>IF(C1952=0,J1949,C1952)</f>
        <v>22.833780000000001</v>
      </c>
      <c r="K1951" s="16" t="s">
        <v>12</v>
      </c>
      <c r="L1951" s="75"/>
      <c r="M1951" s="40" t="s">
        <v>74</v>
      </c>
      <c r="N1951" s="75"/>
      <c r="O1951" s="75"/>
      <c r="P1951" s="75"/>
      <c r="Q1951" s="75"/>
    </row>
    <row r="1952" spans="2:17" x14ac:dyDescent="0.3">
      <c r="B1952" s="19" t="s">
        <v>55</v>
      </c>
      <c r="C1952" s="16">
        <v>0</v>
      </c>
      <c r="D1952" s="16" t="s">
        <v>12</v>
      </c>
      <c r="E1952" s="75"/>
      <c r="F1952" s="75"/>
      <c r="G1952" s="75"/>
      <c r="H1952" s="75"/>
      <c r="I1952" s="19" t="s">
        <v>71</v>
      </c>
      <c r="J1952" s="16">
        <f>IF(C1952=0,J1950,C1952)</f>
        <v>16.682500000000001</v>
      </c>
      <c r="K1952" s="16" t="s">
        <v>12</v>
      </c>
      <c r="L1952" s="75"/>
      <c r="M1952" s="40" t="s">
        <v>75</v>
      </c>
      <c r="N1952" s="75"/>
      <c r="O1952" s="75"/>
      <c r="P1952" s="75"/>
      <c r="Q1952" s="75"/>
    </row>
    <row r="1953" spans="2:17" x14ac:dyDescent="0.3">
      <c r="B1953" s="75"/>
      <c r="C1953" s="75"/>
      <c r="D1953" s="75"/>
      <c r="E1953" s="75"/>
      <c r="F1953" s="75"/>
      <c r="G1953" s="75"/>
      <c r="H1953" s="75"/>
      <c r="J1953" s="75"/>
      <c r="K1953" s="75"/>
      <c r="L1953" s="75"/>
      <c r="M1953" s="75"/>
      <c r="N1953" s="75"/>
      <c r="O1953" s="75"/>
      <c r="P1953" s="75"/>
      <c r="Q1953" s="75"/>
    </row>
    <row r="1954" spans="2:17" x14ac:dyDescent="0.3">
      <c r="B1954" s="33" t="s">
        <v>42</v>
      </c>
      <c r="C1954" s="75"/>
      <c r="D1954" s="75"/>
      <c r="E1954" s="75"/>
      <c r="F1954" s="75"/>
      <c r="G1954" s="75"/>
      <c r="H1954" s="75"/>
      <c r="I1954" s="27" t="s">
        <v>76</v>
      </c>
      <c r="J1954" s="75"/>
      <c r="K1954" s="75"/>
      <c r="L1954" s="75"/>
      <c r="M1954" s="75"/>
      <c r="N1954" s="75"/>
      <c r="O1954" s="75"/>
      <c r="P1954" s="75"/>
      <c r="Q1954" s="75"/>
    </row>
    <row r="1955" spans="2:17" x14ac:dyDescent="0.3">
      <c r="B1955" s="31" t="s">
        <v>41</v>
      </c>
      <c r="C1955" s="16">
        <v>10</v>
      </c>
      <c r="D1955" s="29" t="s">
        <v>35</v>
      </c>
      <c r="E1955" s="75"/>
      <c r="F1955" s="75"/>
      <c r="G1955" s="75"/>
      <c r="H1955" s="75"/>
      <c r="I1955" s="19" t="s">
        <v>29</v>
      </c>
      <c r="J1955" s="30">
        <f>J1952*1000/J1939</f>
        <v>1.9684365781710915</v>
      </c>
      <c r="K1955" s="29" t="s">
        <v>8</v>
      </c>
      <c r="L1955" s="75"/>
      <c r="M1955" s="75"/>
      <c r="N1955" s="75"/>
      <c r="O1955" s="75"/>
      <c r="P1955" s="75"/>
      <c r="Q1955" s="75"/>
    </row>
    <row r="1956" spans="2:17" x14ac:dyDescent="0.3">
      <c r="B1956" s="31" t="s">
        <v>43</v>
      </c>
      <c r="C1956" s="16">
        <v>14</v>
      </c>
      <c r="D1956" s="29" t="s">
        <v>5</v>
      </c>
      <c r="E1956" s="75"/>
      <c r="F1956" s="39" t="str">
        <f>IF(OR(C1956&gt;25,C1956&lt;10),"[REDISEÑAR]",IF(AND(C1956&lt;=J1957,C1956&lt;=J1971),"[OK]","[REDISEÑAR]"))</f>
        <v>[OK]</v>
      </c>
      <c r="G1956" s="75"/>
      <c r="H1956" s="75"/>
      <c r="I1956" s="19" t="s">
        <v>61</v>
      </c>
      <c r="J1956" s="37">
        <f>MAX(J1955*100*C1943/(2*C1940),C1960)</f>
        <v>3.125</v>
      </c>
      <c r="K1956" s="29" t="s">
        <v>32</v>
      </c>
      <c r="L1956" s="75"/>
      <c r="M1956" s="15"/>
      <c r="N1956" s="15"/>
      <c r="O1956" s="15"/>
      <c r="P1956" s="75"/>
      <c r="Q1956" s="75"/>
    </row>
    <row r="1957" spans="2:17" x14ac:dyDescent="0.3">
      <c r="B1957" s="75"/>
      <c r="C1957" s="50" t="str">
        <f>"$\phi$"&amp;C1955&amp;"@"&amp;C1956</f>
        <v>$\phi$10@14</v>
      </c>
      <c r="D1957" s="75"/>
      <c r="E1957" s="75"/>
      <c r="F1957" s="39" t="str">
        <f>IF(OR(J1956=C1960,J1967=C1960),"[ÁREA MINIMA]","[]")</f>
        <v>[ÁREA MINIMA]</v>
      </c>
      <c r="G1957" s="75"/>
      <c r="H1957" s="75"/>
      <c r="I1957" s="63" t="s">
        <v>34</v>
      </c>
      <c r="J1957" s="63">
        <f>ROUNDDOWN((1/J1956)*C1959*100,0)</f>
        <v>25</v>
      </c>
      <c r="K1957" s="64" t="s">
        <v>5</v>
      </c>
      <c r="L1957" s="75"/>
      <c r="M1957" s="39" t="str">
        <f>IF(OR(J1957&lt;10,J1957&gt;25),"[REDISEÑAR]","[OK")</f>
        <v>[OK</v>
      </c>
      <c r="N1957" s="41" t="s">
        <v>80</v>
      </c>
      <c r="O1957" s="42">
        <f>1/J1956*(C1955/2)^2*PI()</f>
        <v>25.132741228718345</v>
      </c>
      <c r="P1957" s="75" t="str">
        <f>"$\phi$"&amp;C1955&amp;"@"&amp;J1957</f>
        <v>$\phi$10@25</v>
      </c>
      <c r="Q1957" s="75"/>
    </row>
    <row r="1958" spans="2:17" x14ac:dyDescent="0.3">
      <c r="B1958" s="18" t="s">
        <v>52</v>
      </c>
      <c r="C1958" s="75"/>
      <c r="D1958" s="75"/>
      <c r="E1958" s="75"/>
      <c r="F1958" s="62" t="str">
        <f>IF(J1946&lt;J1945,IF(J1974&gt;J1963,"[OK]","[REDISEÑAR]"),"[REDISEÑAR]")</f>
        <v>[OK]</v>
      </c>
      <c r="G1958" s="75"/>
      <c r="H1958" s="75"/>
      <c r="I1958" s="31" t="s">
        <v>48</v>
      </c>
      <c r="J1958" s="30">
        <f>C1959*2*IF(C1944/C1956&gt;=1,C1944/C1956,0)</f>
        <v>38.035711055962139</v>
      </c>
      <c r="K1958" s="29" t="s">
        <v>17</v>
      </c>
      <c r="L1958" s="75"/>
      <c r="M1958" s="75"/>
      <c r="N1958" s="15"/>
      <c r="O1958" s="44"/>
      <c r="P1958" s="75"/>
      <c r="Q1958" s="75"/>
    </row>
    <row r="1959" spans="2:17" x14ac:dyDescent="0.3">
      <c r="B1959" s="31" t="s">
        <v>66</v>
      </c>
      <c r="C1959" s="30">
        <f>(C1955/(2*10))^2*PI()</f>
        <v>0.78539816339744828</v>
      </c>
      <c r="D1959" s="29" t="s">
        <v>17</v>
      </c>
      <c r="E1959" s="75"/>
      <c r="F1959" s="75"/>
      <c r="G1959" s="75"/>
      <c r="H1959" s="75"/>
      <c r="I1959" s="19" t="s">
        <v>49</v>
      </c>
      <c r="J1959" s="34">
        <f>C1940*J1958/1000</f>
        <v>106.49999095669399</v>
      </c>
      <c r="K1959" s="16" t="s">
        <v>12</v>
      </c>
      <c r="L1959" s="75"/>
      <c r="M1959" s="39" t="str">
        <f>IF(J1959&gt;J1952,"[OK]","[REDISEÑAR]")</f>
        <v>[OK]</v>
      </c>
      <c r="N1959" s="41" t="str">
        <f>IF(O1959&gt;0,"Sobrado","Faltan")</f>
        <v>Sobrado</v>
      </c>
      <c r="O1959" s="43">
        <f>J1959-J1952</f>
        <v>89.817490956693987</v>
      </c>
      <c r="P1959" s="75"/>
      <c r="Q1959" s="75"/>
    </row>
    <row r="1960" spans="2:17" x14ac:dyDescent="0.3">
      <c r="B1960" s="31" t="s">
        <v>78</v>
      </c>
      <c r="C1960" s="37">
        <f>2.5/1000*100*C1943/2</f>
        <v>3.125</v>
      </c>
      <c r="D1960" s="16" t="s">
        <v>17</v>
      </c>
      <c r="E1960" s="75"/>
      <c r="F1960" s="75"/>
      <c r="G1960" s="75"/>
      <c r="H1960" s="75"/>
      <c r="J1960" s="75"/>
      <c r="K1960" s="75"/>
      <c r="L1960" s="75"/>
      <c r="M1960" s="75"/>
      <c r="N1960" s="75"/>
      <c r="O1960" s="15"/>
      <c r="P1960" s="75"/>
      <c r="Q1960" s="75"/>
    </row>
    <row r="1961" spans="2:17" x14ac:dyDescent="0.3">
      <c r="B1961" s="31" t="s">
        <v>114</v>
      </c>
      <c r="C1961" s="37">
        <f>C1959*100/C1956</f>
        <v>5.6099868814103448</v>
      </c>
      <c r="D1961" s="29" t="s">
        <v>32</v>
      </c>
      <c r="E1961" s="75"/>
      <c r="F1961" s="75"/>
      <c r="G1961" s="75"/>
      <c r="H1961" s="75"/>
      <c r="I1961" s="18" t="s">
        <v>77</v>
      </c>
      <c r="J1961" s="75"/>
      <c r="K1961" s="75"/>
      <c r="L1961" s="75"/>
      <c r="M1961" s="17" t="s">
        <v>67</v>
      </c>
      <c r="N1961" s="75"/>
      <c r="O1961" s="75"/>
      <c r="P1961" s="75"/>
      <c r="Q1961" s="75"/>
    </row>
    <row r="1962" spans="2:17" x14ac:dyDescent="0.3">
      <c r="B1962" s="75"/>
      <c r="C1962" s="75"/>
      <c r="D1962" s="75"/>
      <c r="E1962" s="75"/>
      <c r="F1962" s="75"/>
      <c r="G1962" s="75"/>
      <c r="H1962" s="75"/>
      <c r="I1962" s="19" t="s">
        <v>33</v>
      </c>
      <c r="J1962" s="16">
        <v>0.6</v>
      </c>
      <c r="K1962" s="16" t="s">
        <v>50</v>
      </c>
      <c r="L1962" s="75"/>
      <c r="M1962" s="19" t="s">
        <v>64</v>
      </c>
      <c r="N1962" s="30">
        <f>SQRT(C1938*0.0980665)*(1/0.0980665)/1000*J1964*0.17</f>
        <v>51.211241914522745</v>
      </c>
      <c r="O1962" s="16" t="s">
        <v>12</v>
      </c>
      <c r="P1962" s="75"/>
      <c r="Q1962" s="75"/>
    </row>
    <row r="1963" spans="2:17" x14ac:dyDescent="0.3">
      <c r="B1963" s="17" t="s">
        <v>37</v>
      </c>
      <c r="C1963" s="75"/>
      <c r="D1963" s="75"/>
      <c r="E1963" s="75"/>
      <c r="F1963" s="75"/>
      <c r="G1963" s="75"/>
      <c r="H1963" s="75"/>
      <c r="I1963" s="19" t="s">
        <v>46</v>
      </c>
      <c r="J1963" s="34">
        <f>J1951/J1962</f>
        <v>38.0563</v>
      </c>
      <c r="K1963" s="16" t="s">
        <v>12</v>
      </c>
      <c r="L1963" s="75"/>
      <c r="M1963" s="19" t="s">
        <v>57</v>
      </c>
      <c r="N1963" s="16">
        <f>IF(C1945/J1942&lt;=1.5,0.25,IF(C1945/J1942&gt;=2,0.17,0.17+(0.25-0.17)/(C1945/J1942-1.5)*C1945/J1942))</f>
        <v>0.25</v>
      </c>
      <c r="O1963" s="29" t="s">
        <v>50</v>
      </c>
      <c r="P1963" s="75"/>
      <c r="Q1963" s="75"/>
    </row>
    <row r="1964" spans="2:17" x14ac:dyDescent="0.3">
      <c r="B1964" s="31" t="s">
        <v>115</v>
      </c>
      <c r="C1964" s="37">
        <f>O1959</f>
        <v>89.817490956693987</v>
      </c>
      <c r="D1964" s="29" t="s">
        <v>12</v>
      </c>
      <c r="E1964" s="75"/>
      <c r="F1964" s="75"/>
      <c r="G1964" s="75"/>
      <c r="H1964" s="75"/>
      <c r="I1964" s="19" t="s">
        <v>36</v>
      </c>
      <c r="J1964" s="35">
        <f>J1942*C1943*0.8-J1972</f>
        <v>5393.5714311552301</v>
      </c>
      <c r="K1964" s="16" t="s">
        <v>17</v>
      </c>
      <c r="L1964" s="75"/>
      <c r="M1964" s="19" t="s">
        <v>59</v>
      </c>
      <c r="N1964" s="30">
        <f>SQRT(C1938*0.0980665)*(1/0.0980665)/1000*J1964*N1963</f>
        <v>75.31064987429815</v>
      </c>
      <c r="O1964" s="29" t="s">
        <v>12</v>
      </c>
      <c r="P1964" s="75"/>
      <c r="Q1964" s="75"/>
    </row>
    <row r="1965" spans="2:17" x14ac:dyDescent="0.3">
      <c r="B1965" s="31" t="s">
        <v>116</v>
      </c>
      <c r="C1965" s="37">
        <f>O1974</f>
        <v>140.95493106255552</v>
      </c>
      <c r="D1965" s="29" t="s">
        <v>12</v>
      </c>
      <c r="E1965" s="75"/>
      <c r="F1965" s="75"/>
      <c r="G1965" s="75"/>
      <c r="H1965" s="75"/>
      <c r="I1965" s="19" t="s">
        <v>60</v>
      </c>
      <c r="J1965" s="34">
        <f>MIN(N1964,N1962)</f>
        <v>51.211241914522745</v>
      </c>
      <c r="K1965" s="29" t="s">
        <v>12</v>
      </c>
      <c r="L1965" s="75"/>
      <c r="M1965" s="75"/>
      <c r="N1965" s="75"/>
      <c r="O1965" s="75"/>
      <c r="P1965" s="75"/>
      <c r="Q1965" s="75"/>
    </row>
    <row r="1966" spans="2:17" x14ac:dyDescent="0.3">
      <c r="B1966" s="19" t="s">
        <v>117</v>
      </c>
      <c r="C1966" s="36">
        <f>C1959*2*C1944/C1956/J1939</f>
        <v>4.4879895051282755E-3</v>
      </c>
      <c r="D1966" s="16" t="s">
        <v>50</v>
      </c>
      <c r="E1966" s="75"/>
      <c r="F1966" s="75"/>
      <c r="G1966" s="75"/>
      <c r="H1966" s="75"/>
      <c r="I1966" s="19" t="s">
        <v>39</v>
      </c>
      <c r="J1966" s="34">
        <f>J1963-J1965</f>
        <v>-13.154941914522745</v>
      </c>
      <c r="K1966" s="16" t="s">
        <v>12</v>
      </c>
      <c r="L1966" s="75"/>
      <c r="M1966" s="75"/>
      <c r="N1966" s="75"/>
      <c r="O1966" s="75"/>
      <c r="P1966" s="75"/>
      <c r="Q1966" s="75"/>
    </row>
    <row r="1967" spans="2:17" x14ac:dyDescent="0.3">
      <c r="B1967" s="75"/>
      <c r="C1967" s="75"/>
      <c r="D1967" s="75"/>
      <c r="E1967" s="75"/>
      <c r="F1967" s="75"/>
      <c r="G1967" s="75"/>
      <c r="H1967" s="75"/>
      <c r="I1967" s="19" t="s">
        <v>61</v>
      </c>
      <c r="J1967" s="37">
        <f>MAX(J1966/(C1939*J1942/1000/100)/2,C1960)</f>
        <v>3.125</v>
      </c>
      <c r="K1967" s="29" t="s">
        <v>32</v>
      </c>
      <c r="L1967" s="75"/>
      <c r="M1967" s="75"/>
      <c r="N1967" s="75"/>
      <c r="O1967" s="75"/>
      <c r="P1967" s="75"/>
      <c r="Q1967" s="75"/>
    </row>
    <row r="1968" spans="2:17" x14ac:dyDescent="0.3">
      <c r="B1968" s="75"/>
      <c r="C1968" s="75"/>
      <c r="D1968" s="75"/>
      <c r="E1968" s="75"/>
      <c r="F1968" s="75"/>
      <c r="G1968" s="75"/>
      <c r="H1968" s="75"/>
      <c r="I1968" s="19" t="s">
        <v>65</v>
      </c>
      <c r="J1968" s="36">
        <f>J1967/C1943/100*2</f>
        <v>2.5000000000000001E-3</v>
      </c>
      <c r="K1968" s="16" t="s">
        <v>50</v>
      </c>
      <c r="L1968" s="75"/>
      <c r="M1968" s="75"/>
      <c r="N1968" s="75"/>
      <c r="O1968" s="75"/>
      <c r="P1968" s="75"/>
      <c r="Q1968" s="75"/>
    </row>
    <row r="1969" spans="2:17" x14ac:dyDescent="0.3">
      <c r="B1969" s="75"/>
      <c r="C1969" s="75"/>
      <c r="D1969" s="75"/>
      <c r="E1969" s="75"/>
      <c r="F1969" s="75"/>
      <c r="G1969" s="75"/>
      <c r="H1969" s="75"/>
      <c r="I1969" s="19" t="s">
        <v>53</v>
      </c>
      <c r="J1969" s="16">
        <f>MAX(0.0025,0.0025*0.5*(2.5-C1943/(C1944*0.8))*(J1968-0.0025))</f>
        <v>2.5000000000000001E-3</v>
      </c>
      <c r="K1969" s="29" t="s">
        <v>50</v>
      </c>
      <c r="L1969" s="75"/>
      <c r="M1969" s="39" t="str">
        <f>IF(OR(J1968&gt;J1969,ABS(J1968-J1969)&lt;0.0001),"[OK]","[REDISEÑAR]")</f>
        <v>[OK]</v>
      </c>
      <c r="N1969" s="75"/>
      <c r="O1969" s="75"/>
      <c r="P1969" s="75"/>
      <c r="Q1969" s="75"/>
    </row>
    <row r="1970" spans="2:17" x14ac:dyDescent="0.3">
      <c r="B1970" s="75"/>
      <c r="C1970" s="75"/>
      <c r="D1970" s="75"/>
      <c r="E1970" s="75"/>
      <c r="F1970" s="75"/>
      <c r="G1970" s="75"/>
      <c r="H1970" s="75"/>
      <c r="I1970" s="19" t="s">
        <v>47</v>
      </c>
      <c r="J1970" s="34">
        <f>SQRT(C1938*0.0980665)*(1/0.0980665)/1000*0.66*0.8*C1944*C1943</f>
        <v>249.92723308409288</v>
      </c>
      <c r="K1970" s="16" t="s">
        <v>12</v>
      </c>
      <c r="L1970" s="75"/>
      <c r="M1970" s="40" t="s">
        <v>44</v>
      </c>
      <c r="N1970" s="75"/>
      <c r="O1970" s="15"/>
      <c r="P1970" s="75"/>
      <c r="Q1970" s="75"/>
    </row>
    <row r="1971" spans="2:17" x14ac:dyDescent="0.3">
      <c r="B1971" s="75"/>
      <c r="C1971" s="75"/>
      <c r="D1971" s="75"/>
      <c r="E1971" s="75"/>
      <c r="F1971" s="75"/>
      <c r="G1971" s="75"/>
      <c r="H1971" s="75"/>
      <c r="I1971" s="63" t="s">
        <v>34</v>
      </c>
      <c r="J1971" s="63">
        <f>ROUNDDOWN(1/J1967*C1959*100,0)</f>
        <v>25</v>
      </c>
      <c r="K1971" s="64" t="s">
        <v>5</v>
      </c>
      <c r="L1971" s="75"/>
      <c r="M1971" s="39" t="str">
        <f>IF(OR(J1971&lt;10,J1971&gt;25),"[REDISEÑAR]","[OK")</f>
        <v>[OK</v>
      </c>
      <c r="N1971" s="41" t="s">
        <v>80</v>
      </c>
      <c r="O1971" s="42">
        <f>1/J1967*(C1955/2)^2*PI()</f>
        <v>25.132741228718345</v>
      </c>
      <c r="P1971" s="75" t="str">
        <f>"$\phi$"&amp;C1955&amp;"@"&amp;J1971</f>
        <v>$\phi$10@25</v>
      </c>
      <c r="Q1971" s="75"/>
    </row>
    <row r="1972" spans="2:17" x14ac:dyDescent="0.3">
      <c r="B1972" s="75"/>
      <c r="C1972" s="75"/>
      <c r="D1972" s="75"/>
      <c r="E1972" s="75"/>
      <c r="F1972" s="75"/>
      <c r="G1972" s="75"/>
      <c r="H1972" s="75"/>
      <c r="I1972" s="31" t="s">
        <v>48</v>
      </c>
      <c r="J1972" s="30">
        <f>C1959*2*IF(J1942/C1956&gt;=1,J1942/C1956,0)</f>
        <v>30.428568844769707</v>
      </c>
      <c r="K1972" s="29" t="s">
        <v>17</v>
      </c>
      <c r="L1972" s="75"/>
      <c r="M1972" s="75"/>
      <c r="N1972" s="15"/>
      <c r="O1972" s="15"/>
      <c r="P1972" s="75"/>
      <c r="Q1972" s="75"/>
    </row>
    <row r="1973" spans="2:17" x14ac:dyDescent="0.3">
      <c r="B1973" s="75"/>
      <c r="C1973" s="75"/>
      <c r="D1973" s="75"/>
      <c r="E1973" s="75"/>
      <c r="F1973" s="75"/>
      <c r="G1973" s="75"/>
      <c r="H1973" s="75"/>
      <c r="I1973" s="19" t="s">
        <v>81</v>
      </c>
      <c r="J1973" s="34">
        <f>MIN(J1972*C1939/1000,J1970)</f>
        <v>127.79998914803276</v>
      </c>
      <c r="K1973" s="16" t="s">
        <v>12</v>
      </c>
      <c r="L1973" s="75"/>
      <c r="M1973" s="40" t="s">
        <v>82</v>
      </c>
      <c r="N1973" s="15"/>
      <c r="O1973" s="15"/>
      <c r="P1973" s="75"/>
      <c r="Q1973" s="75"/>
    </row>
    <row r="1974" spans="2:17" x14ac:dyDescent="0.3">
      <c r="B1974" s="75"/>
      <c r="C1974" s="75"/>
      <c r="D1974" s="75"/>
      <c r="E1974" s="75"/>
      <c r="F1974" s="75"/>
      <c r="G1974" s="75"/>
      <c r="H1974" s="75"/>
      <c r="I1974" s="19" t="s">
        <v>79</v>
      </c>
      <c r="J1974" s="34">
        <f>J1973+J1965</f>
        <v>179.01123106255551</v>
      </c>
      <c r="K1974" s="16" t="s">
        <v>12</v>
      </c>
      <c r="L1974" s="75"/>
      <c r="M1974" s="39" t="str">
        <f>IF(J1974&gt;J1963,"[OK]","[REDISEÑAR]")</f>
        <v>[OK]</v>
      </c>
      <c r="N1974" s="41" t="str">
        <f>IF(O1974&gt;0,"Sobrado","Faltan")</f>
        <v>Sobrado</v>
      </c>
      <c r="O1974" s="43">
        <f>J1974-J1963</f>
        <v>140.95493106255552</v>
      </c>
      <c r="P1974" s="75"/>
      <c r="Q1974" s="75"/>
    </row>
    <row r="1975" spans="2:17" x14ac:dyDescent="0.3">
      <c r="B1975" s="75"/>
      <c r="C1975" s="75"/>
      <c r="D1975" s="75"/>
      <c r="E1975" s="75"/>
      <c r="F1975" s="75"/>
      <c r="G1975" s="75"/>
      <c r="H1975" s="75"/>
      <c r="J1975" s="75"/>
      <c r="K1975" s="75"/>
      <c r="L1975" s="75"/>
      <c r="M1975" s="75"/>
      <c r="N1975" s="75"/>
      <c r="O1975" s="75"/>
      <c r="P1975" s="75"/>
      <c r="Q1975" s="75"/>
    </row>
    <row r="1976" spans="2:17" x14ac:dyDescent="0.3">
      <c r="B1976" s="75"/>
      <c r="C1976" s="75"/>
      <c r="D1976" s="75"/>
      <c r="E1976" s="75"/>
      <c r="F1976" s="75"/>
      <c r="G1976" s="75"/>
      <c r="H1976" s="75"/>
      <c r="I1976" s="18" t="s">
        <v>45</v>
      </c>
      <c r="J1976" s="75"/>
      <c r="K1976" s="75"/>
      <c r="L1976" s="75"/>
      <c r="M1976" s="75"/>
      <c r="N1976" s="75"/>
      <c r="O1976" s="15"/>
      <c r="P1976" s="75"/>
      <c r="Q1976" s="75"/>
    </row>
    <row r="1977" spans="2:17" x14ac:dyDescent="0.3">
      <c r="B1977" s="75"/>
      <c r="C1977" s="75"/>
      <c r="D1977" s="75"/>
      <c r="E1977" s="75"/>
      <c r="F1977" s="75"/>
      <c r="G1977" s="75"/>
      <c r="H1977" s="75"/>
      <c r="I1977" s="19" t="s">
        <v>40</v>
      </c>
      <c r="J1977" s="16">
        <f>J1951</f>
        <v>22.833780000000001</v>
      </c>
      <c r="K1977" s="16" t="s">
        <v>12</v>
      </c>
      <c r="L1977" s="75"/>
      <c r="M1977" s="75"/>
      <c r="N1977" s="75"/>
      <c r="O1977" s="26"/>
      <c r="P1977" s="75"/>
      <c r="Q1977" s="75"/>
    </row>
    <row r="1978" spans="2:17" x14ac:dyDescent="0.3">
      <c r="B1978" s="75"/>
      <c r="C1978" s="75"/>
      <c r="D1978" s="75"/>
      <c r="E1978" s="75"/>
      <c r="F1978" s="75"/>
      <c r="G1978" s="75"/>
      <c r="H1978" s="75"/>
      <c r="I1978" s="19" t="s">
        <v>46</v>
      </c>
      <c r="J1978" s="34">
        <f>J1963</f>
        <v>38.0563</v>
      </c>
      <c r="K1978" s="16" t="s">
        <v>12</v>
      </c>
      <c r="L1978" s="75"/>
      <c r="M1978" s="75"/>
      <c r="N1978" s="75"/>
      <c r="O1978" s="75"/>
      <c r="P1978" s="75"/>
      <c r="Q1978" s="75"/>
    </row>
    <row r="1979" spans="2:17" x14ac:dyDescent="0.3">
      <c r="B1979" s="75"/>
      <c r="C1979" s="75"/>
      <c r="D1979" s="75"/>
      <c r="E1979" s="75"/>
      <c r="F1979" s="75"/>
      <c r="G1979" s="75"/>
      <c r="H1979" s="75"/>
      <c r="I1979" s="19" t="s">
        <v>38</v>
      </c>
      <c r="J1979" s="34">
        <f>2/3*J1964*SQRT(C1938*0.0980665)*(1/0.0980665)/1000</f>
        <v>200.82839966479511</v>
      </c>
      <c r="K1979" s="16" t="s">
        <v>12</v>
      </c>
      <c r="L1979" s="75"/>
      <c r="M1979" s="39" t="str">
        <f>IF(J1979&gt;J1978,"[OK]","[REDISEÑAR]")</f>
        <v>[OK]</v>
      </c>
      <c r="N1979" s="41" t="str">
        <f>IF(O1979&gt;0,"Sobrado","Faltan")</f>
        <v>Sobrado</v>
      </c>
      <c r="O1979" s="43">
        <f>J1979-J1978</f>
        <v>162.77209966479512</v>
      </c>
      <c r="P1979" s="75"/>
      <c r="Q1979" s="7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PLANTILLA BASE</vt:lpstr>
      <vt:lpstr>TABLAS</vt:lpstr>
      <vt:lpstr>PIER-FORCES</vt:lpstr>
      <vt:lpstr>EJE 15</vt:lpstr>
      <vt:lpstr>Sheet2</vt:lpstr>
      <vt:lpstr>PLANILLAS EJE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2018-12-29T02:50:55Z</dcterms:modified>
</cp:coreProperties>
</file>