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38F01306-A356-4FD2-B3CD-179873C2F2F6}" xr6:coauthVersionLast="38" xr6:coauthVersionMax="38" xr10:uidLastSave="{00000000-0000-0000-0000-000000000000}"/>
  <bookViews>
    <workbookView xWindow="0" yWindow="0" windowWidth="23040" windowHeight="9000" firstSheet="3" activeTab="14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</sheets>
  <definedNames>
    <definedName name="_xlnm._FilterDatabase" localSheetId="0" hidden="1">tablas!$C$2:$C$92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7" l="1"/>
  <c r="K7" i="17"/>
  <c r="J7" i="17"/>
  <c r="I7" i="17"/>
  <c r="H7" i="17"/>
  <c r="F7" i="17"/>
  <c r="G7" i="17"/>
  <c r="E7" i="17"/>
  <c r="C7" i="17"/>
  <c r="D38" i="8"/>
  <c r="D39" i="8"/>
  <c r="C39" i="8"/>
  <c r="C8" i="16"/>
  <c r="C7" i="16"/>
  <c r="C6" i="16"/>
  <c r="W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X59" i="7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7" i="1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71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E37" i="8"/>
  <c r="D37" i="8"/>
  <c r="C37" i="8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78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57" i="4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5" i="1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6" i="10"/>
  <c r="C66" i="2" l="1"/>
  <c r="C36" i="9"/>
  <c r="C35" i="9"/>
  <c r="C23" i="9"/>
  <c r="C21" i="9"/>
  <c r="C20" i="9"/>
  <c r="C12" i="9"/>
  <c r="C13" i="9" s="1"/>
  <c r="I7" i="9"/>
  <c r="C7" i="9"/>
  <c r="I6" i="9"/>
  <c r="C6" i="9"/>
  <c r="E38" i="8"/>
  <c r="C38" i="8"/>
  <c r="E25" i="8"/>
  <c r="D25" i="8"/>
  <c r="C25" i="8"/>
  <c r="E23" i="8"/>
  <c r="D23" i="8"/>
  <c r="C23" i="8"/>
  <c r="E22" i="8"/>
  <c r="D22" i="8"/>
  <c r="C22" i="8"/>
  <c r="C12" i="8"/>
  <c r="C13" i="8" s="1"/>
  <c r="I7" i="8"/>
  <c r="C7" i="8"/>
  <c r="I6" i="8"/>
  <c r="C6" i="8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C12" i="7"/>
  <c r="C13" i="7" s="1"/>
  <c r="I7" i="7"/>
  <c r="C7" i="7"/>
  <c r="I6" i="7"/>
  <c r="C6" i="7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V46" i="6" s="1"/>
  <c r="U41" i="6"/>
  <c r="U46" i="6" s="1"/>
  <c r="T41" i="6"/>
  <c r="S41" i="6"/>
  <c r="R41" i="6"/>
  <c r="R46" i="6" s="1"/>
  <c r="Q41" i="6"/>
  <c r="Q46" i="6" s="1"/>
  <c r="P41" i="6"/>
  <c r="O41" i="6"/>
  <c r="N41" i="6"/>
  <c r="N46" i="6" s="1"/>
  <c r="M41" i="6"/>
  <c r="L41" i="6"/>
  <c r="K41" i="6"/>
  <c r="J41" i="6"/>
  <c r="J46" i="6" s="1"/>
  <c r="I41" i="6"/>
  <c r="H41" i="6"/>
  <c r="G41" i="6"/>
  <c r="F41" i="6"/>
  <c r="F46" i="6" s="1"/>
  <c r="E41" i="6"/>
  <c r="D41" i="6"/>
  <c r="C41" i="6"/>
  <c r="C12" i="6"/>
  <c r="C13" i="6" s="1"/>
  <c r="I7" i="6"/>
  <c r="C7" i="6"/>
  <c r="I6" i="6"/>
  <c r="I8" i="6" s="1"/>
  <c r="R58" i="6" s="1"/>
  <c r="R59" i="6" s="1"/>
  <c r="C6" i="6"/>
  <c r="J68" i="4"/>
  <c r="K68" i="4"/>
  <c r="N68" i="4"/>
  <c r="O68" i="4"/>
  <c r="P68" i="4"/>
  <c r="Q68" i="4"/>
  <c r="R68" i="4"/>
  <c r="S68" i="4"/>
  <c r="T68" i="4"/>
  <c r="U68" i="4"/>
  <c r="V68" i="4"/>
  <c r="W68" i="4"/>
  <c r="X54" i="4"/>
  <c r="X53" i="4"/>
  <c r="X52" i="4"/>
  <c r="X51" i="4"/>
  <c r="X50" i="4"/>
  <c r="X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D54" i="4"/>
  <c r="D53" i="4"/>
  <c r="D52" i="4"/>
  <c r="D51" i="4"/>
  <c r="D50" i="4"/>
  <c r="D49" i="4"/>
  <c r="C50" i="4"/>
  <c r="C54" i="4"/>
  <c r="C53" i="4"/>
  <c r="C52" i="4"/>
  <c r="C51" i="4"/>
  <c r="C49" i="4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12" i="5"/>
  <c r="C13" i="5" s="1"/>
  <c r="I7" i="5"/>
  <c r="C7" i="5"/>
  <c r="I6" i="5"/>
  <c r="I8" i="5" s="1"/>
  <c r="C6" i="5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4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2" i="4"/>
  <c r="C41" i="4"/>
  <c r="X57" i="4"/>
  <c r="W57" i="4"/>
  <c r="V57" i="4"/>
  <c r="U57" i="4"/>
  <c r="T57" i="4"/>
  <c r="S57" i="4"/>
  <c r="R57" i="4"/>
  <c r="Q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C12" i="4"/>
  <c r="C13" i="4" s="1"/>
  <c r="I7" i="4"/>
  <c r="C7" i="4"/>
  <c r="I6" i="4"/>
  <c r="C6" i="4"/>
  <c r="W40" i="3"/>
  <c r="W41" i="3"/>
  <c r="W43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C12" i="3"/>
  <c r="C13" i="3" s="1"/>
  <c r="I7" i="3"/>
  <c r="C7" i="3"/>
  <c r="I6" i="3"/>
  <c r="C6" i="3"/>
  <c r="AC48" i="2"/>
  <c r="AD48" i="2"/>
  <c r="AE48" i="2"/>
  <c r="AC49" i="2"/>
  <c r="AD49" i="2"/>
  <c r="AE49" i="2"/>
  <c r="AC51" i="2"/>
  <c r="AD51" i="2"/>
  <c r="AE51" i="2"/>
  <c r="AC64" i="2"/>
  <c r="AD64" i="2"/>
  <c r="AE64" i="2"/>
  <c r="S48" i="2"/>
  <c r="T48" i="2"/>
  <c r="U48" i="2"/>
  <c r="V48" i="2"/>
  <c r="W48" i="2"/>
  <c r="X48" i="2"/>
  <c r="Y48" i="2"/>
  <c r="Z48" i="2"/>
  <c r="AA48" i="2"/>
  <c r="AB48" i="2"/>
  <c r="S49" i="2"/>
  <c r="T49" i="2"/>
  <c r="U49" i="2"/>
  <c r="V49" i="2"/>
  <c r="W49" i="2"/>
  <c r="X49" i="2"/>
  <c r="Y49" i="2"/>
  <c r="Z49" i="2"/>
  <c r="Z53" i="2" s="1"/>
  <c r="Z59" i="2" s="1"/>
  <c r="AA49" i="2"/>
  <c r="AB49" i="2"/>
  <c r="S51" i="2"/>
  <c r="T51" i="2"/>
  <c r="U51" i="2"/>
  <c r="V51" i="2"/>
  <c r="W51" i="2"/>
  <c r="X51" i="2"/>
  <c r="Y51" i="2"/>
  <c r="Z51" i="2"/>
  <c r="AA51" i="2"/>
  <c r="AB51" i="2"/>
  <c r="S64" i="2"/>
  <c r="T64" i="2"/>
  <c r="U64" i="2"/>
  <c r="V64" i="2"/>
  <c r="W64" i="2"/>
  <c r="X64" i="2"/>
  <c r="Y64" i="2"/>
  <c r="Z64" i="2"/>
  <c r="AA64" i="2"/>
  <c r="AB64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D51" i="2"/>
  <c r="D64" i="2"/>
  <c r="D49" i="2"/>
  <c r="D48" i="2"/>
  <c r="C51" i="2"/>
  <c r="C49" i="2"/>
  <c r="C48" i="2"/>
  <c r="C12" i="2"/>
  <c r="C13" i="2" s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11" i="1"/>
  <c r="Q9" i="1"/>
  <c r="Q8" i="1"/>
  <c r="Q7" i="1"/>
  <c r="Q6" i="1"/>
  <c r="Q5" i="1"/>
  <c r="Q4" i="1"/>
  <c r="Q3" i="1"/>
  <c r="C64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15" i="1"/>
  <c r="I7" i="2"/>
  <c r="C7" i="2"/>
  <c r="C6" i="2"/>
  <c r="I6" i="2"/>
  <c r="D7" i="10" l="1"/>
  <c r="D15" i="10"/>
  <c r="D23" i="10"/>
  <c r="D31" i="10"/>
  <c r="C67" i="2"/>
  <c r="D8" i="10"/>
  <c r="D16" i="10"/>
  <c r="D24" i="10"/>
  <c r="D32" i="10"/>
  <c r="D21" i="10"/>
  <c r="D30" i="10"/>
  <c r="D9" i="10"/>
  <c r="D17" i="10"/>
  <c r="D25" i="10"/>
  <c r="D33" i="10"/>
  <c r="D11" i="10"/>
  <c r="D27" i="10"/>
  <c r="D12" i="10"/>
  <c r="D28" i="10"/>
  <c r="D29" i="10"/>
  <c r="D6" i="10"/>
  <c r="D10" i="10"/>
  <c r="D18" i="10"/>
  <c r="D26" i="10"/>
  <c r="D34" i="10"/>
  <c r="D19" i="10"/>
  <c r="D14" i="10"/>
  <c r="D13" i="10"/>
  <c r="D22" i="10"/>
  <c r="D20" i="10"/>
  <c r="C68" i="2"/>
  <c r="Z75" i="2"/>
  <c r="Z56" i="2"/>
  <c r="Z60" i="2"/>
  <c r="Z57" i="2"/>
  <c r="Z61" i="2"/>
  <c r="Z58" i="2"/>
  <c r="I8" i="9"/>
  <c r="C37" i="9" s="1"/>
  <c r="C38" i="9" s="1"/>
  <c r="C25" i="9"/>
  <c r="I8" i="8"/>
  <c r="E27" i="8"/>
  <c r="E32" i="8" s="1"/>
  <c r="C27" i="8"/>
  <c r="E39" i="8"/>
  <c r="E40" i="8" s="1"/>
  <c r="E41" i="8" s="1"/>
  <c r="D27" i="8"/>
  <c r="C40" i="8"/>
  <c r="C41" i="8" s="1"/>
  <c r="D40" i="8"/>
  <c r="I8" i="7"/>
  <c r="Q58" i="7" s="1"/>
  <c r="C58" i="7"/>
  <c r="C59" i="7" s="1"/>
  <c r="K58" i="7"/>
  <c r="O58" i="7"/>
  <c r="S58" i="7"/>
  <c r="C46" i="7"/>
  <c r="C54" i="7" s="1"/>
  <c r="E46" i="7"/>
  <c r="I46" i="7"/>
  <c r="I52" i="7" s="1"/>
  <c r="M46" i="7"/>
  <c r="M50" i="7" s="1"/>
  <c r="Q46" i="7"/>
  <c r="Q52" i="7" s="1"/>
  <c r="U46" i="7"/>
  <c r="G46" i="7"/>
  <c r="G50" i="7" s="1"/>
  <c r="K46" i="7"/>
  <c r="K68" i="7" s="1"/>
  <c r="O46" i="7"/>
  <c r="O52" i="7" s="1"/>
  <c r="S46" i="7"/>
  <c r="S47" i="7" s="1"/>
  <c r="S43" i="7" s="1"/>
  <c r="W46" i="7"/>
  <c r="W54" i="7" s="1"/>
  <c r="S54" i="7"/>
  <c r="F46" i="7"/>
  <c r="F49" i="7" s="1"/>
  <c r="N46" i="7"/>
  <c r="N54" i="7" s="1"/>
  <c r="V46" i="7"/>
  <c r="V49" i="7" s="1"/>
  <c r="J46" i="7"/>
  <c r="J50" i="7" s="1"/>
  <c r="R46" i="7"/>
  <c r="D46" i="7"/>
  <c r="D50" i="7" s="1"/>
  <c r="H46" i="7"/>
  <c r="H49" i="7" s="1"/>
  <c r="L46" i="7"/>
  <c r="L51" i="7" s="1"/>
  <c r="P46" i="7"/>
  <c r="P47" i="7" s="1"/>
  <c r="P43" i="7" s="1"/>
  <c r="T46" i="7"/>
  <c r="T54" i="7" s="1"/>
  <c r="X46" i="7"/>
  <c r="X51" i="7" s="1"/>
  <c r="Q60" i="7"/>
  <c r="K60" i="7"/>
  <c r="O61" i="7"/>
  <c r="S68" i="7"/>
  <c r="E54" i="7"/>
  <c r="E52" i="7"/>
  <c r="E53" i="7"/>
  <c r="E50" i="7"/>
  <c r="E47" i="7"/>
  <c r="E43" i="7" s="1"/>
  <c r="E51" i="7"/>
  <c r="E49" i="7"/>
  <c r="I49" i="7"/>
  <c r="M52" i="7"/>
  <c r="M53" i="7"/>
  <c r="Q54" i="7"/>
  <c r="Q50" i="7"/>
  <c r="Q63" i="7"/>
  <c r="U68" i="7"/>
  <c r="U54" i="7"/>
  <c r="U52" i="7"/>
  <c r="U53" i="7"/>
  <c r="U50" i="7"/>
  <c r="U47" i="7"/>
  <c r="U43" i="7" s="1"/>
  <c r="U51" i="7"/>
  <c r="U49" i="7"/>
  <c r="J51" i="7"/>
  <c r="R47" i="7"/>
  <c r="R43" i="7" s="1"/>
  <c r="C47" i="7"/>
  <c r="C43" i="7" s="1"/>
  <c r="O50" i="7"/>
  <c r="W50" i="7"/>
  <c r="C52" i="7"/>
  <c r="H51" i="7"/>
  <c r="P54" i="7"/>
  <c r="T49" i="7"/>
  <c r="F54" i="7"/>
  <c r="F53" i="7"/>
  <c r="F52" i="7"/>
  <c r="V47" i="7"/>
  <c r="V43" i="7" s="1"/>
  <c r="F51" i="7"/>
  <c r="C53" i="7"/>
  <c r="C51" i="7"/>
  <c r="C49" i="7"/>
  <c r="K51" i="7"/>
  <c r="O54" i="7"/>
  <c r="S53" i="7"/>
  <c r="S51" i="7"/>
  <c r="S49" i="7"/>
  <c r="Q61" i="7"/>
  <c r="U58" i="7"/>
  <c r="U60" i="7" s="1"/>
  <c r="M58" i="7"/>
  <c r="M60" i="7" s="1"/>
  <c r="E58" i="7"/>
  <c r="E60" i="7" s="1"/>
  <c r="T58" i="7"/>
  <c r="L58" i="7"/>
  <c r="L60" i="7" s="1"/>
  <c r="D58" i="7"/>
  <c r="D60" i="7" s="1"/>
  <c r="L52" i="7"/>
  <c r="C50" i="7"/>
  <c r="S50" i="7"/>
  <c r="H52" i="7"/>
  <c r="S52" i="7"/>
  <c r="G54" i="7"/>
  <c r="H58" i="7"/>
  <c r="H60" i="7" s="1"/>
  <c r="X58" i="7"/>
  <c r="X60" i="7" s="1"/>
  <c r="F58" i="7"/>
  <c r="F60" i="7" s="1"/>
  <c r="J58" i="7"/>
  <c r="J60" i="7" s="1"/>
  <c r="N58" i="7"/>
  <c r="R58" i="7"/>
  <c r="R78" i="7" s="1"/>
  <c r="Z107" i="7" s="1"/>
  <c r="V58" i="7"/>
  <c r="V73" i="7" s="1"/>
  <c r="R60" i="6"/>
  <c r="D46" i="6"/>
  <c r="D54" i="6" s="1"/>
  <c r="H46" i="6"/>
  <c r="H52" i="6" s="1"/>
  <c r="L46" i="6"/>
  <c r="L50" i="6" s="1"/>
  <c r="P46" i="6"/>
  <c r="T46" i="6"/>
  <c r="X46" i="6"/>
  <c r="X52" i="6" s="1"/>
  <c r="E46" i="6"/>
  <c r="E51" i="6" s="1"/>
  <c r="I46" i="6"/>
  <c r="I54" i="6" s="1"/>
  <c r="M46" i="6"/>
  <c r="U54" i="6"/>
  <c r="U52" i="6"/>
  <c r="U50" i="6"/>
  <c r="U47" i="6"/>
  <c r="U43" i="6" s="1"/>
  <c r="U53" i="6"/>
  <c r="U49" i="6"/>
  <c r="U51" i="6"/>
  <c r="F54" i="6"/>
  <c r="F52" i="6"/>
  <c r="F50" i="6"/>
  <c r="F47" i="6"/>
  <c r="F43" i="6" s="1"/>
  <c r="F53" i="6"/>
  <c r="F49" i="6"/>
  <c r="F51" i="6"/>
  <c r="J54" i="6"/>
  <c r="J52" i="6"/>
  <c r="J50" i="6"/>
  <c r="J47" i="6"/>
  <c r="J43" i="6" s="1"/>
  <c r="J51" i="6"/>
  <c r="J53" i="6"/>
  <c r="J49" i="6"/>
  <c r="N54" i="6"/>
  <c r="N52" i="6"/>
  <c r="N50" i="6"/>
  <c r="N47" i="6"/>
  <c r="N43" i="6" s="1"/>
  <c r="N53" i="6"/>
  <c r="N49" i="6"/>
  <c r="N51" i="6"/>
  <c r="R54" i="6"/>
  <c r="R52" i="6"/>
  <c r="R78" i="6" s="1"/>
  <c r="R50" i="6"/>
  <c r="R47" i="6"/>
  <c r="R43" i="6" s="1"/>
  <c r="R51" i="6"/>
  <c r="R73" i="6" s="1"/>
  <c r="R53" i="6"/>
  <c r="R49" i="6"/>
  <c r="V54" i="6"/>
  <c r="V52" i="6"/>
  <c r="V50" i="6"/>
  <c r="V47" i="6"/>
  <c r="V43" i="6" s="1"/>
  <c r="V53" i="6"/>
  <c r="V49" i="6"/>
  <c r="V51" i="6"/>
  <c r="M54" i="6"/>
  <c r="M52" i="6"/>
  <c r="M50" i="6"/>
  <c r="M47" i="6"/>
  <c r="M43" i="6" s="1"/>
  <c r="M53" i="6"/>
  <c r="M49" i="6"/>
  <c r="M51" i="6"/>
  <c r="Q54" i="6"/>
  <c r="Q52" i="6"/>
  <c r="Q50" i="6"/>
  <c r="Q47" i="6"/>
  <c r="Q43" i="6" s="1"/>
  <c r="Q51" i="6"/>
  <c r="Q53" i="6"/>
  <c r="Q49" i="6"/>
  <c r="E58" i="6"/>
  <c r="E59" i="6" s="1"/>
  <c r="E60" i="6" s="1"/>
  <c r="M58" i="6"/>
  <c r="M59" i="6" s="1"/>
  <c r="M60" i="6" s="1"/>
  <c r="U58" i="6"/>
  <c r="U59" i="6" s="1"/>
  <c r="U60" i="6" s="1"/>
  <c r="H47" i="6"/>
  <c r="H43" i="6" s="1"/>
  <c r="X47" i="6"/>
  <c r="X43" i="6" s="1"/>
  <c r="D50" i="6"/>
  <c r="T50" i="6"/>
  <c r="L54" i="6"/>
  <c r="T54" i="6"/>
  <c r="F58" i="6"/>
  <c r="F59" i="6" s="1"/>
  <c r="F60" i="6" s="1"/>
  <c r="N58" i="6"/>
  <c r="N59" i="6" s="1"/>
  <c r="N60" i="6" s="1"/>
  <c r="V58" i="6"/>
  <c r="V59" i="6" s="1"/>
  <c r="V60" i="6" s="1"/>
  <c r="C46" i="6"/>
  <c r="G46" i="6"/>
  <c r="K46" i="6"/>
  <c r="O46" i="6"/>
  <c r="S46" i="6"/>
  <c r="W46" i="6"/>
  <c r="M61" i="6"/>
  <c r="C58" i="6"/>
  <c r="C59" i="6" s="1"/>
  <c r="G58" i="6"/>
  <c r="G59" i="6" s="1"/>
  <c r="K58" i="6"/>
  <c r="K59" i="6" s="1"/>
  <c r="O58" i="6"/>
  <c r="O59" i="6" s="1"/>
  <c r="S58" i="6"/>
  <c r="S59" i="6" s="1"/>
  <c r="W58" i="6"/>
  <c r="W59" i="6" s="1"/>
  <c r="I58" i="6"/>
  <c r="I59" i="6" s="1"/>
  <c r="I60" i="6" s="1"/>
  <c r="Q58" i="6"/>
  <c r="Q59" i="6" s="1"/>
  <c r="Q60" i="6" s="1"/>
  <c r="D53" i="6"/>
  <c r="D51" i="6"/>
  <c r="D49" i="6"/>
  <c r="H53" i="6"/>
  <c r="H51" i="6"/>
  <c r="H49" i="6"/>
  <c r="T53" i="6"/>
  <c r="T51" i="6"/>
  <c r="T49" i="6"/>
  <c r="X53" i="6"/>
  <c r="X51" i="6"/>
  <c r="X49" i="6"/>
  <c r="D47" i="6"/>
  <c r="D43" i="6" s="1"/>
  <c r="T47" i="6"/>
  <c r="T43" i="6" s="1"/>
  <c r="H50" i="6"/>
  <c r="X50" i="6"/>
  <c r="D52" i="6"/>
  <c r="T52" i="6"/>
  <c r="H54" i="6"/>
  <c r="X54" i="6"/>
  <c r="F61" i="6"/>
  <c r="N61" i="6"/>
  <c r="R61" i="6"/>
  <c r="R63" i="6" s="1"/>
  <c r="D58" i="6"/>
  <c r="D59" i="6" s="1"/>
  <c r="H58" i="6"/>
  <c r="H59" i="6" s="1"/>
  <c r="L58" i="6"/>
  <c r="L59" i="6" s="1"/>
  <c r="P58" i="6"/>
  <c r="P59" i="6" s="1"/>
  <c r="T58" i="6"/>
  <c r="T59" i="6" s="1"/>
  <c r="X58" i="6"/>
  <c r="X59" i="6" s="1"/>
  <c r="J58" i="6"/>
  <c r="J59" i="6" s="1"/>
  <c r="J60" i="6" s="1"/>
  <c r="F58" i="5"/>
  <c r="J58" i="5"/>
  <c r="N58" i="5"/>
  <c r="R58" i="5"/>
  <c r="R59" i="5" s="1"/>
  <c r="V58" i="5"/>
  <c r="E58" i="5"/>
  <c r="I58" i="5"/>
  <c r="M58" i="5"/>
  <c r="M59" i="5" s="1"/>
  <c r="Q58" i="5"/>
  <c r="U58" i="5"/>
  <c r="E59" i="5"/>
  <c r="E61" i="5" s="1"/>
  <c r="I59" i="5"/>
  <c r="I61" i="5" s="1"/>
  <c r="Q59" i="5"/>
  <c r="Q60" i="5" s="1"/>
  <c r="U59" i="5"/>
  <c r="D46" i="5"/>
  <c r="D47" i="5" s="1"/>
  <c r="D43" i="5" s="1"/>
  <c r="H46" i="5"/>
  <c r="L46" i="5"/>
  <c r="P46" i="5"/>
  <c r="T46" i="5"/>
  <c r="X46" i="5"/>
  <c r="F59" i="5"/>
  <c r="F60" i="5" s="1"/>
  <c r="J59" i="5"/>
  <c r="J60" i="5" s="1"/>
  <c r="N59" i="5"/>
  <c r="N60" i="5" s="1"/>
  <c r="V59" i="5"/>
  <c r="V60" i="5" s="1"/>
  <c r="C46" i="5"/>
  <c r="G46" i="5"/>
  <c r="K46" i="5"/>
  <c r="O46" i="5"/>
  <c r="O47" i="5" s="1"/>
  <c r="O43" i="5" s="1"/>
  <c r="S46" i="5"/>
  <c r="W46" i="5"/>
  <c r="E46" i="5"/>
  <c r="I46" i="5"/>
  <c r="M46" i="5"/>
  <c r="Q46" i="5"/>
  <c r="U46" i="5"/>
  <c r="I60" i="5"/>
  <c r="U60" i="5"/>
  <c r="F46" i="5"/>
  <c r="J46" i="5"/>
  <c r="N46" i="5"/>
  <c r="N47" i="5" s="1"/>
  <c r="N43" i="5" s="1"/>
  <c r="R46" i="5"/>
  <c r="V46" i="5"/>
  <c r="X47" i="5"/>
  <c r="X43" i="5" s="1"/>
  <c r="O58" i="5"/>
  <c r="O59" i="5" s="1"/>
  <c r="O60" i="5" s="1"/>
  <c r="C58" i="5"/>
  <c r="C59" i="5" s="1"/>
  <c r="C60" i="5" s="1"/>
  <c r="S58" i="5"/>
  <c r="S59" i="5" s="1"/>
  <c r="S60" i="5" s="1"/>
  <c r="G58" i="5"/>
  <c r="G59" i="5" s="1"/>
  <c r="G60" i="5" s="1"/>
  <c r="X58" i="5"/>
  <c r="X59" i="5" s="1"/>
  <c r="X60" i="5" s="1"/>
  <c r="T58" i="5"/>
  <c r="T59" i="5" s="1"/>
  <c r="T60" i="5" s="1"/>
  <c r="P58" i="5"/>
  <c r="P59" i="5" s="1"/>
  <c r="P60" i="5" s="1"/>
  <c r="L58" i="5"/>
  <c r="L59" i="5" s="1"/>
  <c r="L60" i="5" s="1"/>
  <c r="H58" i="5"/>
  <c r="H59" i="5" s="1"/>
  <c r="H60" i="5" s="1"/>
  <c r="D58" i="5"/>
  <c r="D59" i="5" s="1"/>
  <c r="D60" i="5" s="1"/>
  <c r="W58" i="5"/>
  <c r="W59" i="5" s="1"/>
  <c r="W60" i="5" s="1"/>
  <c r="K58" i="5"/>
  <c r="K59" i="5" s="1"/>
  <c r="K60" i="5" s="1"/>
  <c r="M47" i="5"/>
  <c r="M43" i="5" s="1"/>
  <c r="H47" i="5"/>
  <c r="H43" i="5" s="1"/>
  <c r="T47" i="5"/>
  <c r="T43" i="5" s="1"/>
  <c r="C53" i="5"/>
  <c r="K47" i="5"/>
  <c r="K43" i="5" s="1"/>
  <c r="E47" i="5"/>
  <c r="E43" i="5" s="1"/>
  <c r="I47" i="5"/>
  <c r="I43" i="5" s="1"/>
  <c r="U47" i="5"/>
  <c r="U43" i="5" s="1"/>
  <c r="J47" i="5"/>
  <c r="J43" i="5" s="1"/>
  <c r="U61" i="5"/>
  <c r="I8" i="4"/>
  <c r="X58" i="4" s="1"/>
  <c r="X60" i="4" s="1"/>
  <c r="X46" i="4"/>
  <c r="X47" i="4" s="1"/>
  <c r="X43" i="4" s="1"/>
  <c r="D46" i="4"/>
  <c r="H46" i="4"/>
  <c r="L46" i="4"/>
  <c r="P46" i="4"/>
  <c r="T46" i="4"/>
  <c r="E46" i="4"/>
  <c r="I46" i="4"/>
  <c r="I47" i="4" s="1"/>
  <c r="I43" i="4" s="1"/>
  <c r="M46" i="4"/>
  <c r="Q46" i="4"/>
  <c r="U46" i="4"/>
  <c r="F46" i="4"/>
  <c r="F47" i="4" s="1"/>
  <c r="F43" i="4" s="1"/>
  <c r="J46" i="4"/>
  <c r="J47" i="4" s="1"/>
  <c r="J43" i="4" s="1"/>
  <c r="N46" i="4"/>
  <c r="R46" i="4"/>
  <c r="R47" i="4" s="1"/>
  <c r="R43" i="4" s="1"/>
  <c r="V46" i="4"/>
  <c r="V47" i="4" s="1"/>
  <c r="V43" i="4" s="1"/>
  <c r="G46" i="4"/>
  <c r="K46" i="4"/>
  <c r="O46" i="4"/>
  <c r="O47" i="4" s="1"/>
  <c r="O43" i="4" s="1"/>
  <c r="S46" i="4"/>
  <c r="W46" i="4"/>
  <c r="C46" i="4"/>
  <c r="U58" i="4"/>
  <c r="Q58" i="4"/>
  <c r="M58" i="4"/>
  <c r="M60" i="4" s="1"/>
  <c r="I58" i="4"/>
  <c r="I60" i="4" s="1"/>
  <c r="E58" i="4"/>
  <c r="E60" i="4" s="1"/>
  <c r="T58" i="4"/>
  <c r="P58" i="4"/>
  <c r="L58" i="4"/>
  <c r="L60" i="4" s="1"/>
  <c r="H58" i="4"/>
  <c r="H60" i="4" s="1"/>
  <c r="D58" i="4"/>
  <c r="D60" i="4" s="1"/>
  <c r="V58" i="4"/>
  <c r="R58" i="4"/>
  <c r="N58" i="4"/>
  <c r="J58" i="4"/>
  <c r="F58" i="4"/>
  <c r="F60" i="4" s="1"/>
  <c r="E47" i="4"/>
  <c r="E43" i="4" s="1"/>
  <c r="C58" i="4"/>
  <c r="C59" i="4" s="1"/>
  <c r="G58" i="4"/>
  <c r="K58" i="4"/>
  <c r="O58" i="4"/>
  <c r="S58" i="4"/>
  <c r="W58" i="4"/>
  <c r="I8" i="3"/>
  <c r="W57" i="3"/>
  <c r="W60" i="3" s="1"/>
  <c r="W45" i="3"/>
  <c r="G45" i="3"/>
  <c r="K45" i="3"/>
  <c r="C45" i="3"/>
  <c r="E45" i="3"/>
  <c r="I45" i="3"/>
  <c r="M45" i="3"/>
  <c r="Q45" i="3"/>
  <c r="U45" i="3"/>
  <c r="D45" i="3"/>
  <c r="H45" i="3"/>
  <c r="L45" i="3"/>
  <c r="P45" i="3"/>
  <c r="T45" i="3"/>
  <c r="O45" i="3"/>
  <c r="S45" i="3"/>
  <c r="F45" i="3"/>
  <c r="J45" i="3"/>
  <c r="N45" i="3"/>
  <c r="R45" i="3"/>
  <c r="V45" i="3"/>
  <c r="I46" i="3"/>
  <c r="I42" i="3" s="1"/>
  <c r="G46" i="3"/>
  <c r="G42" i="3" s="1"/>
  <c r="D57" i="3"/>
  <c r="D59" i="3" s="1"/>
  <c r="H57" i="3"/>
  <c r="H59" i="3" s="1"/>
  <c r="L57" i="3"/>
  <c r="L59" i="3" s="1"/>
  <c r="P57" i="3"/>
  <c r="T57" i="3"/>
  <c r="T59" i="3" s="1"/>
  <c r="E57" i="3"/>
  <c r="E59" i="3" s="1"/>
  <c r="I57" i="3"/>
  <c r="I59" i="3" s="1"/>
  <c r="M57" i="3"/>
  <c r="M59" i="3" s="1"/>
  <c r="Q57" i="3"/>
  <c r="Q59" i="3" s="1"/>
  <c r="U57" i="3"/>
  <c r="U59" i="3" s="1"/>
  <c r="F57" i="3"/>
  <c r="F59" i="3" s="1"/>
  <c r="J57" i="3"/>
  <c r="J59" i="3" s="1"/>
  <c r="N57" i="3"/>
  <c r="N59" i="3" s="1"/>
  <c r="R57" i="3"/>
  <c r="R59" i="3" s="1"/>
  <c r="V57" i="3"/>
  <c r="V59" i="3" s="1"/>
  <c r="J46" i="3"/>
  <c r="J42" i="3" s="1"/>
  <c r="N46" i="3"/>
  <c r="N42" i="3" s="1"/>
  <c r="C57" i="3"/>
  <c r="C58" i="3" s="1"/>
  <c r="C59" i="3" s="1"/>
  <c r="G57" i="3"/>
  <c r="G59" i="3" s="1"/>
  <c r="K57" i="3"/>
  <c r="K59" i="3" s="1"/>
  <c r="O57" i="3"/>
  <c r="O59" i="3" s="1"/>
  <c r="S57" i="3"/>
  <c r="S59" i="3" s="1"/>
  <c r="L53" i="2"/>
  <c r="AA53" i="2"/>
  <c r="M53" i="2"/>
  <c r="S53" i="2"/>
  <c r="E53" i="2"/>
  <c r="W53" i="2"/>
  <c r="AD53" i="2"/>
  <c r="Q53" i="2"/>
  <c r="I53" i="2"/>
  <c r="V53" i="2"/>
  <c r="F53" i="2"/>
  <c r="AE53" i="2"/>
  <c r="W54" i="2"/>
  <c r="W50" i="2" s="1"/>
  <c r="Y53" i="2"/>
  <c r="U53" i="2"/>
  <c r="R53" i="2"/>
  <c r="N53" i="2"/>
  <c r="N54" i="2" s="1"/>
  <c r="N50" i="2" s="1"/>
  <c r="J53" i="2"/>
  <c r="P53" i="2"/>
  <c r="H53" i="2"/>
  <c r="AB53" i="2"/>
  <c r="X53" i="2"/>
  <c r="T53" i="2"/>
  <c r="AC53" i="2"/>
  <c r="Z54" i="2"/>
  <c r="Z50" i="2" s="1"/>
  <c r="Y54" i="2"/>
  <c r="Y50" i="2" s="1"/>
  <c r="U54" i="2"/>
  <c r="U50" i="2" s="1"/>
  <c r="J57" i="2"/>
  <c r="J54" i="2"/>
  <c r="J50" i="2" s="1"/>
  <c r="F59" i="2"/>
  <c r="O53" i="2"/>
  <c r="K53" i="2"/>
  <c r="G53" i="2"/>
  <c r="E61" i="2"/>
  <c r="E59" i="2"/>
  <c r="E57" i="2"/>
  <c r="D53" i="2"/>
  <c r="C53" i="2"/>
  <c r="I8" i="2"/>
  <c r="X65" i="2" s="1"/>
  <c r="X66" i="2" s="1"/>
  <c r="K73" i="7" l="1"/>
  <c r="K61" i="7"/>
  <c r="E60" i="5"/>
  <c r="N61" i="5"/>
  <c r="D78" i="4"/>
  <c r="D73" i="4"/>
  <c r="D74" i="4" s="1"/>
  <c r="D75" i="4" s="1"/>
  <c r="D76" i="4" s="1"/>
  <c r="D77" i="4" s="1"/>
  <c r="K78" i="4"/>
  <c r="K63" i="4"/>
  <c r="K73" i="4"/>
  <c r="K74" i="4" s="1"/>
  <c r="K75" i="4" s="1"/>
  <c r="K76" i="4" s="1"/>
  <c r="K77" i="4" s="1"/>
  <c r="V60" i="4"/>
  <c r="V63" i="4"/>
  <c r="V73" i="4"/>
  <c r="V74" i="4" s="1"/>
  <c r="V75" i="4" s="1"/>
  <c r="V76" i="4" s="1"/>
  <c r="V77" i="4" s="1"/>
  <c r="V78" i="4"/>
  <c r="M78" i="4"/>
  <c r="M73" i="4"/>
  <c r="Q60" i="4"/>
  <c r="Q73" i="4"/>
  <c r="Q78" i="4"/>
  <c r="Q63" i="4"/>
  <c r="L78" i="4"/>
  <c r="L73" i="4"/>
  <c r="L74" i="4" s="1"/>
  <c r="L75" i="4" s="1"/>
  <c r="L76" i="4" s="1"/>
  <c r="L77" i="4" s="1"/>
  <c r="H73" i="4"/>
  <c r="H74" i="4" s="1"/>
  <c r="H75" i="4" s="1"/>
  <c r="H76" i="4" s="1"/>
  <c r="H77" i="4" s="1"/>
  <c r="H78" i="4"/>
  <c r="H87" i="4" s="1"/>
  <c r="F73" i="4"/>
  <c r="F74" i="4" s="1"/>
  <c r="F75" i="4" s="1"/>
  <c r="F76" i="4" s="1"/>
  <c r="F77" i="4" s="1"/>
  <c r="F78" i="4"/>
  <c r="P60" i="4"/>
  <c r="P73" i="4"/>
  <c r="P74" i="4" s="1"/>
  <c r="P75" i="4" s="1"/>
  <c r="P76" i="4" s="1"/>
  <c r="P77" i="4" s="1"/>
  <c r="P63" i="4"/>
  <c r="P78" i="4"/>
  <c r="W73" i="4"/>
  <c r="W74" i="4" s="1"/>
  <c r="W75" i="4" s="1"/>
  <c r="W76" i="4" s="1"/>
  <c r="W77" i="4" s="1"/>
  <c r="W63" i="4"/>
  <c r="W78" i="4"/>
  <c r="J60" i="4"/>
  <c r="J73" i="4"/>
  <c r="J74" i="4" s="1"/>
  <c r="J75" i="4" s="1"/>
  <c r="J76" i="4" s="1"/>
  <c r="J77" i="4" s="1"/>
  <c r="J63" i="4"/>
  <c r="J78" i="4"/>
  <c r="D97" i="4" s="1"/>
  <c r="T60" i="4"/>
  <c r="T78" i="4"/>
  <c r="T63" i="4"/>
  <c r="T73" i="4"/>
  <c r="T74" i="4" s="1"/>
  <c r="T75" i="4" s="1"/>
  <c r="T76" i="4" s="1"/>
  <c r="T77" i="4" s="1"/>
  <c r="S78" i="4"/>
  <c r="S63" i="4"/>
  <c r="S73" i="4"/>
  <c r="S74" i="4" s="1"/>
  <c r="S75" i="4" s="1"/>
  <c r="S76" i="4" s="1"/>
  <c r="S77" i="4" s="1"/>
  <c r="N60" i="4"/>
  <c r="N63" i="4"/>
  <c r="N78" i="4"/>
  <c r="N79" i="4" s="1"/>
  <c r="N80" i="4" s="1"/>
  <c r="N81" i="4" s="1"/>
  <c r="N82" i="4" s="1"/>
  <c r="N73" i="4"/>
  <c r="N74" i="4" s="1"/>
  <c r="N75" i="4" s="1"/>
  <c r="N76" i="4" s="1"/>
  <c r="N77" i="4" s="1"/>
  <c r="E78" i="4"/>
  <c r="E73" i="4"/>
  <c r="X73" i="4"/>
  <c r="X74" i="4" s="1"/>
  <c r="X75" i="4" s="1"/>
  <c r="X76" i="4" s="1"/>
  <c r="X77" i="4" s="1"/>
  <c r="X78" i="4"/>
  <c r="U60" i="4"/>
  <c r="U78" i="4"/>
  <c r="U79" i="4" s="1"/>
  <c r="U80" i="4" s="1"/>
  <c r="U81" i="4" s="1"/>
  <c r="U82" i="4" s="1"/>
  <c r="U73" i="4"/>
  <c r="U63" i="4"/>
  <c r="O73" i="4"/>
  <c r="O74" i="4" s="1"/>
  <c r="O75" i="4" s="1"/>
  <c r="O76" i="4" s="1"/>
  <c r="O77" i="4" s="1"/>
  <c r="O63" i="4"/>
  <c r="O78" i="4"/>
  <c r="R60" i="4"/>
  <c r="R73" i="4"/>
  <c r="R74" i="4" s="1"/>
  <c r="R75" i="4" s="1"/>
  <c r="R76" i="4" s="1"/>
  <c r="R77" i="4" s="1"/>
  <c r="R78" i="4"/>
  <c r="R63" i="4"/>
  <c r="I73" i="4"/>
  <c r="I78" i="4"/>
  <c r="T46" i="3"/>
  <c r="T42" i="3" s="1"/>
  <c r="T62" i="3"/>
  <c r="T77" i="3"/>
  <c r="T52" i="3"/>
  <c r="T49" i="3"/>
  <c r="T72" i="3"/>
  <c r="T50" i="3"/>
  <c r="T53" i="3"/>
  <c r="T67" i="3"/>
  <c r="T48" i="3"/>
  <c r="T51" i="3"/>
  <c r="I53" i="3"/>
  <c r="I48" i="3"/>
  <c r="I51" i="3"/>
  <c r="I77" i="3" s="1"/>
  <c r="I50" i="3"/>
  <c r="I72" i="3" s="1"/>
  <c r="I49" i="3"/>
  <c r="I52" i="3"/>
  <c r="Q53" i="3"/>
  <c r="Q67" i="3"/>
  <c r="Q48" i="3"/>
  <c r="Q51" i="3"/>
  <c r="Q72" i="3"/>
  <c r="Q49" i="3"/>
  <c r="Q50" i="3"/>
  <c r="Q62" i="3"/>
  <c r="Q77" i="3"/>
  <c r="Q78" i="3" s="1"/>
  <c r="Q79" i="3" s="1"/>
  <c r="Q80" i="3" s="1"/>
  <c r="Q81" i="3" s="1"/>
  <c r="Q52" i="3"/>
  <c r="V51" i="3"/>
  <c r="V77" i="3" s="1"/>
  <c r="V78" i="3" s="1"/>
  <c r="V79" i="3" s="1"/>
  <c r="V80" i="3" s="1"/>
  <c r="V81" i="3" s="1"/>
  <c r="V52" i="3"/>
  <c r="V50" i="3"/>
  <c r="V49" i="3"/>
  <c r="V72" i="3"/>
  <c r="V48" i="3"/>
  <c r="V53" i="3"/>
  <c r="P67" i="3"/>
  <c r="P48" i="3"/>
  <c r="P51" i="3"/>
  <c r="P53" i="3"/>
  <c r="P49" i="3"/>
  <c r="P52" i="3"/>
  <c r="P50" i="3"/>
  <c r="E49" i="3"/>
  <c r="E52" i="3"/>
  <c r="E50" i="3"/>
  <c r="E72" i="3" s="1"/>
  <c r="E53" i="3"/>
  <c r="E48" i="3"/>
  <c r="E51" i="3"/>
  <c r="E77" i="3" s="1"/>
  <c r="M86" i="3" s="1"/>
  <c r="S50" i="3"/>
  <c r="S72" i="3" s="1"/>
  <c r="S53" i="3"/>
  <c r="S49" i="3"/>
  <c r="S52" i="3"/>
  <c r="S48" i="3"/>
  <c r="S51" i="3"/>
  <c r="S77" i="3" s="1"/>
  <c r="T106" i="3" s="1"/>
  <c r="O51" i="3"/>
  <c r="O77" i="3" s="1"/>
  <c r="O78" i="3" s="1"/>
  <c r="O79" i="3" s="1"/>
  <c r="O80" i="3" s="1"/>
  <c r="O81" i="3" s="1"/>
  <c r="O49" i="3"/>
  <c r="O52" i="3"/>
  <c r="O48" i="3"/>
  <c r="O53" i="3"/>
  <c r="O50" i="3"/>
  <c r="O72" i="3" s="1"/>
  <c r="R50" i="3"/>
  <c r="R72" i="3" s="1"/>
  <c r="R53" i="3"/>
  <c r="R48" i="3"/>
  <c r="R51" i="3"/>
  <c r="R77" i="3"/>
  <c r="R78" i="3" s="1"/>
  <c r="R79" i="3" s="1"/>
  <c r="R80" i="3" s="1"/>
  <c r="R81" i="3" s="1"/>
  <c r="R52" i="3"/>
  <c r="R49" i="3"/>
  <c r="L52" i="3"/>
  <c r="L50" i="3"/>
  <c r="L72" i="3" s="1"/>
  <c r="L49" i="3"/>
  <c r="L53" i="3"/>
  <c r="L48" i="3"/>
  <c r="L62" i="3" s="1"/>
  <c r="L51" i="3"/>
  <c r="L77" i="3" s="1"/>
  <c r="P96" i="3" s="1"/>
  <c r="C51" i="3"/>
  <c r="C53" i="3"/>
  <c r="C52" i="3"/>
  <c r="C50" i="3"/>
  <c r="C72" i="3" s="1"/>
  <c r="C49" i="3"/>
  <c r="C48" i="3"/>
  <c r="C77" i="3"/>
  <c r="C78" i="3" s="1"/>
  <c r="C79" i="3" s="1"/>
  <c r="C80" i="3" s="1"/>
  <c r="C81" i="3" s="1"/>
  <c r="W46" i="3"/>
  <c r="W42" i="3" s="1"/>
  <c r="W49" i="3"/>
  <c r="W52" i="3"/>
  <c r="W67" i="3"/>
  <c r="W51" i="3"/>
  <c r="W62" i="3"/>
  <c r="W77" i="3"/>
  <c r="W72" i="3"/>
  <c r="AB96" i="3" s="1"/>
  <c r="W50" i="3"/>
  <c r="W48" i="3"/>
  <c r="W53" i="3"/>
  <c r="M49" i="3"/>
  <c r="M52" i="3"/>
  <c r="M50" i="3"/>
  <c r="M72" i="3" s="1"/>
  <c r="M51" i="3"/>
  <c r="M77" i="3" s="1"/>
  <c r="S96" i="3" s="1"/>
  <c r="M53" i="3"/>
  <c r="M48" i="3"/>
  <c r="N49" i="3"/>
  <c r="N52" i="3"/>
  <c r="N48" i="3"/>
  <c r="N51" i="3"/>
  <c r="N77" i="3" s="1"/>
  <c r="N78" i="3" s="1"/>
  <c r="N79" i="3" s="1"/>
  <c r="N80" i="3" s="1"/>
  <c r="N81" i="3" s="1"/>
  <c r="N50" i="3"/>
  <c r="N72" i="3" s="1"/>
  <c r="N53" i="3"/>
  <c r="H48" i="3"/>
  <c r="H67" i="3" s="1"/>
  <c r="H53" i="3"/>
  <c r="H51" i="3"/>
  <c r="H77" i="3" s="1"/>
  <c r="W86" i="3" s="1"/>
  <c r="H49" i="3"/>
  <c r="H50" i="3"/>
  <c r="H72" i="3" s="1"/>
  <c r="H52" i="3"/>
  <c r="K46" i="3"/>
  <c r="K42" i="3" s="1"/>
  <c r="K52" i="3"/>
  <c r="K72" i="3"/>
  <c r="K50" i="3"/>
  <c r="K53" i="3"/>
  <c r="K48" i="3"/>
  <c r="K51" i="3"/>
  <c r="K77" i="3" s="1"/>
  <c r="K49" i="3"/>
  <c r="J72" i="3"/>
  <c r="J50" i="3"/>
  <c r="J53" i="3"/>
  <c r="J48" i="3"/>
  <c r="J62" i="3" s="1"/>
  <c r="J51" i="3"/>
  <c r="J77" i="3" s="1"/>
  <c r="J78" i="3" s="1"/>
  <c r="J79" i="3" s="1"/>
  <c r="J80" i="3" s="1"/>
  <c r="J81" i="3" s="1"/>
  <c r="J52" i="3"/>
  <c r="J49" i="3"/>
  <c r="D52" i="3"/>
  <c r="D49" i="3"/>
  <c r="D77" i="3"/>
  <c r="D78" i="3" s="1"/>
  <c r="D79" i="3" s="1"/>
  <c r="D80" i="3" s="1"/>
  <c r="D81" i="3" s="1"/>
  <c r="D72" i="3"/>
  <c r="D50" i="3"/>
  <c r="D53" i="3"/>
  <c r="D48" i="3"/>
  <c r="D51" i="3"/>
  <c r="G51" i="3"/>
  <c r="G49" i="3"/>
  <c r="G48" i="3"/>
  <c r="G62" i="3" s="1"/>
  <c r="G52" i="3"/>
  <c r="G53" i="3"/>
  <c r="G77" i="3"/>
  <c r="Q86" i="3" s="1"/>
  <c r="G50" i="3"/>
  <c r="G72" i="3" s="1"/>
  <c r="F51" i="3"/>
  <c r="F77" i="3" s="1"/>
  <c r="F78" i="3" s="1"/>
  <c r="F79" i="3" s="1"/>
  <c r="F80" i="3" s="1"/>
  <c r="F81" i="3" s="1"/>
  <c r="F49" i="3"/>
  <c r="F52" i="3"/>
  <c r="F50" i="3"/>
  <c r="F72" i="3" s="1"/>
  <c r="F48" i="3"/>
  <c r="F53" i="3"/>
  <c r="U49" i="3"/>
  <c r="U52" i="3"/>
  <c r="U50" i="3"/>
  <c r="U72" i="3" s="1"/>
  <c r="U53" i="3"/>
  <c r="U51" i="3"/>
  <c r="U77" i="3" s="1"/>
  <c r="H106" i="3" s="1"/>
  <c r="U48" i="3"/>
  <c r="U62" i="3" s="1"/>
  <c r="W59" i="3"/>
  <c r="P59" i="3"/>
  <c r="P77" i="3"/>
  <c r="V96" i="3" s="1"/>
  <c r="P62" i="3"/>
  <c r="P72" i="3"/>
  <c r="AC58" i="2"/>
  <c r="AC59" i="2"/>
  <c r="AC56" i="2"/>
  <c r="AC60" i="2"/>
  <c r="AC57" i="2"/>
  <c r="AC61" i="2"/>
  <c r="AE60" i="2"/>
  <c r="AE56" i="2"/>
  <c r="AE59" i="2"/>
  <c r="AE58" i="2"/>
  <c r="AE61" i="2"/>
  <c r="AE57" i="2"/>
  <c r="Q57" i="2"/>
  <c r="Q61" i="2"/>
  <c r="Q58" i="2"/>
  <c r="Q59" i="2"/>
  <c r="Q60" i="2"/>
  <c r="Q56" i="2"/>
  <c r="T58" i="2"/>
  <c r="T59" i="2"/>
  <c r="T56" i="2"/>
  <c r="T60" i="2"/>
  <c r="T61" i="2"/>
  <c r="T57" i="2"/>
  <c r="P58" i="2"/>
  <c r="P59" i="2"/>
  <c r="P56" i="2"/>
  <c r="P60" i="2"/>
  <c r="P57" i="2"/>
  <c r="P61" i="2"/>
  <c r="U57" i="2"/>
  <c r="U61" i="2"/>
  <c r="U58" i="2"/>
  <c r="U75" i="2"/>
  <c r="U59" i="2"/>
  <c r="U60" i="2"/>
  <c r="U56" i="2"/>
  <c r="F57" i="2"/>
  <c r="AD54" i="2"/>
  <c r="AD50" i="2" s="1"/>
  <c r="AD75" i="2"/>
  <c r="AD57" i="2"/>
  <c r="AD61" i="2"/>
  <c r="AD58" i="2"/>
  <c r="AD59" i="2"/>
  <c r="AD56" i="2"/>
  <c r="AD60" i="2"/>
  <c r="M54" i="2"/>
  <c r="M50" i="2" s="1"/>
  <c r="M57" i="2"/>
  <c r="M61" i="2"/>
  <c r="M58" i="2"/>
  <c r="M59" i="2"/>
  <c r="M56" i="2"/>
  <c r="M60" i="2"/>
  <c r="O59" i="2"/>
  <c r="O56" i="2"/>
  <c r="O60" i="2"/>
  <c r="O57" i="2"/>
  <c r="O61" i="2"/>
  <c r="O58" i="2"/>
  <c r="H57" i="2"/>
  <c r="R75" i="2"/>
  <c r="R56" i="2"/>
  <c r="R60" i="2"/>
  <c r="R57" i="2"/>
  <c r="R61" i="2"/>
  <c r="R58" i="2"/>
  <c r="R59" i="2"/>
  <c r="S54" i="2"/>
  <c r="S50" i="2" s="1"/>
  <c r="S59" i="2"/>
  <c r="S75" i="2"/>
  <c r="S56" i="2"/>
  <c r="S60" i="2"/>
  <c r="S57" i="2"/>
  <c r="S61" i="2"/>
  <c r="S58" i="2"/>
  <c r="D58" i="2"/>
  <c r="G56" i="2"/>
  <c r="X58" i="2"/>
  <c r="X59" i="2"/>
  <c r="X56" i="2"/>
  <c r="X60" i="2"/>
  <c r="X57" i="2"/>
  <c r="X61" i="2"/>
  <c r="J56" i="2"/>
  <c r="Y57" i="2"/>
  <c r="Y61" i="2"/>
  <c r="Y58" i="2"/>
  <c r="Y59" i="2"/>
  <c r="Y56" i="2"/>
  <c r="Y60" i="2"/>
  <c r="V56" i="2"/>
  <c r="V60" i="2"/>
  <c r="V57" i="2"/>
  <c r="V61" i="2"/>
  <c r="V58" i="2"/>
  <c r="V59" i="2"/>
  <c r="W59" i="2"/>
  <c r="W75" i="2"/>
  <c r="W56" i="2"/>
  <c r="W60" i="2"/>
  <c r="W57" i="2"/>
  <c r="W61" i="2"/>
  <c r="W58" i="2"/>
  <c r="AA54" i="2"/>
  <c r="AA50" i="2" s="1"/>
  <c r="AA58" i="2"/>
  <c r="AA61" i="2"/>
  <c r="AA57" i="2"/>
  <c r="AA60" i="2"/>
  <c r="AA56" i="2"/>
  <c r="AA59" i="2"/>
  <c r="K54" i="2"/>
  <c r="K50" i="2" s="1"/>
  <c r="AB59" i="2"/>
  <c r="AB56" i="2"/>
  <c r="AB60" i="2"/>
  <c r="AB57" i="2"/>
  <c r="AB61" i="2"/>
  <c r="AB58" i="2"/>
  <c r="N56" i="2"/>
  <c r="N60" i="2"/>
  <c r="N57" i="2"/>
  <c r="N61" i="2"/>
  <c r="N58" i="2"/>
  <c r="N59" i="2"/>
  <c r="I58" i="2"/>
  <c r="E54" i="2"/>
  <c r="E50" i="2" s="1"/>
  <c r="L54" i="2"/>
  <c r="L50" i="2" s="1"/>
  <c r="L58" i="2"/>
  <c r="L61" i="2"/>
  <c r="L56" i="2"/>
  <c r="L75" i="2"/>
  <c r="L60" i="2"/>
  <c r="L57" i="2"/>
  <c r="L59" i="2"/>
  <c r="C33" i="9"/>
  <c r="C29" i="9"/>
  <c r="C30" i="9"/>
  <c r="C32" i="9"/>
  <c r="C28" i="9"/>
  <c r="C31" i="9"/>
  <c r="C26" i="9"/>
  <c r="C22" i="9" s="1"/>
  <c r="C39" i="9"/>
  <c r="C57" i="9" s="1"/>
  <c r="C58" i="9" s="1"/>
  <c r="C59" i="9" s="1"/>
  <c r="C60" i="9" s="1"/>
  <c r="C61" i="9" s="1"/>
  <c r="C40" i="9"/>
  <c r="E34" i="8"/>
  <c r="D35" i="8"/>
  <c r="D31" i="8"/>
  <c r="D34" i="8"/>
  <c r="D30" i="8"/>
  <c r="D33" i="8"/>
  <c r="D32" i="8"/>
  <c r="C33" i="8"/>
  <c r="C59" i="8" s="1"/>
  <c r="C32" i="8"/>
  <c r="C54" i="8" s="1"/>
  <c r="C55" i="8" s="1"/>
  <c r="C56" i="8" s="1"/>
  <c r="C57" i="8" s="1"/>
  <c r="C58" i="8" s="1"/>
  <c r="C34" i="8"/>
  <c r="C35" i="8"/>
  <c r="C31" i="8"/>
  <c r="C30" i="8"/>
  <c r="E54" i="8"/>
  <c r="E55" i="8" s="1"/>
  <c r="E56" i="8" s="1"/>
  <c r="E57" i="8" s="1"/>
  <c r="E58" i="8" s="1"/>
  <c r="E30" i="8"/>
  <c r="E28" i="8"/>
  <c r="E24" i="8" s="1"/>
  <c r="E33" i="8"/>
  <c r="E59" i="8" s="1"/>
  <c r="E60" i="8" s="1"/>
  <c r="E61" i="8" s="1"/>
  <c r="E62" i="8" s="1"/>
  <c r="E63" i="8" s="1"/>
  <c r="E31" i="8"/>
  <c r="C28" i="8"/>
  <c r="C24" i="8" s="1"/>
  <c r="E35" i="8"/>
  <c r="E42" i="8"/>
  <c r="E44" i="8" s="1"/>
  <c r="E45" i="8" s="1"/>
  <c r="E46" i="8" s="1"/>
  <c r="E47" i="8" s="1"/>
  <c r="E48" i="8" s="1"/>
  <c r="E49" i="8"/>
  <c r="E50" i="8"/>
  <c r="E51" i="8" s="1"/>
  <c r="D41" i="8"/>
  <c r="D42" i="8"/>
  <c r="D28" i="8"/>
  <c r="D24" i="8" s="1"/>
  <c r="C42" i="8"/>
  <c r="D54" i="7"/>
  <c r="I54" i="7"/>
  <c r="P58" i="7"/>
  <c r="P78" i="7" s="1"/>
  <c r="W52" i="7"/>
  <c r="G51" i="7"/>
  <c r="W68" i="7"/>
  <c r="G52" i="7"/>
  <c r="W58" i="7"/>
  <c r="W78" i="7" s="1"/>
  <c r="W79" i="7" s="1"/>
  <c r="W80" i="7" s="1"/>
  <c r="W81" i="7" s="1"/>
  <c r="W82" i="7" s="1"/>
  <c r="G58" i="7"/>
  <c r="I58" i="7"/>
  <c r="I60" i="7" s="1"/>
  <c r="W73" i="7"/>
  <c r="W74" i="7" s="1"/>
  <c r="W75" i="7" s="1"/>
  <c r="W76" i="7" s="1"/>
  <c r="W77" i="7" s="1"/>
  <c r="S61" i="7"/>
  <c r="S60" i="7"/>
  <c r="S63" i="7"/>
  <c r="S64" i="7" s="1"/>
  <c r="S65" i="7" s="1"/>
  <c r="S71" i="7" s="1"/>
  <c r="S72" i="7" s="1"/>
  <c r="S78" i="7"/>
  <c r="AA107" i="7" s="1"/>
  <c r="S73" i="7"/>
  <c r="T107" i="7" s="1"/>
  <c r="C60" i="7"/>
  <c r="C78" i="7" s="1"/>
  <c r="C61" i="7"/>
  <c r="W47" i="7"/>
  <c r="W43" i="7" s="1"/>
  <c r="W49" i="7"/>
  <c r="W53" i="7"/>
  <c r="G53" i="7"/>
  <c r="I47" i="7"/>
  <c r="I43" i="7" s="1"/>
  <c r="N63" i="7"/>
  <c r="N69" i="7" s="1"/>
  <c r="N70" i="7" s="1"/>
  <c r="H78" i="7"/>
  <c r="H87" i="7" s="1"/>
  <c r="G47" i="7"/>
  <c r="G43" i="7" s="1"/>
  <c r="W51" i="7"/>
  <c r="G49" i="7"/>
  <c r="N68" i="7"/>
  <c r="D52" i="7"/>
  <c r="I51" i="7"/>
  <c r="I50" i="7"/>
  <c r="C73" i="7"/>
  <c r="C74" i="7" s="1"/>
  <c r="C75" i="7" s="1"/>
  <c r="C76" i="7" s="1"/>
  <c r="C77" i="7" s="1"/>
  <c r="N51" i="7"/>
  <c r="N49" i="7"/>
  <c r="I53" i="7"/>
  <c r="K52" i="7"/>
  <c r="K78" i="7"/>
  <c r="V50" i="7"/>
  <c r="M51" i="7"/>
  <c r="M54" i="7"/>
  <c r="H53" i="7"/>
  <c r="K50" i="7"/>
  <c r="X49" i="7"/>
  <c r="I61" i="7"/>
  <c r="I68" i="7" s="1"/>
  <c r="K54" i="7"/>
  <c r="V52" i="7"/>
  <c r="V53" i="7"/>
  <c r="X50" i="7"/>
  <c r="M47" i="7"/>
  <c r="M43" i="7" s="1"/>
  <c r="I73" i="7"/>
  <c r="V97" i="7" s="1"/>
  <c r="R73" i="7"/>
  <c r="R74" i="7" s="1"/>
  <c r="R75" i="7" s="1"/>
  <c r="R76" i="7" s="1"/>
  <c r="R77" i="7" s="1"/>
  <c r="K47" i="7"/>
  <c r="K43" i="7" s="1"/>
  <c r="K49" i="7"/>
  <c r="K53" i="7"/>
  <c r="V51" i="7"/>
  <c r="V68" i="7"/>
  <c r="V54" i="7"/>
  <c r="H50" i="7"/>
  <c r="M49" i="7"/>
  <c r="K63" i="7"/>
  <c r="K69" i="7" s="1"/>
  <c r="K70" i="7" s="1"/>
  <c r="J49" i="7"/>
  <c r="Q51" i="7"/>
  <c r="Q53" i="7"/>
  <c r="Q68" i="7"/>
  <c r="O68" i="7"/>
  <c r="O49" i="7"/>
  <c r="O53" i="7"/>
  <c r="J53" i="7"/>
  <c r="Q49" i="7"/>
  <c r="Q73" i="7"/>
  <c r="Q78" i="7"/>
  <c r="Q79" i="7" s="1"/>
  <c r="Q80" i="7" s="1"/>
  <c r="Q81" i="7" s="1"/>
  <c r="Q82" i="7" s="1"/>
  <c r="O47" i="7"/>
  <c r="O43" i="7" s="1"/>
  <c r="O51" i="7"/>
  <c r="O73" i="7"/>
  <c r="O74" i="7" s="1"/>
  <c r="O75" i="7" s="1"/>
  <c r="O76" i="7" s="1"/>
  <c r="O77" i="7" s="1"/>
  <c r="J54" i="7"/>
  <c r="Q47" i="7"/>
  <c r="Q43" i="7" s="1"/>
  <c r="I78" i="7"/>
  <c r="D49" i="7"/>
  <c r="T63" i="7"/>
  <c r="T69" i="7" s="1"/>
  <c r="T70" i="7" s="1"/>
  <c r="N47" i="7"/>
  <c r="N43" i="7" s="1"/>
  <c r="T47" i="7"/>
  <c r="T43" i="7" s="1"/>
  <c r="D51" i="7"/>
  <c r="D73" i="7" s="1"/>
  <c r="N50" i="7"/>
  <c r="F47" i="7"/>
  <c r="F43" i="7" s="1"/>
  <c r="N53" i="7"/>
  <c r="P50" i="7"/>
  <c r="D47" i="7"/>
  <c r="D43" i="7" s="1"/>
  <c r="T68" i="7"/>
  <c r="T51" i="7"/>
  <c r="N73" i="7"/>
  <c r="N74" i="7" s="1"/>
  <c r="N75" i="7" s="1"/>
  <c r="N76" i="7" s="1"/>
  <c r="N77" i="7" s="1"/>
  <c r="L61" i="7"/>
  <c r="N78" i="7"/>
  <c r="N79" i="7" s="1"/>
  <c r="N80" i="7" s="1"/>
  <c r="N81" i="7" s="1"/>
  <c r="N82" i="7" s="1"/>
  <c r="F50" i="7"/>
  <c r="D53" i="7"/>
  <c r="P53" i="7"/>
  <c r="N52" i="7"/>
  <c r="T78" i="7"/>
  <c r="P73" i="7"/>
  <c r="P74" i="7" s="1"/>
  <c r="P75" i="7" s="1"/>
  <c r="P68" i="7"/>
  <c r="L47" i="7"/>
  <c r="L43" i="7" s="1"/>
  <c r="L54" i="7"/>
  <c r="L50" i="7"/>
  <c r="T61" i="7"/>
  <c r="L73" i="7"/>
  <c r="H107" i="7" s="1"/>
  <c r="L53" i="7"/>
  <c r="E78" i="7"/>
  <c r="W87" i="7" s="1"/>
  <c r="O60" i="7"/>
  <c r="E61" i="7"/>
  <c r="E68" i="7" s="1"/>
  <c r="P49" i="7"/>
  <c r="R51" i="7"/>
  <c r="R54" i="7"/>
  <c r="R52" i="7"/>
  <c r="J52" i="7"/>
  <c r="J47" i="7"/>
  <c r="J43" i="7" s="1"/>
  <c r="X54" i="7"/>
  <c r="X52" i="7"/>
  <c r="X78" i="7" s="1"/>
  <c r="X47" i="7"/>
  <c r="X43" i="7" s="1"/>
  <c r="X53" i="7"/>
  <c r="H54" i="7"/>
  <c r="H47" i="7"/>
  <c r="H43" i="7" s="1"/>
  <c r="X61" i="7"/>
  <c r="O78" i="7"/>
  <c r="R53" i="7"/>
  <c r="R50" i="7"/>
  <c r="L49" i="7"/>
  <c r="L78" i="7"/>
  <c r="L79" i="7" s="1"/>
  <c r="L80" i="7" s="1"/>
  <c r="L81" i="7" s="1"/>
  <c r="L82" i="7" s="1"/>
  <c r="O63" i="7"/>
  <c r="O69" i="7" s="1"/>
  <c r="O70" i="7" s="1"/>
  <c r="P52" i="7"/>
  <c r="P51" i="7"/>
  <c r="R49" i="7"/>
  <c r="R68" i="7"/>
  <c r="J68" i="7"/>
  <c r="T52" i="7"/>
  <c r="T50" i="7"/>
  <c r="T53" i="7"/>
  <c r="L97" i="7"/>
  <c r="V74" i="7"/>
  <c r="V75" i="7" s="1"/>
  <c r="V76" i="7" s="1"/>
  <c r="V77" i="7" s="1"/>
  <c r="L87" i="7"/>
  <c r="R79" i="7"/>
  <c r="R80" i="7" s="1"/>
  <c r="R81" i="7" s="1"/>
  <c r="R82" i="7" s="1"/>
  <c r="M78" i="7"/>
  <c r="I74" i="7"/>
  <c r="I75" i="7" s="1"/>
  <c r="I76" i="7" s="1"/>
  <c r="I77" i="7" s="1"/>
  <c r="R60" i="7"/>
  <c r="R61" i="7"/>
  <c r="H61" i="7"/>
  <c r="U61" i="7"/>
  <c r="S69" i="7"/>
  <c r="S70" i="7" s="1"/>
  <c r="V63" i="7"/>
  <c r="F73" i="7"/>
  <c r="T79" i="7"/>
  <c r="T80" i="7" s="1"/>
  <c r="T81" i="7" s="1"/>
  <c r="T82" i="7" s="1"/>
  <c r="J63" i="7"/>
  <c r="M73" i="7"/>
  <c r="C107" i="7"/>
  <c r="I79" i="7"/>
  <c r="I80" i="7" s="1"/>
  <c r="I81" i="7" s="1"/>
  <c r="I82" i="7" s="1"/>
  <c r="Y97" i="7"/>
  <c r="N60" i="7"/>
  <c r="N61" i="7"/>
  <c r="D61" i="7"/>
  <c r="X73" i="7"/>
  <c r="D78" i="7"/>
  <c r="T60" i="7"/>
  <c r="T73" i="7"/>
  <c r="AB107" i="7" s="1"/>
  <c r="S74" i="7"/>
  <c r="S75" i="7" s="1"/>
  <c r="S76" i="7" s="1"/>
  <c r="S77" i="7" s="1"/>
  <c r="R87" i="7"/>
  <c r="K107" i="7"/>
  <c r="I107" i="7"/>
  <c r="K74" i="7"/>
  <c r="K75" i="7" s="1"/>
  <c r="K76" i="7" s="1"/>
  <c r="K77" i="7" s="1"/>
  <c r="F78" i="7"/>
  <c r="J73" i="7"/>
  <c r="U73" i="7"/>
  <c r="AC107" i="7" s="1"/>
  <c r="U63" i="7"/>
  <c r="E73" i="7"/>
  <c r="V60" i="7"/>
  <c r="V61" i="7"/>
  <c r="L74" i="7"/>
  <c r="L75" i="7" s="1"/>
  <c r="L76" i="7" s="1"/>
  <c r="L77" i="7" s="1"/>
  <c r="S79" i="7"/>
  <c r="S80" i="7" s="1"/>
  <c r="S81" i="7" s="1"/>
  <c r="S82" i="7" s="1"/>
  <c r="F107" i="7"/>
  <c r="K79" i="7"/>
  <c r="K80" i="7" s="1"/>
  <c r="K81" i="7" s="1"/>
  <c r="K82" i="7" s="1"/>
  <c r="V78" i="7"/>
  <c r="AD107" i="7" s="1"/>
  <c r="J61" i="7"/>
  <c r="T64" i="7"/>
  <c r="T65" i="7" s="1"/>
  <c r="T66" i="7" s="1"/>
  <c r="T67" i="7" s="1"/>
  <c r="H73" i="7"/>
  <c r="M61" i="7"/>
  <c r="M63" i="7" s="1"/>
  <c r="R63" i="7"/>
  <c r="J78" i="7"/>
  <c r="U78" i="7"/>
  <c r="Q64" i="7"/>
  <c r="Q65" i="7" s="1"/>
  <c r="Q71" i="7" s="1"/>
  <c r="Q72" i="7" s="1"/>
  <c r="Q69" i="7"/>
  <c r="Q70" i="7" s="1"/>
  <c r="F61" i="7"/>
  <c r="F68" i="7" s="1"/>
  <c r="E49" i="6"/>
  <c r="E50" i="6"/>
  <c r="L47" i="6"/>
  <c r="L43" i="6" s="1"/>
  <c r="L49" i="6"/>
  <c r="M78" i="6"/>
  <c r="I47" i="6"/>
  <c r="I43" i="6" s="1"/>
  <c r="E52" i="6"/>
  <c r="E78" i="6" s="1"/>
  <c r="R68" i="6"/>
  <c r="M68" i="6"/>
  <c r="N68" i="6"/>
  <c r="Q78" i="6"/>
  <c r="I61" i="6"/>
  <c r="F73" i="6"/>
  <c r="I97" i="6" s="1"/>
  <c r="M63" i="6"/>
  <c r="M69" i="6" s="1"/>
  <c r="M70" i="6" s="1"/>
  <c r="P49" i="6"/>
  <c r="I49" i="6"/>
  <c r="I50" i="6"/>
  <c r="L52" i="6"/>
  <c r="P51" i="6"/>
  <c r="L51" i="6"/>
  <c r="U61" i="6"/>
  <c r="U68" i="6" s="1"/>
  <c r="P47" i="6"/>
  <c r="P43" i="6" s="1"/>
  <c r="I53" i="6"/>
  <c r="I52" i="6"/>
  <c r="I78" i="6" s="1"/>
  <c r="E53" i="6"/>
  <c r="E54" i="6"/>
  <c r="P50" i="6"/>
  <c r="P52" i="6"/>
  <c r="P54" i="6"/>
  <c r="P53" i="6"/>
  <c r="L53" i="6"/>
  <c r="Q61" i="6"/>
  <c r="Q68" i="6" s="1"/>
  <c r="I51" i="6"/>
  <c r="I73" i="6" s="1"/>
  <c r="E47" i="6"/>
  <c r="E43" i="6" s="1"/>
  <c r="S107" i="6"/>
  <c r="N107" i="6"/>
  <c r="M79" i="6"/>
  <c r="M80" i="6" s="1"/>
  <c r="M81" i="6" s="1"/>
  <c r="M82" i="6" s="1"/>
  <c r="H60" i="6"/>
  <c r="H61" i="6"/>
  <c r="S60" i="6"/>
  <c r="S61" i="6"/>
  <c r="J78" i="6"/>
  <c r="T60" i="6"/>
  <c r="T61" i="6"/>
  <c r="D60" i="6"/>
  <c r="D61" i="6"/>
  <c r="J61" i="6"/>
  <c r="J68" i="6" s="1"/>
  <c r="T78" i="6"/>
  <c r="O60" i="6"/>
  <c r="O61" i="6"/>
  <c r="E61" i="6"/>
  <c r="E63" i="6" s="1"/>
  <c r="K53" i="6"/>
  <c r="K51" i="6"/>
  <c r="K49" i="6"/>
  <c r="K52" i="6"/>
  <c r="K78" i="6" s="1"/>
  <c r="K47" i="6"/>
  <c r="K43" i="6" s="1"/>
  <c r="K54" i="6"/>
  <c r="K50" i="6"/>
  <c r="Q73" i="6"/>
  <c r="M73" i="6"/>
  <c r="F97" i="6"/>
  <c r="R74" i="6"/>
  <c r="R75" i="6" s="1"/>
  <c r="R76" i="6" s="1"/>
  <c r="R77" i="6" s="1"/>
  <c r="N73" i="6"/>
  <c r="F63" i="6"/>
  <c r="F78" i="6"/>
  <c r="U73" i="6"/>
  <c r="X60" i="6"/>
  <c r="X61" i="6"/>
  <c r="C60" i="6"/>
  <c r="C61" i="6"/>
  <c r="O53" i="6"/>
  <c r="O51" i="6"/>
  <c r="O49" i="6"/>
  <c r="O54" i="6"/>
  <c r="O50" i="6"/>
  <c r="O52" i="6"/>
  <c r="O47" i="6"/>
  <c r="O43" i="6" s="1"/>
  <c r="P60" i="6"/>
  <c r="P61" i="6"/>
  <c r="P63" i="6" s="1"/>
  <c r="V61" i="6"/>
  <c r="V63" i="6" s="1"/>
  <c r="K60" i="6"/>
  <c r="K61" i="6"/>
  <c r="W53" i="6"/>
  <c r="W51" i="6"/>
  <c r="W49" i="6"/>
  <c r="W54" i="6"/>
  <c r="W50" i="6"/>
  <c r="W52" i="6"/>
  <c r="W47" i="6"/>
  <c r="W43" i="6" s="1"/>
  <c r="G53" i="6"/>
  <c r="G51" i="6"/>
  <c r="G49" i="6"/>
  <c r="G54" i="6"/>
  <c r="G50" i="6"/>
  <c r="G52" i="6"/>
  <c r="G47" i="6"/>
  <c r="G43" i="6" s="1"/>
  <c r="E73" i="6"/>
  <c r="V73" i="6"/>
  <c r="R79" i="6"/>
  <c r="R80" i="6" s="1"/>
  <c r="R81" i="6" s="1"/>
  <c r="R82" i="6" s="1"/>
  <c r="N63" i="6"/>
  <c r="J73" i="6"/>
  <c r="F68" i="6"/>
  <c r="L60" i="6"/>
  <c r="L61" i="6"/>
  <c r="W60" i="6"/>
  <c r="W61" i="6"/>
  <c r="G60" i="6"/>
  <c r="G61" i="6"/>
  <c r="S53" i="6"/>
  <c r="S51" i="6"/>
  <c r="S49" i="6"/>
  <c r="S63" i="6" s="1"/>
  <c r="S52" i="6"/>
  <c r="S47" i="6"/>
  <c r="S43" i="6" s="1"/>
  <c r="S54" i="6"/>
  <c r="S50" i="6"/>
  <c r="C53" i="6"/>
  <c r="C51" i="6"/>
  <c r="C49" i="6"/>
  <c r="C52" i="6"/>
  <c r="C47" i="6"/>
  <c r="C43" i="6" s="1"/>
  <c r="C54" i="6"/>
  <c r="C50" i="6"/>
  <c r="Q79" i="6"/>
  <c r="Q80" i="6" s="1"/>
  <c r="Q81" i="6" s="1"/>
  <c r="Q82" i="6" s="1"/>
  <c r="V78" i="6"/>
  <c r="R64" i="6"/>
  <c r="R65" i="6" s="1"/>
  <c r="R71" i="6" s="1"/>
  <c r="R72" i="6" s="1"/>
  <c r="R69" i="6"/>
  <c r="R70" i="6" s="1"/>
  <c r="N78" i="6"/>
  <c r="U78" i="6"/>
  <c r="M61" i="5"/>
  <c r="M60" i="5"/>
  <c r="R60" i="5"/>
  <c r="R61" i="5"/>
  <c r="V51" i="5"/>
  <c r="V68" i="5"/>
  <c r="V73" i="5"/>
  <c r="V74" i="5" s="1"/>
  <c r="V75" i="5" s="1"/>
  <c r="V76" i="5" s="1"/>
  <c r="V77" i="5" s="1"/>
  <c r="V50" i="5"/>
  <c r="V54" i="5"/>
  <c r="V63" i="5"/>
  <c r="V52" i="5"/>
  <c r="V49" i="5"/>
  <c r="V78" i="5"/>
  <c r="V53" i="5"/>
  <c r="F51" i="5"/>
  <c r="F73" i="5" s="1"/>
  <c r="F50" i="5"/>
  <c r="F54" i="5"/>
  <c r="F52" i="5"/>
  <c r="F78" i="5" s="1"/>
  <c r="F49" i="5"/>
  <c r="F53" i="5"/>
  <c r="Q68" i="5"/>
  <c r="Q73" i="5"/>
  <c r="Q50" i="5"/>
  <c r="Q54" i="5"/>
  <c r="Q49" i="5"/>
  <c r="Q53" i="5"/>
  <c r="Q63" i="5"/>
  <c r="Q51" i="5"/>
  <c r="Q78" i="5"/>
  <c r="Q52" i="5"/>
  <c r="W63" i="5"/>
  <c r="W78" i="5"/>
  <c r="W79" i="5" s="1"/>
  <c r="W80" i="5" s="1"/>
  <c r="W81" i="5" s="1"/>
  <c r="W82" i="5" s="1"/>
  <c r="W52" i="5"/>
  <c r="W51" i="5"/>
  <c r="W53" i="5"/>
  <c r="W73" i="5"/>
  <c r="W74" i="5" s="1"/>
  <c r="W75" i="5" s="1"/>
  <c r="W76" i="5" s="1"/>
  <c r="W77" i="5" s="1"/>
  <c r="W54" i="5"/>
  <c r="W49" i="5"/>
  <c r="W68" i="5"/>
  <c r="W50" i="5"/>
  <c r="G47" i="5"/>
  <c r="G43" i="5" s="1"/>
  <c r="G52" i="5"/>
  <c r="G78" i="5" s="1"/>
  <c r="G51" i="5"/>
  <c r="G73" i="5" s="1"/>
  <c r="G74" i="5" s="1"/>
  <c r="G75" i="5" s="1"/>
  <c r="G76" i="5" s="1"/>
  <c r="G77" i="5" s="1"/>
  <c r="G53" i="5"/>
  <c r="G54" i="5"/>
  <c r="G49" i="5"/>
  <c r="G50" i="5"/>
  <c r="L47" i="5"/>
  <c r="L43" i="5" s="1"/>
  <c r="L49" i="5"/>
  <c r="L53" i="5"/>
  <c r="L52" i="5"/>
  <c r="L78" i="5" s="1"/>
  <c r="L54" i="5"/>
  <c r="L50" i="5"/>
  <c r="L51" i="5"/>
  <c r="L73" i="5" s="1"/>
  <c r="L61" i="5"/>
  <c r="R51" i="5"/>
  <c r="R68" i="5"/>
  <c r="R73" i="5"/>
  <c r="R74" i="5" s="1"/>
  <c r="R75" i="5" s="1"/>
  <c r="R76" i="5" s="1"/>
  <c r="R77" i="5" s="1"/>
  <c r="R50" i="5"/>
  <c r="R54" i="5"/>
  <c r="R78" i="5"/>
  <c r="R52" i="5"/>
  <c r="R53" i="5"/>
  <c r="R63" i="5"/>
  <c r="R49" i="5"/>
  <c r="M50" i="5"/>
  <c r="M54" i="5"/>
  <c r="M49" i="5"/>
  <c r="M53" i="5"/>
  <c r="M51" i="5"/>
  <c r="M73" i="5" s="1"/>
  <c r="M52" i="5"/>
  <c r="M78" i="5" s="1"/>
  <c r="S63" i="5"/>
  <c r="S78" i="5"/>
  <c r="S52" i="5"/>
  <c r="S51" i="5"/>
  <c r="S49" i="5"/>
  <c r="S53" i="5"/>
  <c r="S68" i="5"/>
  <c r="S50" i="5"/>
  <c r="S73" i="5"/>
  <c r="S74" i="5" s="1"/>
  <c r="S75" i="5" s="1"/>
  <c r="S76" i="5" s="1"/>
  <c r="S77" i="5" s="1"/>
  <c r="S54" i="5"/>
  <c r="C50" i="5"/>
  <c r="C73" i="5"/>
  <c r="C49" i="5"/>
  <c r="X53" i="5"/>
  <c r="X49" i="5"/>
  <c r="X52" i="5"/>
  <c r="X78" i="5" s="1"/>
  <c r="X50" i="5"/>
  <c r="X54" i="5"/>
  <c r="X51" i="5"/>
  <c r="X73" i="5" s="1"/>
  <c r="H49" i="5"/>
  <c r="H53" i="5"/>
  <c r="H78" i="5"/>
  <c r="Q97" i="5" s="1"/>
  <c r="H52" i="5"/>
  <c r="H50" i="5"/>
  <c r="H73" i="5"/>
  <c r="H74" i="5" s="1"/>
  <c r="H75" i="5" s="1"/>
  <c r="H76" i="5" s="1"/>
  <c r="H77" i="5" s="1"/>
  <c r="H54" i="5"/>
  <c r="H51" i="5"/>
  <c r="N51" i="5"/>
  <c r="N68" i="5"/>
  <c r="N73" i="5"/>
  <c r="N74" i="5" s="1"/>
  <c r="N75" i="5" s="1"/>
  <c r="N76" i="5" s="1"/>
  <c r="N77" i="5" s="1"/>
  <c r="N50" i="5"/>
  <c r="N54" i="5"/>
  <c r="N78" i="5"/>
  <c r="N63" i="5"/>
  <c r="N49" i="5"/>
  <c r="N52" i="5"/>
  <c r="N53" i="5"/>
  <c r="I50" i="5"/>
  <c r="I54" i="5"/>
  <c r="I49" i="5"/>
  <c r="I53" i="5"/>
  <c r="I63" i="5"/>
  <c r="I51" i="5"/>
  <c r="I73" i="5" s="1"/>
  <c r="I52" i="5"/>
  <c r="I78" i="5" s="1"/>
  <c r="O63" i="5"/>
  <c r="O78" i="5"/>
  <c r="U107" i="5" s="1"/>
  <c r="O52" i="5"/>
  <c r="O51" i="5"/>
  <c r="O53" i="5"/>
  <c r="O49" i="5"/>
  <c r="O73" i="5"/>
  <c r="O74" i="5" s="1"/>
  <c r="O75" i="5" s="1"/>
  <c r="O76" i="5" s="1"/>
  <c r="O77" i="5" s="1"/>
  <c r="O54" i="5"/>
  <c r="O68" i="5"/>
  <c r="O50" i="5"/>
  <c r="T49" i="5"/>
  <c r="T53" i="5"/>
  <c r="T63" i="5"/>
  <c r="T78" i="5"/>
  <c r="T52" i="5"/>
  <c r="T73" i="5"/>
  <c r="T74" i="5" s="1"/>
  <c r="T75" i="5" s="1"/>
  <c r="T76" i="5" s="1"/>
  <c r="T77" i="5" s="1"/>
  <c r="T54" i="5"/>
  <c r="T68" i="5"/>
  <c r="T50" i="5"/>
  <c r="T51" i="5"/>
  <c r="D53" i="5"/>
  <c r="D49" i="5"/>
  <c r="D52" i="5"/>
  <c r="D78" i="5" s="1"/>
  <c r="D50" i="5"/>
  <c r="D54" i="5"/>
  <c r="D51" i="5"/>
  <c r="D73" i="5" s="1"/>
  <c r="D74" i="5" s="1"/>
  <c r="D75" i="5" s="1"/>
  <c r="D76" i="5" s="1"/>
  <c r="D77" i="5" s="1"/>
  <c r="J51" i="5"/>
  <c r="J68" i="5"/>
  <c r="J73" i="5"/>
  <c r="J74" i="5" s="1"/>
  <c r="J75" i="5" s="1"/>
  <c r="J76" i="5" s="1"/>
  <c r="J77" i="5" s="1"/>
  <c r="J50" i="5"/>
  <c r="J54" i="5"/>
  <c r="J63" i="5"/>
  <c r="J78" i="5"/>
  <c r="D97" i="5" s="1"/>
  <c r="J52" i="5"/>
  <c r="J53" i="5"/>
  <c r="J49" i="5"/>
  <c r="U68" i="5"/>
  <c r="U73" i="5"/>
  <c r="R97" i="5" s="1"/>
  <c r="U50" i="5"/>
  <c r="U54" i="5"/>
  <c r="U49" i="5"/>
  <c r="U53" i="5"/>
  <c r="U63" i="5"/>
  <c r="U51" i="5"/>
  <c r="U78" i="5"/>
  <c r="U79" i="5" s="1"/>
  <c r="U80" i="5" s="1"/>
  <c r="U81" i="5" s="1"/>
  <c r="U82" i="5" s="1"/>
  <c r="U52" i="5"/>
  <c r="E50" i="5"/>
  <c r="E54" i="5"/>
  <c r="E49" i="5"/>
  <c r="E53" i="5"/>
  <c r="E51" i="5"/>
  <c r="E73" i="5" s="1"/>
  <c r="E52" i="5"/>
  <c r="E78" i="5" s="1"/>
  <c r="K63" i="5"/>
  <c r="K78" i="5"/>
  <c r="F107" i="5" s="1"/>
  <c r="K52" i="5"/>
  <c r="K51" i="5"/>
  <c r="K49" i="5"/>
  <c r="K68" i="5"/>
  <c r="K50" i="5"/>
  <c r="K53" i="5"/>
  <c r="K73" i="5"/>
  <c r="K74" i="5" s="1"/>
  <c r="K75" i="5" s="1"/>
  <c r="K76" i="5" s="1"/>
  <c r="K77" i="5" s="1"/>
  <c r="K54" i="5"/>
  <c r="P49" i="5"/>
  <c r="P53" i="5"/>
  <c r="P63" i="5"/>
  <c r="P78" i="5"/>
  <c r="P52" i="5"/>
  <c r="P68" i="5"/>
  <c r="P50" i="5"/>
  <c r="P51" i="5"/>
  <c r="P73" i="5"/>
  <c r="P74" i="5" s="1"/>
  <c r="P75" i="5" s="1"/>
  <c r="P76" i="5" s="1"/>
  <c r="P77" i="5" s="1"/>
  <c r="P54" i="5"/>
  <c r="V61" i="5"/>
  <c r="Q61" i="5"/>
  <c r="C51" i="5"/>
  <c r="X61" i="5"/>
  <c r="X68" i="5" s="1"/>
  <c r="F61" i="5"/>
  <c r="C52" i="5"/>
  <c r="C78" i="5" s="1"/>
  <c r="V47" i="5"/>
  <c r="V43" i="5" s="1"/>
  <c r="Z87" i="5"/>
  <c r="J61" i="5"/>
  <c r="H61" i="5"/>
  <c r="H68" i="5" s="1"/>
  <c r="R47" i="5"/>
  <c r="R43" i="5" s="1"/>
  <c r="Q47" i="5"/>
  <c r="Q43" i="5" s="1"/>
  <c r="Q79" i="5"/>
  <c r="Q80" i="5" s="1"/>
  <c r="Q81" i="5" s="1"/>
  <c r="Q82" i="5" s="1"/>
  <c r="S47" i="5"/>
  <c r="S43" i="5" s="1"/>
  <c r="C54" i="5"/>
  <c r="D61" i="5"/>
  <c r="W47" i="5"/>
  <c r="W43" i="5" s="1"/>
  <c r="V79" i="5"/>
  <c r="V80" i="5" s="1"/>
  <c r="V81" i="5" s="1"/>
  <c r="V82" i="5" s="1"/>
  <c r="L97" i="5"/>
  <c r="F47" i="5"/>
  <c r="F43" i="5" s="1"/>
  <c r="C47" i="5"/>
  <c r="C43" i="5" s="1"/>
  <c r="G61" i="5"/>
  <c r="P47" i="5"/>
  <c r="P43" i="5" s="1"/>
  <c r="N97" i="5"/>
  <c r="U97" i="5"/>
  <c r="W97" i="5"/>
  <c r="J79" i="5"/>
  <c r="J80" i="5" s="1"/>
  <c r="J81" i="5" s="1"/>
  <c r="J82" i="5" s="1"/>
  <c r="T79" i="5"/>
  <c r="T80" i="5" s="1"/>
  <c r="T81" i="5" s="1"/>
  <c r="T82" i="5" s="1"/>
  <c r="R87" i="5"/>
  <c r="C61" i="5"/>
  <c r="C63" i="5" s="1"/>
  <c r="C64" i="5" s="1"/>
  <c r="W61" i="5"/>
  <c r="I87" i="5"/>
  <c r="N79" i="5"/>
  <c r="N80" i="5" s="1"/>
  <c r="N81" i="5" s="1"/>
  <c r="N82" i="5" s="1"/>
  <c r="S61" i="5"/>
  <c r="P61" i="5"/>
  <c r="R79" i="5"/>
  <c r="R80" i="5" s="1"/>
  <c r="R81" i="5" s="1"/>
  <c r="R82" i="5" s="1"/>
  <c r="Z97" i="5"/>
  <c r="T97" i="5"/>
  <c r="O79" i="5"/>
  <c r="O80" i="5" s="1"/>
  <c r="O81" i="5" s="1"/>
  <c r="O82" i="5" s="1"/>
  <c r="T61" i="5"/>
  <c r="O61" i="5"/>
  <c r="K61" i="5"/>
  <c r="L61" i="4"/>
  <c r="L63" i="4" s="1"/>
  <c r="U47" i="4"/>
  <c r="U43" i="4" s="1"/>
  <c r="K47" i="4"/>
  <c r="K43" i="4" s="1"/>
  <c r="X61" i="4"/>
  <c r="X68" i="4" s="1"/>
  <c r="P47" i="4"/>
  <c r="P43" i="4" s="1"/>
  <c r="N47" i="4"/>
  <c r="N43" i="4" s="1"/>
  <c r="Q47" i="4"/>
  <c r="Q43" i="4" s="1"/>
  <c r="T47" i="4"/>
  <c r="T43" i="4" s="1"/>
  <c r="D47" i="4"/>
  <c r="D43" i="4" s="1"/>
  <c r="V107" i="4"/>
  <c r="M87" i="4"/>
  <c r="C97" i="4"/>
  <c r="S47" i="4"/>
  <c r="S43" i="4" s="1"/>
  <c r="T61" i="4"/>
  <c r="W47" i="4"/>
  <c r="W43" i="4" s="1"/>
  <c r="M47" i="4"/>
  <c r="M43" i="4" s="1"/>
  <c r="W97" i="4"/>
  <c r="H47" i="4"/>
  <c r="H43" i="4" s="1"/>
  <c r="G47" i="4"/>
  <c r="G43" i="4" s="1"/>
  <c r="O107" i="4"/>
  <c r="L87" i="4"/>
  <c r="L47" i="4"/>
  <c r="L43" i="4" s="1"/>
  <c r="M61" i="4"/>
  <c r="M68" i="4" s="1"/>
  <c r="C47" i="4"/>
  <c r="C43" i="4" s="1"/>
  <c r="D61" i="4"/>
  <c r="D68" i="4" s="1"/>
  <c r="H61" i="4"/>
  <c r="H63" i="4" s="1"/>
  <c r="V61" i="4"/>
  <c r="E61" i="4"/>
  <c r="E63" i="4" s="1"/>
  <c r="N61" i="4"/>
  <c r="P61" i="4"/>
  <c r="V79" i="4"/>
  <c r="V80" i="4" s="1"/>
  <c r="V81" i="4" s="1"/>
  <c r="V82" i="4" s="1"/>
  <c r="F61" i="4"/>
  <c r="F63" i="4" s="1"/>
  <c r="P79" i="4"/>
  <c r="P80" i="4" s="1"/>
  <c r="P81" i="4" s="1"/>
  <c r="P82" i="4" s="1"/>
  <c r="S60" i="4"/>
  <c r="S61" i="4"/>
  <c r="C60" i="4"/>
  <c r="C61" i="4"/>
  <c r="V97" i="4"/>
  <c r="J61" i="4"/>
  <c r="I61" i="4"/>
  <c r="I68" i="4" s="1"/>
  <c r="Q61" i="4"/>
  <c r="W60" i="4"/>
  <c r="W61" i="4"/>
  <c r="G60" i="4"/>
  <c r="G61" i="4"/>
  <c r="O60" i="4"/>
  <c r="O61" i="4"/>
  <c r="Z87" i="4"/>
  <c r="K60" i="4"/>
  <c r="K61" i="4"/>
  <c r="R61" i="4"/>
  <c r="U61" i="4"/>
  <c r="L46" i="3"/>
  <c r="L42" i="3" s="1"/>
  <c r="J60" i="3"/>
  <c r="H46" i="3"/>
  <c r="H42" i="3" s="1"/>
  <c r="R46" i="3"/>
  <c r="R42" i="3" s="1"/>
  <c r="U46" i="3"/>
  <c r="U42" i="3" s="1"/>
  <c r="L60" i="3"/>
  <c r="C46" i="3"/>
  <c r="C42" i="3" s="1"/>
  <c r="H60" i="3"/>
  <c r="E46" i="3"/>
  <c r="E42" i="3" s="1"/>
  <c r="M46" i="3"/>
  <c r="M42" i="3" s="1"/>
  <c r="P46" i="3"/>
  <c r="P42" i="3" s="1"/>
  <c r="P60" i="3"/>
  <c r="N60" i="3"/>
  <c r="T78" i="3"/>
  <c r="T79" i="3" s="1"/>
  <c r="T80" i="3" s="1"/>
  <c r="T81" i="3" s="1"/>
  <c r="T60" i="3"/>
  <c r="D60" i="3"/>
  <c r="D67" i="3" s="1"/>
  <c r="Q46" i="3"/>
  <c r="Q42" i="3" s="1"/>
  <c r="F60" i="3"/>
  <c r="O60" i="3"/>
  <c r="O67" i="3" s="1"/>
  <c r="D46" i="3"/>
  <c r="D42" i="3" s="1"/>
  <c r="V46" i="3"/>
  <c r="V42" i="3" s="1"/>
  <c r="F46" i="3"/>
  <c r="F42" i="3" s="1"/>
  <c r="O46" i="3"/>
  <c r="O42" i="3" s="1"/>
  <c r="V60" i="3"/>
  <c r="S46" i="3"/>
  <c r="S42" i="3" s="1"/>
  <c r="S60" i="3"/>
  <c r="S67" i="3" s="1"/>
  <c r="C60" i="3"/>
  <c r="M60" i="3"/>
  <c r="P78" i="3"/>
  <c r="P79" i="3" s="1"/>
  <c r="P80" i="3" s="1"/>
  <c r="P81" i="3" s="1"/>
  <c r="I60" i="3"/>
  <c r="K60" i="3"/>
  <c r="K62" i="3" s="1"/>
  <c r="R60" i="3"/>
  <c r="R67" i="3" s="1"/>
  <c r="U60" i="3"/>
  <c r="E60" i="3"/>
  <c r="G60" i="3"/>
  <c r="G67" i="3" s="1"/>
  <c r="Q60" i="3"/>
  <c r="I57" i="2"/>
  <c r="J59" i="2"/>
  <c r="X54" i="2"/>
  <c r="X50" i="2" s="1"/>
  <c r="AC54" i="2"/>
  <c r="AC50" i="2" s="1"/>
  <c r="I54" i="2"/>
  <c r="I50" i="2" s="1"/>
  <c r="I61" i="2"/>
  <c r="AE54" i="2"/>
  <c r="AE50" i="2" s="1"/>
  <c r="I59" i="2"/>
  <c r="H59" i="2"/>
  <c r="H54" i="2"/>
  <c r="H50" i="2" s="1"/>
  <c r="R54" i="2"/>
  <c r="R50" i="2" s="1"/>
  <c r="H61" i="2"/>
  <c r="V54" i="2"/>
  <c r="V50" i="2" s="1"/>
  <c r="K61" i="2"/>
  <c r="H56" i="2"/>
  <c r="H58" i="2"/>
  <c r="H60" i="2"/>
  <c r="F54" i="2"/>
  <c r="F50" i="2" s="1"/>
  <c r="J58" i="2"/>
  <c r="J60" i="2"/>
  <c r="E58" i="2"/>
  <c r="F58" i="2"/>
  <c r="F56" i="2"/>
  <c r="F60" i="2"/>
  <c r="E60" i="2"/>
  <c r="E56" i="2"/>
  <c r="F61" i="2"/>
  <c r="Q54" i="2"/>
  <c r="Q50" i="2" s="1"/>
  <c r="J61" i="2"/>
  <c r="AC65" i="2"/>
  <c r="AC66" i="2" s="1"/>
  <c r="AC67" i="2" s="1"/>
  <c r="AC80" i="2" s="1"/>
  <c r="K59" i="2"/>
  <c r="K58" i="2"/>
  <c r="X67" i="2"/>
  <c r="X80" i="2" s="1"/>
  <c r="X68" i="2"/>
  <c r="I56" i="2"/>
  <c r="K60" i="2"/>
  <c r="P54" i="2"/>
  <c r="P50" i="2" s="1"/>
  <c r="U65" i="2"/>
  <c r="U66" i="2" s="1"/>
  <c r="U70" i="2" s="1"/>
  <c r="I60" i="2"/>
  <c r="G54" i="2"/>
  <c r="G50" i="2" s="1"/>
  <c r="O54" i="2"/>
  <c r="O50" i="2" s="1"/>
  <c r="G65" i="2"/>
  <c r="G66" i="2" s="1"/>
  <c r="G67" i="2" s="1"/>
  <c r="AD65" i="2"/>
  <c r="AD66" i="2" s="1"/>
  <c r="AD85" i="2" s="1"/>
  <c r="S65" i="2"/>
  <c r="S66" i="2" s="1"/>
  <c r="S85" i="2" s="1"/>
  <c r="AA65" i="2"/>
  <c r="AA66" i="2" s="1"/>
  <c r="V65" i="2"/>
  <c r="V66" i="2" s="1"/>
  <c r="V68" i="2" s="1"/>
  <c r="W65" i="2"/>
  <c r="W66" i="2" s="1"/>
  <c r="W68" i="2" s="1"/>
  <c r="Z65" i="2"/>
  <c r="Z66" i="2" s="1"/>
  <c r="AB54" i="2"/>
  <c r="AB50" i="2" s="1"/>
  <c r="Y65" i="2"/>
  <c r="Y66" i="2" s="1"/>
  <c r="AB65" i="2"/>
  <c r="AB66" i="2" s="1"/>
  <c r="AC68" i="2"/>
  <c r="T54" i="2"/>
  <c r="T50" i="2" s="1"/>
  <c r="AE65" i="2"/>
  <c r="AE66" i="2" s="1"/>
  <c r="T65" i="2"/>
  <c r="T66" i="2" s="1"/>
  <c r="G61" i="2"/>
  <c r="G60" i="2"/>
  <c r="G59" i="2"/>
  <c r="G58" i="2"/>
  <c r="K57" i="2"/>
  <c r="K56" i="2"/>
  <c r="G57" i="2"/>
  <c r="J65" i="2"/>
  <c r="J66" i="2" s="1"/>
  <c r="H65" i="2"/>
  <c r="H66" i="2" s="1"/>
  <c r="P65" i="2"/>
  <c r="P66" i="2" s="1"/>
  <c r="K65" i="2"/>
  <c r="K66" i="2" s="1"/>
  <c r="L65" i="2"/>
  <c r="L66" i="2" s="1"/>
  <c r="L70" i="2" s="1"/>
  <c r="N65" i="2"/>
  <c r="N66" i="2" s="1"/>
  <c r="O65" i="2"/>
  <c r="O66" i="2" s="1"/>
  <c r="I65" i="2"/>
  <c r="I66" i="2" s="1"/>
  <c r="R65" i="2"/>
  <c r="R66" i="2" s="1"/>
  <c r="R85" i="2" s="1"/>
  <c r="E65" i="2"/>
  <c r="E66" i="2" s="1"/>
  <c r="Q65" i="2"/>
  <c r="Q66" i="2" s="1"/>
  <c r="F65" i="2"/>
  <c r="F66" i="2" s="1"/>
  <c r="M65" i="2"/>
  <c r="M66" i="2" s="1"/>
  <c r="C65" i="2"/>
  <c r="D65" i="2"/>
  <c r="D66" i="2" s="1"/>
  <c r="D68" i="2" s="1"/>
  <c r="D56" i="2"/>
  <c r="C58" i="2"/>
  <c r="C61" i="2"/>
  <c r="C57" i="2"/>
  <c r="C60" i="2"/>
  <c r="C56" i="2"/>
  <c r="C59" i="2"/>
  <c r="D54" i="2"/>
  <c r="D50" i="2" s="1"/>
  <c r="D57" i="2"/>
  <c r="D59" i="2"/>
  <c r="D60" i="2"/>
  <c r="D61" i="2"/>
  <c r="C54" i="2"/>
  <c r="C50" i="2" s="1"/>
  <c r="R107" i="7" l="1"/>
  <c r="F97" i="7"/>
  <c r="D106" i="3"/>
  <c r="F62" i="3"/>
  <c r="F63" i="3" s="1"/>
  <c r="F64" i="3" s="1"/>
  <c r="F70" i="3" s="1"/>
  <c r="F71" i="3" s="1"/>
  <c r="M62" i="3"/>
  <c r="E62" i="3"/>
  <c r="I62" i="3"/>
  <c r="I68" i="3" s="1"/>
  <c r="I69" i="3" s="1"/>
  <c r="D62" i="3"/>
  <c r="K67" i="3"/>
  <c r="N67" i="3"/>
  <c r="O62" i="3"/>
  <c r="V62" i="3"/>
  <c r="C67" i="3"/>
  <c r="F68" i="8"/>
  <c r="Q97" i="7"/>
  <c r="S97" i="7"/>
  <c r="L107" i="7"/>
  <c r="X68" i="7"/>
  <c r="N64" i="7"/>
  <c r="N65" i="7" s="1"/>
  <c r="N71" i="7" s="1"/>
  <c r="N72" i="7" s="1"/>
  <c r="P63" i="7"/>
  <c r="P64" i="7" s="1"/>
  <c r="P65" i="7" s="1"/>
  <c r="P71" i="7" s="1"/>
  <c r="P72" i="7" s="1"/>
  <c r="E63" i="7"/>
  <c r="E64" i="7" s="1"/>
  <c r="E65" i="7" s="1"/>
  <c r="E66" i="7" s="1"/>
  <c r="E67" i="7" s="1"/>
  <c r="H79" i="7"/>
  <c r="H80" i="7" s="1"/>
  <c r="H81" i="7" s="1"/>
  <c r="H82" i="7" s="1"/>
  <c r="C79" i="7"/>
  <c r="C80" i="7" s="1"/>
  <c r="C81" i="7" s="1"/>
  <c r="C82" i="7" s="1"/>
  <c r="C87" i="7"/>
  <c r="C68" i="7"/>
  <c r="E87" i="7"/>
  <c r="M64" i="6"/>
  <c r="M65" i="6" s="1"/>
  <c r="M71" i="6" s="1"/>
  <c r="M72" i="6" s="1"/>
  <c r="H87" i="5"/>
  <c r="D63" i="5"/>
  <c r="D69" i="5" s="1"/>
  <c r="D70" i="5" s="1"/>
  <c r="S80" i="2"/>
  <c r="W85" i="2"/>
  <c r="AC70" i="2"/>
  <c r="T87" i="4"/>
  <c r="F68" i="4"/>
  <c r="L68" i="4"/>
  <c r="F69" i="4"/>
  <c r="F70" i="4" s="1"/>
  <c r="F64" i="4"/>
  <c r="F65" i="4" s="1"/>
  <c r="F66" i="4" s="1"/>
  <c r="F67" i="4" s="1"/>
  <c r="L69" i="4"/>
  <c r="L70" i="4" s="1"/>
  <c r="L64" i="4"/>
  <c r="L65" i="4" s="1"/>
  <c r="L66" i="4" s="1"/>
  <c r="L67" i="4" s="1"/>
  <c r="E69" i="4"/>
  <c r="E70" i="4" s="1"/>
  <c r="E64" i="4"/>
  <c r="E65" i="4" s="1"/>
  <c r="E66" i="4" s="1"/>
  <c r="E67" i="4" s="1"/>
  <c r="H64" i="4"/>
  <c r="H65" i="4" s="1"/>
  <c r="H71" i="4" s="1"/>
  <c r="H72" i="4" s="1"/>
  <c r="H69" i="4"/>
  <c r="H70" i="4" s="1"/>
  <c r="J87" i="4"/>
  <c r="R64" i="4"/>
  <c r="R65" i="4" s="1"/>
  <c r="R66" i="4" s="1"/>
  <c r="R67" i="4" s="1"/>
  <c r="R69" i="4"/>
  <c r="R70" i="4" s="1"/>
  <c r="U74" i="4"/>
  <c r="U75" i="4" s="1"/>
  <c r="U76" i="4" s="1"/>
  <c r="U77" i="4" s="1"/>
  <c r="E68" i="4"/>
  <c r="S64" i="4"/>
  <c r="S65" i="4" s="1"/>
  <c r="S71" i="4" s="1"/>
  <c r="S72" i="4" s="1"/>
  <c r="S69" i="4"/>
  <c r="S70" i="4" s="1"/>
  <c r="H68" i="4"/>
  <c r="K64" i="4"/>
  <c r="K65" i="4" s="1"/>
  <c r="K71" i="4" s="1"/>
  <c r="K72" i="4" s="1"/>
  <c r="K69" i="4"/>
  <c r="K70" i="4" s="1"/>
  <c r="T64" i="4"/>
  <c r="T65" i="4" s="1"/>
  <c r="T71" i="4" s="1"/>
  <c r="T72" i="4" s="1"/>
  <c r="T69" i="4"/>
  <c r="T70" i="4" s="1"/>
  <c r="W64" i="4"/>
  <c r="W65" i="4" s="1"/>
  <c r="W71" i="4" s="1"/>
  <c r="W72" i="4" s="1"/>
  <c r="W69" i="4"/>
  <c r="W70" i="4" s="1"/>
  <c r="M63" i="4"/>
  <c r="G73" i="4"/>
  <c r="G74" i="4" s="1"/>
  <c r="G75" i="4" s="1"/>
  <c r="G76" i="4" s="1"/>
  <c r="G77" i="4" s="1"/>
  <c r="G68" i="4"/>
  <c r="G63" i="4"/>
  <c r="G78" i="4"/>
  <c r="I63" i="4"/>
  <c r="X63" i="4"/>
  <c r="D63" i="4"/>
  <c r="O64" i="4"/>
  <c r="O65" i="4" s="1"/>
  <c r="O71" i="4" s="1"/>
  <c r="O72" i="4" s="1"/>
  <c r="O69" i="4"/>
  <c r="O70" i="4" s="1"/>
  <c r="N69" i="4"/>
  <c r="N70" i="4" s="1"/>
  <c r="N64" i="4"/>
  <c r="N65" i="4" s="1"/>
  <c r="N71" i="4" s="1"/>
  <c r="N72" i="4" s="1"/>
  <c r="Q64" i="4"/>
  <c r="Q65" i="4" s="1"/>
  <c r="Q66" i="4" s="1"/>
  <c r="Q67" i="4" s="1"/>
  <c r="Q69" i="4"/>
  <c r="Q70" i="4" s="1"/>
  <c r="M74" i="4"/>
  <c r="M75" i="4" s="1"/>
  <c r="M76" i="4" s="1"/>
  <c r="M77" i="4" s="1"/>
  <c r="I74" i="4"/>
  <c r="I75" i="4" s="1"/>
  <c r="I76" i="4" s="1"/>
  <c r="I77" i="4" s="1"/>
  <c r="P69" i="4"/>
  <c r="P70" i="4" s="1"/>
  <c r="P64" i="4"/>
  <c r="P65" i="4" s="1"/>
  <c r="P66" i="4" s="1"/>
  <c r="P67" i="4" s="1"/>
  <c r="E74" i="4"/>
  <c r="E75" i="4" s="1"/>
  <c r="E76" i="4" s="1"/>
  <c r="E77" i="4" s="1"/>
  <c r="Q107" i="4"/>
  <c r="U64" i="4"/>
  <c r="U65" i="4" s="1"/>
  <c r="U66" i="4" s="1"/>
  <c r="U67" i="4" s="1"/>
  <c r="U69" i="4"/>
  <c r="U70" i="4" s="1"/>
  <c r="J64" i="4"/>
  <c r="J65" i="4" s="1"/>
  <c r="J71" i="4" s="1"/>
  <c r="J72" i="4" s="1"/>
  <c r="J69" i="4"/>
  <c r="J70" i="4" s="1"/>
  <c r="Q74" i="4"/>
  <c r="Q75" i="4" s="1"/>
  <c r="Q76" i="4" s="1"/>
  <c r="Q77" i="4" s="1"/>
  <c r="V69" i="4"/>
  <c r="V70" i="4" s="1"/>
  <c r="V64" i="4"/>
  <c r="V65" i="4" s="1"/>
  <c r="V66" i="4" s="1"/>
  <c r="V67" i="4" s="1"/>
  <c r="C68" i="4"/>
  <c r="C63" i="4"/>
  <c r="C73" i="4"/>
  <c r="C78" i="4"/>
  <c r="N73" i="3"/>
  <c r="N74" i="3" s="1"/>
  <c r="N75" i="3" s="1"/>
  <c r="N76" i="3" s="1"/>
  <c r="M73" i="3"/>
  <c r="M74" i="3" s="1"/>
  <c r="M75" i="3" s="1"/>
  <c r="M76" i="3" s="1"/>
  <c r="Q96" i="3"/>
  <c r="I63" i="3"/>
  <c r="I64" i="3" s="1"/>
  <c r="I70" i="3" s="1"/>
  <c r="I71" i="3" s="1"/>
  <c r="F68" i="3"/>
  <c r="F69" i="3" s="1"/>
  <c r="M68" i="3"/>
  <c r="M69" i="3" s="1"/>
  <c r="M70" i="3"/>
  <c r="M71" i="3" s="1"/>
  <c r="M63" i="3"/>
  <c r="M64" i="3" s="1"/>
  <c r="M65" i="3" s="1"/>
  <c r="M66" i="3" s="1"/>
  <c r="S73" i="3"/>
  <c r="S74" i="3" s="1"/>
  <c r="S75" i="3" s="1"/>
  <c r="S76" i="3" s="1"/>
  <c r="U68" i="3"/>
  <c r="U69" i="3" s="1"/>
  <c r="U63" i="3"/>
  <c r="U64" i="3" s="1"/>
  <c r="U65" i="3" s="1"/>
  <c r="U66" i="3" s="1"/>
  <c r="F73" i="3"/>
  <c r="F74" i="3" s="1"/>
  <c r="F75" i="3" s="1"/>
  <c r="F76" i="3" s="1"/>
  <c r="G63" i="3"/>
  <c r="G64" i="3" s="1"/>
  <c r="G70" i="3" s="1"/>
  <c r="G71" i="3" s="1"/>
  <c r="G68" i="3"/>
  <c r="G69" i="3" s="1"/>
  <c r="L68" i="3"/>
  <c r="L69" i="3" s="1"/>
  <c r="L63" i="3"/>
  <c r="L64" i="3" s="1"/>
  <c r="L70" i="3" s="1"/>
  <c r="L71" i="3" s="1"/>
  <c r="I73" i="3"/>
  <c r="I74" i="3" s="1"/>
  <c r="I75" i="3" s="1"/>
  <c r="I76" i="3" s="1"/>
  <c r="L86" i="3"/>
  <c r="E68" i="3"/>
  <c r="E69" i="3" s="1"/>
  <c r="E63" i="3"/>
  <c r="E64" i="3" s="1"/>
  <c r="E65" i="3" s="1"/>
  <c r="E66" i="3" s="1"/>
  <c r="G73" i="3"/>
  <c r="G74" i="3" s="1"/>
  <c r="G75" i="3" s="1"/>
  <c r="G76" i="3" s="1"/>
  <c r="D68" i="3"/>
  <c r="D69" i="3" s="1"/>
  <c r="D63" i="3"/>
  <c r="D64" i="3" s="1"/>
  <c r="D65" i="3" s="1"/>
  <c r="D66" i="3" s="1"/>
  <c r="H73" i="3"/>
  <c r="H74" i="3" s="1"/>
  <c r="H75" i="3" s="1"/>
  <c r="H76" i="3" s="1"/>
  <c r="O73" i="3"/>
  <c r="O74" i="3" s="1"/>
  <c r="O75" i="3" s="1"/>
  <c r="O76" i="3" s="1"/>
  <c r="E106" i="3"/>
  <c r="L73" i="3"/>
  <c r="L74" i="3" s="1"/>
  <c r="L75" i="3" s="1"/>
  <c r="L76" i="3" s="1"/>
  <c r="R73" i="3"/>
  <c r="R74" i="3" s="1"/>
  <c r="R75" i="3" s="1"/>
  <c r="R76" i="3" s="1"/>
  <c r="E73" i="3"/>
  <c r="E74" i="3" s="1"/>
  <c r="E75" i="3" s="1"/>
  <c r="E76" i="3" s="1"/>
  <c r="U73" i="3"/>
  <c r="U74" i="3" s="1"/>
  <c r="U75" i="3" s="1"/>
  <c r="U76" i="3" s="1"/>
  <c r="F106" i="3"/>
  <c r="J63" i="3"/>
  <c r="J64" i="3" s="1"/>
  <c r="J70" i="3" s="1"/>
  <c r="J71" i="3" s="1"/>
  <c r="J68" i="3"/>
  <c r="J69" i="3" s="1"/>
  <c r="J65" i="3"/>
  <c r="J66" i="3" s="1"/>
  <c r="O68" i="3"/>
  <c r="O69" i="3" s="1"/>
  <c r="O63" i="3"/>
  <c r="O64" i="3" s="1"/>
  <c r="O65" i="3" s="1"/>
  <c r="O66" i="3" s="1"/>
  <c r="V68" i="3"/>
  <c r="V69" i="3" s="1"/>
  <c r="V63" i="3"/>
  <c r="V64" i="3" s="1"/>
  <c r="V65" i="3" s="1"/>
  <c r="V66" i="3" s="1"/>
  <c r="M67" i="3"/>
  <c r="L67" i="3"/>
  <c r="E67" i="3"/>
  <c r="V67" i="3"/>
  <c r="J67" i="3"/>
  <c r="T73" i="3"/>
  <c r="T74" i="3" s="1"/>
  <c r="T75" i="3" s="1"/>
  <c r="T76" i="3" s="1"/>
  <c r="C62" i="3"/>
  <c r="C68" i="3" s="1"/>
  <c r="C69" i="3" s="1"/>
  <c r="R62" i="3"/>
  <c r="Q63" i="3"/>
  <c r="Q64" i="3" s="1"/>
  <c r="Q70" i="3"/>
  <c r="Q71" i="3" s="1"/>
  <c r="Q65" i="3"/>
  <c r="Q66" i="3" s="1"/>
  <c r="Q68" i="3"/>
  <c r="Q69" i="3" s="1"/>
  <c r="I67" i="3"/>
  <c r="D73" i="3"/>
  <c r="D74" i="3" s="1"/>
  <c r="D75" i="3" s="1"/>
  <c r="D76" i="3" s="1"/>
  <c r="S62" i="3"/>
  <c r="V73" i="3"/>
  <c r="V74" i="3" s="1"/>
  <c r="V75" i="3" s="1"/>
  <c r="V76" i="3" s="1"/>
  <c r="F67" i="3"/>
  <c r="H62" i="3"/>
  <c r="N62" i="3"/>
  <c r="W73" i="3"/>
  <c r="W74" i="3" s="1"/>
  <c r="W75" i="3" s="1"/>
  <c r="W76" i="3" s="1"/>
  <c r="K68" i="3"/>
  <c r="K69" i="3" s="1"/>
  <c r="K63" i="3"/>
  <c r="K64" i="3" s="1"/>
  <c r="K70" i="3" s="1"/>
  <c r="K71" i="3" s="1"/>
  <c r="K73" i="3"/>
  <c r="K74" i="3" s="1"/>
  <c r="K75" i="3" s="1"/>
  <c r="K76" i="3" s="1"/>
  <c r="W68" i="3"/>
  <c r="W69" i="3" s="1"/>
  <c r="W63" i="3"/>
  <c r="W64" i="3" s="1"/>
  <c r="W70" i="3" s="1"/>
  <c r="W71" i="3" s="1"/>
  <c r="Q73" i="3"/>
  <c r="Q74" i="3" s="1"/>
  <c r="Q75" i="3" s="1"/>
  <c r="Q76" i="3" s="1"/>
  <c r="T63" i="3"/>
  <c r="T64" i="3" s="1"/>
  <c r="T65" i="3" s="1"/>
  <c r="T66" i="3" s="1"/>
  <c r="T68" i="3"/>
  <c r="T69" i="3" s="1"/>
  <c r="T70" i="3"/>
  <c r="T71" i="3" s="1"/>
  <c r="U67" i="3"/>
  <c r="J73" i="3"/>
  <c r="J74" i="3" s="1"/>
  <c r="J75" i="3" s="1"/>
  <c r="J76" i="3" s="1"/>
  <c r="P73" i="3"/>
  <c r="P74" i="3" s="1"/>
  <c r="P75" i="3" s="1"/>
  <c r="P76" i="3" s="1"/>
  <c r="P63" i="3"/>
  <c r="P64" i="3" s="1"/>
  <c r="P70" i="3" s="1"/>
  <c r="P71" i="3" s="1"/>
  <c r="P68" i="3"/>
  <c r="P69" i="3" s="1"/>
  <c r="Z80" i="2"/>
  <c r="Z70" i="2"/>
  <c r="Z85" i="2"/>
  <c r="S124" i="2" s="1"/>
  <c r="L85" i="2"/>
  <c r="X85" i="2"/>
  <c r="G80" i="2"/>
  <c r="S70" i="2"/>
  <c r="R80" i="2"/>
  <c r="AD70" i="2"/>
  <c r="AD80" i="2"/>
  <c r="U80" i="2"/>
  <c r="L80" i="2"/>
  <c r="W70" i="2"/>
  <c r="W80" i="2"/>
  <c r="X75" i="2"/>
  <c r="G85" i="2"/>
  <c r="R70" i="2"/>
  <c r="AC85" i="2"/>
  <c r="AC86" i="2" s="1"/>
  <c r="AC87" i="2" s="1"/>
  <c r="AC88" i="2" s="1"/>
  <c r="AC89" i="2" s="1"/>
  <c r="X70" i="2"/>
  <c r="U85" i="2"/>
  <c r="AC75" i="2"/>
  <c r="C52" i="9"/>
  <c r="C53" i="9" s="1"/>
  <c r="C54" i="9" s="1"/>
  <c r="C55" i="9" s="1"/>
  <c r="C56" i="9" s="1"/>
  <c r="C42" i="9"/>
  <c r="C47" i="9"/>
  <c r="C43" i="9"/>
  <c r="C44" i="9" s="1"/>
  <c r="C45" i="9" s="1"/>
  <c r="C46" i="9" s="1"/>
  <c r="C48" i="9"/>
  <c r="C49" i="9" s="1"/>
  <c r="C44" i="8"/>
  <c r="C50" i="8" s="1"/>
  <c r="C51" i="8" s="1"/>
  <c r="D44" i="8"/>
  <c r="D45" i="8" s="1"/>
  <c r="D46" i="8" s="1"/>
  <c r="D52" i="8" s="1"/>
  <c r="D53" i="8" s="1"/>
  <c r="E52" i="8"/>
  <c r="E53" i="8" s="1"/>
  <c r="D59" i="8"/>
  <c r="D60" i="8" s="1"/>
  <c r="D61" i="8" s="1"/>
  <c r="D62" i="8" s="1"/>
  <c r="D63" i="8" s="1"/>
  <c r="D50" i="8"/>
  <c r="D51" i="8" s="1"/>
  <c r="D49" i="8"/>
  <c r="D54" i="8"/>
  <c r="C60" i="8"/>
  <c r="C61" i="8" s="1"/>
  <c r="C62" i="8" s="1"/>
  <c r="C63" i="8" s="1"/>
  <c r="C68" i="8"/>
  <c r="C49" i="8"/>
  <c r="C63" i="7"/>
  <c r="W61" i="7"/>
  <c r="P60" i="7"/>
  <c r="P61" i="7"/>
  <c r="K64" i="7"/>
  <c r="K65" i="7" s="1"/>
  <c r="K66" i="7" s="1"/>
  <c r="K67" i="7" s="1"/>
  <c r="J87" i="7"/>
  <c r="G87" i="7"/>
  <c r="L68" i="7"/>
  <c r="W63" i="7"/>
  <c r="I87" i="7"/>
  <c r="I63" i="7"/>
  <c r="I64" i="7" s="1"/>
  <c r="I65" i="7" s="1"/>
  <c r="I66" i="7" s="1"/>
  <c r="I67" i="7" s="1"/>
  <c r="M107" i="7"/>
  <c r="W60" i="7"/>
  <c r="G61" i="7"/>
  <c r="G60" i="7"/>
  <c r="W107" i="7"/>
  <c r="U107" i="7"/>
  <c r="Q74" i="7"/>
  <c r="Q75" i="7" s="1"/>
  <c r="Q76" i="7" s="1"/>
  <c r="Q77" i="7" s="1"/>
  <c r="Y107" i="7"/>
  <c r="Y108" i="7" s="1"/>
  <c r="Y109" i="7" s="1"/>
  <c r="Y110" i="7" s="1"/>
  <c r="Y111" i="7" s="1"/>
  <c r="Y112" i="7" s="1"/>
  <c r="Y113" i="7" s="1"/>
  <c r="K87" i="7"/>
  <c r="K88" i="7" s="1"/>
  <c r="K89" i="7" s="1"/>
  <c r="X107" i="7"/>
  <c r="V107" i="7"/>
  <c r="AA108" i="7"/>
  <c r="AA109" i="7" s="1"/>
  <c r="AA110" i="7" s="1"/>
  <c r="AA111" i="7" s="1"/>
  <c r="AA112" i="7" s="1"/>
  <c r="AA113" i="7" s="1"/>
  <c r="Z87" i="7"/>
  <c r="AC108" i="7"/>
  <c r="AC109" i="7" s="1"/>
  <c r="AC110" i="7" s="1"/>
  <c r="AC111" i="7" s="1"/>
  <c r="AC112" i="7" s="1"/>
  <c r="AC113" i="7" s="1"/>
  <c r="M68" i="7"/>
  <c r="N66" i="7"/>
  <c r="N67" i="7" s="1"/>
  <c r="L63" i="7"/>
  <c r="L64" i="7" s="1"/>
  <c r="L65" i="7" s="1"/>
  <c r="L66" i="7" s="1"/>
  <c r="L67" i="7" s="1"/>
  <c r="H63" i="7"/>
  <c r="H69" i="7" s="1"/>
  <c r="H70" i="7" s="1"/>
  <c r="E79" i="7"/>
  <c r="E80" i="7" s="1"/>
  <c r="E81" i="7" s="1"/>
  <c r="E82" i="7" s="1"/>
  <c r="D68" i="7"/>
  <c r="X63" i="7"/>
  <c r="P79" i="7"/>
  <c r="P80" i="7" s="1"/>
  <c r="P81" i="7" s="1"/>
  <c r="P82" i="7" s="1"/>
  <c r="T71" i="7"/>
  <c r="T72" i="7" s="1"/>
  <c r="K71" i="7"/>
  <c r="K72" i="7" s="1"/>
  <c r="O79" i="7"/>
  <c r="O80" i="7" s="1"/>
  <c r="O81" i="7" s="1"/>
  <c r="O82" i="7" s="1"/>
  <c r="H97" i="7"/>
  <c r="O107" i="7"/>
  <c r="P76" i="7"/>
  <c r="P77" i="7" s="1"/>
  <c r="T87" i="7"/>
  <c r="S66" i="7"/>
  <c r="S67" i="7" s="1"/>
  <c r="X97" i="7"/>
  <c r="X79" i="7"/>
  <c r="X80" i="7" s="1"/>
  <c r="X81" i="7" s="1"/>
  <c r="X82" i="7" s="1"/>
  <c r="J107" i="7"/>
  <c r="I108" i="7" s="1"/>
  <c r="I109" i="7" s="1"/>
  <c r="O64" i="7"/>
  <c r="O65" i="7" s="1"/>
  <c r="O66" i="7" s="1"/>
  <c r="O67" i="7" s="1"/>
  <c r="G88" i="7"/>
  <c r="G89" i="7" s="1"/>
  <c r="G90" i="7" s="1"/>
  <c r="G91" i="7" s="1"/>
  <c r="G92" i="7" s="1"/>
  <c r="G93" i="7" s="1"/>
  <c r="H68" i="7"/>
  <c r="P69" i="7"/>
  <c r="P70" i="7" s="1"/>
  <c r="N87" i="7"/>
  <c r="M64" i="7"/>
  <c r="M65" i="7" s="1"/>
  <c r="M66" i="7" s="1"/>
  <c r="M67" i="7" s="1"/>
  <c r="M69" i="7"/>
  <c r="M70" i="7" s="1"/>
  <c r="U64" i="7"/>
  <c r="U65" i="7" s="1"/>
  <c r="U71" i="7" s="1"/>
  <c r="U72" i="7" s="1"/>
  <c r="U69" i="7"/>
  <c r="U70" i="7" s="1"/>
  <c r="Q107" i="7"/>
  <c r="Q108" i="7" s="1"/>
  <c r="Q109" i="7" s="1"/>
  <c r="M74" i="7"/>
  <c r="M75" i="7" s="1"/>
  <c r="M76" i="7" s="1"/>
  <c r="M77" i="7" s="1"/>
  <c r="J97" i="7"/>
  <c r="P97" i="7"/>
  <c r="R97" i="7"/>
  <c r="U74" i="7"/>
  <c r="U75" i="7" s="1"/>
  <c r="U76" i="7" s="1"/>
  <c r="U77" i="7" s="1"/>
  <c r="G97" i="7"/>
  <c r="Y87" i="7"/>
  <c r="Y88" i="7" s="1"/>
  <c r="Y89" i="7" s="1"/>
  <c r="F74" i="7"/>
  <c r="F75" i="7" s="1"/>
  <c r="F76" i="7" s="1"/>
  <c r="F77" i="7" s="1"/>
  <c r="I97" i="7"/>
  <c r="P66" i="7"/>
  <c r="P67" i="7" s="1"/>
  <c r="P83" i="7" s="1"/>
  <c r="S107" i="7"/>
  <c r="S108" i="7" s="1"/>
  <c r="S109" i="7" s="1"/>
  <c r="M79" i="7"/>
  <c r="M80" i="7" s="1"/>
  <c r="M81" i="7" s="1"/>
  <c r="M82" i="7" s="1"/>
  <c r="N107" i="7"/>
  <c r="D97" i="7"/>
  <c r="J79" i="7"/>
  <c r="J80" i="7" s="1"/>
  <c r="J81" i="7" s="1"/>
  <c r="J82" i="7" s="1"/>
  <c r="V69" i="7"/>
  <c r="V70" i="7" s="1"/>
  <c r="V64" i="7"/>
  <c r="V65" i="7" s="1"/>
  <c r="V66" i="7" s="1"/>
  <c r="V67" i="7" s="1"/>
  <c r="Q66" i="7"/>
  <c r="Q67" i="7" s="1"/>
  <c r="W108" i="7"/>
  <c r="W109" i="7" s="1"/>
  <c r="D63" i="7"/>
  <c r="S87" i="7"/>
  <c r="U87" i="7"/>
  <c r="E74" i="7"/>
  <c r="E75" i="7" s="1"/>
  <c r="E76" i="7" s="1"/>
  <c r="E77" i="7" s="1"/>
  <c r="T97" i="7"/>
  <c r="S98" i="7" s="1"/>
  <c r="S99" i="7" s="1"/>
  <c r="G107" i="7"/>
  <c r="G108" i="7" s="1"/>
  <c r="G109" i="7" s="1"/>
  <c r="E107" i="7"/>
  <c r="E108" i="7" s="1"/>
  <c r="E109" i="7" s="1"/>
  <c r="Z97" i="7"/>
  <c r="Y98" i="7" s="1"/>
  <c r="Y99" i="7" s="1"/>
  <c r="V87" i="7"/>
  <c r="J74" i="7"/>
  <c r="J75" i="7" s="1"/>
  <c r="J76" i="7" s="1"/>
  <c r="J77" i="7" s="1"/>
  <c r="P87" i="7"/>
  <c r="C97" i="7"/>
  <c r="E97" i="7"/>
  <c r="E98" i="7" s="1"/>
  <c r="E99" i="7" s="1"/>
  <c r="F79" i="7"/>
  <c r="F80" i="7" s="1"/>
  <c r="F81" i="7" s="1"/>
  <c r="F82" i="7" s="1"/>
  <c r="X87" i="7"/>
  <c r="W88" i="7" s="1"/>
  <c r="W89" i="7" s="1"/>
  <c r="J69" i="7"/>
  <c r="J70" i="7" s="1"/>
  <c r="J64" i="7"/>
  <c r="J65" i="7" s="1"/>
  <c r="J66" i="7" s="1"/>
  <c r="J67" i="7" s="1"/>
  <c r="X64" i="7"/>
  <c r="X65" i="7" s="1"/>
  <c r="X66" i="7" s="1"/>
  <c r="X67" i="7" s="1"/>
  <c r="X69" i="7"/>
  <c r="X70" i="7" s="1"/>
  <c r="R69" i="7"/>
  <c r="R70" i="7" s="1"/>
  <c r="R64" i="7"/>
  <c r="R65" i="7" s="1"/>
  <c r="R71" i="7" s="1"/>
  <c r="R72" i="7" s="1"/>
  <c r="D87" i="7"/>
  <c r="C88" i="7" s="1"/>
  <c r="C89" i="7" s="1"/>
  <c r="M87" i="7"/>
  <c r="D79" i="7"/>
  <c r="D80" i="7" s="1"/>
  <c r="D81" i="7" s="1"/>
  <c r="D82" i="7" s="1"/>
  <c r="U79" i="7"/>
  <c r="U80" i="7" s="1"/>
  <c r="U81" i="7" s="1"/>
  <c r="U82" i="7" s="1"/>
  <c r="W97" i="7"/>
  <c r="N97" i="7"/>
  <c r="U97" i="7"/>
  <c r="U98" i="7" s="1"/>
  <c r="U99" i="7" s="1"/>
  <c r="H74" i="7"/>
  <c r="H75" i="7" s="1"/>
  <c r="H76" i="7" s="1"/>
  <c r="H77" i="7" s="1"/>
  <c r="V79" i="7"/>
  <c r="V80" i="7" s="1"/>
  <c r="V81" i="7" s="1"/>
  <c r="V82" i="7" s="1"/>
  <c r="H64" i="7"/>
  <c r="H65" i="7" s="1"/>
  <c r="H71" i="7" s="1"/>
  <c r="H72" i="7" s="1"/>
  <c r="K108" i="7"/>
  <c r="K109" i="7" s="1"/>
  <c r="P107" i="7"/>
  <c r="T74" i="7"/>
  <c r="T75" i="7" s="1"/>
  <c r="T76" i="7" s="1"/>
  <c r="T77" i="7" s="1"/>
  <c r="D107" i="7"/>
  <c r="C108" i="7" s="1"/>
  <c r="C109" i="7" s="1"/>
  <c r="X74" i="7"/>
  <c r="X75" i="7" s="1"/>
  <c r="X76" i="7" s="1"/>
  <c r="X77" i="7" s="1"/>
  <c r="O87" i="7"/>
  <c r="D74" i="7"/>
  <c r="D75" i="7" s="1"/>
  <c r="D76" i="7" s="1"/>
  <c r="D77" i="7" s="1"/>
  <c r="Q87" i="7"/>
  <c r="Q88" i="7" s="1"/>
  <c r="Q89" i="7" s="1"/>
  <c r="F63" i="7"/>
  <c r="I88" i="7"/>
  <c r="I89" i="7" s="1"/>
  <c r="W87" i="6"/>
  <c r="E79" i="6"/>
  <c r="E80" i="6" s="1"/>
  <c r="E81" i="6" s="1"/>
  <c r="E82" i="6" s="1"/>
  <c r="E68" i="6"/>
  <c r="S73" i="6"/>
  <c r="S74" i="6" s="1"/>
  <c r="S75" i="6" s="1"/>
  <c r="S76" i="6" s="1"/>
  <c r="S77" i="6" s="1"/>
  <c r="U63" i="6"/>
  <c r="W68" i="6"/>
  <c r="S78" i="6"/>
  <c r="S79" i="6" s="1"/>
  <c r="S80" i="6" s="1"/>
  <c r="S81" i="6" s="1"/>
  <c r="S82" i="6" s="1"/>
  <c r="O63" i="6"/>
  <c r="O64" i="6" s="1"/>
  <c r="O65" i="6" s="1"/>
  <c r="O66" i="6" s="1"/>
  <c r="O67" i="6" s="1"/>
  <c r="F74" i="6"/>
  <c r="F75" i="6" s="1"/>
  <c r="F76" i="6" s="1"/>
  <c r="F77" i="6" s="1"/>
  <c r="N87" i="6"/>
  <c r="I63" i="6"/>
  <c r="I69" i="6" s="1"/>
  <c r="I70" i="6" s="1"/>
  <c r="K68" i="6"/>
  <c r="P78" i="6"/>
  <c r="W78" i="6"/>
  <c r="O73" i="6"/>
  <c r="R87" i="6" s="1"/>
  <c r="J63" i="6"/>
  <c r="J64" i="6" s="1"/>
  <c r="J65" i="6" s="1"/>
  <c r="J71" i="6" s="1"/>
  <c r="J72" i="6" s="1"/>
  <c r="Q63" i="6"/>
  <c r="Q69" i="6" s="1"/>
  <c r="Q70" i="6" s="1"/>
  <c r="V68" i="6"/>
  <c r="R66" i="6"/>
  <c r="R67" i="6" s="1"/>
  <c r="S68" i="6"/>
  <c r="W73" i="6"/>
  <c r="L87" i="6" s="1"/>
  <c r="P73" i="6"/>
  <c r="O78" i="6"/>
  <c r="K73" i="6"/>
  <c r="K74" i="6" s="1"/>
  <c r="K75" i="6" s="1"/>
  <c r="K76" i="6" s="1"/>
  <c r="K77" i="6" s="1"/>
  <c r="M66" i="6"/>
  <c r="M67" i="6" s="1"/>
  <c r="Y87" i="6"/>
  <c r="W63" i="6"/>
  <c r="W64" i="6" s="1"/>
  <c r="W65" i="6" s="1"/>
  <c r="W71" i="6" s="1"/>
  <c r="W72" i="6" s="1"/>
  <c r="O68" i="6"/>
  <c r="K63" i="6"/>
  <c r="T63" i="6"/>
  <c r="T68" i="6"/>
  <c r="G97" i="6"/>
  <c r="I68" i="6"/>
  <c r="P68" i="6"/>
  <c r="C63" i="6"/>
  <c r="C64" i="6" s="1"/>
  <c r="C65" i="6" s="1"/>
  <c r="C71" i="6" s="1"/>
  <c r="C72" i="6" s="1"/>
  <c r="T73" i="6"/>
  <c r="C73" i="6"/>
  <c r="G87" i="6" s="1"/>
  <c r="G78" i="6"/>
  <c r="M97" i="6" s="1"/>
  <c r="G68" i="6"/>
  <c r="K97" i="6"/>
  <c r="E69" i="6"/>
  <c r="E70" i="6" s="1"/>
  <c r="E64" i="6"/>
  <c r="E65" i="6" s="1"/>
  <c r="E66" i="6" s="1"/>
  <c r="E67" i="6" s="1"/>
  <c r="C97" i="6"/>
  <c r="E97" i="6"/>
  <c r="E98" i="6" s="1"/>
  <c r="E99" i="6" s="1"/>
  <c r="X87" i="6"/>
  <c r="F79" i="6"/>
  <c r="F80" i="6" s="1"/>
  <c r="F81" i="6" s="1"/>
  <c r="F82" i="6" s="1"/>
  <c r="V79" i="6"/>
  <c r="V80" i="6" s="1"/>
  <c r="V81" i="6" s="1"/>
  <c r="V82" i="6" s="1"/>
  <c r="C78" i="6"/>
  <c r="T107" i="6"/>
  <c r="S108" i="6" s="1"/>
  <c r="S109" i="6" s="1"/>
  <c r="T97" i="6"/>
  <c r="G107" i="6"/>
  <c r="P87" i="6"/>
  <c r="Z97" i="6"/>
  <c r="V87" i="6"/>
  <c r="E107" i="6"/>
  <c r="J74" i="6"/>
  <c r="J75" i="6" s="1"/>
  <c r="J76" i="6" s="1"/>
  <c r="J77" i="6" s="1"/>
  <c r="L97" i="6"/>
  <c r="V74" i="6"/>
  <c r="V75" i="6" s="1"/>
  <c r="V76" i="6" s="1"/>
  <c r="V77" i="6" s="1"/>
  <c r="G73" i="6"/>
  <c r="F64" i="6"/>
  <c r="F65" i="6" s="1"/>
  <c r="F66" i="6" s="1"/>
  <c r="F67" i="6" s="1"/>
  <c r="F69" i="6"/>
  <c r="F70" i="6" s="1"/>
  <c r="V97" i="6"/>
  <c r="I74" i="6"/>
  <c r="I75" i="6" s="1"/>
  <c r="I76" i="6" s="1"/>
  <c r="I77" i="6" s="1"/>
  <c r="K79" i="6"/>
  <c r="K80" i="6" s="1"/>
  <c r="K81" i="6" s="1"/>
  <c r="K82" i="6" s="1"/>
  <c r="F107" i="6"/>
  <c r="D63" i="6"/>
  <c r="D68" i="6"/>
  <c r="D78" i="6"/>
  <c r="D73" i="6"/>
  <c r="H78" i="6"/>
  <c r="H73" i="6"/>
  <c r="H63" i="6"/>
  <c r="H68" i="6"/>
  <c r="C68" i="6"/>
  <c r="T87" i="6"/>
  <c r="P74" i="6"/>
  <c r="P75" i="6" s="1"/>
  <c r="P76" i="6" s="1"/>
  <c r="P77" i="6" s="1"/>
  <c r="U107" i="6"/>
  <c r="C107" i="6"/>
  <c r="Y97" i="6"/>
  <c r="I79" i="6"/>
  <c r="I80" i="6" s="1"/>
  <c r="I81" i="6" s="1"/>
  <c r="I82" i="6" s="1"/>
  <c r="D97" i="6"/>
  <c r="J79" i="6"/>
  <c r="J80" i="6" s="1"/>
  <c r="J81" i="6" s="1"/>
  <c r="J82" i="6" s="1"/>
  <c r="S64" i="6"/>
  <c r="S65" i="6" s="1"/>
  <c r="S71" i="6" s="1"/>
  <c r="S72" i="6" s="1"/>
  <c r="S69" i="6"/>
  <c r="S70" i="6" s="1"/>
  <c r="L63" i="6"/>
  <c r="L73" i="6"/>
  <c r="L78" i="6"/>
  <c r="L68" i="6"/>
  <c r="N64" i="6"/>
  <c r="N65" i="6" s="1"/>
  <c r="N71" i="6" s="1"/>
  <c r="N72" i="6" s="1"/>
  <c r="N69" i="6"/>
  <c r="N70" i="6" s="1"/>
  <c r="S87" i="6"/>
  <c r="U87" i="6"/>
  <c r="E74" i="6"/>
  <c r="E75" i="6" s="1"/>
  <c r="E76" i="6" s="1"/>
  <c r="E77" i="6" s="1"/>
  <c r="G63" i="6"/>
  <c r="X68" i="6"/>
  <c r="X73" i="6"/>
  <c r="X63" i="6"/>
  <c r="X78" i="6"/>
  <c r="J87" i="6"/>
  <c r="N74" i="6"/>
  <c r="N75" i="6" s="1"/>
  <c r="N76" i="6" s="1"/>
  <c r="N77" i="6" s="1"/>
  <c r="V64" i="6"/>
  <c r="V65" i="6" s="1"/>
  <c r="V66" i="6" s="1"/>
  <c r="V67" i="6" s="1"/>
  <c r="V69" i="6"/>
  <c r="V70" i="6" s="1"/>
  <c r="Q107" i="6"/>
  <c r="M74" i="6"/>
  <c r="M75" i="6" s="1"/>
  <c r="M76" i="6" s="1"/>
  <c r="M77" i="6" s="1"/>
  <c r="J97" i="6"/>
  <c r="I98" i="6" s="1"/>
  <c r="I99" i="6" s="1"/>
  <c r="T79" i="6"/>
  <c r="T80" i="6" s="1"/>
  <c r="T81" i="6" s="1"/>
  <c r="T82" i="6" s="1"/>
  <c r="N79" i="6"/>
  <c r="N80" i="6" s="1"/>
  <c r="N81" i="6" s="1"/>
  <c r="N82" i="6" s="1"/>
  <c r="U79" i="6"/>
  <c r="U80" i="6" s="1"/>
  <c r="U81" i="6" s="1"/>
  <c r="U82" i="6" s="1"/>
  <c r="U69" i="6"/>
  <c r="U70" i="6" s="1"/>
  <c r="U64" i="6"/>
  <c r="U65" i="6" s="1"/>
  <c r="U71" i="6" s="1"/>
  <c r="U72" i="6" s="1"/>
  <c r="W79" i="6"/>
  <c r="W80" i="6" s="1"/>
  <c r="W81" i="6" s="1"/>
  <c r="W82" i="6" s="1"/>
  <c r="P69" i="6"/>
  <c r="P70" i="6" s="1"/>
  <c r="P64" i="6"/>
  <c r="P65" i="6" s="1"/>
  <c r="P66" i="6" s="1"/>
  <c r="P67" i="6" s="1"/>
  <c r="P97" i="6"/>
  <c r="U74" i="6"/>
  <c r="U75" i="6" s="1"/>
  <c r="U76" i="6" s="1"/>
  <c r="U77" i="6" s="1"/>
  <c r="R97" i="6"/>
  <c r="Z87" i="6"/>
  <c r="Q74" i="6"/>
  <c r="Q75" i="6" s="1"/>
  <c r="Q76" i="6" s="1"/>
  <c r="Q77" i="6" s="1"/>
  <c r="K64" i="6"/>
  <c r="K65" i="6" s="1"/>
  <c r="K71" i="6" s="1"/>
  <c r="K72" i="6" s="1"/>
  <c r="K69" i="6"/>
  <c r="K70" i="6" s="1"/>
  <c r="X74" i="5"/>
  <c r="X75" i="5" s="1"/>
  <c r="X76" i="5" s="1"/>
  <c r="X77" i="5" s="1"/>
  <c r="D107" i="5"/>
  <c r="K79" i="5"/>
  <c r="K80" i="5" s="1"/>
  <c r="K81" i="5" s="1"/>
  <c r="K82" i="5" s="1"/>
  <c r="H79" i="5"/>
  <c r="H80" i="5" s="1"/>
  <c r="H81" i="5" s="1"/>
  <c r="H82" i="5" s="1"/>
  <c r="F68" i="5"/>
  <c r="E68" i="5"/>
  <c r="D68" i="5"/>
  <c r="H63" i="5"/>
  <c r="X63" i="5"/>
  <c r="P97" i="5"/>
  <c r="S97" i="5"/>
  <c r="J87" i="5"/>
  <c r="I88" i="5" s="1"/>
  <c r="I89" i="5" s="1"/>
  <c r="I90" i="5" s="1"/>
  <c r="I91" i="5" s="1"/>
  <c r="I92" i="5" s="1"/>
  <c r="I93" i="5" s="1"/>
  <c r="I68" i="5"/>
  <c r="G63" i="5"/>
  <c r="G66" i="5" s="1"/>
  <c r="G67" i="5" s="1"/>
  <c r="C68" i="5"/>
  <c r="M68" i="5"/>
  <c r="L63" i="5"/>
  <c r="X71" i="5"/>
  <c r="X72" i="5" s="1"/>
  <c r="X64" i="5"/>
  <c r="X65" i="5" s="1"/>
  <c r="X66" i="5" s="1"/>
  <c r="X67" i="5" s="1"/>
  <c r="X69" i="5"/>
  <c r="X70" i="5" s="1"/>
  <c r="M74" i="5"/>
  <c r="M75" i="5" s="1"/>
  <c r="M76" i="5" s="1"/>
  <c r="M77" i="5" s="1"/>
  <c r="J97" i="5"/>
  <c r="L74" i="5"/>
  <c r="L75" i="5" s="1"/>
  <c r="L76" i="5" s="1"/>
  <c r="L77" i="5" s="1"/>
  <c r="H107" i="5"/>
  <c r="E74" i="5"/>
  <c r="E75" i="5" s="1"/>
  <c r="E76" i="5" s="1"/>
  <c r="E77" i="5" s="1"/>
  <c r="U87" i="5"/>
  <c r="S87" i="5"/>
  <c r="M87" i="5"/>
  <c r="M88" i="5" s="1"/>
  <c r="M89" i="5" s="1"/>
  <c r="M90" i="5" s="1"/>
  <c r="M91" i="5" s="1"/>
  <c r="M92" i="5" s="1"/>
  <c r="M93" i="5" s="1"/>
  <c r="D87" i="5"/>
  <c r="D79" i="5"/>
  <c r="D80" i="5" s="1"/>
  <c r="D81" i="5" s="1"/>
  <c r="D82" i="5" s="1"/>
  <c r="I74" i="5"/>
  <c r="I75" i="5" s="1"/>
  <c r="I76" i="5" s="1"/>
  <c r="I77" i="5" s="1"/>
  <c r="V97" i="5"/>
  <c r="L64" i="5"/>
  <c r="L65" i="5" s="1"/>
  <c r="L66" i="5" s="1"/>
  <c r="L67" i="5" s="1"/>
  <c r="L69" i="5"/>
  <c r="L70" i="5" s="1"/>
  <c r="K87" i="5"/>
  <c r="C87" i="5"/>
  <c r="C88" i="5" s="1"/>
  <c r="C89" i="5" s="1"/>
  <c r="C90" i="5" s="1"/>
  <c r="C91" i="5" s="1"/>
  <c r="C92" i="5" s="1"/>
  <c r="C93" i="5" s="1"/>
  <c r="S107" i="5"/>
  <c r="M79" i="5"/>
  <c r="M80" i="5" s="1"/>
  <c r="M81" i="5" s="1"/>
  <c r="M82" i="5" s="1"/>
  <c r="F74" i="5"/>
  <c r="F75" i="5" s="1"/>
  <c r="F76" i="5" s="1"/>
  <c r="F77" i="5" s="1"/>
  <c r="I97" i="5"/>
  <c r="Y87" i="5"/>
  <c r="Y88" i="5" s="1"/>
  <c r="Y89" i="5" s="1"/>
  <c r="G97" i="5"/>
  <c r="N87" i="5"/>
  <c r="W87" i="5"/>
  <c r="E79" i="5"/>
  <c r="E80" i="5" s="1"/>
  <c r="E81" i="5" s="1"/>
  <c r="E82" i="5" s="1"/>
  <c r="I79" i="5"/>
  <c r="I80" i="5" s="1"/>
  <c r="I81" i="5" s="1"/>
  <c r="I82" i="5" s="1"/>
  <c r="Y97" i="5"/>
  <c r="C107" i="5"/>
  <c r="C108" i="5" s="1"/>
  <c r="C109" i="5" s="1"/>
  <c r="C110" i="5" s="1"/>
  <c r="C111" i="5" s="1"/>
  <c r="C112" i="5" s="1"/>
  <c r="C113" i="5" s="1"/>
  <c r="G64" i="5"/>
  <c r="G65" i="5" s="1"/>
  <c r="G71" i="5" s="1"/>
  <c r="G72" i="5" s="1"/>
  <c r="G69" i="5"/>
  <c r="G70" i="5" s="1"/>
  <c r="K97" i="5"/>
  <c r="M97" i="5"/>
  <c r="O64" i="5"/>
  <c r="O65" i="5" s="1"/>
  <c r="O71" i="5" s="1"/>
  <c r="O72" i="5" s="1"/>
  <c r="O69" i="5"/>
  <c r="O70" i="5" s="1"/>
  <c r="H69" i="5"/>
  <c r="H70" i="5" s="1"/>
  <c r="L68" i="5"/>
  <c r="P87" i="5"/>
  <c r="J69" i="5"/>
  <c r="J70" i="5" s="1"/>
  <c r="J64" i="5"/>
  <c r="J65" i="5" s="1"/>
  <c r="J66" i="5" s="1"/>
  <c r="J67" i="5" s="1"/>
  <c r="W64" i="5"/>
  <c r="W65" i="5" s="1"/>
  <c r="W71" i="5" s="1"/>
  <c r="W72" i="5" s="1"/>
  <c r="W66" i="5"/>
  <c r="W67" i="5" s="1"/>
  <c r="W69" i="5"/>
  <c r="W70" i="5" s="1"/>
  <c r="Q64" i="5"/>
  <c r="Q65" i="5" s="1"/>
  <c r="Q66" i="5" s="1"/>
  <c r="Q67" i="5" s="1"/>
  <c r="Q69" i="5"/>
  <c r="Q70" i="5" s="1"/>
  <c r="F63" i="5"/>
  <c r="P66" i="5"/>
  <c r="P67" i="5" s="1"/>
  <c r="P69" i="5"/>
  <c r="P70" i="5" s="1"/>
  <c r="P64" i="5"/>
  <c r="P65" i="5" s="1"/>
  <c r="P71" i="5" s="1"/>
  <c r="P72" i="5" s="1"/>
  <c r="K64" i="5"/>
  <c r="K65" i="5" s="1"/>
  <c r="K71" i="5" s="1"/>
  <c r="K72" i="5" s="1"/>
  <c r="K69" i="5"/>
  <c r="K70" i="5" s="1"/>
  <c r="T69" i="5"/>
  <c r="T70" i="5" s="1"/>
  <c r="T64" i="5"/>
  <c r="T65" i="5" s="1"/>
  <c r="T71" i="5" s="1"/>
  <c r="T72" i="5" s="1"/>
  <c r="I69" i="5"/>
  <c r="I70" i="5" s="1"/>
  <c r="I64" i="5"/>
  <c r="I65" i="5" s="1"/>
  <c r="I66" i="5" s="1"/>
  <c r="I67" i="5" s="1"/>
  <c r="G107" i="5"/>
  <c r="K107" i="5"/>
  <c r="E87" i="5"/>
  <c r="E63" i="5"/>
  <c r="U69" i="5"/>
  <c r="U70" i="5" s="1"/>
  <c r="U64" i="5"/>
  <c r="U65" i="5" s="1"/>
  <c r="U66" i="5" s="1"/>
  <c r="U67" i="5" s="1"/>
  <c r="N69" i="5"/>
  <c r="N70" i="5" s="1"/>
  <c r="N64" i="5"/>
  <c r="N65" i="5" s="1"/>
  <c r="N66" i="5" s="1"/>
  <c r="N67" i="5" s="1"/>
  <c r="M63" i="5"/>
  <c r="G68" i="5"/>
  <c r="Q74" i="5"/>
  <c r="Q75" i="5" s="1"/>
  <c r="Q76" i="5" s="1"/>
  <c r="Q77" i="5" s="1"/>
  <c r="V64" i="5"/>
  <c r="V65" i="5" s="1"/>
  <c r="V66" i="5" s="1"/>
  <c r="V67" i="5" s="1"/>
  <c r="V69" i="5"/>
  <c r="V70" i="5" s="1"/>
  <c r="S64" i="5"/>
  <c r="S65" i="5" s="1"/>
  <c r="S71" i="5" s="1"/>
  <c r="S72" i="5" s="1"/>
  <c r="S69" i="5"/>
  <c r="S70" i="5" s="1"/>
  <c r="R64" i="5"/>
  <c r="R65" i="5" s="1"/>
  <c r="R71" i="5" s="1"/>
  <c r="R72" i="5" s="1"/>
  <c r="R69" i="5"/>
  <c r="R70" i="5" s="1"/>
  <c r="V87" i="5"/>
  <c r="U88" i="5" s="1"/>
  <c r="U89" i="5" s="1"/>
  <c r="E107" i="5"/>
  <c r="I107" i="5"/>
  <c r="C79" i="5"/>
  <c r="C80" i="5" s="1"/>
  <c r="C81" i="5" s="1"/>
  <c r="C82" i="5" s="1"/>
  <c r="U74" i="5"/>
  <c r="U75" i="5" s="1"/>
  <c r="U76" i="5" s="1"/>
  <c r="U77" i="5" s="1"/>
  <c r="F79" i="4"/>
  <c r="F80" i="4" s="1"/>
  <c r="F81" i="4" s="1"/>
  <c r="F82" i="4" s="1"/>
  <c r="U96" i="3"/>
  <c r="U97" i="3" s="1"/>
  <c r="U98" i="3" s="1"/>
  <c r="U99" i="3" s="1"/>
  <c r="U100" i="3" s="1"/>
  <c r="U101" i="3" s="1"/>
  <c r="U102" i="3" s="1"/>
  <c r="T96" i="3"/>
  <c r="S97" i="3" s="1"/>
  <c r="S98" i="3" s="1"/>
  <c r="S99" i="3" s="1"/>
  <c r="S100" i="3" s="1"/>
  <c r="S101" i="3" s="1"/>
  <c r="S102" i="3" s="1"/>
  <c r="D86" i="3"/>
  <c r="L87" i="5"/>
  <c r="K88" i="5" s="1"/>
  <c r="K89" i="5" s="1"/>
  <c r="C74" i="5"/>
  <c r="C75" i="5" s="1"/>
  <c r="C76" i="5" s="1"/>
  <c r="C77" i="5" s="1"/>
  <c r="H97" i="5"/>
  <c r="O107" i="5"/>
  <c r="G87" i="5"/>
  <c r="G88" i="5" s="1"/>
  <c r="G89" i="5" s="1"/>
  <c r="G90" i="5" s="1"/>
  <c r="G91" i="5" s="1"/>
  <c r="G92" i="5" s="1"/>
  <c r="G93" i="5" s="1"/>
  <c r="O97" i="5"/>
  <c r="O98" i="5" s="1"/>
  <c r="O99" i="5" s="1"/>
  <c r="O100" i="5" s="1"/>
  <c r="O101" i="5" s="1"/>
  <c r="O102" i="5" s="1"/>
  <c r="O103" i="5" s="1"/>
  <c r="F97" i="5"/>
  <c r="G79" i="5"/>
  <c r="G80" i="5" s="1"/>
  <c r="G81" i="5" s="1"/>
  <c r="G82" i="5" s="1"/>
  <c r="F79" i="5"/>
  <c r="F80" i="5" s="1"/>
  <c r="F81" i="5" s="1"/>
  <c r="F82" i="5" s="1"/>
  <c r="E97" i="5"/>
  <c r="C97" i="5"/>
  <c r="C98" i="5" s="1"/>
  <c r="C99" i="5" s="1"/>
  <c r="X87" i="5"/>
  <c r="W88" i="5" s="1"/>
  <c r="W89" i="5" s="1"/>
  <c r="G108" i="5"/>
  <c r="G109" i="5" s="1"/>
  <c r="G110" i="5" s="1"/>
  <c r="G111" i="5" s="1"/>
  <c r="G112" i="5" s="1"/>
  <c r="G113" i="5" s="1"/>
  <c r="N107" i="5"/>
  <c r="C69" i="5"/>
  <c r="C70" i="5" s="1"/>
  <c r="F87" i="5"/>
  <c r="E88" i="5" s="1"/>
  <c r="E89" i="5" s="1"/>
  <c r="E90" i="5" s="1"/>
  <c r="E91" i="5" s="1"/>
  <c r="E92" i="5" s="1"/>
  <c r="E93" i="5" s="1"/>
  <c r="Q107" i="5"/>
  <c r="J107" i="5"/>
  <c r="X97" i="5"/>
  <c r="W98" i="5" s="1"/>
  <c r="W99" i="5" s="1"/>
  <c r="X79" i="5"/>
  <c r="X80" i="5" s="1"/>
  <c r="X81" i="5" s="1"/>
  <c r="X82" i="5" s="1"/>
  <c r="S98" i="5"/>
  <c r="S99" i="5" s="1"/>
  <c r="V107" i="5"/>
  <c r="U108" i="5" s="1"/>
  <c r="U109" i="5" s="1"/>
  <c r="P79" i="5"/>
  <c r="P80" i="5" s="1"/>
  <c r="P81" i="5" s="1"/>
  <c r="P82" i="5" s="1"/>
  <c r="E108" i="5"/>
  <c r="E109" i="5" s="1"/>
  <c r="Q87" i="5"/>
  <c r="Q88" i="5" s="1"/>
  <c r="Q89" i="5" s="1"/>
  <c r="O87" i="5"/>
  <c r="T107" i="5"/>
  <c r="S108" i="5" s="1"/>
  <c r="S109" i="5" s="1"/>
  <c r="Q98" i="5"/>
  <c r="Q99" i="5" s="1"/>
  <c r="U98" i="5"/>
  <c r="U99" i="5" s="1"/>
  <c r="R107" i="5"/>
  <c r="P107" i="5"/>
  <c r="S79" i="5"/>
  <c r="S80" i="5" s="1"/>
  <c r="S81" i="5" s="1"/>
  <c r="S82" i="5" s="1"/>
  <c r="T87" i="5"/>
  <c r="Y98" i="5"/>
  <c r="Y99" i="5" s="1"/>
  <c r="K98" i="5"/>
  <c r="K99" i="5" s="1"/>
  <c r="M107" i="5"/>
  <c r="L107" i="5"/>
  <c r="K108" i="5" s="1"/>
  <c r="K109" i="5" s="1"/>
  <c r="L79" i="5"/>
  <c r="L80" i="5" s="1"/>
  <c r="L81" i="5" s="1"/>
  <c r="L82" i="5" s="1"/>
  <c r="I98" i="5"/>
  <c r="I99" i="5" s="1"/>
  <c r="M98" i="5"/>
  <c r="M99" i="5" s="1"/>
  <c r="J107" i="4"/>
  <c r="X97" i="4"/>
  <c r="W98" i="4" s="1"/>
  <c r="W99" i="4" s="1"/>
  <c r="P107" i="4"/>
  <c r="R107" i="4"/>
  <c r="M79" i="4"/>
  <c r="M80" i="4" s="1"/>
  <c r="M81" i="4" s="1"/>
  <c r="M82" i="4" s="1"/>
  <c r="S107" i="4"/>
  <c r="N107" i="4"/>
  <c r="L107" i="4"/>
  <c r="M107" i="4"/>
  <c r="C98" i="4"/>
  <c r="C99" i="4" s="1"/>
  <c r="C100" i="4" s="1"/>
  <c r="C101" i="4" s="1"/>
  <c r="C102" i="4" s="1"/>
  <c r="C103" i="4" s="1"/>
  <c r="I79" i="4"/>
  <c r="I80" i="4" s="1"/>
  <c r="I81" i="4" s="1"/>
  <c r="I82" i="4" s="1"/>
  <c r="C107" i="4"/>
  <c r="Y97" i="4"/>
  <c r="D107" i="4"/>
  <c r="J97" i="4"/>
  <c r="N97" i="4"/>
  <c r="U97" i="4"/>
  <c r="U98" i="4" s="1"/>
  <c r="U99" i="4" s="1"/>
  <c r="I97" i="4"/>
  <c r="Y87" i="4"/>
  <c r="G97" i="4"/>
  <c r="R97" i="4"/>
  <c r="P97" i="4"/>
  <c r="F97" i="4"/>
  <c r="X87" i="4"/>
  <c r="E97" i="4"/>
  <c r="X79" i="4"/>
  <c r="X80" i="4" s="1"/>
  <c r="X81" i="4" s="1"/>
  <c r="X82" i="4" s="1"/>
  <c r="Z97" i="4"/>
  <c r="E107" i="4"/>
  <c r="T97" i="4"/>
  <c r="G107" i="4"/>
  <c r="H107" i="4"/>
  <c r="H97" i="4"/>
  <c r="H79" i="4"/>
  <c r="H80" i="4" s="1"/>
  <c r="H81" i="4" s="1"/>
  <c r="H82" i="4" s="1"/>
  <c r="S97" i="4"/>
  <c r="Q97" i="4"/>
  <c r="L97" i="4"/>
  <c r="U87" i="4"/>
  <c r="S87" i="4"/>
  <c r="O87" i="4"/>
  <c r="Q87" i="4"/>
  <c r="P87" i="4"/>
  <c r="V87" i="4"/>
  <c r="W87" i="4"/>
  <c r="N87" i="4"/>
  <c r="M88" i="4" s="1"/>
  <c r="M89" i="4" s="1"/>
  <c r="L79" i="4"/>
  <c r="L80" i="4" s="1"/>
  <c r="L81" i="4" s="1"/>
  <c r="L82" i="4" s="1"/>
  <c r="E79" i="4"/>
  <c r="E80" i="4" s="1"/>
  <c r="E81" i="4" s="1"/>
  <c r="E82" i="4" s="1"/>
  <c r="D87" i="4"/>
  <c r="D79" i="4"/>
  <c r="D80" i="4" s="1"/>
  <c r="D81" i="4" s="1"/>
  <c r="D82" i="4" s="1"/>
  <c r="K87" i="4"/>
  <c r="K88" i="4" s="1"/>
  <c r="K89" i="4" s="1"/>
  <c r="G87" i="4"/>
  <c r="G88" i="4" s="1"/>
  <c r="G89" i="4" s="1"/>
  <c r="C64" i="4"/>
  <c r="J79" i="4"/>
  <c r="J80" i="4" s="1"/>
  <c r="J81" i="4" s="1"/>
  <c r="J82" i="4" s="1"/>
  <c r="F107" i="4"/>
  <c r="W79" i="4"/>
  <c r="W80" i="4" s="1"/>
  <c r="W81" i="4" s="1"/>
  <c r="W82" i="4" s="1"/>
  <c r="Q79" i="4"/>
  <c r="Q80" i="4" s="1"/>
  <c r="Q81" i="4" s="1"/>
  <c r="Q82" i="4" s="1"/>
  <c r="T79" i="4"/>
  <c r="T80" i="4" s="1"/>
  <c r="T81" i="4" s="1"/>
  <c r="T82" i="4" s="1"/>
  <c r="U107" i="4"/>
  <c r="U108" i="4" s="1"/>
  <c r="U109" i="4" s="1"/>
  <c r="U110" i="4" s="1"/>
  <c r="U111" i="4" s="1"/>
  <c r="U112" i="4" s="1"/>
  <c r="U113" i="4" s="1"/>
  <c r="R87" i="4"/>
  <c r="R79" i="4"/>
  <c r="R80" i="4" s="1"/>
  <c r="R81" i="4" s="1"/>
  <c r="R82" i="4" s="1"/>
  <c r="T107" i="4"/>
  <c r="W96" i="3"/>
  <c r="K106" i="3"/>
  <c r="F96" i="3"/>
  <c r="Y96" i="3"/>
  <c r="O86" i="3"/>
  <c r="J106" i="3"/>
  <c r="O106" i="3"/>
  <c r="N106" i="3"/>
  <c r="I106" i="3"/>
  <c r="R96" i="3"/>
  <c r="M106" i="3"/>
  <c r="I86" i="3"/>
  <c r="W106" i="3"/>
  <c r="V106" i="3"/>
  <c r="R106" i="3"/>
  <c r="O96" i="3"/>
  <c r="O97" i="3" s="1"/>
  <c r="O98" i="3" s="1"/>
  <c r="U78" i="3"/>
  <c r="U79" i="3" s="1"/>
  <c r="U80" i="3" s="1"/>
  <c r="U81" i="3" s="1"/>
  <c r="P106" i="3"/>
  <c r="L96" i="3"/>
  <c r="C86" i="3"/>
  <c r="S86" i="3"/>
  <c r="J96" i="3"/>
  <c r="H78" i="3"/>
  <c r="H79" i="3" s="1"/>
  <c r="H80" i="3" s="1"/>
  <c r="H81" i="3" s="1"/>
  <c r="Y86" i="3"/>
  <c r="D96" i="3"/>
  <c r="W78" i="3"/>
  <c r="W79" i="3" s="1"/>
  <c r="W80" i="3" s="1"/>
  <c r="W81" i="3" s="1"/>
  <c r="T86" i="3"/>
  <c r="R86" i="3"/>
  <c r="Q87" i="3" s="1"/>
  <c r="Q88" i="3" s="1"/>
  <c r="Q89" i="3" s="1"/>
  <c r="Q90" i="3" s="1"/>
  <c r="Q91" i="3" s="1"/>
  <c r="Q92" i="3" s="1"/>
  <c r="J86" i="3"/>
  <c r="G86" i="3"/>
  <c r="Z86" i="3"/>
  <c r="X96" i="3"/>
  <c r="AA96" i="3"/>
  <c r="AA97" i="3" s="1"/>
  <c r="AA98" i="3" s="1"/>
  <c r="Z96" i="3"/>
  <c r="C106" i="3"/>
  <c r="C107" i="3" s="1"/>
  <c r="C108" i="3" s="1"/>
  <c r="H96" i="3"/>
  <c r="S106" i="3"/>
  <c r="S107" i="3" s="1"/>
  <c r="S108" i="3" s="1"/>
  <c r="Q106" i="3"/>
  <c r="K78" i="3"/>
  <c r="K79" i="3" s="1"/>
  <c r="K80" i="3" s="1"/>
  <c r="K81" i="3" s="1"/>
  <c r="AA86" i="3"/>
  <c r="G78" i="3"/>
  <c r="G79" i="3" s="1"/>
  <c r="G80" i="3" s="1"/>
  <c r="G81" i="3" s="1"/>
  <c r="U86" i="3"/>
  <c r="X106" i="3"/>
  <c r="K96" i="3"/>
  <c r="P86" i="3"/>
  <c r="I96" i="3"/>
  <c r="V86" i="3"/>
  <c r="G106" i="3"/>
  <c r="G107" i="3" s="1"/>
  <c r="G108" i="3" s="1"/>
  <c r="S78" i="3"/>
  <c r="S79" i="3" s="1"/>
  <c r="S80" i="3" s="1"/>
  <c r="S81" i="3" s="1"/>
  <c r="N96" i="3"/>
  <c r="G96" i="3"/>
  <c r="L78" i="3"/>
  <c r="L79" i="3" s="1"/>
  <c r="L80" i="3" s="1"/>
  <c r="L81" i="3" s="1"/>
  <c r="AB86" i="3"/>
  <c r="H86" i="3"/>
  <c r="K86" i="3"/>
  <c r="K87" i="3" s="1"/>
  <c r="K88" i="3" s="1"/>
  <c r="E78" i="3"/>
  <c r="E79" i="3" s="1"/>
  <c r="E80" i="3" s="1"/>
  <c r="E81" i="3" s="1"/>
  <c r="E86" i="3"/>
  <c r="C73" i="3"/>
  <c r="C74" i="3" s="1"/>
  <c r="C75" i="3" s="1"/>
  <c r="C76" i="3" s="1"/>
  <c r="F86" i="3"/>
  <c r="I78" i="3"/>
  <c r="I79" i="3" s="1"/>
  <c r="I80" i="3" s="1"/>
  <c r="I81" i="3" s="1"/>
  <c r="M96" i="3"/>
  <c r="X86" i="3"/>
  <c r="W87" i="3" s="1"/>
  <c r="W88" i="3" s="1"/>
  <c r="M78" i="3"/>
  <c r="M79" i="3" s="1"/>
  <c r="M80" i="3" s="1"/>
  <c r="M81" i="3" s="1"/>
  <c r="U106" i="3"/>
  <c r="C96" i="3"/>
  <c r="E96" i="3"/>
  <c r="N86" i="3"/>
  <c r="M87" i="3" s="1"/>
  <c r="M88" i="3" s="1"/>
  <c r="L106" i="3"/>
  <c r="W67" i="2"/>
  <c r="W81" i="2"/>
  <c r="W82" i="2" s="1"/>
  <c r="W83" i="2" s="1"/>
  <c r="W84" i="2" s="1"/>
  <c r="U86" i="2"/>
  <c r="U87" i="2" s="1"/>
  <c r="U88" i="2" s="1"/>
  <c r="U89" i="2" s="1"/>
  <c r="X81" i="2"/>
  <c r="X82" i="2" s="1"/>
  <c r="X83" i="2" s="1"/>
  <c r="X84" i="2" s="1"/>
  <c r="K124" i="2"/>
  <c r="F124" i="2"/>
  <c r="AC81" i="2"/>
  <c r="AC82" i="2" s="1"/>
  <c r="AC83" i="2" s="1"/>
  <c r="AC84" i="2" s="1"/>
  <c r="P124" i="2"/>
  <c r="AA124" i="2"/>
  <c r="Z124" i="2"/>
  <c r="N114" i="2"/>
  <c r="R124" i="2"/>
  <c r="G124" i="2"/>
  <c r="AB114" i="2"/>
  <c r="U76" i="2"/>
  <c r="U77" i="2" s="1"/>
  <c r="U71" i="2"/>
  <c r="U72" i="2" s="1"/>
  <c r="U78" i="2" s="1"/>
  <c r="U79" i="2" s="1"/>
  <c r="AC71" i="2"/>
  <c r="AC72" i="2" s="1"/>
  <c r="AC78" i="2" s="1"/>
  <c r="AC79" i="2" s="1"/>
  <c r="U68" i="2"/>
  <c r="U67" i="2"/>
  <c r="G86" i="2"/>
  <c r="G87" i="2" s="1"/>
  <c r="G88" i="2" s="1"/>
  <c r="G89" i="2" s="1"/>
  <c r="T67" i="2"/>
  <c r="T68" i="2"/>
  <c r="G68" i="2"/>
  <c r="G75" i="2" s="1"/>
  <c r="AA67" i="2"/>
  <c r="AA68" i="2"/>
  <c r="AB67" i="2"/>
  <c r="AB68" i="2"/>
  <c r="Z67" i="2"/>
  <c r="Z68" i="2"/>
  <c r="O114" i="2"/>
  <c r="S68" i="2"/>
  <c r="S67" i="2"/>
  <c r="V67" i="2"/>
  <c r="AE68" i="2"/>
  <c r="AE67" i="2"/>
  <c r="Y67" i="2"/>
  <c r="Y68" i="2"/>
  <c r="AB124" i="2"/>
  <c r="AD68" i="2"/>
  <c r="P114" i="2"/>
  <c r="AD67" i="2"/>
  <c r="W71" i="2"/>
  <c r="W72" i="2" s="1"/>
  <c r="W73" i="2" s="1"/>
  <c r="W74" i="2" s="1"/>
  <c r="W76" i="2"/>
  <c r="W77" i="2" s="1"/>
  <c r="W86" i="2"/>
  <c r="W87" i="2" s="1"/>
  <c r="W88" i="2" s="1"/>
  <c r="W89" i="2" s="1"/>
  <c r="I67" i="2"/>
  <c r="I68" i="2"/>
  <c r="N67" i="2"/>
  <c r="N68" i="2"/>
  <c r="K67" i="2"/>
  <c r="K68" i="2"/>
  <c r="M68" i="2"/>
  <c r="M67" i="2"/>
  <c r="P67" i="2"/>
  <c r="P68" i="2"/>
  <c r="F68" i="2"/>
  <c r="F67" i="2"/>
  <c r="E67" i="2"/>
  <c r="E68" i="2"/>
  <c r="H67" i="2"/>
  <c r="H68" i="2"/>
  <c r="Q67" i="2"/>
  <c r="Q68" i="2"/>
  <c r="R68" i="2"/>
  <c r="R67" i="2"/>
  <c r="O67" i="2"/>
  <c r="O68" i="2"/>
  <c r="L67" i="2"/>
  <c r="L68" i="2"/>
  <c r="J67" i="2"/>
  <c r="J68" i="2"/>
  <c r="D67" i="2"/>
  <c r="I69" i="7" l="1"/>
  <c r="I70" i="7" s="1"/>
  <c r="Q98" i="7"/>
  <c r="Q99" i="7" s="1"/>
  <c r="S88" i="4"/>
  <c r="S89" i="4" s="1"/>
  <c r="O70" i="3"/>
  <c r="O71" i="3" s="1"/>
  <c r="U70" i="3"/>
  <c r="U71" i="3" s="1"/>
  <c r="G65" i="3"/>
  <c r="G66" i="3" s="1"/>
  <c r="K65" i="3"/>
  <c r="K66" i="3" s="1"/>
  <c r="E70" i="3"/>
  <c r="E71" i="3" s="1"/>
  <c r="W65" i="3"/>
  <c r="W66" i="3" s="1"/>
  <c r="I65" i="3"/>
  <c r="I66" i="3" s="1"/>
  <c r="C45" i="8"/>
  <c r="C46" i="8" s="1"/>
  <c r="C52" i="8" s="1"/>
  <c r="C53" i="8" s="1"/>
  <c r="M108" i="7"/>
  <c r="M109" i="7" s="1"/>
  <c r="L71" i="7"/>
  <c r="L72" i="7" s="1"/>
  <c r="E69" i="7"/>
  <c r="E70" i="7" s="1"/>
  <c r="L69" i="7"/>
  <c r="L70" i="7" s="1"/>
  <c r="O69" i="6"/>
  <c r="O70" i="6" s="1"/>
  <c r="J69" i="6"/>
  <c r="J70" i="6" s="1"/>
  <c r="I107" i="6"/>
  <c r="K107" i="6"/>
  <c r="N71" i="5"/>
  <c r="N72" i="5" s="1"/>
  <c r="N83" i="6" s="1"/>
  <c r="D64" i="5"/>
  <c r="D65" i="5" s="1"/>
  <c r="O88" i="5"/>
  <c r="O89" i="5" s="1"/>
  <c r="I108" i="5"/>
  <c r="I109" i="5" s="1"/>
  <c r="Q71" i="4"/>
  <c r="Q72" i="4" s="1"/>
  <c r="J66" i="4"/>
  <c r="J67" i="4" s="1"/>
  <c r="O66" i="4"/>
  <c r="O67" i="4" s="1"/>
  <c r="F71" i="4"/>
  <c r="F72" i="4" s="1"/>
  <c r="V71" i="4"/>
  <c r="V72" i="4" s="1"/>
  <c r="N66" i="4"/>
  <c r="N67" i="4" s="1"/>
  <c r="E71" i="4"/>
  <c r="E72" i="4" s="1"/>
  <c r="G64" i="4"/>
  <c r="G65" i="4" s="1"/>
  <c r="G71" i="4" s="1"/>
  <c r="G72" i="4" s="1"/>
  <c r="G69" i="4"/>
  <c r="G70" i="4" s="1"/>
  <c r="T66" i="4"/>
  <c r="T67" i="4" s="1"/>
  <c r="L71" i="4"/>
  <c r="L72" i="4" s="1"/>
  <c r="P71" i="4"/>
  <c r="P72" i="4" s="1"/>
  <c r="P83" i="5" s="1"/>
  <c r="M69" i="4"/>
  <c r="M70" i="4" s="1"/>
  <c r="M64" i="4"/>
  <c r="M65" i="4" s="1"/>
  <c r="M66" i="4" s="1"/>
  <c r="M67" i="4" s="1"/>
  <c r="O97" i="4"/>
  <c r="O98" i="4" s="1"/>
  <c r="O99" i="4" s="1"/>
  <c r="O100" i="4" s="1"/>
  <c r="O101" i="4" s="1"/>
  <c r="O102" i="4" s="1"/>
  <c r="O103" i="4" s="1"/>
  <c r="O104" i="5" s="1"/>
  <c r="U71" i="4"/>
  <c r="U72" i="4" s="1"/>
  <c r="D69" i="4"/>
  <c r="D70" i="4" s="1"/>
  <c r="D64" i="4"/>
  <c r="D65" i="4" s="1"/>
  <c r="D71" i="4" s="1"/>
  <c r="D72" i="4" s="1"/>
  <c r="K66" i="4"/>
  <c r="K67" i="4" s="1"/>
  <c r="H66" i="4"/>
  <c r="H67" i="4" s="1"/>
  <c r="X69" i="4"/>
  <c r="X70" i="4" s="1"/>
  <c r="X64" i="4"/>
  <c r="X65" i="4" s="1"/>
  <c r="X66" i="4" s="1"/>
  <c r="X67" i="4" s="1"/>
  <c r="W66" i="4"/>
  <c r="W67" i="4" s="1"/>
  <c r="W83" i="5" s="1"/>
  <c r="R71" i="4"/>
  <c r="R72" i="4" s="1"/>
  <c r="I69" i="4"/>
  <c r="I70" i="4" s="1"/>
  <c r="I64" i="4"/>
  <c r="I65" i="4" s="1"/>
  <c r="I66" i="4" s="1"/>
  <c r="I67" i="4" s="1"/>
  <c r="S66" i="4"/>
  <c r="S67" i="4" s="1"/>
  <c r="E107" i="3"/>
  <c r="E108" i="3" s="1"/>
  <c r="E109" i="3" s="1"/>
  <c r="E110" i="3" s="1"/>
  <c r="E111" i="3" s="1"/>
  <c r="E112" i="3" s="1"/>
  <c r="P65" i="3"/>
  <c r="P66" i="3" s="1"/>
  <c r="V70" i="3"/>
  <c r="V71" i="3" s="1"/>
  <c r="L65" i="3"/>
  <c r="L66" i="3" s="1"/>
  <c r="N68" i="3"/>
  <c r="N69" i="3" s="1"/>
  <c r="N63" i="3"/>
  <c r="N64" i="3" s="1"/>
  <c r="N65" i="3" s="1"/>
  <c r="N66" i="3" s="1"/>
  <c r="D70" i="3"/>
  <c r="D71" i="3" s="1"/>
  <c r="H63" i="3"/>
  <c r="H64" i="3" s="1"/>
  <c r="H65" i="3" s="1"/>
  <c r="H66" i="3" s="1"/>
  <c r="H68" i="3"/>
  <c r="H69" i="3" s="1"/>
  <c r="F65" i="3"/>
  <c r="F66" i="3" s="1"/>
  <c r="Q97" i="3"/>
  <c r="Q98" i="3" s="1"/>
  <c r="Q99" i="3" s="1"/>
  <c r="Q100" i="3" s="1"/>
  <c r="Q101" i="3" s="1"/>
  <c r="Q102" i="3" s="1"/>
  <c r="S63" i="3"/>
  <c r="S64" i="3" s="1"/>
  <c r="S65" i="3" s="1"/>
  <c r="S66" i="3" s="1"/>
  <c r="S68" i="3"/>
  <c r="S69" i="3" s="1"/>
  <c r="R63" i="3"/>
  <c r="R64" i="3" s="1"/>
  <c r="R70" i="3" s="1"/>
  <c r="R71" i="3" s="1"/>
  <c r="R65" i="3"/>
  <c r="R66" i="3" s="1"/>
  <c r="R68" i="3"/>
  <c r="R69" i="3" s="1"/>
  <c r="E97" i="3"/>
  <c r="E98" i="3" s="1"/>
  <c r="E99" i="3" s="1"/>
  <c r="E100" i="3" s="1"/>
  <c r="E101" i="3" s="1"/>
  <c r="E102" i="3" s="1"/>
  <c r="O107" i="3"/>
  <c r="O108" i="3" s="1"/>
  <c r="O109" i="3" s="1"/>
  <c r="O110" i="3" s="1"/>
  <c r="O111" i="3" s="1"/>
  <c r="O112" i="3" s="1"/>
  <c r="O80" i="2"/>
  <c r="O70" i="2"/>
  <c r="O75" i="2"/>
  <c r="O85" i="2"/>
  <c r="P70" i="2"/>
  <c r="P80" i="2"/>
  <c r="P75" i="2"/>
  <c r="P85" i="2"/>
  <c r="M70" i="2"/>
  <c r="M80" i="2"/>
  <c r="M85" i="2"/>
  <c r="M75" i="2"/>
  <c r="V85" i="2"/>
  <c r="V75" i="2"/>
  <c r="V80" i="2"/>
  <c r="N124" i="2"/>
  <c r="AB80" i="2"/>
  <c r="AB70" i="2"/>
  <c r="AB85" i="2"/>
  <c r="AB75" i="2"/>
  <c r="J80" i="2"/>
  <c r="J75" i="2"/>
  <c r="J85" i="2"/>
  <c r="J70" i="2"/>
  <c r="Q80" i="2"/>
  <c r="Q75" i="2"/>
  <c r="Q70" i="2"/>
  <c r="Q85" i="2"/>
  <c r="G114" i="2" s="1"/>
  <c r="E80" i="2"/>
  <c r="E70" i="2"/>
  <c r="E75" i="2"/>
  <c r="E85" i="2"/>
  <c r="K70" i="2"/>
  <c r="K85" i="2"/>
  <c r="K80" i="2"/>
  <c r="K75" i="2"/>
  <c r="I75" i="2"/>
  <c r="I80" i="2"/>
  <c r="I85" i="2"/>
  <c r="I70" i="2"/>
  <c r="I71" i="2" s="1"/>
  <c r="I72" i="2" s="1"/>
  <c r="C70" i="2"/>
  <c r="C71" i="2" s="1"/>
  <c r="C72" i="2" s="1"/>
  <c r="C73" i="2" s="1"/>
  <c r="C75" i="2"/>
  <c r="C85" i="2"/>
  <c r="C86" i="2" s="1"/>
  <c r="C87" i="2" s="1"/>
  <c r="C88" i="2" s="1"/>
  <c r="C89" i="2" s="1"/>
  <c r="C80" i="2"/>
  <c r="C81" i="2" s="1"/>
  <c r="C82" i="2" s="1"/>
  <c r="C83" i="2" s="1"/>
  <c r="C84" i="2" s="1"/>
  <c r="T85" i="2"/>
  <c r="T75" i="2"/>
  <c r="T70" i="2"/>
  <c r="T80" i="2"/>
  <c r="F70" i="2"/>
  <c r="F85" i="2"/>
  <c r="F80" i="2"/>
  <c r="F75" i="2"/>
  <c r="D70" i="2"/>
  <c r="D85" i="2"/>
  <c r="D80" i="2"/>
  <c r="D75" i="2"/>
  <c r="H80" i="2"/>
  <c r="H75" i="2"/>
  <c r="H70" i="2"/>
  <c r="H85" i="2"/>
  <c r="N75" i="2"/>
  <c r="N85" i="2"/>
  <c r="N80" i="2"/>
  <c r="N70" i="2"/>
  <c r="Y70" i="2"/>
  <c r="Y80" i="2"/>
  <c r="Y75" i="2"/>
  <c r="Y85" i="2"/>
  <c r="AE70" i="2"/>
  <c r="AE80" i="2"/>
  <c r="AE85" i="2"/>
  <c r="AE75" i="2"/>
  <c r="AA80" i="2"/>
  <c r="AA70" i="2"/>
  <c r="AA75" i="2"/>
  <c r="AA85" i="2"/>
  <c r="G70" i="2"/>
  <c r="C50" i="9"/>
  <c r="C51" i="9" s="1"/>
  <c r="E68" i="8"/>
  <c r="E69" i="8" s="1"/>
  <c r="E70" i="8" s="1"/>
  <c r="E71" i="8" s="1"/>
  <c r="E72" i="8" s="1"/>
  <c r="E73" i="8" s="1"/>
  <c r="E74" i="8" s="1"/>
  <c r="D68" i="8"/>
  <c r="C69" i="8" s="1"/>
  <c r="C70" i="8" s="1"/>
  <c r="D47" i="8"/>
  <c r="D48" i="8" s="1"/>
  <c r="C47" i="8"/>
  <c r="C48" i="8" s="1"/>
  <c r="D55" i="8"/>
  <c r="D56" i="8" s="1"/>
  <c r="D57" i="8" s="1"/>
  <c r="D58" i="8" s="1"/>
  <c r="G78" i="7"/>
  <c r="G63" i="7"/>
  <c r="G73" i="7"/>
  <c r="G68" i="7"/>
  <c r="W69" i="7"/>
  <c r="W70" i="7" s="1"/>
  <c r="W64" i="7"/>
  <c r="W65" i="7" s="1"/>
  <c r="C64" i="7"/>
  <c r="C65" i="7" s="1"/>
  <c r="C69" i="7"/>
  <c r="C70" i="7" s="1"/>
  <c r="L83" i="7"/>
  <c r="U108" i="7"/>
  <c r="U109" i="7" s="1"/>
  <c r="W98" i="7"/>
  <c r="W99" i="7" s="1"/>
  <c r="W100" i="7" s="1"/>
  <c r="W101" i="7" s="1"/>
  <c r="W102" i="7" s="1"/>
  <c r="W103" i="7" s="1"/>
  <c r="I98" i="7"/>
  <c r="I99" i="7" s="1"/>
  <c r="I100" i="7" s="1"/>
  <c r="I101" i="7" s="1"/>
  <c r="I102" i="7" s="1"/>
  <c r="I103" i="7" s="1"/>
  <c r="G98" i="7"/>
  <c r="G99" i="7" s="1"/>
  <c r="G100" i="7" s="1"/>
  <c r="G101" i="7" s="1"/>
  <c r="G102" i="7" s="1"/>
  <c r="G103" i="7" s="1"/>
  <c r="C98" i="7"/>
  <c r="C99" i="7" s="1"/>
  <c r="C100" i="7" s="1"/>
  <c r="C101" i="7" s="1"/>
  <c r="C102" i="7" s="1"/>
  <c r="C103" i="7" s="1"/>
  <c r="C104" i="7" s="1"/>
  <c r="U88" i="7"/>
  <c r="U89" i="7" s="1"/>
  <c r="S88" i="7"/>
  <c r="S89" i="7" s="1"/>
  <c r="S90" i="7" s="1"/>
  <c r="S91" i="7" s="1"/>
  <c r="S92" i="7" s="1"/>
  <c r="S93" i="7" s="1"/>
  <c r="M88" i="7"/>
  <c r="M89" i="7" s="1"/>
  <c r="M90" i="7" s="1"/>
  <c r="M91" i="7" s="1"/>
  <c r="M92" i="7" s="1"/>
  <c r="M93" i="7" s="1"/>
  <c r="J71" i="7"/>
  <c r="J72" i="7" s="1"/>
  <c r="J83" i="7" s="1"/>
  <c r="E71" i="7"/>
  <c r="E72" i="7" s="1"/>
  <c r="M71" i="7"/>
  <c r="M72" i="7" s="1"/>
  <c r="O108" i="7"/>
  <c r="O109" i="7" s="1"/>
  <c r="O110" i="7" s="1"/>
  <c r="O111" i="7" s="1"/>
  <c r="O112" i="7" s="1"/>
  <c r="O113" i="7" s="1"/>
  <c r="X71" i="7"/>
  <c r="X72" i="7" s="1"/>
  <c r="X83" i="7" s="1"/>
  <c r="O71" i="7"/>
  <c r="O72" i="7" s="1"/>
  <c r="C110" i="7"/>
  <c r="C111" i="7" s="1"/>
  <c r="C112" i="7" s="1"/>
  <c r="C113" i="7" s="1"/>
  <c r="C90" i="7"/>
  <c r="C91" i="7" s="1"/>
  <c r="C92" i="7" s="1"/>
  <c r="C93" i="7" s="1"/>
  <c r="M110" i="7"/>
  <c r="M111" i="7" s="1"/>
  <c r="M112" i="7" s="1"/>
  <c r="M113" i="7" s="1"/>
  <c r="Q100" i="7"/>
  <c r="Q101" i="7" s="1"/>
  <c r="Q102" i="7" s="1"/>
  <c r="Q103" i="7" s="1"/>
  <c r="F69" i="7"/>
  <c r="F70" i="7" s="1"/>
  <c r="F64" i="7"/>
  <c r="F65" i="7" s="1"/>
  <c r="F66" i="7" s="1"/>
  <c r="F67" i="7" s="1"/>
  <c r="S100" i="7"/>
  <c r="S101" i="7" s="1"/>
  <c r="S102" i="7" s="1"/>
  <c r="S103" i="7" s="1"/>
  <c r="E110" i="7"/>
  <c r="E111" i="7" s="1"/>
  <c r="E112" i="7" s="1"/>
  <c r="E113" i="7" s="1"/>
  <c r="K110" i="7"/>
  <c r="K111" i="7" s="1"/>
  <c r="K112" i="7" s="1"/>
  <c r="K113" i="7" s="1"/>
  <c r="I110" i="7"/>
  <c r="I111" i="7" s="1"/>
  <c r="I112" i="7" s="1"/>
  <c r="I113" i="7" s="1"/>
  <c r="O88" i="7"/>
  <c r="O89" i="7" s="1"/>
  <c r="R66" i="7"/>
  <c r="R67" i="7" s="1"/>
  <c r="E100" i="7"/>
  <c r="E101" i="7" s="1"/>
  <c r="E102" i="7" s="1"/>
  <c r="E103" i="7" s="1"/>
  <c r="U90" i="7"/>
  <c r="U91" i="7" s="1"/>
  <c r="U92" i="7" s="1"/>
  <c r="U93" i="7" s="1"/>
  <c r="W110" i="7"/>
  <c r="W111" i="7" s="1"/>
  <c r="W112" i="7" s="1"/>
  <c r="W113" i="7" s="1"/>
  <c r="Y100" i="7"/>
  <c r="Y101" i="7" s="1"/>
  <c r="Y102" i="7" s="1"/>
  <c r="Y103" i="7" s="1"/>
  <c r="U66" i="7"/>
  <c r="U67" i="7" s="1"/>
  <c r="Q90" i="7"/>
  <c r="Q91" i="7" s="1"/>
  <c r="Q92" i="7" s="1"/>
  <c r="Q93" i="7" s="1"/>
  <c r="I71" i="7"/>
  <c r="I72" i="7" s="1"/>
  <c r="H66" i="7"/>
  <c r="H67" i="7" s="1"/>
  <c r="K90" i="7"/>
  <c r="K91" i="7" s="1"/>
  <c r="K92" i="7" s="1"/>
  <c r="K93" i="7" s="1"/>
  <c r="V71" i="7"/>
  <c r="V72" i="7" s="1"/>
  <c r="Y90" i="7"/>
  <c r="Y91" i="7" s="1"/>
  <c r="Y92" i="7" s="1"/>
  <c r="Y93" i="7" s="1"/>
  <c r="Q110" i="7"/>
  <c r="Q111" i="7" s="1"/>
  <c r="Q112" i="7" s="1"/>
  <c r="Q113" i="7" s="1"/>
  <c r="G110" i="7"/>
  <c r="G111" i="7" s="1"/>
  <c r="G112" i="7" s="1"/>
  <c r="G113" i="7" s="1"/>
  <c r="W90" i="7"/>
  <c r="W91" i="7" s="1"/>
  <c r="W92" i="7" s="1"/>
  <c r="W93" i="7" s="1"/>
  <c r="I90" i="7"/>
  <c r="I91" i="7" s="1"/>
  <c r="I92" i="7" s="1"/>
  <c r="I93" i="7" s="1"/>
  <c r="U100" i="7"/>
  <c r="U101" i="7" s="1"/>
  <c r="U102" i="7" s="1"/>
  <c r="U103" i="7" s="1"/>
  <c r="D64" i="7"/>
  <c r="D65" i="7" s="1"/>
  <c r="D66" i="7" s="1"/>
  <c r="D67" i="7" s="1"/>
  <c r="D69" i="7"/>
  <c r="D70" i="7" s="1"/>
  <c r="S110" i="7"/>
  <c r="S111" i="7" s="1"/>
  <c r="S112" i="7" s="1"/>
  <c r="S113" i="7" s="1"/>
  <c r="W88" i="6"/>
  <c r="W89" i="6" s="1"/>
  <c r="W90" i="6" s="1"/>
  <c r="W91" i="6" s="1"/>
  <c r="W92" i="6" s="1"/>
  <c r="W93" i="6" s="1"/>
  <c r="U88" i="6"/>
  <c r="U89" i="6" s="1"/>
  <c r="U90" i="6" s="1"/>
  <c r="U91" i="6" s="1"/>
  <c r="U92" i="6" s="1"/>
  <c r="U93" i="6" s="1"/>
  <c r="S88" i="6"/>
  <c r="S89" i="6" s="1"/>
  <c r="S90" i="6" s="1"/>
  <c r="S91" i="6" s="1"/>
  <c r="S92" i="6" s="1"/>
  <c r="S93" i="6" s="1"/>
  <c r="K66" i="6"/>
  <c r="K67" i="6" s="1"/>
  <c r="O74" i="6"/>
  <c r="O75" i="6" s="1"/>
  <c r="O76" i="6" s="1"/>
  <c r="O77" i="6" s="1"/>
  <c r="W69" i="6"/>
  <c r="W70" i="6" s="1"/>
  <c r="C74" i="6"/>
  <c r="C75" i="6" s="1"/>
  <c r="C76" i="6" s="1"/>
  <c r="C77" i="6" s="1"/>
  <c r="C69" i="6"/>
  <c r="C70" i="6" s="1"/>
  <c r="I64" i="6"/>
  <c r="I65" i="6" s="1"/>
  <c r="V107" i="6"/>
  <c r="U108" i="6" s="1"/>
  <c r="U109" i="6" s="1"/>
  <c r="U110" i="6" s="1"/>
  <c r="U111" i="6" s="1"/>
  <c r="U112" i="6" s="1"/>
  <c r="U113" i="6" s="1"/>
  <c r="U114" i="6" s="1"/>
  <c r="P79" i="6"/>
  <c r="P80" i="6" s="1"/>
  <c r="P81" i="6" s="1"/>
  <c r="P82" i="6" s="1"/>
  <c r="W74" i="6"/>
  <c r="W75" i="6" s="1"/>
  <c r="W76" i="6" s="1"/>
  <c r="W77" i="6" s="1"/>
  <c r="Q64" i="6"/>
  <c r="Q65" i="6" s="1"/>
  <c r="Q71" i="6" s="1"/>
  <c r="Q72" i="6" s="1"/>
  <c r="F71" i="6"/>
  <c r="F72" i="6" s="1"/>
  <c r="Y88" i="6"/>
  <c r="Y89" i="6" s="1"/>
  <c r="Y90" i="6" s="1"/>
  <c r="Y91" i="6" s="1"/>
  <c r="Y92" i="6" s="1"/>
  <c r="Y93" i="6" s="1"/>
  <c r="T64" i="6"/>
  <c r="T65" i="6" s="1"/>
  <c r="T71" i="6" s="1"/>
  <c r="T72" i="6" s="1"/>
  <c r="T66" i="6"/>
  <c r="T67" i="6" s="1"/>
  <c r="T69" i="6"/>
  <c r="T70" i="6" s="1"/>
  <c r="O79" i="6"/>
  <c r="O80" i="6" s="1"/>
  <c r="O81" i="6" s="1"/>
  <c r="O82" i="6" s="1"/>
  <c r="I87" i="6"/>
  <c r="I88" i="6" s="1"/>
  <c r="I89" i="6" s="1"/>
  <c r="I90" i="6" s="1"/>
  <c r="I91" i="6" s="1"/>
  <c r="I92" i="6" s="1"/>
  <c r="I93" i="6" s="1"/>
  <c r="Q66" i="6"/>
  <c r="Q67" i="6" s="1"/>
  <c r="E87" i="6"/>
  <c r="T74" i="6"/>
  <c r="T75" i="6" s="1"/>
  <c r="T76" i="6" s="1"/>
  <c r="T77" i="6" s="1"/>
  <c r="P107" i="6"/>
  <c r="R107" i="6"/>
  <c r="Q108" i="6" s="1"/>
  <c r="Q109" i="6" s="1"/>
  <c r="Q110" i="6" s="1"/>
  <c r="Q111" i="6" s="1"/>
  <c r="Q112" i="6" s="1"/>
  <c r="Q113" i="6" s="1"/>
  <c r="O71" i="6"/>
  <c r="O72" i="6" s="1"/>
  <c r="V71" i="6"/>
  <c r="V72" i="6" s="1"/>
  <c r="G79" i="6"/>
  <c r="G80" i="6" s="1"/>
  <c r="G81" i="6" s="1"/>
  <c r="G82" i="6" s="1"/>
  <c r="Y98" i="6"/>
  <c r="Y99" i="6" s="1"/>
  <c r="Y100" i="6" s="1"/>
  <c r="Y101" i="6" s="1"/>
  <c r="Y102" i="6" s="1"/>
  <c r="Y103" i="6" s="1"/>
  <c r="E71" i="6"/>
  <c r="E72" i="6" s="1"/>
  <c r="I100" i="6"/>
  <c r="I101" i="6" s="1"/>
  <c r="I102" i="6" s="1"/>
  <c r="I103" i="6" s="1"/>
  <c r="L107" i="6"/>
  <c r="K108" i="6" s="1"/>
  <c r="K109" i="6" s="1"/>
  <c r="L79" i="6"/>
  <c r="L80" i="6" s="1"/>
  <c r="L81" i="6" s="1"/>
  <c r="L82" i="6" s="1"/>
  <c r="M107" i="6"/>
  <c r="M108" i="6" s="1"/>
  <c r="M109" i="6" s="1"/>
  <c r="U66" i="6"/>
  <c r="U67" i="6" s="1"/>
  <c r="D107" i="6"/>
  <c r="C108" i="6" s="1"/>
  <c r="C109" i="6" s="1"/>
  <c r="X74" i="6"/>
  <c r="X75" i="6" s="1"/>
  <c r="X76" i="6" s="1"/>
  <c r="X77" i="6" s="1"/>
  <c r="N66" i="6"/>
  <c r="N67" i="6" s="1"/>
  <c r="S66" i="6"/>
  <c r="S67" i="6" s="1"/>
  <c r="J66" i="6"/>
  <c r="J67" i="6" s="1"/>
  <c r="E100" i="6"/>
  <c r="E101" i="6" s="1"/>
  <c r="E102" i="6" s="1"/>
  <c r="E103" i="6" s="1"/>
  <c r="G64" i="6"/>
  <c r="G65" i="6" s="1"/>
  <c r="G71" i="6" s="1"/>
  <c r="G72" i="6" s="1"/>
  <c r="G69" i="6"/>
  <c r="G70" i="6" s="1"/>
  <c r="L69" i="6"/>
  <c r="L70" i="6" s="1"/>
  <c r="L64" i="6"/>
  <c r="L65" i="6" s="1"/>
  <c r="L71" i="6" s="1"/>
  <c r="L72" i="6" s="1"/>
  <c r="H69" i="6"/>
  <c r="H70" i="6" s="1"/>
  <c r="H64" i="6"/>
  <c r="H65" i="6" s="1"/>
  <c r="H66" i="6" s="1"/>
  <c r="H67" i="6" s="1"/>
  <c r="O87" i="6"/>
  <c r="O88" i="6" s="1"/>
  <c r="O89" i="6" s="1"/>
  <c r="Q87" i="6"/>
  <c r="Q88" i="6" s="1"/>
  <c r="Q89" i="6" s="1"/>
  <c r="D74" i="6"/>
  <c r="D75" i="6" s="1"/>
  <c r="D76" i="6" s="1"/>
  <c r="D77" i="6" s="1"/>
  <c r="W66" i="6"/>
  <c r="W67" i="6" s="1"/>
  <c r="W83" i="6" s="1"/>
  <c r="E108" i="6"/>
  <c r="E109" i="6" s="1"/>
  <c r="C98" i="6"/>
  <c r="C99" i="6" s="1"/>
  <c r="C66" i="6"/>
  <c r="C67" i="6" s="1"/>
  <c r="X69" i="6"/>
  <c r="X70" i="6" s="1"/>
  <c r="X64" i="6"/>
  <c r="X65" i="6" s="1"/>
  <c r="X66" i="6" s="1"/>
  <c r="X67" i="6" s="1"/>
  <c r="S97" i="6"/>
  <c r="S98" i="6" s="1"/>
  <c r="S99" i="6" s="1"/>
  <c r="H79" i="6"/>
  <c r="H80" i="6" s="1"/>
  <c r="H81" i="6" s="1"/>
  <c r="H82" i="6" s="1"/>
  <c r="H87" i="6"/>
  <c r="G88" i="6" s="1"/>
  <c r="G89" i="6" s="1"/>
  <c r="Q97" i="6"/>
  <c r="Q98" i="6" s="1"/>
  <c r="Q99" i="6" s="1"/>
  <c r="O97" i="6"/>
  <c r="O98" i="6" s="1"/>
  <c r="O99" i="6" s="1"/>
  <c r="G74" i="6"/>
  <c r="G75" i="6" s="1"/>
  <c r="G76" i="6" s="1"/>
  <c r="G77" i="6" s="1"/>
  <c r="F87" i="6"/>
  <c r="H107" i="6"/>
  <c r="G108" i="6" s="1"/>
  <c r="G109" i="6" s="1"/>
  <c r="H97" i="6"/>
  <c r="G98" i="6" s="1"/>
  <c r="G99" i="6" s="1"/>
  <c r="O107" i="6"/>
  <c r="L74" i="6"/>
  <c r="L75" i="6" s="1"/>
  <c r="L76" i="6" s="1"/>
  <c r="L77" i="6" s="1"/>
  <c r="D69" i="6"/>
  <c r="D70" i="6" s="1"/>
  <c r="D64" i="6"/>
  <c r="D65" i="6" s="1"/>
  <c r="D66" i="6" s="1"/>
  <c r="D67" i="6" s="1"/>
  <c r="P71" i="6"/>
  <c r="P72" i="6" s="1"/>
  <c r="P83" i="6" s="1"/>
  <c r="S110" i="6"/>
  <c r="S111" i="6" s="1"/>
  <c r="S112" i="6" s="1"/>
  <c r="S113" i="6" s="1"/>
  <c r="X97" i="6"/>
  <c r="J107" i="6"/>
  <c r="I108" i="6" s="1"/>
  <c r="I109" i="6" s="1"/>
  <c r="X79" i="6"/>
  <c r="X80" i="6" s="1"/>
  <c r="X81" i="6" s="1"/>
  <c r="X82" i="6" s="1"/>
  <c r="W97" i="6"/>
  <c r="N97" i="6"/>
  <c r="M98" i="6" s="1"/>
  <c r="M99" i="6" s="1"/>
  <c r="U97" i="6"/>
  <c r="U98" i="6" s="1"/>
  <c r="U99" i="6" s="1"/>
  <c r="H74" i="6"/>
  <c r="H75" i="6" s="1"/>
  <c r="H76" i="6" s="1"/>
  <c r="H77" i="6" s="1"/>
  <c r="D79" i="6"/>
  <c r="D80" i="6" s="1"/>
  <c r="D81" i="6" s="1"/>
  <c r="D82" i="6" s="1"/>
  <c r="D87" i="6"/>
  <c r="M87" i="6"/>
  <c r="M88" i="6" s="1"/>
  <c r="M89" i="6" s="1"/>
  <c r="K87" i="6"/>
  <c r="K88" i="6" s="1"/>
  <c r="K89" i="6" s="1"/>
  <c r="C87" i="6"/>
  <c r="C79" i="6"/>
  <c r="C80" i="6" s="1"/>
  <c r="C81" i="6" s="1"/>
  <c r="C82" i="6" s="1"/>
  <c r="K98" i="6"/>
  <c r="K99" i="6" s="1"/>
  <c r="V71" i="5"/>
  <c r="V72" i="5" s="1"/>
  <c r="T66" i="5"/>
  <c r="T67" i="5" s="1"/>
  <c r="T83" i="6" s="1"/>
  <c r="H64" i="5"/>
  <c r="H65" i="5" s="1"/>
  <c r="H71" i="5" s="1"/>
  <c r="H72" i="5" s="1"/>
  <c r="L71" i="5"/>
  <c r="L72" i="5" s="1"/>
  <c r="S88" i="5"/>
  <c r="S89" i="5" s="1"/>
  <c r="S90" i="5" s="1"/>
  <c r="S91" i="5" s="1"/>
  <c r="S92" i="5" s="1"/>
  <c r="S93" i="5" s="1"/>
  <c r="J71" i="5"/>
  <c r="J72" i="5" s="1"/>
  <c r="O66" i="5"/>
  <c r="O67" i="5" s="1"/>
  <c r="G98" i="5"/>
  <c r="G99" i="5" s="1"/>
  <c r="U71" i="5"/>
  <c r="U72" i="5" s="1"/>
  <c r="M64" i="5"/>
  <c r="M65" i="5" s="1"/>
  <c r="M66" i="5" s="1"/>
  <c r="M67" i="5" s="1"/>
  <c r="M69" i="5"/>
  <c r="M70" i="5" s="1"/>
  <c r="E69" i="5"/>
  <c r="E70" i="5" s="1"/>
  <c r="E64" i="5"/>
  <c r="E65" i="5" s="1"/>
  <c r="E66" i="5" s="1"/>
  <c r="E67" i="5" s="1"/>
  <c r="I71" i="5"/>
  <c r="I72" i="5" s="1"/>
  <c r="K66" i="5"/>
  <c r="K67" i="5" s="1"/>
  <c r="K83" i="6" s="1"/>
  <c r="R66" i="5"/>
  <c r="R67" i="5" s="1"/>
  <c r="R83" i="6" s="1"/>
  <c r="S66" i="5"/>
  <c r="S67" i="5" s="1"/>
  <c r="F64" i="5"/>
  <c r="F65" i="5" s="1"/>
  <c r="F66" i="5" s="1"/>
  <c r="F67" i="5" s="1"/>
  <c r="F69" i="5"/>
  <c r="F70" i="5" s="1"/>
  <c r="Q71" i="5"/>
  <c r="Q72" i="5" s="1"/>
  <c r="Q83" i="6" s="1"/>
  <c r="M108" i="5"/>
  <c r="M109" i="5" s="1"/>
  <c r="M110" i="5" s="1"/>
  <c r="M111" i="5" s="1"/>
  <c r="M112" i="5" s="1"/>
  <c r="M113" i="5" s="1"/>
  <c r="E98" i="5"/>
  <c r="E99" i="5" s="1"/>
  <c r="E100" i="5" s="1"/>
  <c r="E101" i="5" s="1"/>
  <c r="E102" i="5" s="1"/>
  <c r="E103" i="5" s="1"/>
  <c r="U88" i="4"/>
  <c r="U89" i="4" s="1"/>
  <c r="U90" i="4" s="1"/>
  <c r="U91" i="4" s="1"/>
  <c r="U92" i="4" s="1"/>
  <c r="U93" i="4" s="1"/>
  <c r="C87" i="3"/>
  <c r="C88" i="3" s="1"/>
  <c r="C89" i="3" s="1"/>
  <c r="C90" i="3" s="1"/>
  <c r="C91" i="3" s="1"/>
  <c r="C92" i="3" s="1"/>
  <c r="V114" i="2"/>
  <c r="V70" i="2"/>
  <c r="V71" i="2" s="1"/>
  <c r="V72" i="2" s="1"/>
  <c r="V73" i="2" s="1"/>
  <c r="V74" i="2" s="1"/>
  <c r="Q98" i="4"/>
  <c r="Q99" i="4" s="1"/>
  <c r="Q100" i="4" s="1"/>
  <c r="Q101" i="4" s="1"/>
  <c r="Q102" i="4" s="1"/>
  <c r="Q103" i="4" s="1"/>
  <c r="K107" i="3"/>
  <c r="K108" i="3" s="1"/>
  <c r="I107" i="3"/>
  <c r="I108" i="3" s="1"/>
  <c r="I109" i="3" s="1"/>
  <c r="I110" i="3" s="1"/>
  <c r="I111" i="3" s="1"/>
  <c r="I112" i="3" s="1"/>
  <c r="W107" i="3"/>
  <c r="W108" i="3" s="1"/>
  <c r="M107" i="3"/>
  <c r="M108" i="3" s="1"/>
  <c r="M109" i="3" s="1"/>
  <c r="M110" i="3" s="1"/>
  <c r="M111" i="3" s="1"/>
  <c r="M112" i="3" s="1"/>
  <c r="Y87" i="3"/>
  <c r="Y88" i="3" s="1"/>
  <c r="Y89" i="3" s="1"/>
  <c r="Y90" i="3" s="1"/>
  <c r="Y91" i="3" s="1"/>
  <c r="Y92" i="3" s="1"/>
  <c r="G87" i="3"/>
  <c r="G88" i="3" s="1"/>
  <c r="G89" i="3" s="1"/>
  <c r="G90" i="3" s="1"/>
  <c r="G91" i="3" s="1"/>
  <c r="G92" i="3" s="1"/>
  <c r="O87" i="3"/>
  <c r="O88" i="3" s="1"/>
  <c r="O89" i="3" s="1"/>
  <c r="O90" i="3" s="1"/>
  <c r="O91" i="3" s="1"/>
  <c r="O92" i="3" s="1"/>
  <c r="W97" i="3"/>
  <c r="W98" i="3" s="1"/>
  <c r="W99" i="3" s="1"/>
  <c r="W100" i="3" s="1"/>
  <c r="W101" i="3" s="1"/>
  <c r="W102" i="3" s="1"/>
  <c r="S87" i="3"/>
  <c r="S88" i="3" s="1"/>
  <c r="S89" i="3" s="1"/>
  <c r="S90" i="3" s="1"/>
  <c r="S91" i="3" s="1"/>
  <c r="S92" i="3" s="1"/>
  <c r="U73" i="2"/>
  <c r="U74" i="2" s="1"/>
  <c r="O108" i="5"/>
  <c r="O109" i="5" s="1"/>
  <c r="O110" i="5" s="1"/>
  <c r="O111" i="5" s="1"/>
  <c r="O112" i="5" s="1"/>
  <c r="O113" i="5" s="1"/>
  <c r="Q108" i="5"/>
  <c r="Q109" i="5" s="1"/>
  <c r="Q110" i="5" s="1"/>
  <c r="Q111" i="5" s="1"/>
  <c r="Q112" i="5" s="1"/>
  <c r="Q113" i="5" s="1"/>
  <c r="C65" i="5"/>
  <c r="C66" i="5" s="1"/>
  <c r="C67" i="5" s="1"/>
  <c r="K110" i="5"/>
  <c r="K111" i="5" s="1"/>
  <c r="K112" i="5" s="1"/>
  <c r="K113" i="5" s="1"/>
  <c r="G100" i="5"/>
  <c r="G101" i="5" s="1"/>
  <c r="G102" i="5" s="1"/>
  <c r="G103" i="5" s="1"/>
  <c r="Y100" i="5"/>
  <c r="Y101" i="5" s="1"/>
  <c r="Y102" i="5" s="1"/>
  <c r="Y103" i="5" s="1"/>
  <c r="W100" i="5"/>
  <c r="W101" i="5" s="1"/>
  <c r="W102" i="5" s="1"/>
  <c r="W103" i="5" s="1"/>
  <c r="I110" i="5"/>
  <c r="I111" i="5" s="1"/>
  <c r="I112" i="5" s="1"/>
  <c r="I113" i="5" s="1"/>
  <c r="K90" i="5"/>
  <c r="K91" i="5" s="1"/>
  <c r="K92" i="5" s="1"/>
  <c r="K93" i="5" s="1"/>
  <c r="Q90" i="5"/>
  <c r="Q91" i="5" s="1"/>
  <c r="Q92" i="5" s="1"/>
  <c r="Q93" i="5" s="1"/>
  <c r="U90" i="5"/>
  <c r="U91" i="5" s="1"/>
  <c r="U92" i="5" s="1"/>
  <c r="U93" i="5" s="1"/>
  <c r="S110" i="5"/>
  <c r="S111" i="5" s="1"/>
  <c r="S112" i="5" s="1"/>
  <c r="S113" i="5" s="1"/>
  <c r="W90" i="5"/>
  <c r="W91" i="5" s="1"/>
  <c r="W92" i="5" s="1"/>
  <c r="W93" i="5" s="1"/>
  <c r="U100" i="5"/>
  <c r="U101" i="5" s="1"/>
  <c r="U102" i="5" s="1"/>
  <c r="U103" i="5" s="1"/>
  <c r="S100" i="5"/>
  <c r="S101" i="5" s="1"/>
  <c r="S102" i="5" s="1"/>
  <c r="S103" i="5" s="1"/>
  <c r="M100" i="5"/>
  <c r="M101" i="5" s="1"/>
  <c r="M102" i="5" s="1"/>
  <c r="M103" i="5" s="1"/>
  <c r="Y90" i="5"/>
  <c r="Y91" i="5" s="1"/>
  <c r="Y92" i="5" s="1"/>
  <c r="Y93" i="5" s="1"/>
  <c r="U110" i="5"/>
  <c r="U111" i="5" s="1"/>
  <c r="U112" i="5" s="1"/>
  <c r="U113" i="5" s="1"/>
  <c r="U114" i="5" s="1"/>
  <c r="I100" i="5"/>
  <c r="I101" i="5" s="1"/>
  <c r="I102" i="5" s="1"/>
  <c r="I103" i="5" s="1"/>
  <c r="C100" i="5"/>
  <c r="C101" i="5" s="1"/>
  <c r="C102" i="5" s="1"/>
  <c r="C103" i="5" s="1"/>
  <c r="C104" i="5" s="1"/>
  <c r="Q100" i="5"/>
  <c r="Q101" i="5" s="1"/>
  <c r="Q102" i="5" s="1"/>
  <c r="Q103" i="5" s="1"/>
  <c r="K100" i="5"/>
  <c r="K101" i="5" s="1"/>
  <c r="K102" i="5" s="1"/>
  <c r="K103" i="5" s="1"/>
  <c r="E110" i="5"/>
  <c r="E111" i="5" s="1"/>
  <c r="E112" i="5" s="1"/>
  <c r="E113" i="5" s="1"/>
  <c r="O90" i="5"/>
  <c r="O91" i="5" s="1"/>
  <c r="O92" i="5" s="1"/>
  <c r="O93" i="5" s="1"/>
  <c r="S98" i="4"/>
  <c r="S99" i="4" s="1"/>
  <c r="S100" i="4" s="1"/>
  <c r="S101" i="4" s="1"/>
  <c r="S102" i="4" s="1"/>
  <c r="S103" i="4" s="1"/>
  <c r="W100" i="4"/>
  <c r="W101" i="4" s="1"/>
  <c r="W102" i="4" s="1"/>
  <c r="W103" i="4" s="1"/>
  <c r="I98" i="4"/>
  <c r="I99" i="4" s="1"/>
  <c r="I100" i="4" s="1"/>
  <c r="I101" i="4" s="1"/>
  <c r="I102" i="4" s="1"/>
  <c r="I103" i="4" s="1"/>
  <c r="G108" i="4"/>
  <c r="G109" i="4" s="1"/>
  <c r="G110" i="4" s="1"/>
  <c r="G111" i="4" s="1"/>
  <c r="G112" i="4" s="1"/>
  <c r="G113" i="4" s="1"/>
  <c r="G114" i="5" s="1"/>
  <c r="W88" i="4"/>
  <c r="W89" i="4" s="1"/>
  <c r="W90" i="4" s="1"/>
  <c r="W91" i="4" s="1"/>
  <c r="W92" i="4" s="1"/>
  <c r="W93" i="4" s="1"/>
  <c r="I107" i="4"/>
  <c r="I108" i="4" s="1"/>
  <c r="I109" i="4" s="1"/>
  <c r="I110" i="4" s="1"/>
  <c r="I111" i="4" s="1"/>
  <c r="I112" i="4" s="1"/>
  <c r="I113" i="4" s="1"/>
  <c r="K107" i="4"/>
  <c r="K108" i="4" s="1"/>
  <c r="K109" i="4" s="1"/>
  <c r="K110" i="4" s="1"/>
  <c r="K111" i="4" s="1"/>
  <c r="K112" i="4" s="1"/>
  <c r="K113" i="4" s="1"/>
  <c r="E98" i="4"/>
  <c r="E99" i="4" s="1"/>
  <c r="E100" i="4" s="1"/>
  <c r="E101" i="4" s="1"/>
  <c r="E102" i="4" s="1"/>
  <c r="E103" i="4" s="1"/>
  <c r="O88" i="4"/>
  <c r="O89" i="4" s="1"/>
  <c r="O90" i="4" s="1"/>
  <c r="O91" i="4" s="1"/>
  <c r="O92" i="4" s="1"/>
  <c r="O93" i="4" s="1"/>
  <c r="M97" i="4"/>
  <c r="M98" i="4" s="1"/>
  <c r="M99" i="4" s="1"/>
  <c r="M100" i="4" s="1"/>
  <c r="M101" i="4" s="1"/>
  <c r="M102" i="4" s="1"/>
  <c r="M103" i="4" s="1"/>
  <c r="K97" i="4"/>
  <c r="K98" i="4" s="1"/>
  <c r="K99" i="4" s="1"/>
  <c r="E108" i="4"/>
  <c r="E109" i="4" s="1"/>
  <c r="E110" i="4" s="1"/>
  <c r="E111" i="4" s="1"/>
  <c r="E112" i="4" s="1"/>
  <c r="E113" i="4" s="1"/>
  <c r="I87" i="4"/>
  <c r="I88" i="4" s="1"/>
  <c r="I89" i="4" s="1"/>
  <c r="I90" i="4" s="1"/>
  <c r="I91" i="4" s="1"/>
  <c r="I92" i="4" s="1"/>
  <c r="I93" i="4" s="1"/>
  <c r="I94" i="5" s="1"/>
  <c r="O108" i="4"/>
  <c r="O109" i="4" s="1"/>
  <c r="O110" i="4" s="1"/>
  <c r="O111" i="4" s="1"/>
  <c r="O112" i="4" s="1"/>
  <c r="O113" i="4" s="1"/>
  <c r="Y88" i="4"/>
  <c r="Y89" i="4" s="1"/>
  <c r="Y90" i="4" s="1"/>
  <c r="Y91" i="4" s="1"/>
  <c r="Y92" i="4" s="1"/>
  <c r="Y93" i="4" s="1"/>
  <c r="Y94" i="5" s="1"/>
  <c r="O79" i="4"/>
  <c r="O80" i="4" s="1"/>
  <c r="O81" i="4" s="1"/>
  <c r="O82" i="4" s="1"/>
  <c r="F87" i="4"/>
  <c r="K90" i="4"/>
  <c r="K91" i="4" s="1"/>
  <c r="K92" i="4" s="1"/>
  <c r="K93" i="4" s="1"/>
  <c r="K94" i="5" s="1"/>
  <c r="C65" i="4"/>
  <c r="C66" i="4" s="1"/>
  <c r="C67" i="4" s="1"/>
  <c r="C69" i="4"/>
  <c r="C70" i="4" s="1"/>
  <c r="G90" i="4"/>
  <c r="G91" i="4" s="1"/>
  <c r="G92" i="4" s="1"/>
  <c r="G93" i="4" s="1"/>
  <c r="G94" i="5" s="1"/>
  <c r="M90" i="4"/>
  <c r="M91" i="4" s="1"/>
  <c r="M92" i="4" s="1"/>
  <c r="M93" i="4" s="1"/>
  <c r="M94" i="5" s="1"/>
  <c r="G79" i="4"/>
  <c r="G80" i="4" s="1"/>
  <c r="G81" i="4" s="1"/>
  <c r="G82" i="4" s="1"/>
  <c r="Q88" i="4"/>
  <c r="Q89" i="4" s="1"/>
  <c r="G98" i="4"/>
  <c r="G99" i="4" s="1"/>
  <c r="E87" i="4"/>
  <c r="C74" i="4"/>
  <c r="C75" i="4" s="1"/>
  <c r="C76" i="4" s="1"/>
  <c r="C77" i="4" s="1"/>
  <c r="M108" i="4"/>
  <c r="M109" i="4" s="1"/>
  <c r="S108" i="4"/>
  <c r="S109" i="4" s="1"/>
  <c r="K79" i="4"/>
  <c r="K80" i="4" s="1"/>
  <c r="K81" i="4" s="1"/>
  <c r="K82" i="4" s="1"/>
  <c r="C87" i="4"/>
  <c r="C88" i="4" s="1"/>
  <c r="C89" i="4" s="1"/>
  <c r="C79" i="4"/>
  <c r="C80" i="4" s="1"/>
  <c r="C81" i="4" s="1"/>
  <c r="C82" i="4" s="1"/>
  <c r="U100" i="4"/>
  <c r="U101" i="4" s="1"/>
  <c r="U102" i="4" s="1"/>
  <c r="U103" i="4" s="1"/>
  <c r="U104" i="5" s="1"/>
  <c r="S90" i="4"/>
  <c r="S91" i="4" s="1"/>
  <c r="S92" i="4" s="1"/>
  <c r="S93" i="4" s="1"/>
  <c r="Q108" i="4"/>
  <c r="Q109" i="4" s="1"/>
  <c r="S79" i="4"/>
  <c r="S80" i="4" s="1"/>
  <c r="S81" i="4" s="1"/>
  <c r="S82" i="4" s="1"/>
  <c r="C108" i="4"/>
  <c r="C109" i="4" s="1"/>
  <c r="Y98" i="4"/>
  <c r="Y99" i="4" s="1"/>
  <c r="Y97" i="3"/>
  <c r="Y98" i="3" s="1"/>
  <c r="Y99" i="3" s="1"/>
  <c r="Y100" i="3" s="1"/>
  <c r="Y101" i="3" s="1"/>
  <c r="Y102" i="3" s="1"/>
  <c r="I87" i="3"/>
  <c r="I88" i="3" s="1"/>
  <c r="I89" i="3" s="1"/>
  <c r="I90" i="3" s="1"/>
  <c r="I91" i="3" s="1"/>
  <c r="I92" i="3" s="1"/>
  <c r="C97" i="3"/>
  <c r="C98" i="3" s="1"/>
  <c r="C99" i="3" s="1"/>
  <c r="C100" i="3" s="1"/>
  <c r="C101" i="3" s="1"/>
  <c r="C102" i="3" s="1"/>
  <c r="U107" i="3"/>
  <c r="U108" i="3" s="1"/>
  <c r="U109" i="3" s="1"/>
  <c r="U110" i="3" s="1"/>
  <c r="U111" i="3" s="1"/>
  <c r="U112" i="3" s="1"/>
  <c r="Q107" i="3"/>
  <c r="Q108" i="3" s="1"/>
  <c r="Q109" i="3" s="1"/>
  <c r="Q110" i="3" s="1"/>
  <c r="Q111" i="3" s="1"/>
  <c r="Q112" i="3" s="1"/>
  <c r="K97" i="3"/>
  <c r="K98" i="3" s="1"/>
  <c r="K99" i="3" s="1"/>
  <c r="K100" i="3" s="1"/>
  <c r="K101" i="3" s="1"/>
  <c r="K102" i="3" s="1"/>
  <c r="I97" i="3"/>
  <c r="I98" i="3" s="1"/>
  <c r="I99" i="3" s="1"/>
  <c r="I100" i="3" s="1"/>
  <c r="I101" i="3" s="1"/>
  <c r="I102" i="3" s="1"/>
  <c r="M97" i="3"/>
  <c r="M98" i="3" s="1"/>
  <c r="M99" i="3" s="1"/>
  <c r="M100" i="3" s="1"/>
  <c r="M101" i="3" s="1"/>
  <c r="M102" i="3" s="1"/>
  <c r="U87" i="3"/>
  <c r="U88" i="3" s="1"/>
  <c r="U89" i="3" s="1"/>
  <c r="U90" i="3" s="1"/>
  <c r="U91" i="3" s="1"/>
  <c r="U92" i="3" s="1"/>
  <c r="C63" i="3"/>
  <c r="C64" i="3" s="1"/>
  <c r="C70" i="3" s="1"/>
  <c r="W89" i="3"/>
  <c r="W90" i="3" s="1"/>
  <c r="W91" i="3" s="1"/>
  <c r="W92" i="3" s="1"/>
  <c r="K109" i="3"/>
  <c r="K110" i="3" s="1"/>
  <c r="K111" i="3" s="1"/>
  <c r="K112" i="3" s="1"/>
  <c r="M89" i="3"/>
  <c r="M90" i="3" s="1"/>
  <c r="M91" i="3" s="1"/>
  <c r="M92" i="3" s="1"/>
  <c r="E87" i="3"/>
  <c r="E88" i="3" s="1"/>
  <c r="G97" i="3"/>
  <c r="G98" i="3" s="1"/>
  <c r="S109" i="3"/>
  <c r="S110" i="3" s="1"/>
  <c r="S111" i="3" s="1"/>
  <c r="S112" i="3" s="1"/>
  <c r="C109" i="3"/>
  <c r="C110" i="3" s="1"/>
  <c r="C111" i="3" s="1"/>
  <c r="C112" i="3" s="1"/>
  <c r="K89" i="3"/>
  <c r="K90" i="3" s="1"/>
  <c r="K91" i="3" s="1"/>
  <c r="K92" i="3" s="1"/>
  <c r="W109" i="3"/>
  <c r="W110" i="3" s="1"/>
  <c r="W111" i="3" s="1"/>
  <c r="W112" i="3" s="1"/>
  <c r="AA87" i="3"/>
  <c r="AA88" i="3" s="1"/>
  <c r="G109" i="3"/>
  <c r="G110" i="3" s="1"/>
  <c r="G111" i="3" s="1"/>
  <c r="G112" i="3" s="1"/>
  <c r="O99" i="3"/>
  <c r="O100" i="3" s="1"/>
  <c r="O101" i="3" s="1"/>
  <c r="O102" i="3" s="1"/>
  <c r="AA99" i="3"/>
  <c r="AA100" i="3" s="1"/>
  <c r="AA101" i="3" s="1"/>
  <c r="AA102" i="3" s="1"/>
  <c r="V81" i="2"/>
  <c r="V82" i="2" s="1"/>
  <c r="V83" i="2" s="1"/>
  <c r="V84" i="2" s="1"/>
  <c r="X104" i="2"/>
  <c r="AC76" i="2"/>
  <c r="AC77" i="2" s="1"/>
  <c r="X124" i="2"/>
  <c r="Y124" i="2"/>
  <c r="Y125" i="2" s="1"/>
  <c r="Y126" i="2" s="1"/>
  <c r="Y127" i="2" s="1"/>
  <c r="Y128" i="2" s="1"/>
  <c r="Y129" i="2" s="1"/>
  <c r="Y130" i="2" s="1"/>
  <c r="X86" i="2"/>
  <c r="X87" i="2" s="1"/>
  <c r="X88" i="2" s="1"/>
  <c r="X89" i="2" s="1"/>
  <c r="AD114" i="2"/>
  <c r="I124" i="2"/>
  <c r="AA125" i="2"/>
  <c r="AA126" i="2" s="1"/>
  <c r="AA127" i="2" s="1"/>
  <c r="AA128" i="2" s="1"/>
  <c r="AA129" i="2" s="1"/>
  <c r="AA130" i="2" s="1"/>
  <c r="H124" i="2"/>
  <c r="G125" i="2" s="1"/>
  <c r="G126" i="2" s="1"/>
  <c r="G127" i="2" s="1"/>
  <c r="G128" i="2" s="1"/>
  <c r="G129" i="2" s="1"/>
  <c r="G130" i="2" s="1"/>
  <c r="U124" i="2"/>
  <c r="D114" i="2"/>
  <c r="T114" i="2"/>
  <c r="AC114" i="2"/>
  <c r="Y114" i="2"/>
  <c r="AA114" i="2"/>
  <c r="AA115" i="2" s="1"/>
  <c r="AA116" i="2" s="1"/>
  <c r="AA117" i="2" s="1"/>
  <c r="AA118" i="2" s="1"/>
  <c r="AA119" i="2" s="1"/>
  <c r="AA120" i="2" s="1"/>
  <c r="C124" i="2"/>
  <c r="E124" i="2"/>
  <c r="E125" i="2" s="1"/>
  <c r="E126" i="2" s="1"/>
  <c r="E127" i="2" s="1"/>
  <c r="E128" i="2" s="1"/>
  <c r="E129" i="2" s="1"/>
  <c r="E130" i="2" s="1"/>
  <c r="P104" i="2"/>
  <c r="M114" i="2"/>
  <c r="M115" i="2" s="1"/>
  <c r="M116" i="2" s="1"/>
  <c r="M117" i="2" s="1"/>
  <c r="M118" i="2" s="1"/>
  <c r="M119" i="2" s="1"/>
  <c r="M120" i="2" s="1"/>
  <c r="U94" i="2"/>
  <c r="O115" i="2"/>
  <c r="O116" i="2" s="1"/>
  <c r="O117" i="2" s="1"/>
  <c r="O118" i="2" s="1"/>
  <c r="O119" i="2" s="1"/>
  <c r="O120" i="2" s="1"/>
  <c r="Z81" i="2"/>
  <c r="Z82" i="2" s="1"/>
  <c r="Z83" i="2" s="1"/>
  <c r="Z84" i="2" s="1"/>
  <c r="R114" i="2"/>
  <c r="S81" i="2"/>
  <c r="S82" i="2" s="1"/>
  <c r="S83" i="2" s="1"/>
  <c r="S84" i="2" s="1"/>
  <c r="J114" i="2"/>
  <c r="R81" i="2"/>
  <c r="R82" i="2" s="1"/>
  <c r="R83" i="2" s="1"/>
  <c r="R84" i="2" s="1"/>
  <c r="K114" i="2"/>
  <c r="I114" i="2"/>
  <c r="H114" i="2"/>
  <c r="X76" i="2"/>
  <c r="X77" i="2" s="1"/>
  <c r="X71" i="2"/>
  <c r="X72" i="2" s="1"/>
  <c r="AF104" i="2"/>
  <c r="U81" i="2"/>
  <c r="U82" i="2" s="1"/>
  <c r="U83" i="2" s="1"/>
  <c r="U84" i="2" s="1"/>
  <c r="AB104" i="2"/>
  <c r="AD76" i="2"/>
  <c r="AD77" i="2" s="1"/>
  <c r="AD71" i="2"/>
  <c r="AD72" i="2" s="1"/>
  <c r="AD78" i="2" s="1"/>
  <c r="AD79" i="2" s="1"/>
  <c r="AD81" i="2"/>
  <c r="AD82" i="2" s="1"/>
  <c r="AD83" i="2" s="1"/>
  <c r="AD84" i="2" s="1"/>
  <c r="AB81" i="2"/>
  <c r="AB82" i="2" s="1"/>
  <c r="AB83" i="2" s="1"/>
  <c r="AB84" i="2" s="1"/>
  <c r="D124" i="2"/>
  <c r="S86" i="2"/>
  <c r="S87" i="2" s="1"/>
  <c r="S88" i="2" s="1"/>
  <c r="S89" i="2" s="1"/>
  <c r="R104" i="2"/>
  <c r="G81" i="2"/>
  <c r="G82" i="2" s="1"/>
  <c r="G83" i="2" s="1"/>
  <c r="G84" i="2" s="1"/>
  <c r="S94" i="2"/>
  <c r="R94" i="2"/>
  <c r="W78" i="2"/>
  <c r="W79" i="2" s="1"/>
  <c r="AC73" i="2"/>
  <c r="AC74" i="2" s="1"/>
  <c r="AD86" i="2"/>
  <c r="AD87" i="2" s="1"/>
  <c r="AD88" i="2" s="1"/>
  <c r="AD89" i="2" s="1"/>
  <c r="S76" i="2"/>
  <c r="S77" i="2" s="1"/>
  <c r="S71" i="2"/>
  <c r="S72" i="2" s="1"/>
  <c r="S78" i="2" s="1"/>
  <c r="S79" i="2" s="1"/>
  <c r="Z86" i="2"/>
  <c r="Z87" i="2" s="1"/>
  <c r="Z88" i="2" s="1"/>
  <c r="Z89" i="2" s="1"/>
  <c r="AB86" i="2"/>
  <c r="AB87" i="2" s="1"/>
  <c r="AB88" i="2" s="1"/>
  <c r="AB89" i="2" s="1"/>
  <c r="L81" i="2"/>
  <c r="L82" i="2" s="1"/>
  <c r="L83" i="2" s="1"/>
  <c r="L84" i="2" s="1"/>
  <c r="P94" i="2"/>
  <c r="M104" i="2"/>
  <c r="O104" i="2"/>
  <c r="V94" i="2"/>
  <c r="L86" i="2"/>
  <c r="L87" i="2" s="1"/>
  <c r="L88" i="2" s="1"/>
  <c r="L89" i="2" s="1"/>
  <c r="F104" i="2"/>
  <c r="K104" i="2"/>
  <c r="Z76" i="2"/>
  <c r="Z77" i="2" s="1"/>
  <c r="Z71" i="2"/>
  <c r="Z72" i="2" s="1"/>
  <c r="Z78" i="2" s="1"/>
  <c r="Z79" i="2" s="1"/>
  <c r="G71" i="2"/>
  <c r="G72" i="2" s="1"/>
  <c r="G78" i="2" s="1"/>
  <c r="G79" i="2" s="1"/>
  <c r="G76" i="2"/>
  <c r="G77" i="2" s="1"/>
  <c r="L76" i="2"/>
  <c r="L77" i="2" s="1"/>
  <c r="L71" i="2"/>
  <c r="L72" i="2" s="1"/>
  <c r="L78" i="2" s="1"/>
  <c r="L79" i="2" s="1"/>
  <c r="R76" i="2"/>
  <c r="R77" i="2" s="1"/>
  <c r="R71" i="2"/>
  <c r="R72" i="2" s="1"/>
  <c r="R78" i="2" s="1"/>
  <c r="R79" i="2" s="1"/>
  <c r="R86" i="2"/>
  <c r="R87" i="2" s="1"/>
  <c r="R88" i="2" s="1"/>
  <c r="R89" i="2" s="1"/>
  <c r="W94" i="2"/>
  <c r="T94" i="2"/>
  <c r="J104" i="2"/>
  <c r="E104" i="2"/>
  <c r="I104" i="2"/>
  <c r="D76" i="2"/>
  <c r="D77" i="2" s="1"/>
  <c r="D71" i="2"/>
  <c r="D72" i="2" s="1"/>
  <c r="D73" i="2" s="1"/>
  <c r="D74" i="2" s="1"/>
  <c r="C76" i="2"/>
  <c r="C77" i="2" s="1"/>
  <c r="C74" i="2"/>
  <c r="C79" i="2"/>
  <c r="J83" i="5" l="1"/>
  <c r="O83" i="5"/>
  <c r="S70" i="3"/>
  <c r="S71" i="3" s="1"/>
  <c r="X83" i="6"/>
  <c r="S83" i="6"/>
  <c r="U83" i="6"/>
  <c r="V83" i="6"/>
  <c r="O83" i="6"/>
  <c r="D71" i="6"/>
  <c r="D72" i="6" s="1"/>
  <c r="I83" i="7"/>
  <c r="R83" i="7"/>
  <c r="J83" i="6"/>
  <c r="F83" i="6"/>
  <c r="N83" i="5"/>
  <c r="U83" i="7"/>
  <c r="V83" i="5"/>
  <c r="K83" i="7"/>
  <c r="S83" i="7"/>
  <c r="T83" i="7"/>
  <c r="L83" i="5"/>
  <c r="Q83" i="7"/>
  <c r="V83" i="7"/>
  <c r="O83" i="7"/>
  <c r="T83" i="5"/>
  <c r="N83" i="7"/>
  <c r="S104" i="5"/>
  <c r="R83" i="5"/>
  <c r="U83" i="5"/>
  <c r="Q83" i="5"/>
  <c r="D71" i="5"/>
  <c r="D72" i="5" s="1"/>
  <c r="D66" i="5"/>
  <c r="D67" i="5" s="1"/>
  <c r="S94" i="5"/>
  <c r="M104" i="5"/>
  <c r="W104" i="5"/>
  <c r="O94" i="5"/>
  <c r="U94" i="5"/>
  <c r="K114" i="5"/>
  <c r="W94" i="5"/>
  <c r="I104" i="5"/>
  <c r="O114" i="5"/>
  <c r="I114" i="5"/>
  <c r="Q104" i="5"/>
  <c r="M71" i="4"/>
  <c r="M72" i="4" s="1"/>
  <c r="G66" i="4"/>
  <c r="G67" i="4" s="1"/>
  <c r="G83" i="5" s="1"/>
  <c r="X71" i="4"/>
  <c r="X72" i="4" s="1"/>
  <c r="X83" i="5" s="1"/>
  <c r="I71" i="4"/>
  <c r="I72" i="4" s="1"/>
  <c r="I83" i="5" s="1"/>
  <c r="K83" i="5"/>
  <c r="S83" i="5"/>
  <c r="D66" i="4"/>
  <c r="D67" i="4" s="1"/>
  <c r="E114" i="7"/>
  <c r="H70" i="3"/>
  <c r="H71" i="3" s="1"/>
  <c r="N70" i="3"/>
  <c r="N71" i="3" s="1"/>
  <c r="I104" i="6"/>
  <c r="Y94" i="6"/>
  <c r="I104" i="7"/>
  <c r="E114" i="5"/>
  <c r="E104" i="5"/>
  <c r="K94" i="7"/>
  <c r="S104" i="7"/>
  <c r="S94" i="6"/>
  <c r="U104" i="7"/>
  <c r="M94" i="7"/>
  <c r="U94" i="7"/>
  <c r="O114" i="7"/>
  <c r="I94" i="6"/>
  <c r="I94" i="7"/>
  <c r="E104" i="7"/>
  <c r="W94" i="7"/>
  <c r="Q104" i="7"/>
  <c r="W104" i="7"/>
  <c r="E104" i="6"/>
  <c r="U94" i="6"/>
  <c r="G114" i="7"/>
  <c r="I114" i="7"/>
  <c r="G94" i="7"/>
  <c r="W94" i="6"/>
  <c r="Y94" i="7"/>
  <c r="K114" i="7"/>
  <c r="S94" i="7"/>
  <c r="C94" i="2"/>
  <c r="E94" i="2"/>
  <c r="C71" i="8"/>
  <c r="C72" i="8" s="1"/>
  <c r="C73" i="8" s="1"/>
  <c r="C74" i="8" s="1"/>
  <c r="W71" i="7"/>
  <c r="W72" i="7" s="1"/>
  <c r="W66" i="7"/>
  <c r="W67" i="7" s="1"/>
  <c r="O97" i="7"/>
  <c r="O98" i="7" s="1"/>
  <c r="O99" i="7" s="1"/>
  <c r="O100" i="7" s="1"/>
  <c r="O101" i="7" s="1"/>
  <c r="O102" i="7" s="1"/>
  <c r="O103" i="7" s="1"/>
  <c r="O104" i="7" s="1"/>
  <c r="G74" i="7"/>
  <c r="G75" i="7" s="1"/>
  <c r="G76" i="7" s="1"/>
  <c r="G77" i="7" s="1"/>
  <c r="F87" i="7"/>
  <c r="E88" i="7" s="1"/>
  <c r="E89" i="7" s="1"/>
  <c r="E90" i="7" s="1"/>
  <c r="E91" i="7" s="1"/>
  <c r="E92" i="7" s="1"/>
  <c r="E93" i="7" s="1"/>
  <c r="G69" i="7"/>
  <c r="G70" i="7" s="1"/>
  <c r="G64" i="7"/>
  <c r="G65" i="7" s="1"/>
  <c r="D71" i="7"/>
  <c r="D72" i="7" s="1"/>
  <c r="D83" i="7" s="1"/>
  <c r="G79" i="7"/>
  <c r="G80" i="7" s="1"/>
  <c r="G81" i="7" s="1"/>
  <c r="G82" i="7" s="1"/>
  <c r="M97" i="7"/>
  <c r="M98" i="7" s="1"/>
  <c r="M99" i="7" s="1"/>
  <c r="M100" i="7" s="1"/>
  <c r="M101" i="7" s="1"/>
  <c r="M102" i="7" s="1"/>
  <c r="M103" i="7" s="1"/>
  <c r="M104" i="7" s="1"/>
  <c r="K97" i="7"/>
  <c r="K98" i="7" s="1"/>
  <c r="K99" i="7" s="1"/>
  <c r="K100" i="7" s="1"/>
  <c r="K101" i="7" s="1"/>
  <c r="K102" i="7" s="1"/>
  <c r="K103" i="7" s="1"/>
  <c r="C71" i="7"/>
  <c r="C72" i="7" s="1"/>
  <c r="C66" i="7"/>
  <c r="C67" i="7" s="1"/>
  <c r="C83" i="7" s="1"/>
  <c r="U110" i="7"/>
  <c r="U111" i="7" s="1"/>
  <c r="U112" i="7" s="1"/>
  <c r="U113" i="7" s="1"/>
  <c r="U114" i="7" s="1"/>
  <c r="E115" i="7"/>
  <c r="O90" i="7"/>
  <c r="O91" i="7" s="1"/>
  <c r="O92" i="7" s="1"/>
  <c r="O93" i="7" s="1"/>
  <c r="O94" i="7" s="1"/>
  <c r="F71" i="7"/>
  <c r="F72" i="7" s="1"/>
  <c r="O108" i="6"/>
  <c r="O109" i="6" s="1"/>
  <c r="O110" i="6" s="1"/>
  <c r="O111" i="6" s="1"/>
  <c r="O112" i="6" s="1"/>
  <c r="O113" i="6" s="1"/>
  <c r="O114" i="6" s="1"/>
  <c r="G66" i="6"/>
  <c r="G67" i="6" s="1"/>
  <c r="G83" i="6" s="1"/>
  <c r="I71" i="6"/>
  <c r="I72" i="6" s="1"/>
  <c r="I66" i="6"/>
  <c r="I67" i="6" s="1"/>
  <c r="I83" i="6" s="1"/>
  <c r="L66" i="6"/>
  <c r="L67" i="6" s="1"/>
  <c r="L83" i="6" s="1"/>
  <c r="H71" i="6"/>
  <c r="H72" i="6" s="1"/>
  <c r="E88" i="6"/>
  <c r="E89" i="6" s="1"/>
  <c r="E90" i="6" s="1"/>
  <c r="E91" i="6" s="1"/>
  <c r="E92" i="6" s="1"/>
  <c r="E93" i="6" s="1"/>
  <c r="C110" i="6"/>
  <c r="C111" i="6" s="1"/>
  <c r="C112" i="6" s="1"/>
  <c r="C113" i="6" s="1"/>
  <c r="M100" i="6"/>
  <c r="M101" i="6" s="1"/>
  <c r="M102" i="6" s="1"/>
  <c r="M103" i="6" s="1"/>
  <c r="M104" i="6" s="1"/>
  <c r="I110" i="6"/>
  <c r="I111" i="6" s="1"/>
  <c r="I112" i="6" s="1"/>
  <c r="I113" i="6" s="1"/>
  <c r="I114" i="6" s="1"/>
  <c r="G110" i="6"/>
  <c r="G111" i="6" s="1"/>
  <c r="G112" i="6" s="1"/>
  <c r="G113" i="6" s="1"/>
  <c r="G114" i="6" s="1"/>
  <c r="G90" i="6"/>
  <c r="G91" i="6" s="1"/>
  <c r="G92" i="6" s="1"/>
  <c r="G93" i="6" s="1"/>
  <c r="G94" i="6" s="1"/>
  <c r="S100" i="6"/>
  <c r="S101" i="6" s="1"/>
  <c r="S102" i="6" s="1"/>
  <c r="S103" i="6" s="1"/>
  <c r="S104" i="6" s="1"/>
  <c r="X71" i="6"/>
  <c r="X72" i="6" s="1"/>
  <c r="K90" i="6"/>
  <c r="K91" i="6" s="1"/>
  <c r="K92" i="6" s="1"/>
  <c r="K93" i="6" s="1"/>
  <c r="K94" i="6" s="1"/>
  <c r="K110" i="6"/>
  <c r="K111" i="6" s="1"/>
  <c r="K112" i="6" s="1"/>
  <c r="K113" i="6" s="1"/>
  <c r="K114" i="6" s="1"/>
  <c r="Q102" i="6"/>
  <c r="Q103" i="6" s="1"/>
  <c r="Q104" i="6" s="1"/>
  <c r="Q100" i="6"/>
  <c r="Q101" i="6" s="1"/>
  <c r="E110" i="6"/>
  <c r="E111" i="6" s="1"/>
  <c r="E112" i="6" s="1"/>
  <c r="E113" i="6" s="1"/>
  <c r="E114" i="6" s="1"/>
  <c r="M90" i="6"/>
  <c r="M91" i="6" s="1"/>
  <c r="M92" i="6" s="1"/>
  <c r="M93" i="6" s="1"/>
  <c r="M94" i="6" s="1"/>
  <c r="W98" i="6"/>
  <c r="W99" i="6" s="1"/>
  <c r="O90" i="6"/>
  <c r="O91" i="6" s="1"/>
  <c r="O92" i="6" s="1"/>
  <c r="O93" i="6" s="1"/>
  <c r="O94" i="6" s="1"/>
  <c r="G100" i="6"/>
  <c r="G101" i="6" s="1"/>
  <c r="G102" i="6" s="1"/>
  <c r="G103" i="6" s="1"/>
  <c r="C100" i="6"/>
  <c r="C101" i="6" s="1"/>
  <c r="C102" i="6" s="1"/>
  <c r="C103" i="6" s="1"/>
  <c r="C104" i="6" s="1"/>
  <c r="M110" i="6"/>
  <c r="M111" i="6" s="1"/>
  <c r="M112" i="6" s="1"/>
  <c r="M113" i="6" s="1"/>
  <c r="K100" i="6"/>
  <c r="K101" i="6" s="1"/>
  <c r="K102" i="6" s="1"/>
  <c r="K103" i="6" s="1"/>
  <c r="C88" i="6"/>
  <c r="C89" i="6" s="1"/>
  <c r="U100" i="6"/>
  <c r="U101" i="6" s="1"/>
  <c r="U102" i="6" s="1"/>
  <c r="U103" i="6" s="1"/>
  <c r="U104" i="6" s="1"/>
  <c r="O100" i="6"/>
  <c r="O101" i="6" s="1"/>
  <c r="O102" i="6" s="1"/>
  <c r="O103" i="6" s="1"/>
  <c r="O104" i="6" s="1"/>
  <c r="Q90" i="6"/>
  <c r="Q91" i="6" s="1"/>
  <c r="Q92" i="6" s="1"/>
  <c r="Q93" i="6" s="1"/>
  <c r="C71" i="5"/>
  <c r="C72" i="5" s="1"/>
  <c r="C83" i="6" s="1"/>
  <c r="F71" i="5"/>
  <c r="F72" i="5" s="1"/>
  <c r="F83" i="5" s="1"/>
  <c r="H66" i="5"/>
  <c r="H67" i="5" s="1"/>
  <c r="H83" i="6" s="1"/>
  <c r="M71" i="5"/>
  <c r="M72" i="5" s="1"/>
  <c r="M83" i="7" s="1"/>
  <c r="E71" i="5"/>
  <c r="E72" i="5" s="1"/>
  <c r="E83" i="7" s="1"/>
  <c r="G115" i="2"/>
  <c r="G116" i="2" s="1"/>
  <c r="G117" i="2" s="1"/>
  <c r="G118" i="2" s="1"/>
  <c r="G119" i="2" s="1"/>
  <c r="G120" i="2" s="1"/>
  <c r="V76" i="2"/>
  <c r="V77" i="2" s="1"/>
  <c r="V86" i="2"/>
  <c r="V87" i="2" s="1"/>
  <c r="V88" i="2" s="1"/>
  <c r="V89" i="2" s="1"/>
  <c r="Z114" i="2"/>
  <c r="Y115" i="2" s="1"/>
  <c r="Y116" i="2" s="1"/>
  <c r="Y117" i="2" s="1"/>
  <c r="Y118" i="2" s="1"/>
  <c r="Y119" i="2" s="1"/>
  <c r="Y120" i="2" s="1"/>
  <c r="AE114" i="2"/>
  <c r="AC115" i="2"/>
  <c r="AC116" i="2" s="1"/>
  <c r="AC117" i="2" s="1"/>
  <c r="AC118" i="2" s="1"/>
  <c r="AC119" i="2" s="1"/>
  <c r="AC120" i="2" s="1"/>
  <c r="U95" i="2"/>
  <c r="U96" i="2" s="1"/>
  <c r="U97" i="2" s="1"/>
  <c r="U98" i="2" s="1"/>
  <c r="U99" i="2" s="1"/>
  <c r="U100" i="2" s="1"/>
  <c r="E88" i="4"/>
  <c r="E89" i="4" s="1"/>
  <c r="E90" i="4" s="1"/>
  <c r="E91" i="4" s="1"/>
  <c r="E92" i="4" s="1"/>
  <c r="E93" i="4" s="1"/>
  <c r="E94" i="5" s="1"/>
  <c r="C71" i="4"/>
  <c r="C72" i="4" s="1"/>
  <c r="G100" i="4"/>
  <c r="G101" i="4" s="1"/>
  <c r="G102" i="4" s="1"/>
  <c r="G103" i="4" s="1"/>
  <c r="G104" i="5" s="1"/>
  <c r="Q110" i="4"/>
  <c r="Q111" i="4" s="1"/>
  <c r="Q112" i="4" s="1"/>
  <c r="Q113" i="4" s="1"/>
  <c r="Q114" i="5" s="1"/>
  <c r="M110" i="4"/>
  <c r="M111" i="4" s="1"/>
  <c r="M112" i="4" s="1"/>
  <c r="M113" i="4" s="1"/>
  <c r="M114" i="5" s="1"/>
  <c r="K100" i="4"/>
  <c r="K101" i="4" s="1"/>
  <c r="K102" i="4" s="1"/>
  <c r="K103" i="4" s="1"/>
  <c r="K104" i="5" s="1"/>
  <c r="C90" i="4"/>
  <c r="C91" i="4" s="1"/>
  <c r="C92" i="4" s="1"/>
  <c r="C93" i="4" s="1"/>
  <c r="C94" i="5" s="1"/>
  <c r="S110" i="4"/>
  <c r="S111" i="4" s="1"/>
  <c r="S112" i="4" s="1"/>
  <c r="S113" i="4" s="1"/>
  <c r="S114" i="5" s="1"/>
  <c r="Y100" i="4"/>
  <c r="Y101" i="4" s="1"/>
  <c r="Y102" i="4" s="1"/>
  <c r="Y103" i="4" s="1"/>
  <c r="Y104" i="5" s="1"/>
  <c r="C110" i="4"/>
  <c r="C111" i="4" s="1"/>
  <c r="C112" i="4" s="1"/>
  <c r="C113" i="4" s="1"/>
  <c r="C114" i="5" s="1"/>
  <c r="Q90" i="4"/>
  <c r="Q91" i="4" s="1"/>
  <c r="Q92" i="4" s="1"/>
  <c r="Q93" i="4" s="1"/>
  <c r="Q94" i="5" s="1"/>
  <c r="C65" i="3"/>
  <c r="C66" i="3" s="1"/>
  <c r="E89" i="3"/>
  <c r="E90" i="3" s="1"/>
  <c r="E91" i="3" s="1"/>
  <c r="E92" i="3" s="1"/>
  <c r="AA89" i="3"/>
  <c r="AA90" i="3" s="1"/>
  <c r="AA91" i="3" s="1"/>
  <c r="AA92" i="3" s="1"/>
  <c r="G99" i="3"/>
  <c r="G100" i="3" s="1"/>
  <c r="G101" i="3" s="1"/>
  <c r="G102" i="3" s="1"/>
  <c r="AE94" i="2"/>
  <c r="AA81" i="2"/>
  <c r="AA82" i="2" s="1"/>
  <c r="AA83" i="2" s="1"/>
  <c r="AA84" i="2" s="1"/>
  <c r="T124" i="2"/>
  <c r="S125" i="2" s="1"/>
  <c r="S126" i="2" s="1"/>
  <c r="S127" i="2" s="1"/>
  <c r="S128" i="2" s="1"/>
  <c r="S129" i="2" s="1"/>
  <c r="S130" i="2" s="1"/>
  <c r="W124" i="2"/>
  <c r="W125" i="2" s="1"/>
  <c r="W126" i="2" s="1"/>
  <c r="W127" i="2" s="1"/>
  <c r="W128" i="2" s="1"/>
  <c r="W129" i="2" s="1"/>
  <c r="W130" i="2" s="1"/>
  <c r="O105" i="2"/>
  <c r="O106" i="2" s="1"/>
  <c r="O107" i="2" s="1"/>
  <c r="O108" i="2" s="1"/>
  <c r="O109" i="2" s="1"/>
  <c r="O110" i="2" s="1"/>
  <c r="L114" i="2"/>
  <c r="L124" i="2"/>
  <c r="K125" i="2" s="1"/>
  <c r="K126" i="2" s="1"/>
  <c r="K127" i="2" s="1"/>
  <c r="K128" i="2" s="1"/>
  <c r="K129" i="2" s="1"/>
  <c r="K130" i="2" s="1"/>
  <c r="O124" i="2"/>
  <c r="O125" i="2" s="1"/>
  <c r="O126" i="2" s="1"/>
  <c r="O127" i="2" s="1"/>
  <c r="O128" i="2" s="1"/>
  <c r="O129" i="2" s="1"/>
  <c r="O130" i="2" s="1"/>
  <c r="I115" i="2"/>
  <c r="I116" i="2" s="1"/>
  <c r="I117" i="2" s="1"/>
  <c r="I118" i="2" s="1"/>
  <c r="I119" i="2" s="1"/>
  <c r="I120" i="2" s="1"/>
  <c r="C125" i="2"/>
  <c r="C126" i="2" s="1"/>
  <c r="C127" i="2" s="1"/>
  <c r="C128" i="2" s="1"/>
  <c r="C129" i="2" s="1"/>
  <c r="C130" i="2" s="1"/>
  <c r="F114" i="2"/>
  <c r="Q124" i="2"/>
  <c r="Q125" i="2" s="1"/>
  <c r="Q126" i="2" s="1"/>
  <c r="Q127" i="2" s="1"/>
  <c r="Q128" i="2" s="1"/>
  <c r="Q129" i="2" s="1"/>
  <c r="Q130" i="2" s="1"/>
  <c r="M124" i="2"/>
  <c r="M125" i="2" s="1"/>
  <c r="M126" i="2" s="1"/>
  <c r="M127" i="2" s="1"/>
  <c r="M128" i="2" s="1"/>
  <c r="M129" i="2" s="1"/>
  <c r="M130" i="2" s="1"/>
  <c r="AF94" i="2"/>
  <c r="AA86" i="2"/>
  <c r="AA87" i="2" s="1"/>
  <c r="AA88" i="2" s="1"/>
  <c r="AA89" i="2" s="1"/>
  <c r="J124" i="2"/>
  <c r="I125" i="2" s="1"/>
  <c r="I126" i="2" s="1"/>
  <c r="I127" i="2" s="1"/>
  <c r="I128" i="2" s="1"/>
  <c r="I129" i="2" s="1"/>
  <c r="I130" i="2" s="1"/>
  <c r="AE81" i="2"/>
  <c r="AE82" i="2" s="1"/>
  <c r="AE83" i="2" s="1"/>
  <c r="AE84" i="2" s="1"/>
  <c r="V124" i="2"/>
  <c r="U125" i="2" s="1"/>
  <c r="U126" i="2" s="1"/>
  <c r="U127" i="2" s="1"/>
  <c r="U128" i="2" s="1"/>
  <c r="U129" i="2" s="1"/>
  <c r="U130" i="2" s="1"/>
  <c r="AF114" i="2"/>
  <c r="S114" i="2"/>
  <c r="S115" i="2" s="1"/>
  <c r="S116" i="2" s="1"/>
  <c r="S117" i="2" s="1"/>
  <c r="S118" i="2" s="1"/>
  <c r="S119" i="2" s="1"/>
  <c r="S120" i="2" s="1"/>
  <c r="Q114" i="2"/>
  <c r="Q115" i="2" s="1"/>
  <c r="Q116" i="2" s="1"/>
  <c r="Q117" i="2" s="1"/>
  <c r="Q118" i="2" s="1"/>
  <c r="Q119" i="2" s="1"/>
  <c r="Q120" i="2" s="1"/>
  <c r="K115" i="2"/>
  <c r="K116" i="2" s="1"/>
  <c r="K117" i="2" s="1"/>
  <c r="K118" i="2" s="1"/>
  <c r="K119" i="2" s="1"/>
  <c r="K120" i="2" s="1"/>
  <c r="U114" i="2"/>
  <c r="U115" i="2" s="1"/>
  <c r="U116" i="2" s="1"/>
  <c r="U117" i="2" s="1"/>
  <c r="U118" i="2" s="1"/>
  <c r="U119" i="2" s="1"/>
  <c r="U120" i="2" s="1"/>
  <c r="W114" i="2"/>
  <c r="AE86" i="2"/>
  <c r="AE87" i="2" s="1"/>
  <c r="AE88" i="2" s="1"/>
  <c r="AE89" i="2" s="1"/>
  <c r="X114" i="2"/>
  <c r="X78" i="2"/>
  <c r="X79" i="2" s="1"/>
  <c r="X73" i="2"/>
  <c r="X74" i="2" s="1"/>
  <c r="I105" i="2"/>
  <c r="I106" i="2" s="1"/>
  <c r="E105" i="2"/>
  <c r="E106" i="2" s="1"/>
  <c r="E107" i="2" s="1"/>
  <c r="E108" i="2" s="1"/>
  <c r="E109" i="2" s="1"/>
  <c r="E110" i="2" s="1"/>
  <c r="AD73" i="2"/>
  <c r="AD74" i="2" s="1"/>
  <c r="P81" i="2"/>
  <c r="P82" i="2" s="1"/>
  <c r="P83" i="2" s="1"/>
  <c r="P84" i="2" s="1"/>
  <c r="H104" i="2"/>
  <c r="AE104" i="2"/>
  <c r="AE105" i="2" s="1"/>
  <c r="AE106" i="2" s="1"/>
  <c r="AE107" i="2" s="1"/>
  <c r="AE108" i="2" s="1"/>
  <c r="AE109" i="2" s="1"/>
  <c r="AE110" i="2" s="1"/>
  <c r="Q86" i="2"/>
  <c r="Q87" i="2" s="1"/>
  <c r="Q88" i="2" s="1"/>
  <c r="Q89" i="2" s="1"/>
  <c r="AD104" i="2"/>
  <c r="C114" i="2"/>
  <c r="C115" i="2" s="1"/>
  <c r="C116" i="2" s="1"/>
  <c r="C117" i="2" s="1"/>
  <c r="C118" i="2" s="1"/>
  <c r="C119" i="2" s="1"/>
  <c r="C120" i="2" s="1"/>
  <c r="N86" i="2"/>
  <c r="N87" i="2" s="1"/>
  <c r="N88" i="2" s="1"/>
  <c r="N89" i="2" s="1"/>
  <c r="U104" i="2"/>
  <c r="W104" i="2"/>
  <c r="W105" i="2" s="1"/>
  <c r="W106" i="2" s="1"/>
  <c r="W107" i="2" s="1"/>
  <c r="W108" i="2" s="1"/>
  <c r="W109" i="2" s="1"/>
  <c r="W110" i="2" s="1"/>
  <c r="F86" i="2"/>
  <c r="F87" i="2" s="1"/>
  <c r="F88" i="2" s="1"/>
  <c r="F89" i="2" s="1"/>
  <c r="L94" i="2"/>
  <c r="Q94" i="2"/>
  <c r="Q95" i="2" s="1"/>
  <c r="Q96" i="2" s="1"/>
  <c r="Q97" i="2" s="1"/>
  <c r="Q98" i="2" s="1"/>
  <c r="Q99" i="2" s="1"/>
  <c r="Q100" i="2" s="1"/>
  <c r="O86" i="2"/>
  <c r="O87" i="2" s="1"/>
  <c r="O88" i="2" s="1"/>
  <c r="O89" i="2" s="1"/>
  <c r="V104" i="2"/>
  <c r="Y104" i="2"/>
  <c r="D81" i="2"/>
  <c r="D82" i="2" s="1"/>
  <c r="D83" i="2" s="1"/>
  <c r="D84" i="2" s="1"/>
  <c r="I94" i="2"/>
  <c r="T86" i="2"/>
  <c r="T87" i="2" s="1"/>
  <c r="T88" i="2" s="1"/>
  <c r="T89" i="2" s="1"/>
  <c r="AA71" i="2"/>
  <c r="AA72" i="2" s="1"/>
  <c r="AA78" i="2" s="1"/>
  <c r="AA79" i="2" s="1"/>
  <c r="AA76" i="2"/>
  <c r="AA77" i="2" s="1"/>
  <c r="Y86" i="2"/>
  <c r="Y87" i="2" s="1"/>
  <c r="Y88" i="2" s="1"/>
  <c r="Y89" i="2" s="1"/>
  <c r="S95" i="2"/>
  <c r="S96" i="2" s="1"/>
  <c r="S97" i="2" s="1"/>
  <c r="S98" i="2" s="1"/>
  <c r="S99" i="2" s="1"/>
  <c r="S100" i="2" s="1"/>
  <c r="AB76" i="2"/>
  <c r="AB77" i="2" s="1"/>
  <c r="AB71" i="2"/>
  <c r="AB72" i="2" s="1"/>
  <c r="AB78" i="2" s="1"/>
  <c r="AB79" i="2" s="1"/>
  <c r="Q81" i="2"/>
  <c r="Q82" i="2" s="1"/>
  <c r="Q83" i="2" s="1"/>
  <c r="Q84" i="2" s="1"/>
  <c r="N104" i="2"/>
  <c r="M105" i="2" s="1"/>
  <c r="M106" i="2" s="1"/>
  <c r="M107" i="2" s="1"/>
  <c r="M108" i="2" s="1"/>
  <c r="M109" i="2" s="1"/>
  <c r="M110" i="2" s="1"/>
  <c r="E114" i="2"/>
  <c r="J81" i="2"/>
  <c r="J82" i="2" s="1"/>
  <c r="J83" i="2" s="1"/>
  <c r="J84" i="2" s="1"/>
  <c r="C104" i="2"/>
  <c r="J94" i="2"/>
  <c r="AC94" i="2"/>
  <c r="O81" i="2"/>
  <c r="O82" i="2" s="1"/>
  <c r="O83" i="2" s="1"/>
  <c r="O84" i="2" s="1"/>
  <c r="D104" i="2"/>
  <c r="AA104" i="2"/>
  <c r="AA105" i="2" s="1"/>
  <c r="AA106" i="2" s="1"/>
  <c r="AA107" i="2" s="1"/>
  <c r="AA108" i="2" s="1"/>
  <c r="AA109" i="2" s="1"/>
  <c r="AA110" i="2" s="1"/>
  <c r="D86" i="2"/>
  <c r="D87" i="2" s="1"/>
  <c r="D88" i="2" s="1"/>
  <c r="D89" i="2" s="1"/>
  <c r="D94" i="2"/>
  <c r="C95" i="2" s="1"/>
  <c r="C96" i="2" s="1"/>
  <c r="C97" i="2" s="1"/>
  <c r="C98" i="2" s="1"/>
  <c r="C99" i="2" s="1"/>
  <c r="C100" i="2" s="1"/>
  <c r="G94" i="2"/>
  <c r="Z73" i="2"/>
  <c r="Z74" i="2" s="1"/>
  <c r="V78" i="2"/>
  <c r="V79" i="2" s="1"/>
  <c r="I81" i="2"/>
  <c r="I82" i="2" s="1"/>
  <c r="I83" i="2" s="1"/>
  <c r="I84" i="2" s="1"/>
  <c r="Y94" i="2"/>
  <c r="M86" i="2"/>
  <c r="M87" i="2" s="1"/>
  <c r="M88" i="2" s="1"/>
  <c r="M89" i="2" s="1"/>
  <c r="X94" i="2"/>
  <c r="W95" i="2" s="1"/>
  <c r="W96" i="2" s="1"/>
  <c r="W97" i="2" s="1"/>
  <c r="W98" i="2" s="1"/>
  <c r="W99" i="2" s="1"/>
  <c r="W100" i="2" s="1"/>
  <c r="Q104" i="2"/>
  <c r="Q105" i="2" s="1"/>
  <c r="Q106" i="2" s="1"/>
  <c r="Q107" i="2" s="1"/>
  <c r="Q108" i="2" s="1"/>
  <c r="Q109" i="2" s="1"/>
  <c r="Q110" i="2" s="1"/>
  <c r="F81" i="2"/>
  <c r="F82" i="2" s="1"/>
  <c r="F83" i="2" s="1"/>
  <c r="F84" i="2" s="1"/>
  <c r="O94" i="2"/>
  <c r="O95" i="2" s="1"/>
  <c r="O96" i="2" s="1"/>
  <c r="O97" i="2" s="1"/>
  <c r="O98" i="2" s="1"/>
  <c r="O99" i="2" s="1"/>
  <c r="O100" i="2" s="1"/>
  <c r="T104" i="2"/>
  <c r="T81" i="2"/>
  <c r="T82" i="2" s="1"/>
  <c r="T83" i="2" s="1"/>
  <c r="T84" i="2" s="1"/>
  <c r="Y81" i="2"/>
  <c r="Y82" i="2" s="1"/>
  <c r="Y83" i="2" s="1"/>
  <c r="Y84" i="2" s="1"/>
  <c r="AE71" i="2"/>
  <c r="AE72" i="2" s="1"/>
  <c r="AE76" i="2"/>
  <c r="AE77" i="2" s="1"/>
  <c r="K81" i="2"/>
  <c r="K82" i="2" s="1"/>
  <c r="K83" i="2" s="1"/>
  <c r="K84" i="2" s="1"/>
  <c r="G104" i="2"/>
  <c r="N94" i="2"/>
  <c r="P86" i="2"/>
  <c r="P87" i="2" s="1"/>
  <c r="P88" i="2" s="1"/>
  <c r="P89" i="2" s="1"/>
  <c r="Z104" i="2"/>
  <c r="AC104" i="2"/>
  <c r="E86" i="2"/>
  <c r="E87" i="2" s="1"/>
  <c r="E88" i="2" s="1"/>
  <c r="E89" i="2" s="1"/>
  <c r="H94" i="2"/>
  <c r="K94" i="2"/>
  <c r="AB94" i="2"/>
  <c r="AD94" i="2"/>
  <c r="S104" i="2"/>
  <c r="I86" i="2"/>
  <c r="I87" i="2" s="1"/>
  <c r="I88" i="2" s="1"/>
  <c r="I89" i="2" s="1"/>
  <c r="AA94" i="2"/>
  <c r="F94" i="2"/>
  <c r="E81" i="2"/>
  <c r="E82" i="2" s="1"/>
  <c r="E83" i="2" s="1"/>
  <c r="E84" i="2" s="1"/>
  <c r="M94" i="2"/>
  <c r="J86" i="2"/>
  <c r="J87" i="2" s="1"/>
  <c r="J88" i="2" s="1"/>
  <c r="J89" i="2" s="1"/>
  <c r="Z94" i="2"/>
  <c r="M81" i="2"/>
  <c r="M82" i="2" s="1"/>
  <c r="M83" i="2" s="1"/>
  <c r="M84" i="2" s="1"/>
  <c r="L104" i="2"/>
  <c r="K105" i="2" s="1"/>
  <c r="K106" i="2" s="1"/>
  <c r="K107" i="2" s="1"/>
  <c r="K108" i="2" s="1"/>
  <c r="K109" i="2" s="1"/>
  <c r="K110" i="2" s="1"/>
  <c r="T76" i="2"/>
  <c r="T77" i="2" s="1"/>
  <c r="T71" i="2"/>
  <c r="T72" i="2" s="1"/>
  <c r="T78" i="2" s="1"/>
  <c r="T79" i="2" s="1"/>
  <c r="S73" i="2"/>
  <c r="S74" i="2" s="1"/>
  <c r="Y71" i="2"/>
  <c r="Y72" i="2" s="1"/>
  <c r="Y78" i="2" s="1"/>
  <c r="Y79" i="2" s="1"/>
  <c r="Y76" i="2"/>
  <c r="Y77" i="2" s="1"/>
  <c r="I76" i="2"/>
  <c r="I77" i="2" s="1"/>
  <c r="L73" i="2"/>
  <c r="L74" i="2" s="1"/>
  <c r="G73" i="2"/>
  <c r="G74" i="2" s="1"/>
  <c r="Q71" i="2"/>
  <c r="Q72" i="2" s="1"/>
  <c r="Q73" i="2" s="1"/>
  <c r="Q74" i="2" s="1"/>
  <c r="Q76" i="2"/>
  <c r="Q77" i="2" s="1"/>
  <c r="I73" i="2"/>
  <c r="I74" i="2" s="1"/>
  <c r="I78" i="2"/>
  <c r="I79" i="2" s="1"/>
  <c r="J71" i="2"/>
  <c r="J72" i="2" s="1"/>
  <c r="J73" i="2" s="1"/>
  <c r="J74" i="2" s="1"/>
  <c r="J76" i="2"/>
  <c r="J77" i="2" s="1"/>
  <c r="E76" i="2"/>
  <c r="E77" i="2" s="1"/>
  <c r="E71" i="2"/>
  <c r="E72" i="2" s="1"/>
  <c r="N81" i="2"/>
  <c r="N82" i="2" s="1"/>
  <c r="N83" i="2" s="1"/>
  <c r="N84" i="2" s="1"/>
  <c r="H81" i="2"/>
  <c r="H82" i="2" s="1"/>
  <c r="H83" i="2" s="1"/>
  <c r="H84" i="2" s="1"/>
  <c r="F76" i="2"/>
  <c r="F77" i="2" s="1"/>
  <c r="F71" i="2"/>
  <c r="F72" i="2" s="1"/>
  <c r="F73" i="2" s="1"/>
  <c r="F74" i="2" s="1"/>
  <c r="K86" i="2"/>
  <c r="K87" i="2" s="1"/>
  <c r="K88" i="2" s="1"/>
  <c r="K89" i="2" s="1"/>
  <c r="O76" i="2"/>
  <c r="O77" i="2" s="1"/>
  <c r="O71" i="2"/>
  <c r="O72" i="2" s="1"/>
  <c r="O78" i="2" s="1"/>
  <c r="O79" i="2" s="1"/>
  <c r="D78" i="2"/>
  <c r="D79" i="2" s="1"/>
  <c r="K76" i="2"/>
  <c r="K77" i="2" s="1"/>
  <c r="K71" i="2"/>
  <c r="K72" i="2" s="1"/>
  <c r="K73" i="2" s="1"/>
  <c r="K74" i="2" s="1"/>
  <c r="P71" i="2"/>
  <c r="P72" i="2" s="1"/>
  <c r="P78" i="2" s="1"/>
  <c r="P79" i="2" s="1"/>
  <c r="P76" i="2"/>
  <c r="P77" i="2" s="1"/>
  <c r="N71" i="2"/>
  <c r="N72" i="2" s="1"/>
  <c r="N76" i="2"/>
  <c r="N77" i="2" s="1"/>
  <c r="H71" i="2"/>
  <c r="H72" i="2" s="1"/>
  <c r="H78" i="2" s="1"/>
  <c r="H79" i="2" s="1"/>
  <c r="H76" i="2"/>
  <c r="H77" i="2" s="1"/>
  <c r="R73" i="2"/>
  <c r="R74" i="2" s="1"/>
  <c r="H86" i="2"/>
  <c r="H87" i="2" s="1"/>
  <c r="H88" i="2" s="1"/>
  <c r="H89" i="2" s="1"/>
  <c r="M71" i="2"/>
  <c r="M72" i="2" s="1"/>
  <c r="M78" i="2" s="1"/>
  <c r="M79" i="2" s="1"/>
  <c r="M76" i="2"/>
  <c r="M77" i="2" s="1"/>
  <c r="D83" i="6" l="1"/>
  <c r="E83" i="6"/>
  <c r="D83" i="5"/>
  <c r="M83" i="6"/>
  <c r="E83" i="5"/>
  <c r="H83" i="7"/>
  <c r="F83" i="7"/>
  <c r="M83" i="5"/>
  <c r="H83" i="5"/>
  <c r="C83" i="5"/>
  <c r="E95" i="2"/>
  <c r="E96" i="2" s="1"/>
  <c r="E97" i="2" s="1"/>
  <c r="E98" i="2" s="1"/>
  <c r="E99" i="2" s="1"/>
  <c r="E100" i="2" s="1"/>
  <c r="E78" i="2"/>
  <c r="E79" i="2" s="1"/>
  <c r="K104" i="6"/>
  <c r="C114" i="7"/>
  <c r="S114" i="6"/>
  <c r="G104" i="7"/>
  <c r="M114" i="6"/>
  <c r="K104" i="7"/>
  <c r="Q114" i="7"/>
  <c r="Y104" i="7"/>
  <c r="Q114" i="6"/>
  <c r="E94" i="7"/>
  <c r="C94" i="7"/>
  <c r="Q94" i="6"/>
  <c r="G104" i="6"/>
  <c r="C114" i="6"/>
  <c r="M114" i="7"/>
  <c r="E94" i="6"/>
  <c r="S114" i="7"/>
  <c r="Q94" i="7"/>
  <c r="Y104" i="6"/>
  <c r="G66" i="7"/>
  <c r="G67" i="7" s="1"/>
  <c r="G71" i="7"/>
  <c r="G72" i="7" s="1"/>
  <c r="G83" i="7" s="1"/>
  <c r="W83" i="7"/>
  <c r="C90" i="6"/>
  <c r="C91" i="6" s="1"/>
  <c r="C92" i="6" s="1"/>
  <c r="C93" i="6" s="1"/>
  <c r="C94" i="6" s="1"/>
  <c r="W100" i="6"/>
  <c r="W101" i="6" s="1"/>
  <c r="W102" i="6" s="1"/>
  <c r="W103" i="6" s="1"/>
  <c r="W104" i="6" s="1"/>
  <c r="AE95" i="2"/>
  <c r="AE96" i="2" s="1"/>
  <c r="AE97" i="2" s="1"/>
  <c r="AE98" i="2" s="1"/>
  <c r="AE99" i="2" s="1"/>
  <c r="AE100" i="2" s="1"/>
  <c r="AE115" i="2"/>
  <c r="AE116" i="2" s="1"/>
  <c r="AE117" i="2" s="1"/>
  <c r="AE118" i="2" s="1"/>
  <c r="AE119" i="2" s="1"/>
  <c r="AE120" i="2" s="1"/>
  <c r="E115" i="2"/>
  <c r="E116" i="2" s="1"/>
  <c r="E117" i="2" s="1"/>
  <c r="E118" i="2" s="1"/>
  <c r="E119" i="2" s="1"/>
  <c r="E120" i="2" s="1"/>
  <c r="S105" i="2"/>
  <c r="S106" i="2" s="1"/>
  <c r="S107" i="2" s="1"/>
  <c r="S108" i="2" s="1"/>
  <c r="S109" i="2" s="1"/>
  <c r="S110" i="2" s="1"/>
  <c r="AC105" i="2"/>
  <c r="AC106" i="2" s="1"/>
  <c r="AC107" i="2" s="1"/>
  <c r="AC108" i="2" s="1"/>
  <c r="AC109" i="2" s="1"/>
  <c r="AC110" i="2" s="1"/>
  <c r="AB73" i="2"/>
  <c r="AB74" i="2" s="1"/>
  <c r="G105" i="2"/>
  <c r="G106" i="2" s="1"/>
  <c r="G107" i="2" s="1"/>
  <c r="G108" i="2" s="1"/>
  <c r="G109" i="2" s="1"/>
  <c r="G110" i="2" s="1"/>
  <c r="W115" i="2"/>
  <c r="W116" i="2" s="1"/>
  <c r="W117" i="2" s="1"/>
  <c r="W118" i="2" s="1"/>
  <c r="W119" i="2" s="1"/>
  <c r="W120" i="2" s="1"/>
  <c r="H73" i="2"/>
  <c r="H74" i="2" s="1"/>
  <c r="M95" i="2"/>
  <c r="M96" i="2" s="1"/>
  <c r="M97" i="2" s="1"/>
  <c r="M98" i="2" s="1"/>
  <c r="M99" i="2" s="1"/>
  <c r="M100" i="2" s="1"/>
  <c r="AA95" i="2"/>
  <c r="AA96" i="2" s="1"/>
  <c r="AA97" i="2" s="1"/>
  <c r="AA98" i="2" s="1"/>
  <c r="AA99" i="2" s="1"/>
  <c r="AA100" i="2" s="1"/>
  <c r="I107" i="2"/>
  <c r="I108" i="2" s="1"/>
  <c r="I109" i="2" s="1"/>
  <c r="I110" i="2" s="1"/>
  <c r="P73" i="2"/>
  <c r="P74" i="2" s="1"/>
  <c r="G95" i="2"/>
  <c r="G96" i="2" s="1"/>
  <c r="G97" i="2" s="1"/>
  <c r="G98" i="2" s="1"/>
  <c r="G99" i="2" s="1"/>
  <c r="G100" i="2" s="1"/>
  <c r="U105" i="2"/>
  <c r="U106" i="2" s="1"/>
  <c r="U107" i="2" s="1"/>
  <c r="U108" i="2" s="1"/>
  <c r="U109" i="2" s="1"/>
  <c r="U110" i="2" s="1"/>
  <c r="J78" i="2"/>
  <c r="J79" i="2" s="1"/>
  <c r="O73" i="2"/>
  <c r="O74" i="2" s="1"/>
  <c r="Y105" i="2"/>
  <c r="Y106" i="2" s="1"/>
  <c r="Y107" i="2" s="1"/>
  <c r="Y108" i="2" s="1"/>
  <c r="Y109" i="2" s="1"/>
  <c r="Y110" i="2" s="1"/>
  <c r="C105" i="2"/>
  <c r="C106" i="2" s="1"/>
  <c r="C107" i="2" s="1"/>
  <c r="C108" i="2" s="1"/>
  <c r="C109" i="2" s="1"/>
  <c r="C110" i="2" s="1"/>
  <c r="F78" i="2"/>
  <c r="F79" i="2" s="1"/>
  <c r="Y73" i="2"/>
  <c r="Y74" i="2" s="1"/>
  <c r="T73" i="2"/>
  <c r="T74" i="2" s="1"/>
  <c r="K95" i="2"/>
  <c r="K96" i="2" s="1"/>
  <c r="K97" i="2" s="1"/>
  <c r="K98" i="2" s="1"/>
  <c r="K99" i="2" s="1"/>
  <c r="K100" i="2" s="1"/>
  <c r="AA73" i="2"/>
  <c r="AA74" i="2" s="1"/>
  <c r="AC95" i="2"/>
  <c r="AC96" i="2" s="1"/>
  <c r="AC97" i="2" s="1"/>
  <c r="AC98" i="2" s="1"/>
  <c r="AC99" i="2" s="1"/>
  <c r="AC100" i="2" s="1"/>
  <c r="I95" i="2"/>
  <c r="I96" i="2" s="1"/>
  <c r="I97" i="2" s="1"/>
  <c r="I98" i="2" s="1"/>
  <c r="I99" i="2" s="1"/>
  <c r="I100" i="2" s="1"/>
  <c r="AE78" i="2"/>
  <c r="AE79" i="2" s="1"/>
  <c r="AE73" i="2"/>
  <c r="AE74" i="2" s="1"/>
  <c r="Y95" i="2"/>
  <c r="Y96" i="2" s="1"/>
  <c r="Y97" i="2" s="1"/>
  <c r="Y98" i="2" s="1"/>
  <c r="Y99" i="2" s="1"/>
  <c r="Y100" i="2" s="1"/>
  <c r="K78" i="2"/>
  <c r="K79" i="2" s="1"/>
  <c r="E73" i="2"/>
  <c r="E74" i="2" s="1"/>
  <c r="Q78" i="2"/>
  <c r="Q79" i="2" s="1"/>
  <c r="N73" i="2"/>
  <c r="N74" i="2" s="1"/>
  <c r="N78" i="2"/>
  <c r="N79" i="2" s="1"/>
  <c r="M73" i="2"/>
  <c r="M7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0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5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0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5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2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7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2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7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63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68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73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78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4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9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4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9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2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7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2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7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<sst xmlns="http://schemas.openxmlformats.org/spreadsheetml/2006/main" count="3104" uniqueCount="311">
  <si>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</si>
  <si>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</si>
  <si>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</si>
  <si>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</si>
  <si>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</si>
  <si>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</si>
  <si>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</si>
  <si>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</si>
  <si>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</si>
  <si>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</si>
  <si>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</si>
  <si>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</si>
  <si>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</si>
  <si>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</si>
  <si>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</si>
  <si>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</si>
  <si>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</si>
  <si>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</si>
  <si>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</si>
  <si>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</si>
  <si>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</si>
  <si>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</si>
  <si>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</si>
  <si>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</si>
  <si>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</si>
  <si>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</si>
  <si>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</si>
  <si>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</si>
  <si>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</si>
  <si>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</si>
  <si>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</si>
  <si>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</si>
  <si>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</si>
  <si>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</si>
  <si>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</si>
  <si>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</si>
  <si>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</si>
  <si>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</si>
  <si>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</si>
  <si>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</si>
  <si>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</si>
  <si>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</si>
  <si>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</si>
  <si>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</si>
  <si>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</si>
  <si>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</si>
  <si>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</si>
  <si>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</si>
  <si>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</si>
  <si>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</si>
  <si>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</si>
  <si>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</si>
  <si>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</si>
  <si>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</si>
  <si>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</si>
  <si>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</si>
  <si>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</si>
  <si>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</si>
  <si>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</si>
  <si>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</si>
  <si>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</si>
  <si>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</si>
  <si>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</si>
  <si>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</si>
  <si>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</si>
  <si>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</si>
  <si>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</si>
  <si>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</si>
  <si>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</si>
  <si>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</si>
  <si>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</si>
  <si>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</si>
  <si>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</si>
  <si>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</si>
  <si>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</si>
  <si>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</si>
  <si>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</si>
  <si>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</si>
  <si>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</si>
  <si>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</si>
  <si>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</si>
  <si>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</si>
  <si>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</si>
  <si>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</si>
  <si>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</si>
  <si>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</si>
  <si>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</si>
  <si>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</si>
  <si>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</si>
  <si>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</si>
  <si>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</si>
  <si>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</si>
  <si>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</si>
  <si>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</si>
  <si>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</si>
  <si>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</si>
  <si>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</si>
  <si>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</si>
  <si>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</si>
  <si>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</si>
  <si>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</si>
  <si>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</si>
  <si>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</si>
  <si>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</si>
  <si>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</si>
  <si>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</si>
  <si>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</si>
  <si>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</si>
  <si>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</si>
  <si>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</si>
  <si>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</si>
  <si>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</si>
  <si>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</si>
  <si>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</si>
  <si>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</si>
  <si>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</si>
  <si>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</si>
  <si>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</si>
  <si>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</si>
  <si>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</si>
  <si>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</si>
  <si>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</si>
  <si>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</si>
  <si>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</si>
  <si>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</si>
  <si>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</si>
  <si>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</si>
  <si>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</si>
  <si>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</si>
  <si>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</si>
  <si>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</si>
  <si>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</si>
  <si>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</si>
  <si>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</si>
  <si>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</si>
  <si>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</si>
  <si>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</si>
  <si>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</si>
  <si>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</si>
  <si>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</si>
  <si>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</si>
  <si>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</si>
  <si>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</si>
  <si>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</si>
  <si>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</si>
  <si>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</si>
  <si>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</si>
  <si>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</si>
  <si>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</si>
  <si>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</si>
  <si>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</si>
  <si>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</si>
  <si>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</si>
  <si>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</si>
  <si>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</si>
  <si>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</si>
  <si>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</si>
  <si>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</si>
  <si>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</si>
  <si>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</si>
  <si>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</si>
  <si>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</si>
  <si>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</si>
  <si>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</si>
  <si>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</si>
  <si>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</si>
  <si>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</si>
  <si>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</si>
  <si>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</si>
  <si>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</si>
  <si>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</si>
  <si>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</si>
  <si>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</si>
  <si>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</si>
  <si>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</si>
  <si>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</si>
  <si>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</si>
  <si>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</si>
  <si>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</si>
  <si>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</si>
  <si>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</si>
  <si>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</si>
  <si>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</si>
  <si>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</si>
  <si>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</si>
  <si>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</si>
  <si>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</si>
  <si>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</si>
  <si>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</si>
  <si>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</si>
  <si>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</si>
  <si>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</si>
  <si>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</si>
  <si>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</si>
  <si>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</si>
  <si>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</si>
  <si>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</si>
  <si>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</si>
  <si>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</si>
  <si>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</si>
  <si>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</si>
  <si>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</si>
  <si>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</si>
  <si>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</si>
  <si>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</si>
  <si>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</si>
  <si>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</si>
  <si>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</si>
  <si>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</si>
  <si>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</si>
  <si>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</si>
  <si>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</si>
  <si>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</si>
  <si>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</si>
  <si>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</si>
  <si>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</si>
  <si>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</si>
  <si>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</si>
  <si>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</si>
  <si>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</si>
  <si>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</si>
  <si>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</si>
  <si>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</si>
  <si>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</si>
  <si>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</si>
  <si>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</si>
  <si>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</si>
  <si>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</si>
  <si>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</si>
  <si>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</si>
  <si>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</si>
  <si>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</si>
  <si>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</si>
  <si>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</si>
  <si>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</si>
  <si>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</si>
  <si>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</si>
  <si>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</si>
  <si>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</si>
  <si>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</si>
  <si>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</si>
  <si>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</si>
  <si>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</si>
  <si>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</si>
  <si>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</si>
  <si>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</si>
  <si>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</si>
  <si>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φ8@16</t>
  </si>
  <si>
    <t>φ8@10</t>
  </si>
  <si>
    <t>φ10@24</t>
  </si>
  <si>
    <t>φ10@23</t>
  </si>
  <si>
    <t>φ16@19</t>
  </si>
  <si>
    <t>φ10@25</t>
  </si>
  <si>
    <t>$F'_{s}$</t>
  </si>
  <si>
    <t>$F'_{i}$</t>
  </si>
  <si>
    <t>φ10@20</t>
  </si>
  <si>
    <t>φ10@15</t>
  </si>
  <si>
    <t>φ8@15</t>
  </si>
  <si>
    <t>φ10@18</t>
  </si>
  <si>
    <t>φ12@20</t>
  </si>
  <si>
    <t>φ12@16</t>
  </si>
  <si>
    <t>φ12@15</t>
  </si>
  <si>
    <t>φ8@13</t>
  </si>
  <si>
    <t>φ10@17</t>
  </si>
  <si>
    <t>φ10@21</t>
  </si>
  <si>
    <t>φ12@17</t>
  </si>
  <si>
    <t>φ16@13</t>
  </si>
  <si>
    <t>φ10@14</t>
  </si>
  <si>
    <t>φ12@18</t>
  </si>
  <si>
    <t>φ16@20</t>
  </si>
  <si>
    <t>φ8@14</t>
  </si>
  <si>
    <t>φ12@24</t>
  </si>
  <si>
    <t>φ12@14</t>
  </si>
  <si>
    <t>φ12@19</t>
  </si>
  <si>
    <t>φ10@19</t>
  </si>
  <si>
    <t>φ16@21</t>
  </si>
  <si>
    <t>φ10@11</t>
  </si>
  <si>
    <t>φ8@17</t>
  </si>
  <si>
    <t>φ12@21</t>
  </si>
  <si>
    <t>φ10@13</t>
  </si>
  <si>
    <t>φ8@11</t>
  </si>
  <si>
    <t>φ12@22</t>
  </si>
  <si>
    <t>φ8@12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</si>
  <si>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</si>
  <si>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</si>
  <si>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</si>
  <si>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</si>
  <si>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</si>
  <si>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</si>
  <si>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</si>
  <si>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</si>
  <si>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</si>
  <si>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</si>
  <si>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</si>
  <si>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</si>
  <si>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</si>
  <si>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</si>
  <si>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</si>
  <si>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</si>
  <si>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</si>
  <si>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</si>
  <si>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</si>
  <si>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</si>
  <si>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</si>
  <si>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</si>
  <si>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</si>
  <si>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</si>
  <si>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T</t>
  </si>
  <si>
    <t>Losa del nivel 23</t>
  </si>
  <si>
    <t>Losa del nivel 24</t>
  </si>
  <si>
    <t>Losa de Cubierta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</si>
</sst>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10" xfId="0" applyFont="1" applyFill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X92"/>
  <sheetViews>
    <sheetView showGridLines="0" zoomScale="70" zoomScaleNormal="70" workbookViewId="0"/>
  </sheetViews>
  <sheetFormatPr baseColWidth="10" defaultColWidth="11.44140625" defaultRowHeight="14.4" x14ac:dyDescent="0.3"/>
  <cols>
    <col min="1" max="1" width="2.88671875" style="1" customWidth="1"/>
    <col min="2" max="2" width="7.109375" style="1" hidden="1" customWidth="1"/>
    <col min="3" max="3" width="11.44140625" style="1"/>
    <col min="4" max="6" width="11.44140625" style="13"/>
    <col min="7" max="10" width="11.44140625" style="19"/>
    <col min="11" max="11" width="4.33203125" style="19" customWidth="1"/>
    <col min="12" max="12" width="9.5546875" style="1" hidden="1" customWidth="1"/>
    <col min="13" max="13" width="6.33203125" style="1" bestFit="1" customWidth="1"/>
    <col min="14" max="14" width="4" style="19" bestFit="1" customWidth="1"/>
    <col min="15" max="15" width="5.6640625" style="13" customWidth="1"/>
    <col min="16" max="16" width="2.88671875" style="1" customWidth="1"/>
    <col min="17" max="17" width="11.33203125" style="13" hidden="1" customWidth="1"/>
    <col min="18" max="18" width="14.33203125" style="13" customWidth="1"/>
    <col min="19" max="20" width="14.33203125" style="1" customWidth="1"/>
    <col min="21" max="21" width="11.5546875"/>
    <col min="22" max="23" width="11.44140625" style="1"/>
    <col min="24" max="24" width="11.88671875" style="1" bestFit="1" customWidth="1"/>
    <col min="25" max="16384" width="11.44140625" style="1"/>
  </cols>
  <sheetData>
    <row r="1" spans="2:24" ht="15" thickBot="1" x14ac:dyDescent="0.35"/>
    <row r="2" spans="2:24" ht="15" thickBot="1" x14ac:dyDescent="0.35">
      <c r="C2" s="29" t="s">
        <v>0</v>
      </c>
      <c r="D2" s="32" t="s">
        <v>1</v>
      </c>
      <c r="E2" s="32" t="s">
        <v>2</v>
      </c>
      <c r="F2" s="32" t="s">
        <v>3</v>
      </c>
      <c r="G2" s="30" t="s">
        <v>4</v>
      </c>
      <c r="H2" s="30" t="s">
        <v>5</v>
      </c>
      <c r="I2" s="30" t="s">
        <v>6</v>
      </c>
      <c r="J2" s="33" t="s">
        <v>7</v>
      </c>
      <c r="K2" s="42"/>
      <c r="M2" s="29" t="s">
        <v>0</v>
      </c>
      <c r="N2" s="30" t="s">
        <v>1</v>
      </c>
      <c r="O2" s="31" t="s">
        <v>11</v>
      </c>
      <c r="Q2" s="58"/>
      <c r="R2" s="53" t="s">
        <v>15</v>
      </c>
      <c r="S2" s="54" t="s">
        <v>16</v>
      </c>
      <c r="T2" s="55" t="s">
        <v>17</v>
      </c>
    </row>
    <row r="3" spans="2:24" x14ac:dyDescent="0.3">
      <c r="B3" s="1" t="str">
        <f>C3&amp;D3</f>
        <v>11</v>
      </c>
      <c r="C3" s="2">
        <v>1</v>
      </c>
      <c r="D3" s="14">
        <v>1</v>
      </c>
      <c r="E3" s="14">
        <v>1</v>
      </c>
      <c r="F3" s="14">
        <v>1</v>
      </c>
      <c r="G3" s="20">
        <v>27.2</v>
      </c>
      <c r="H3" s="20">
        <v>27.2</v>
      </c>
      <c r="I3" s="20">
        <v>0</v>
      </c>
      <c r="J3" s="21">
        <v>0</v>
      </c>
      <c r="K3" s="22"/>
      <c r="L3" s="1" t="str">
        <f t="shared" ref="L3:L14" si="0">M3&amp;N3</f>
        <v>11</v>
      </c>
      <c r="M3" s="2">
        <v>1</v>
      </c>
      <c r="N3" s="20">
        <v>1</v>
      </c>
      <c r="O3" s="26">
        <v>1</v>
      </c>
      <c r="Q3" s="6" t="str">
        <f t="shared" ref="Q3:Q34" si="1">S3&amp;T3</f>
        <v>825</v>
      </c>
      <c r="R3" s="2">
        <v>2.0099999999999998</v>
      </c>
      <c r="S3" s="3">
        <v>8</v>
      </c>
      <c r="T3" s="4">
        <v>25</v>
      </c>
      <c r="V3" s="6"/>
    </row>
    <row r="4" spans="2:24" x14ac:dyDescent="0.3">
      <c r="B4" s="1" t="str">
        <f t="shared" ref="B4:B67" si="2">C4&amp;D4</f>
        <v>11,05</v>
      </c>
      <c r="C4" s="5">
        <v>1</v>
      </c>
      <c r="D4" s="15">
        <v>1.05</v>
      </c>
      <c r="E4" s="15">
        <v>1</v>
      </c>
      <c r="F4" s="15">
        <v>1</v>
      </c>
      <c r="G4" s="22">
        <v>25.8</v>
      </c>
      <c r="H4" s="22">
        <v>28.9</v>
      </c>
      <c r="I4" s="22">
        <v>0</v>
      </c>
      <c r="J4" s="23">
        <v>0</v>
      </c>
      <c r="K4" s="22"/>
      <c r="L4" s="1" t="str">
        <f t="shared" si="0"/>
        <v>11,1</v>
      </c>
      <c r="M4" s="5">
        <v>1</v>
      </c>
      <c r="N4" s="22">
        <v>1.1000000000000001</v>
      </c>
      <c r="O4" s="27">
        <v>1</v>
      </c>
      <c r="Q4" s="6" t="str">
        <f t="shared" si="1"/>
        <v>824</v>
      </c>
      <c r="R4" s="5">
        <v>2.09</v>
      </c>
      <c r="S4" s="6">
        <v>8</v>
      </c>
      <c r="T4" s="7">
        <v>24</v>
      </c>
      <c r="V4" s="6"/>
      <c r="X4" s="13"/>
    </row>
    <row r="5" spans="2:24" x14ac:dyDescent="0.3">
      <c r="B5" s="1" t="str">
        <f t="shared" si="2"/>
        <v>11,1</v>
      </c>
      <c r="C5" s="5">
        <v>1</v>
      </c>
      <c r="D5" s="15">
        <v>1.1000000000000001</v>
      </c>
      <c r="E5" s="15">
        <v>1</v>
      </c>
      <c r="F5" s="15">
        <v>1</v>
      </c>
      <c r="G5" s="22">
        <v>24.6</v>
      </c>
      <c r="H5" s="22">
        <v>30.7</v>
      </c>
      <c r="I5" s="22">
        <v>0</v>
      </c>
      <c r="J5" s="23">
        <v>0</v>
      </c>
      <c r="K5" s="22"/>
      <c r="L5" s="1" t="str">
        <f t="shared" si="0"/>
        <v>11,2</v>
      </c>
      <c r="M5" s="5">
        <v>1</v>
      </c>
      <c r="N5" s="22">
        <v>1.2</v>
      </c>
      <c r="O5" s="27">
        <v>1</v>
      </c>
      <c r="Q5" s="6" t="str">
        <f t="shared" si="1"/>
        <v>823</v>
      </c>
      <c r="R5" s="5">
        <v>2.19</v>
      </c>
      <c r="S5" s="6">
        <v>8</v>
      </c>
      <c r="T5" s="7">
        <v>23</v>
      </c>
      <c r="V5" s="6"/>
    </row>
    <row r="6" spans="2:24" x14ac:dyDescent="0.3">
      <c r="B6" s="1" t="str">
        <f t="shared" si="2"/>
        <v>11,15</v>
      </c>
      <c r="C6" s="5">
        <v>1</v>
      </c>
      <c r="D6" s="15">
        <v>1.1499999999999999</v>
      </c>
      <c r="E6" s="15">
        <v>1</v>
      </c>
      <c r="F6" s="15">
        <v>1</v>
      </c>
      <c r="G6" s="22">
        <v>23.7</v>
      </c>
      <c r="H6" s="22">
        <v>32.700000000000003</v>
      </c>
      <c r="I6" s="22">
        <v>0</v>
      </c>
      <c r="J6" s="23">
        <v>0</v>
      </c>
      <c r="K6" s="22"/>
      <c r="L6" s="1" t="str">
        <f t="shared" si="0"/>
        <v>11,3</v>
      </c>
      <c r="M6" s="5">
        <v>1</v>
      </c>
      <c r="N6" s="22">
        <v>1.3</v>
      </c>
      <c r="O6" s="27">
        <v>1</v>
      </c>
      <c r="Q6" s="6" t="str">
        <f t="shared" si="1"/>
        <v>822</v>
      </c>
      <c r="R6" s="5">
        <v>2.2799999999999998</v>
      </c>
      <c r="S6" s="6">
        <v>8</v>
      </c>
      <c r="T6" s="7">
        <v>22</v>
      </c>
      <c r="V6" s="6"/>
    </row>
    <row r="7" spans="2:24" x14ac:dyDescent="0.3">
      <c r="B7" s="1" t="str">
        <f t="shared" si="2"/>
        <v>11,2</v>
      </c>
      <c r="C7" s="5">
        <v>1</v>
      </c>
      <c r="D7" s="15">
        <v>1.2</v>
      </c>
      <c r="E7" s="15">
        <v>1</v>
      </c>
      <c r="F7" s="15">
        <v>1</v>
      </c>
      <c r="G7" s="22">
        <v>22.9</v>
      </c>
      <c r="H7" s="22">
        <v>34.9</v>
      </c>
      <c r="I7" s="22">
        <v>0</v>
      </c>
      <c r="J7" s="23">
        <v>0</v>
      </c>
      <c r="K7" s="22"/>
      <c r="L7" s="1" t="str">
        <f t="shared" si="0"/>
        <v>11,4</v>
      </c>
      <c r="M7" s="5">
        <v>1</v>
      </c>
      <c r="N7" s="22">
        <v>1.4</v>
      </c>
      <c r="O7" s="27">
        <v>1</v>
      </c>
      <c r="Q7" s="6" t="str">
        <f t="shared" si="1"/>
        <v>821</v>
      </c>
      <c r="R7" s="5">
        <v>2.39</v>
      </c>
      <c r="S7" s="6">
        <v>8</v>
      </c>
      <c r="T7" s="7">
        <v>21</v>
      </c>
      <c r="V7" s="6"/>
    </row>
    <row r="8" spans="2:24" ht="15" thickBot="1" x14ac:dyDescent="0.35">
      <c r="B8" s="1" t="str">
        <f t="shared" si="2"/>
        <v>11,25</v>
      </c>
      <c r="C8" s="5">
        <v>1</v>
      </c>
      <c r="D8" s="15">
        <v>1.25</v>
      </c>
      <c r="E8" s="15">
        <v>1</v>
      </c>
      <c r="F8" s="15">
        <v>1</v>
      </c>
      <c r="G8" s="22">
        <v>22.3</v>
      </c>
      <c r="H8" s="22">
        <v>37.5</v>
      </c>
      <c r="I8" s="22">
        <v>0</v>
      </c>
      <c r="J8" s="23">
        <v>0</v>
      </c>
      <c r="K8" s="22"/>
      <c r="L8" s="1" t="str">
        <f t="shared" si="0"/>
        <v>11,5</v>
      </c>
      <c r="M8" s="8">
        <v>1</v>
      </c>
      <c r="N8" s="24">
        <v>1.5</v>
      </c>
      <c r="O8" s="28">
        <v>1</v>
      </c>
      <c r="Q8" s="15" t="str">
        <f t="shared" si="1"/>
        <v>820</v>
      </c>
      <c r="R8" s="56">
        <v>2.5099999999999998</v>
      </c>
      <c r="S8" s="6">
        <v>8</v>
      </c>
      <c r="T8" s="7">
        <v>20</v>
      </c>
      <c r="V8" s="6"/>
    </row>
    <row r="9" spans="2:24" x14ac:dyDescent="0.3">
      <c r="B9" s="1" t="str">
        <f t="shared" si="2"/>
        <v>11,3</v>
      </c>
      <c r="C9" s="5">
        <v>1</v>
      </c>
      <c r="D9" s="15">
        <v>1.3</v>
      </c>
      <c r="E9" s="15">
        <v>1</v>
      </c>
      <c r="F9" s="15">
        <v>1</v>
      </c>
      <c r="G9" s="22">
        <v>21.8</v>
      </c>
      <c r="H9" s="22">
        <v>40.200000000000003</v>
      </c>
      <c r="I9" s="22">
        <v>0</v>
      </c>
      <c r="J9" s="23">
        <v>0</v>
      </c>
      <c r="K9" s="22"/>
      <c r="L9" s="1" t="str">
        <f t="shared" si="0"/>
        <v>2a1</v>
      </c>
      <c r="M9" s="2" t="s">
        <v>8</v>
      </c>
      <c r="N9" s="20">
        <v>1</v>
      </c>
      <c r="O9" s="26">
        <v>0.8</v>
      </c>
      <c r="Q9" s="6" t="str">
        <f t="shared" si="1"/>
        <v>819</v>
      </c>
      <c r="R9" s="5">
        <v>2.65</v>
      </c>
      <c r="S9" s="6">
        <v>8</v>
      </c>
      <c r="T9" s="7">
        <v>19</v>
      </c>
      <c r="V9" s="6"/>
    </row>
    <row r="10" spans="2:24" x14ac:dyDescent="0.3">
      <c r="B10" s="1" t="str">
        <f t="shared" si="2"/>
        <v>11,35</v>
      </c>
      <c r="C10" s="5">
        <v>1</v>
      </c>
      <c r="D10" s="15">
        <v>1.35</v>
      </c>
      <c r="E10" s="15">
        <v>1</v>
      </c>
      <c r="F10" s="15">
        <v>1</v>
      </c>
      <c r="G10" s="22">
        <v>21.4</v>
      </c>
      <c r="H10" s="22">
        <v>43</v>
      </c>
      <c r="I10" s="22">
        <v>0</v>
      </c>
      <c r="J10" s="23">
        <v>0</v>
      </c>
      <c r="K10" s="22"/>
      <c r="L10" s="1" t="str">
        <f t="shared" si="0"/>
        <v>2a1,1</v>
      </c>
      <c r="M10" s="5" t="s">
        <v>8</v>
      </c>
      <c r="N10" s="22">
        <v>1.1000000000000001</v>
      </c>
      <c r="O10" s="27">
        <v>0.8</v>
      </c>
      <c r="Q10" s="6" t="str">
        <f t="shared" si="1"/>
        <v>818</v>
      </c>
      <c r="R10" s="5">
        <v>2.79</v>
      </c>
      <c r="S10" s="6">
        <v>8</v>
      </c>
      <c r="T10" s="7">
        <v>18</v>
      </c>
      <c r="V10" s="6"/>
    </row>
    <row r="11" spans="2:24" x14ac:dyDescent="0.3">
      <c r="B11" s="1" t="str">
        <f t="shared" si="2"/>
        <v>11,4</v>
      </c>
      <c r="C11" s="5">
        <v>1</v>
      </c>
      <c r="D11" s="15">
        <v>1.4</v>
      </c>
      <c r="E11" s="15">
        <v>1</v>
      </c>
      <c r="F11" s="15">
        <v>1</v>
      </c>
      <c r="G11" s="22">
        <v>21</v>
      </c>
      <c r="H11" s="22">
        <v>45.9</v>
      </c>
      <c r="I11" s="22">
        <v>0</v>
      </c>
      <c r="J11" s="23">
        <v>0</v>
      </c>
      <c r="K11" s="22"/>
      <c r="L11" s="1" t="str">
        <f t="shared" si="0"/>
        <v>2a1,2</v>
      </c>
      <c r="M11" s="5" t="s">
        <v>8</v>
      </c>
      <c r="N11" s="22">
        <v>1.2</v>
      </c>
      <c r="O11" s="27">
        <v>0.8</v>
      </c>
      <c r="Q11" s="6" t="str">
        <f t="shared" si="1"/>
        <v>817</v>
      </c>
      <c r="R11" s="5">
        <v>2.96</v>
      </c>
      <c r="S11" s="6">
        <v>8</v>
      </c>
      <c r="T11" s="7">
        <v>17</v>
      </c>
      <c r="V11" s="6"/>
    </row>
    <row r="12" spans="2:24" x14ac:dyDescent="0.3">
      <c r="B12" s="1" t="str">
        <f t="shared" si="2"/>
        <v>11,45</v>
      </c>
      <c r="C12" s="5">
        <v>1</v>
      </c>
      <c r="D12" s="15">
        <v>1.45</v>
      </c>
      <c r="E12" s="15">
        <v>1</v>
      </c>
      <c r="F12" s="15">
        <v>1</v>
      </c>
      <c r="G12" s="22">
        <v>20.7</v>
      </c>
      <c r="H12" s="22">
        <v>48.9</v>
      </c>
      <c r="I12" s="22">
        <v>0</v>
      </c>
      <c r="J12" s="23">
        <v>0</v>
      </c>
      <c r="K12" s="22"/>
      <c r="L12" s="1" t="str">
        <f t="shared" si="0"/>
        <v>2a1,3</v>
      </c>
      <c r="M12" s="5" t="s">
        <v>8</v>
      </c>
      <c r="N12" s="22">
        <v>1.3</v>
      </c>
      <c r="O12" s="27">
        <v>0.8</v>
      </c>
      <c r="Q12" s="6" t="str">
        <f t="shared" si="1"/>
        <v>816</v>
      </c>
      <c r="R12" s="5">
        <v>3.14</v>
      </c>
      <c r="S12" s="6">
        <v>8</v>
      </c>
      <c r="T12" s="7">
        <v>16</v>
      </c>
      <c r="V12" s="6"/>
    </row>
    <row r="13" spans="2:24" x14ac:dyDescent="0.3">
      <c r="B13" s="1" t="str">
        <f t="shared" si="2"/>
        <v>11,5</v>
      </c>
      <c r="C13" s="5">
        <v>1</v>
      </c>
      <c r="D13" s="15">
        <v>1.5</v>
      </c>
      <c r="E13" s="15">
        <v>1</v>
      </c>
      <c r="F13" s="15">
        <v>1</v>
      </c>
      <c r="G13" s="22">
        <v>20.5</v>
      </c>
      <c r="H13" s="22">
        <v>52</v>
      </c>
      <c r="I13" s="22">
        <v>0</v>
      </c>
      <c r="J13" s="23">
        <v>0</v>
      </c>
      <c r="K13" s="22"/>
      <c r="L13" s="1" t="str">
        <f t="shared" si="0"/>
        <v>2a1,4</v>
      </c>
      <c r="M13" s="5" t="s">
        <v>8</v>
      </c>
      <c r="N13" s="22">
        <v>1.4</v>
      </c>
      <c r="O13" s="27">
        <v>0.8</v>
      </c>
      <c r="Q13" s="6" t="str">
        <f t="shared" si="1"/>
        <v>1025</v>
      </c>
      <c r="R13" s="56">
        <v>3.1355555554999999</v>
      </c>
      <c r="S13" s="6">
        <v>10</v>
      </c>
      <c r="T13" s="7">
        <v>25</v>
      </c>
      <c r="V13" s="6"/>
    </row>
    <row r="14" spans="2:24" ht="15" thickBot="1" x14ac:dyDescent="0.35">
      <c r="B14" s="1" t="str">
        <f t="shared" si="2"/>
        <v>11,55</v>
      </c>
      <c r="C14" s="5">
        <v>1</v>
      </c>
      <c r="D14" s="15">
        <v>1.55</v>
      </c>
      <c r="E14" s="15">
        <v>1</v>
      </c>
      <c r="F14" s="15">
        <v>1</v>
      </c>
      <c r="G14" s="22">
        <v>20.399999999999999</v>
      </c>
      <c r="H14" s="22">
        <v>54.9</v>
      </c>
      <c r="I14" s="22">
        <v>0</v>
      </c>
      <c r="J14" s="23">
        <v>0</v>
      </c>
      <c r="K14" s="22"/>
      <c r="L14" s="1" t="str">
        <f t="shared" si="0"/>
        <v>2a1,5</v>
      </c>
      <c r="M14" s="8" t="s">
        <v>8</v>
      </c>
      <c r="N14" s="24">
        <v>1.5</v>
      </c>
      <c r="O14" s="28">
        <v>0.8</v>
      </c>
      <c r="Q14" s="6" t="str">
        <f t="shared" si="1"/>
        <v>1024</v>
      </c>
      <c r="R14" s="5">
        <v>3.27</v>
      </c>
      <c r="S14" s="6">
        <v>10</v>
      </c>
      <c r="T14" s="7">
        <v>24</v>
      </c>
      <c r="V14" s="6"/>
    </row>
    <row r="15" spans="2:24" x14ac:dyDescent="0.3">
      <c r="B15" s="1" t="str">
        <f t="shared" si="2"/>
        <v>11,6</v>
      </c>
      <c r="C15" s="5">
        <v>1</v>
      </c>
      <c r="D15" s="15">
        <v>1.6</v>
      </c>
      <c r="E15" s="15">
        <v>1</v>
      </c>
      <c r="F15" s="15">
        <v>1</v>
      </c>
      <c r="G15" s="22">
        <v>20.3</v>
      </c>
      <c r="H15" s="22">
        <v>57.9</v>
      </c>
      <c r="I15" s="22">
        <v>0</v>
      </c>
      <c r="J15" s="23">
        <v>0</v>
      </c>
      <c r="K15" s="22"/>
      <c r="L15" s="1" t="str">
        <f>M15&amp;N15</f>
        <v>2b1</v>
      </c>
      <c r="M15" s="2" t="s">
        <v>12</v>
      </c>
      <c r="N15" s="20">
        <v>1</v>
      </c>
      <c r="O15" s="26">
        <v>0.8</v>
      </c>
      <c r="Q15" s="15" t="str">
        <f t="shared" si="1"/>
        <v>815</v>
      </c>
      <c r="R15" s="56">
        <v>3.35</v>
      </c>
      <c r="S15" s="6">
        <v>8</v>
      </c>
      <c r="T15" s="7">
        <v>15</v>
      </c>
      <c r="V15" s="6"/>
    </row>
    <row r="16" spans="2:24" x14ac:dyDescent="0.3">
      <c r="B16" s="1" t="str">
        <f t="shared" si="2"/>
        <v>11,8</v>
      </c>
      <c r="C16" s="5">
        <v>1</v>
      </c>
      <c r="D16" s="15">
        <v>1.8</v>
      </c>
      <c r="E16" s="15">
        <v>1</v>
      </c>
      <c r="F16" s="15">
        <v>1</v>
      </c>
      <c r="G16" s="22">
        <v>20.3</v>
      </c>
      <c r="H16" s="22">
        <v>69.3</v>
      </c>
      <c r="I16" s="22">
        <v>0</v>
      </c>
      <c r="J16" s="23">
        <v>0</v>
      </c>
      <c r="K16" s="22"/>
      <c r="L16" s="1" t="str">
        <f t="shared" ref="L16:L56" si="3">M16&amp;N16</f>
        <v>2b1,1</v>
      </c>
      <c r="M16" s="5" t="s">
        <v>12</v>
      </c>
      <c r="N16" s="22">
        <v>1.1000000000000001</v>
      </c>
      <c r="O16" s="27">
        <v>0.88</v>
      </c>
      <c r="Q16" s="6" t="str">
        <f t="shared" si="1"/>
        <v>1023</v>
      </c>
      <c r="R16" s="5">
        <v>3.41</v>
      </c>
      <c r="S16" s="6">
        <v>10</v>
      </c>
      <c r="T16" s="7">
        <v>23</v>
      </c>
      <c r="V16" s="6"/>
    </row>
    <row r="17" spans="2:24" ht="15" thickBot="1" x14ac:dyDescent="0.35">
      <c r="B17" s="1" t="str">
        <f t="shared" si="2"/>
        <v>12</v>
      </c>
      <c r="C17" s="8">
        <v>1</v>
      </c>
      <c r="D17" s="16">
        <v>2</v>
      </c>
      <c r="E17" s="16">
        <v>1</v>
      </c>
      <c r="F17" s="16">
        <v>1</v>
      </c>
      <c r="G17" s="24">
        <v>20.8</v>
      </c>
      <c r="H17" s="24">
        <v>80.599999999999994</v>
      </c>
      <c r="I17" s="24">
        <v>0</v>
      </c>
      <c r="J17" s="25">
        <v>0</v>
      </c>
      <c r="K17" s="22"/>
      <c r="L17" s="1" t="str">
        <f t="shared" si="3"/>
        <v>2b1,2</v>
      </c>
      <c r="M17" s="5" t="s">
        <v>12</v>
      </c>
      <c r="N17" s="22">
        <v>1.2</v>
      </c>
      <c r="O17" s="27">
        <v>0.91</v>
      </c>
      <c r="Q17" s="6" t="str">
        <f t="shared" si="1"/>
        <v>1022</v>
      </c>
      <c r="R17" s="5">
        <v>3.57</v>
      </c>
      <c r="S17" s="6">
        <v>10</v>
      </c>
      <c r="T17" s="7">
        <v>22</v>
      </c>
      <c r="V17" s="6"/>
    </row>
    <row r="18" spans="2:24" x14ac:dyDescent="0.3">
      <c r="B18" s="1" t="str">
        <f t="shared" si="2"/>
        <v>2a1</v>
      </c>
      <c r="C18" s="2" t="s">
        <v>8</v>
      </c>
      <c r="D18" s="14">
        <v>1</v>
      </c>
      <c r="E18" s="14">
        <v>0.05</v>
      </c>
      <c r="F18" s="14">
        <v>0.25</v>
      </c>
      <c r="G18" s="20">
        <v>31.4</v>
      </c>
      <c r="H18" s="20">
        <v>41.2</v>
      </c>
      <c r="I18" s="20">
        <v>11.9</v>
      </c>
      <c r="J18" s="21">
        <v>0</v>
      </c>
      <c r="K18" s="22"/>
      <c r="L18" s="1" t="str">
        <f t="shared" si="3"/>
        <v>2b1,3</v>
      </c>
      <c r="M18" s="5" t="s">
        <v>12</v>
      </c>
      <c r="N18" s="22">
        <v>1.3</v>
      </c>
      <c r="O18" s="27">
        <v>0.93</v>
      </c>
      <c r="Q18" s="15" t="str">
        <f t="shared" si="1"/>
        <v>814</v>
      </c>
      <c r="R18" s="56">
        <v>3.59</v>
      </c>
      <c r="S18" s="6">
        <v>8</v>
      </c>
      <c r="T18" s="7">
        <v>14</v>
      </c>
      <c r="V18" s="6"/>
    </row>
    <row r="19" spans="2:24" x14ac:dyDescent="0.3">
      <c r="B19" s="1" t="str">
        <f t="shared" si="2"/>
        <v>2a1,05</v>
      </c>
      <c r="C19" s="5" t="s">
        <v>8</v>
      </c>
      <c r="D19" s="15">
        <v>1.05</v>
      </c>
      <c r="E19" s="15">
        <v>0.06</v>
      </c>
      <c r="F19" s="15">
        <v>0.3</v>
      </c>
      <c r="G19" s="22">
        <v>30.7</v>
      </c>
      <c r="H19" s="22">
        <v>45.4</v>
      </c>
      <c r="I19" s="22">
        <v>11.9</v>
      </c>
      <c r="J19" s="23">
        <v>0</v>
      </c>
      <c r="K19" s="22"/>
      <c r="L19" s="1" t="str">
        <f t="shared" si="3"/>
        <v>2b1,4</v>
      </c>
      <c r="M19" s="5" t="s">
        <v>12</v>
      </c>
      <c r="N19" s="22">
        <v>1.4</v>
      </c>
      <c r="O19" s="27">
        <v>0.94</v>
      </c>
      <c r="Q19" s="6" t="str">
        <f t="shared" si="1"/>
        <v>1021</v>
      </c>
      <c r="R19" s="5">
        <v>3.74</v>
      </c>
      <c r="S19" s="6">
        <v>10</v>
      </c>
      <c r="T19" s="7">
        <v>21</v>
      </c>
      <c r="V19" s="6"/>
    </row>
    <row r="20" spans="2:24" ht="15" thickBot="1" x14ac:dyDescent="0.35">
      <c r="B20" s="1" t="str">
        <f t="shared" si="2"/>
        <v>2a1,1</v>
      </c>
      <c r="C20" s="5" t="s">
        <v>8</v>
      </c>
      <c r="D20" s="15">
        <v>1.1000000000000001</v>
      </c>
      <c r="E20" s="15">
        <v>7.0000000000000007E-2</v>
      </c>
      <c r="F20" s="15">
        <v>0.35</v>
      </c>
      <c r="G20" s="22">
        <v>30</v>
      </c>
      <c r="H20" s="22">
        <v>49.6</v>
      </c>
      <c r="I20" s="22">
        <v>12</v>
      </c>
      <c r="J20" s="23">
        <v>0</v>
      </c>
      <c r="K20" s="22"/>
      <c r="L20" s="1" t="str">
        <f t="shared" si="3"/>
        <v>2b1,5</v>
      </c>
      <c r="M20" s="8" t="s">
        <v>12</v>
      </c>
      <c r="N20" s="24">
        <v>1.5</v>
      </c>
      <c r="O20" s="28">
        <v>0.95</v>
      </c>
      <c r="Q20" s="15" t="str">
        <f t="shared" si="1"/>
        <v>813</v>
      </c>
      <c r="R20" s="56">
        <v>3.87</v>
      </c>
      <c r="S20" s="6">
        <v>8</v>
      </c>
      <c r="T20" s="7">
        <v>13</v>
      </c>
      <c r="V20" s="6"/>
      <c r="X20" s="13"/>
    </row>
    <row r="21" spans="2:24" x14ac:dyDescent="0.3">
      <c r="B21" s="1" t="str">
        <f t="shared" si="2"/>
        <v>2a1,15</v>
      </c>
      <c r="C21" s="5" t="s">
        <v>8</v>
      </c>
      <c r="D21" s="15">
        <v>1.1499999999999999</v>
      </c>
      <c r="E21" s="15">
        <v>0.09</v>
      </c>
      <c r="F21" s="15">
        <v>0.39</v>
      </c>
      <c r="G21" s="22">
        <v>29.7</v>
      </c>
      <c r="H21" s="22">
        <v>54</v>
      </c>
      <c r="I21" s="22">
        <v>12.1</v>
      </c>
      <c r="J21" s="23">
        <v>0</v>
      </c>
      <c r="K21" s="22"/>
      <c r="L21" s="1" t="str">
        <f t="shared" si="3"/>
        <v>3a1</v>
      </c>
      <c r="M21" s="2" t="s">
        <v>13</v>
      </c>
      <c r="N21" s="20">
        <v>1</v>
      </c>
      <c r="O21" s="26">
        <v>0.6</v>
      </c>
      <c r="Q21" s="15" t="str">
        <f t="shared" si="1"/>
        <v>1020</v>
      </c>
      <c r="R21" s="56">
        <v>3.93</v>
      </c>
      <c r="S21" s="6">
        <v>10</v>
      </c>
      <c r="T21" s="7">
        <v>20</v>
      </c>
      <c r="V21" s="6"/>
    </row>
    <row r="22" spans="2:24" x14ac:dyDescent="0.3">
      <c r="B22" s="1" t="str">
        <f t="shared" si="2"/>
        <v>2a1,2</v>
      </c>
      <c r="C22" s="5" t="s">
        <v>8</v>
      </c>
      <c r="D22" s="15">
        <v>1.2</v>
      </c>
      <c r="E22" s="15">
        <v>0.11</v>
      </c>
      <c r="F22" s="15">
        <v>0.44</v>
      </c>
      <c r="G22" s="22">
        <v>29.4</v>
      </c>
      <c r="H22" s="22">
        <v>58.5</v>
      </c>
      <c r="I22" s="22">
        <v>12.2</v>
      </c>
      <c r="J22" s="23">
        <v>0</v>
      </c>
      <c r="K22" s="22"/>
      <c r="L22" s="1" t="str">
        <f t="shared" si="3"/>
        <v>3a1,1</v>
      </c>
      <c r="M22" s="5" t="s">
        <v>13</v>
      </c>
      <c r="N22" s="22">
        <v>1.1000000000000001</v>
      </c>
      <c r="O22" s="27">
        <v>0.6</v>
      </c>
      <c r="Q22" s="6" t="str">
        <f t="shared" si="1"/>
        <v>1019</v>
      </c>
      <c r="R22" s="5">
        <v>4.13</v>
      </c>
      <c r="S22" s="6">
        <v>10</v>
      </c>
      <c r="T22" s="7">
        <v>19</v>
      </c>
      <c r="V22" s="6"/>
    </row>
    <row r="23" spans="2:24" x14ac:dyDescent="0.3">
      <c r="B23" s="1" t="str">
        <f t="shared" si="2"/>
        <v>2a1,25</v>
      </c>
      <c r="C23" s="5" t="s">
        <v>8</v>
      </c>
      <c r="D23" s="15">
        <v>1.25</v>
      </c>
      <c r="E23" s="15">
        <v>0.14000000000000001</v>
      </c>
      <c r="F23" s="15">
        <v>0.49</v>
      </c>
      <c r="G23" s="22">
        <v>29.2</v>
      </c>
      <c r="H23" s="22">
        <v>62.9</v>
      </c>
      <c r="I23" s="22">
        <v>12.4</v>
      </c>
      <c r="J23" s="23">
        <v>0</v>
      </c>
      <c r="K23" s="22"/>
      <c r="L23" s="1" t="str">
        <f t="shared" si="3"/>
        <v>3a1,2</v>
      </c>
      <c r="M23" s="5" t="s">
        <v>13</v>
      </c>
      <c r="N23" s="22">
        <v>1.2</v>
      </c>
      <c r="O23" s="27">
        <v>0.6</v>
      </c>
      <c r="Q23" s="15" t="str">
        <f t="shared" si="1"/>
        <v>812</v>
      </c>
      <c r="R23" s="56">
        <v>4.1900000000000004</v>
      </c>
      <c r="S23" s="6">
        <v>8</v>
      </c>
      <c r="T23" s="7">
        <v>12</v>
      </c>
      <c r="V23" s="6"/>
    </row>
    <row r="24" spans="2:24" x14ac:dyDescent="0.3">
      <c r="B24" s="1" t="str">
        <f t="shared" si="2"/>
        <v>2a1,3</v>
      </c>
      <c r="C24" s="5" t="s">
        <v>8</v>
      </c>
      <c r="D24" s="15">
        <v>1.3</v>
      </c>
      <c r="E24" s="15">
        <v>0.18</v>
      </c>
      <c r="F24" s="15">
        <v>0.54</v>
      </c>
      <c r="G24" s="22">
        <v>29.1</v>
      </c>
      <c r="H24" s="22">
        <v>67.3</v>
      </c>
      <c r="I24" s="22">
        <v>12.6</v>
      </c>
      <c r="J24" s="23">
        <v>0</v>
      </c>
      <c r="K24" s="22"/>
      <c r="L24" s="1" t="str">
        <f t="shared" si="3"/>
        <v>3a1,3</v>
      </c>
      <c r="M24" s="5" t="s">
        <v>13</v>
      </c>
      <c r="N24" s="22">
        <v>1.3</v>
      </c>
      <c r="O24" s="27">
        <v>0.6</v>
      </c>
      <c r="Q24" s="6" t="str">
        <f t="shared" si="1"/>
        <v>1018</v>
      </c>
      <c r="R24" s="5">
        <v>4.3600000000000003</v>
      </c>
      <c r="S24" s="6">
        <v>10</v>
      </c>
      <c r="T24" s="7">
        <v>18</v>
      </c>
      <c r="V24" s="6"/>
    </row>
    <row r="25" spans="2:24" x14ac:dyDescent="0.3">
      <c r="B25" s="1" t="str">
        <f t="shared" si="2"/>
        <v>2a1,35</v>
      </c>
      <c r="C25" s="5" t="s">
        <v>8</v>
      </c>
      <c r="D25" s="15">
        <v>1.35</v>
      </c>
      <c r="E25" s="15">
        <v>0.21</v>
      </c>
      <c r="F25" s="13">
        <v>0.59</v>
      </c>
      <c r="G25" s="22">
        <v>29.2</v>
      </c>
      <c r="H25" s="22">
        <v>71.7</v>
      </c>
      <c r="I25" s="22">
        <v>12.8</v>
      </c>
      <c r="J25" s="23">
        <v>0</v>
      </c>
      <c r="K25" s="22"/>
      <c r="L25" s="1" t="str">
        <f t="shared" si="3"/>
        <v>3a1,4</v>
      </c>
      <c r="M25" s="5" t="s">
        <v>13</v>
      </c>
      <c r="N25" s="22">
        <v>1.4</v>
      </c>
      <c r="O25" s="27">
        <v>0.6</v>
      </c>
      <c r="Q25" s="6" t="str">
        <f t="shared" si="1"/>
        <v>1225</v>
      </c>
      <c r="R25" s="5">
        <v>4.5199999999999996</v>
      </c>
      <c r="S25" s="6">
        <v>12</v>
      </c>
      <c r="T25" s="7">
        <v>25</v>
      </c>
      <c r="V25" s="6"/>
    </row>
    <row r="26" spans="2:24" ht="15" thickBot="1" x14ac:dyDescent="0.35">
      <c r="B26" s="1" t="str">
        <f t="shared" si="2"/>
        <v>2a1,4</v>
      </c>
      <c r="C26" s="5" t="s">
        <v>8</v>
      </c>
      <c r="D26" s="15">
        <v>1.4</v>
      </c>
      <c r="E26" s="15">
        <v>0.24</v>
      </c>
      <c r="F26" s="15">
        <v>0.64</v>
      </c>
      <c r="G26" s="22">
        <v>29.4</v>
      </c>
      <c r="H26" s="22">
        <v>76</v>
      </c>
      <c r="I26" s="22">
        <v>13</v>
      </c>
      <c r="J26" s="23">
        <v>0</v>
      </c>
      <c r="K26" s="22"/>
      <c r="L26" s="1" t="str">
        <f t="shared" si="3"/>
        <v>3a1,5</v>
      </c>
      <c r="M26" s="8" t="s">
        <v>13</v>
      </c>
      <c r="N26" s="24">
        <v>1.5</v>
      </c>
      <c r="O26" s="28">
        <v>0.6</v>
      </c>
      <c r="Q26" s="15" t="str">
        <f t="shared" si="1"/>
        <v>811</v>
      </c>
      <c r="R26" s="56">
        <v>4.57</v>
      </c>
      <c r="S26" s="6">
        <v>8</v>
      </c>
      <c r="T26" s="7">
        <v>11</v>
      </c>
      <c r="V26" s="6"/>
    </row>
    <row r="27" spans="2:24" x14ac:dyDescent="0.3">
      <c r="B27" s="1" t="str">
        <f t="shared" si="2"/>
        <v>2a1,45</v>
      </c>
      <c r="C27" s="5" t="s">
        <v>8</v>
      </c>
      <c r="D27" s="15">
        <v>1.45</v>
      </c>
      <c r="E27" s="15">
        <v>0.27</v>
      </c>
      <c r="F27" s="15">
        <v>0.7</v>
      </c>
      <c r="G27" s="22">
        <v>29.6</v>
      </c>
      <c r="H27" s="22">
        <v>79.7</v>
      </c>
      <c r="I27" s="22">
        <v>13.2</v>
      </c>
      <c r="J27" s="23">
        <v>0</v>
      </c>
      <c r="K27" s="22"/>
      <c r="L27" s="1" t="str">
        <f t="shared" si="3"/>
        <v>3b1</v>
      </c>
      <c r="M27" s="2" t="s">
        <v>14</v>
      </c>
      <c r="N27" s="20">
        <v>1</v>
      </c>
      <c r="O27" s="26">
        <v>0.6</v>
      </c>
      <c r="Q27" s="6" t="str">
        <f t="shared" si="1"/>
        <v>1017</v>
      </c>
      <c r="R27" s="5">
        <v>4.62</v>
      </c>
      <c r="S27" s="6">
        <v>10</v>
      </c>
      <c r="T27" s="7">
        <v>17</v>
      </c>
      <c r="V27" s="6"/>
    </row>
    <row r="28" spans="2:24" x14ac:dyDescent="0.3">
      <c r="B28" s="1" t="str">
        <f t="shared" si="2"/>
        <v>2a1,5</v>
      </c>
      <c r="C28" s="5" t="s">
        <v>8</v>
      </c>
      <c r="D28" s="15">
        <v>1.5</v>
      </c>
      <c r="E28" s="15">
        <v>0.3</v>
      </c>
      <c r="F28" s="15">
        <v>0.75</v>
      </c>
      <c r="G28" s="22">
        <v>29.8</v>
      </c>
      <c r="H28" s="22">
        <v>83.4</v>
      </c>
      <c r="I28" s="22">
        <v>13.5</v>
      </c>
      <c r="J28" s="23">
        <v>0</v>
      </c>
      <c r="K28" s="22"/>
      <c r="L28" s="1" t="str">
        <f t="shared" si="3"/>
        <v>3b1,1</v>
      </c>
      <c r="M28" s="5" t="s">
        <v>14</v>
      </c>
      <c r="N28" s="22">
        <v>1.1000000000000001</v>
      </c>
      <c r="O28" s="27">
        <v>0.66</v>
      </c>
      <c r="Q28" s="6" t="str">
        <f t="shared" si="1"/>
        <v>1224</v>
      </c>
      <c r="R28" s="5">
        <v>4.71</v>
      </c>
      <c r="S28" s="6">
        <v>12</v>
      </c>
      <c r="T28" s="7">
        <v>24</v>
      </c>
      <c r="V28" s="6"/>
    </row>
    <row r="29" spans="2:24" x14ac:dyDescent="0.3">
      <c r="B29" s="1" t="str">
        <f t="shared" si="2"/>
        <v>2a1,55</v>
      </c>
      <c r="C29" s="5" t="s">
        <v>8</v>
      </c>
      <c r="D29" s="15">
        <v>1.55</v>
      </c>
      <c r="E29" s="15">
        <v>0.33</v>
      </c>
      <c r="F29" s="15">
        <v>0.79</v>
      </c>
      <c r="G29" s="22">
        <v>30.1</v>
      </c>
      <c r="H29" s="22">
        <v>86.9</v>
      </c>
      <c r="I29" s="22">
        <v>13.8</v>
      </c>
      <c r="J29" s="23">
        <v>0</v>
      </c>
      <c r="K29" s="22"/>
      <c r="L29" s="1" t="str">
        <f t="shared" si="3"/>
        <v>3b1,2</v>
      </c>
      <c r="M29" s="5" t="s">
        <v>14</v>
      </c>
      <c r="N29" s="22">
        <v>1.2</v>
      </c>
      <c r="O29" s="27">
        <v>0.72</v>
      </c>
      <c r="Q29" s="6" t="str">
        <f t="shared" si="1"/>
        <v>1016</v>
      </c>
      <c r="R29" s="5">
        <v>4.91</v>
      </c>
      <c r="S29" s="6">
        <v>10</v>
      </c>
      <c r="T29" s="7">
        <v>16</v>
      </c>
      <c r="V29" s="6"/>
    </row>
    <row r="30" spans="2:24" x14ac:dyDescent="0.3">
      <c r="B30" s="1" t="str">
        <f t="shared" si="2"/>
        <v>2a1,6</v>
      </c>
      <c r="C30" s="5" t="s">
        <v>8</v>
      </c>
      <c r="D30" s="15">
        <v>1.6</v>
      </c>
      <c r="E30" s="15">
        <v>0.35</v>
      </c>
      <c r="F30" s="15">
        <v>0.83</v>
      </c>
      <c r="G30" s="22">
        <v>30.4</v>
      </c>
      <c r="H30" s="22">
        <v>90.4</v>
      </c>
      <c r="I30" s="22">
        <v>14.1</v>
      </c>
      <c r="J30" s="23">
        <v>0</v>
      </c>
      <c r="K30" s="22"/>
      <c r="L30" s="1" t="str">
        <f t="shared" si="3"/>
        <v>3b1,3</v>
      </c>
      <c r="M30" s="5" t="s">
        <v>14</v>
      </c>
      <c r="N30" s="22">
        <v>1.3</v>
      </c>
      <c r="O30" s="27">
        <v>0.78</v>
      </c>
      <c r="Q30" s="6" t="str">
        <f t="shared" si="1"/>
        <v>1223</v>
      </c>
      <c r="R30" s="5">
        <v>4.92</v>
      </c>
      <c r="S30" s="6">
        <v>12</v>
      </c>
      <c r="T30" s="7">
        <v>23</v>
      </c>
      <c r="V30" s="6"/>
    </row>
    <row r="31" spans="2:24" x14ac:dyDescent="0.3">
      <c r="B31" s="1" t="str">
        <f t="shared" si="2"/>
        <v>2a1,8</v>
      </c>
      <c r="C31" s="5" t="s">
        <v>8</v>
      </c>
      <c r="D31" s="15">
        <v>1.8</v>
      </c>
      <c r="E31" s="15">
        <v>0.43</v>
      </c>
      <c r="F31" s="15">
        <v>0.99</v>
      </c>
      <c r="G31" s="22">
        <v>32</v>
      </c>
      <c r="H31" s="22">
        <v>106</v>
      </c>
      <c r="I31" s="22">
        <v>15.1</v>
      </c>
      <c r="J31" s="23">
        <v>0</v>
      </c>
      <c r="K31" s="22"/>
      <c r="L31" s="1" t="str">
        <f t="shared" si="3"/>
        <v>3b1,4</v>
      </c>
      <c r="M31" s="5" t="s">
        <v>14</v>
      </c>
      <c r="N31" s="22">
        <v>1.4</v>
      </c>
      <c r="O31" s="27">
        <v>0.84</v>
      </c>
      <c r="Q31" s="15" t="str">
        <f t="shared" si="1"/>
        <v>810</v>
      </c>
      <c r="R31" s="56">
        <v>5.03</v>
      </c>
      <c r="S31" s="6">
        <v>8</v>
      </c>
      <c r="T31" s="7">
        <v>10</v>
      </c>
      <c r="V31" s="6"/>
    </row>
    <row r="32" spans="2:24" ht="15" thickBot="1" x14ac:dyDescent="0.35">
      <c r="B32" s="1" t="str">
        <f t="shared" si="2"/>
        <v>2a2</v>
      </c>
      <c r="C32" s="8" t="s">
        <v>8</v>
      </c>
      <c r="D32" s="16">
        <v>2</v>
      </c>
      <c r="E32" s="16">
        <v>0.51</v>
      </c>
      <c r="F32" s="16">
        <v>1.1499999999999999</v>
      </c>
      <c r="G32" s="24">
        <v>34.200000000000003</v>
      </c>
      <c r="H32" s="24">
        <v>118</v>
      </c>
      <c r="I32" s="24">
        <v>16.600000000000001</v>
      </c>
      <c r="J32" s="25">
        <v>0</v>
      </c>
      <c r="K32" s="22"/>
      <c r="L32" s="1" t="str">
        <f t="shared" si="3"/>
        <v>3b1,5</v>
      </c>
      <c r="M32" s="8" t="s">
        <v>14</v>
      </c>
      <c r="N32" s="24">
        <v>1.5</v>
      </c>
      <c r="O32" s="28">
        <v>0.88</v>
      </c>
      <c r="Q32" s="6" t="str">
        <f t="shared" si="1"/>
        <v>1222</v>
      </c>
      <c r="R32" s="5">
        <v>5.14</v>
      </c>
      <c r="S32" s="6">
        <v>12</v>
      </c>
      <c r="T32" s="7">
        <v>22</v>
      </c>
      <c r="V32" s="6"/>
    </row>
    <row r="33" spans="2:22" x14ac:dyDescent="0.3">
      <c r="B33" s="1" t="str">
        <f t="shared" si="2"/>
        <v>41</v>
      </c>
      <c r="C33" s="2">
        <v>4</v>
      </c>
      <c r="D33" s="14">
        <v>1</v>
      </c>
      <c r="E33" s="14">
        <v>0.26</v>
      </c>
      <c r="F33" s="14">
        <v>0.26</v>
      </c>
      <c r="G33" s="20">
        <v>40.200000000000003</v>
      </c>
      <c r="H33" s="20">
        <v>40.200000000000003</v>
      </c>
      <c r="I33" s="20">
        <v>14.3</v>
      </c>
      <c r="J33" s="21">
        <v>14.3</v>
      </c>
      <c r="K33" s="22"/>
      <c r="L33" s="1" t="str">
        <f t="shared" si="3"/>
        <v>41</v>
      </c>
      <c r="M33" s="2">
        <v>4</v>
      </c>
      <c r="N33" s="20">
        <v>1</v>
      </c>
      <c r="O33" s="26">
        <v>0.66</v>
      </c>
      <c r="Q33" s="15" t="str">
        <f t="shared" si="1"/>
        <v>1015</v>
      </c>
      <c r="R33" s="56">
        <v>5.24</v>
      </c>
      <c r="S33" s="6">
        <v>10</v>
      </c>
      <c r="T33" s="7">
        <v>15</v>
      </c>
      <c r="V33" s="6"/>
    </row>
    <row r="34" spans="2:22" x14ac:dyDescent="0.3">
      <c r="B34" s="1" t="str">
        <f t="shared" si="2"/>
        <v>41,05</v>
      </c>
      <c r="C34" s="5">
        <v>4</v>
      </c>
      <c r="D34" s="15">
        <v>1.05</v>
      </c>
      <c r="E34" s="15">
        <v>0.27</v>
      </c>
      <c r="F34" s="15">
        <v>0.27</v>
      </c>
      <c r="G34" s="22">
        <v>38.299999999999997</v>
      </c>
      <c r="H34" s="22">
        <v>43.1</v>
      </c>
      <c r="I34" s="22">
        <v>14.1</v>
      </c>
      <c r="J34" s="23">
        <v>14.6</v>
      </c>
      <c r="K34" s="22"/>
      <c r="L34" s="1" t="str">
        <f t="shared" si="3"/>
        <v>41,1</v>
      </c>
      <c r="M34" s="5">
        <v>4</v>
      </c>
      <c r="N34" s="22">
        <v>1.1000000000000001</v>
      </c>
      <c r="O34" s="27">
        <v>0.7</v>
      </c>
      <c r="Q34" s="6" t="str">
        <f t="shared" si="1"/>
        <v>1221</v>
      </c>
      <c r="R34" s="5">
        <v>5.39</v>
      </c>
      <c r="S34" s="6">
        <v>12</v>
      </c>
      <c r="T34" s="7">
        <v>21</v>
      </c>
      <c r="V34" s="6"/>
    </row>
    <row r="35" spans="2:22" x14ac:dyDescent="0.3">
      <c r="B35" s="1" t="str">
        <f t="shared" si="2"/>
        <v>41,1</v>
      </c>
      <c r="C35" s="5">
        <v>4</v>
      </c>
      <c r="D35" s="15">
        <v>1.1000000000000001</v>
      </c>
      <c r="E35" s="15">
        <v>0.28000000000000003</v>
      </c>
      <c r="F35" s="15">
        <v>0.28000000000000003</v>
      </c>
      <c r="G35" s="22">
        <v>36.799999999999997</v>
      </c>
      <c r="H35" s="19">
        <v>46.2</v>
      </c>
      <c r="I35" s="22">
        <v>14</v>
      </c>
      <c r="J35" s="23">
        <v>15</v>
      </c>
      <c r="K35" s="22"/>
      <c r="L35" s="1" t="str">
        <f t="shared" si="3"/>
        <v>41,2</v>
      </c>
      <c r="M35" s="5">
        <v>4</v>
      </c>
      <c r="N35" s="22">
        <v>1.2</v>
      </c>
      <c r="O35" s="27">
        <v>0.72</v>
      </c>
      <c r="Q35" s="15" t="str">
        <f t="shared" ref="Q35:Q66" si="4">S35&amp;T35</f>
        <v>1014</v>
      </c>
      <c r="R35" s="56">
        <v>5.61</v>
      </c>
      <c r="S35" s="6">
        <v>10</v>
      </c>
      <c r="T35" s="7">
        <v>14</v>
      </c>
      <c r="V35" s="6"/>
    </row>
    <row r="36" spans="2:22" x14ac:dyDescent="0.3">
      <c r="B36" s="1" t="str">
        <f t="shared" si="2"/>
        <v>41,15</v>
      </c>
      <c r="C36" s="5">
        <v>4</v>
      </c>
      <c r="D36" s="15">
        <v>1.1499999999999999</v>
      </c>
      <c r="E36" s="15">
        <v>0.28999999999999998</v>
      </c>
      <c r="F36" s="15">
        <v>0.28999999999999998</v>
      </c>
      <c r="G36" s="22">
        <v>34.6</v>
      </c>
      <c r="H36" s="22">
        <v>49.4</v>
      </c>
      <c r="I36" s="22">
        <v>13.9</v>
      </c>
      <c r="J36" s="23">
        <v>15.3</v>
      </c>
      <c r="K36" s="22"/>
      <c r="L36" s="1" t="str">
        <f t="shared" si="3"/>
        <v>41,3</v>
      </c>
      <c r="M36" s="5">
        <v>4</v>
      </c>
      <c r="N36" s="22">
        <v>1.3</v>
      </c>
      <c r="O36" s="27">
        <v>0.74</v>
      </c>
      <c r="Q36" s="15" t="str">
        <f t="shared" si="4"/>
        <v>1220</v>
      </c>
      <c r="R36" s="56">
        <v>5.65</v>
      </c>
      <c r="S36" s="6">
        <v>12</v>
      </c>
      <c r="T36" s="7">
        <v>20</v>
      </c>
      <c r="V36" s="6"/>
    </row>
    <row r="37" spans="2:22" x14ac:dyDescent="0.3">
      <c r="B37" s="1" t="str">
        <f t="shared" si="2"/>
        <v>41,2</v>
      </c>
      <c r="C37" s="5">
        <v>4</v>
      </c>
      <c r="D37" s="15">
        <v>1.2</v>
      </c>
      <c r="E37" s="15">
        <v>0.3</v>
      </c>
      <c r="F37" s="15">
        <v>0.3</v>
      </c>
      <c r="G37" s="22">
        <v>34.799999999999997</v>
      </c>
      <c r="H37" s="22">
        <v>52.8</v>
      </c>
      <c r="I37" s="22">
        <v>13.8</v>
      </c>
      <c r="J37" s="23">
        <v>15.7</v>
      </c>
      <c r="K37" s="22"/>
      <c r="L37" s="1" t="str">
        <f t="shared" si="3"/>
        <v>41,4</v>
      </c>
      <c r="M37" s="5">
        <v>4</v>
      </c>
      <c r="N37" s="22">
        <v>1.4</v>
      </c>
      <c r="O37" s="27">
        <v>0.75</v>
      </c>
      <c r="Q37" s="6" t="str">
        <f t="shared" si="4"/>
        <v>1219</v>
      </c>
      <c r="R37" s="5">
        <v>5.95</v>
      </c>
      <c r="S37" s="6">
        <v>12</v>
      </c>
      <c r="T37" s="7">
        <v>19</v>
      </c>
      <c r="V37" s="6"/>
    </row>
    <row r="38" spans="2:22" ht="15" thickBot="1" x14ac:dyDescent="0.35">
      <c r="B38" s="1" t="str">
        <f t="shared" si="2"/>
        <v>41,25</v>
      </c>
      <c r="C38" s="5">
        <v>4</v>
      </c>
      <c r="D38" s="15">
        <v>1.25</v>
      </c>
      <c r="E38" s="15">
        <v>0.32</v>
      </c>
      <c r="F38" s="15">
        <v>0.32</v>
      </c>
      <c r="G38" s="22">
        <v>34.200000000000003</v>
      </c>
      <c r="H38" s="22">
        <v>57</v>
      </c>
      <c r="I38" s="19">
        <v>13.8</v>
      </c>
      <c r="J38" s="23">
        <v>16.100000000000001</v>
      </c>
      <c r="K38" s="22"/>
      <c r="L38" s="1" t="str">
        <f t="shared" si="3"/>
        <v>41,5</v>
      </c>
      <c r="M38" s="8">
        <v>4</v>
      </c>
      <c r="N38" s="24">
        <v>1.5</v>
      </c>
      <c r="O38" s="28">
        <v>0.76</v>
      </c>
      <c r="Q38" s="15" t="str">
        <f t="shared" si="4"/>
        <v>1013</v>
      </c>
      <c r="R38" s="56">
        <v>6.04</v>
      </c>
      <c r="S38" s="6">
        <v>10</v>
      </c>
      <c r="T38" s="7">
        <v>13</v>
      </c>
      <c r="V38" s="6"/>
    </row>
    <row r="39" spans="2:22" x14ac:dyDescent="0.3">
      <c r="B39" s="1" t="str">
        <f t="shared" si="2"/>
        <v>41,3</v>
      </c>
      <c r="C39" s="5">
        <v>4</v>
      </c>
      <c r="D39" s="15">
        <v>1.3</v>
      </c>
      <c r="E39" s="15">
        <v>0.34</v>
      </c>
      <c r="F39" s="15">
        <v>0.34</v>
      </c>
      <c r="G39" s="22">
        <v>33.799999999999997</v>
      </c>
      <c r="H39" s="22">
        <v>61.9</v>
      </c>
      <c r="I39" s="22">
        <v>13.9</v>
      </c>
      <c r="J39" s="23">
        <v>16.600000000000001</v>
      </c>
      <c r="K39" s="22"/>
      <c r="L39" s="1" t="str">
        <f t="shared" si="3"/>
        <v>5a1</v>
      </c>
      <c r="M39" s="2" t="s">
        <v>9</v>
      </c>
      <c r="N39" s="20">
        <v>1</v>
      </c>
      <c r="O39" s="26">
        <v>0.57999999999999996</v>
      </c>
      <c r="Q39" s="6" t="str">
        <f t="shared" si="4"/>
        <v>1218</v>
      </c>
      <c r="R39" s="5">
        <v>6.28</v>
      </c>
      <c r="S39" s="6">
        <v>12</v>
      </c>
      <c r="T39" s="7">
        <v>18</v>
      </c>
      <c r="V39" s="6"/>
    </row>
    <row r="40" spans="2:22" x14ac:dyDescent="0.3">
      <c r="B40" s="1" t="str">
        <f t="shared" si="2"/>
        <v>41,35</v>
      </c>
      <c r="C40" s="5">
        <v>4</v>
      </c>
      <c r="D40" s="15">
        <v>1.35</v>
      </c>
      <c r="E40" s="15">
        <v>0.36</v>
      </c>
      <c r="F40" s="13">
        <v>0.36</v>
      </c>
      <c r="G40" s="22">
        <v>33.6</v>
      </c>
      <c r="H40" s="22">
        <v>66.7</v>
      </c>
      <c r="I40" s="22">
        <v>13.9</v>
      </c>
      <c r="J40" s="23">
        <v>17.100000000000001</v>
      </c>
      <c r="K40" s="22"/>
      <c r="L40" s="1" t="str">
        <f t="shared" si="3"/>
        <v>5a1,1</v>
      </c>
      <c r="M40" s="5" t="s">
        <v>9</v>
      </c>
      <c r="N40" s="22">
        <v>1.1000000000000001</v>
      </c>
      <c r="O40" s="27">
        <v>0.57999999999999996</v>
      </c>
      <c r="Q40" s="15" t="str">
        <f t="shared" si="4"/>
        <v>1012</v>
      </c>
      <c r="R40" s="56">
        <v>6.54</v>
      </c>
      <c r="S40" s="6">
        <v>10</v>
      </c>
      <c r="T40" s="7">
        <v>12</v>
      </c>
      <c r="V40" s="6"/>
    </row>
    <row r="41" spans="2:22" x14ac:dyDescent="0.3">
      <c r="B41" s="1" t="str">
        <f t="shared" si="2"/>
        <v>41,4</v>
      </c>
      <c r="C41" s="5">
        <v>4</v>
      </c>
      <c r="D41" s="15">
        <v>1.4</v>
      </c>
      <c r="E41" s="15">
        <v>0.38</v>
      </c>
      <c r="F41" s="15">
        <v>0.38</v>
      </c>
      <c r="G41" s="22">
        <v>33.5</v>
      </c>
      <c r="H41" s="22">
        <v>71.3</v>
      </c>
      <c r="I41" s="22">
        <v>14</v>
      </c>
      <c r="J41" s="23">
        <v>17.600000000000001</v>
      </c>
      <c r="K41" s="22"/>
      <c r="L41" s="1" t="str">
        <f t="shared" si="3"/>
        <v>5a1,2</v>
      </c>
      <c r="M41" s="5" t="s">
        <v>9</v>
      </c>
      <c r="N41" s="22">
        <v>1.2</v>
      </c>
      <c r="O41" s="27">
        <v>0.57999999999999996</v>
      </c>
      <c r="Q41" s="6" t="str">
        <f t="shared" si="4"/>
        <v>1217</v>
      </c>
      <c r="R41" s="5">
        <v>6.65</v>
      </c>
      <c r="S41" s="6">
        <v>12</v>
      </c>
      <c r="T41" s="7">
        <v>17</v>
      </c>
      <c r="V41" s="6"/>
    </row>
    <row r="42" spans="2:22" x14ac:dyDescent="0.3">
      <c r="B42" s="1" t="str">
        <f t="shared" si="2"/>
        <v>41,45</v>
      </c>
      <c r="C42" s="5">
        <v>4</v>
      </c>
      <c r="D42" s="15">
        <v>1.45</v>
      </c>
      <c r="E42" s="15">
        <v>0.4</v>
      </c>
      <c r="F42" s="15">
        <v>0.4</v>
      </c>
      <c r="G42" s="22">
        <v>33.4</v>
      </c>
      <c r="H42" s="22">
        <v>75.5</v>
      </c>
      <c r="I42" s="22">
        <v>14.2</v>
      </c>
      <c r="J42" s="23">
        <v>18.100000000000001</v>
      </c>
      <c r="K42" s="22"/>
      <c r="L42" s="1" t="str">
        <f t="shared" si="3"/>
        <v>5a1,3</v>
      </c>
      <c r="M42" s="5" t="s">
        <v>9</v>
      </c>
      <c r="N42" s="22">
        <v>1.3</v>
      </c>
      <c r="O42" s="27">
        <v>0.59</v>
      </c>
      <c r="Q42" s="6" t="str">
        <f t="shared" si="4"/>
        <v>1216</v>
      </c>
      <c r="R42" s="5">
        <v>7.07</v>
      </c>
      <c r="S42" s="6">
        <v>12</v>
      </c>
      <c r="T42" s="7">
        <v>16</v>
      </c>
      <c r="V42" s="6"/>
    </row>
    <row r="43" spans="2:22" x14ac:dyDescent="0.3">
      <c r="B43" s="1" t="str">
        <f t="shared" si="2"/>
        <v>41,5</v>
      </c>
      <c r="C43" s="5">
        <v>4</v>
      </c>
      <c r="D43" s="15">
        <v>1.5</v>
      </c>
      <c r="E43" s="15">
        <v>0.42</v>
      </c>
      <c r="F43" s="15">
        <v>0.42</v>
      </c>
      <c r="G43" s="22">
        <v>33.299999999999997</v>
      </c>
      <c r="H43" s="22">
        <v>79.599999999999994</v>
      </c>
      <c r="I43" s="22">
        <v>14.4</v>
      </c>
      <c r="J43" s="23">
        <v>18.600000000000001</v>
      </c>
      <c r="K43" s="22"/>
      <c r="L43" s="1" t="str">
        <f t="shared" si="3"/>
        <v>5a1,4</v>
      </c>
      <c r="M43" s="5" t="s">
        <v>9</v>
      </c>
      <c r="N43" s="22">
        <v>1.4</v>
      </c>
      <c r="O43" s="27">
        <v>0.59</v>
      </c>
      <c r="Q43" s="15" t="str">
        <f t="shared" si="4"/>
        <v>1011</v>
      </c>
      <c r="R43" s="56">
        <v>7.14</v>
      </c>
      <c r="S43" s="6">
        <v>10</v>
      </c>
      <c r="T43" s="7">
        <v>11</v>
      </c>
      <c r="V43" s="6"/>
    </row>
    <row r="44" spans="2:22" ht="15" thickBot="1" x14ac:dyDescent="0.35">
      <c r="B44" s="1" t="str">
        <f t="shared" si="2"/>
        <v>41,55</v>
      </c>
      <c r="C44" s="5">
        <v>4</v>
      </c>
      <c r="D44" s="15">
        <v>1.55</v>
      </c>
      <c r="E44" s="15">
        <v>0.44</v>
      </c>
      <c r="F44" s="15">
        <v>0.44</v>
      </c>
      <c r="G44" s="22">
        <v>33.299999999999997</v>
      </c>
      <c r="H44" s="22">
        <v>83.8</v>
      </c>
      <c r="I44" s="22">
        <v>14.7</v>
      </c>
      <c r="J44" s="23">
        <v>19.100000000000001</v>
      </c>
      <c r="K44" s="22"/>
      <c r="L44" s="1" t="str">
        <f t="shared" si="3"/>
        <v>5a1,5</v>
      </c>
      <c r="M44" s="8" t="s">
        <v>9</v>
      </c>
      <c r="N44" s="24">
        <v>1.5</v>
      </c>
      <c r="O44" s="28">
        <v>0.59</v>
      </c>
      <c r="Q44" s="15" t="str">
        <f t="shared" si="4"/>
        <v>1215</v>
      </c>
      <c r="R44" s="56">
        <v>7.54</v>
      </c>
      <c r="S44" s="6">
        <v>12</v>
      </c>
      <c r="T44" s="7">
        <v>15</v>
      </c>
      <c r="V44" s="6"/>
    </row>
    <row r="45" spans="2:22" x14ac:dyDescent="0.3">
      <c r="B45" s="1" t="str">
        <f t="shared" si="2"/>
        <v>41,6</v>
      </c>
      <c r="C45" s="5">
        <v>4</v>
      </c>
      <c r="D45" s="15">
        <v>1.6</v>
      </c>
      <c r="E45" s="15">
        <v>0.46</v>
      </c>
      <c r="F45" s="15">
        <v>0.46</v>
      </c>
      <c r="G45" s="22">
        <v>33.4</v>
      </c>
      <c r="H45" s="22">
        <v>88</v>
      </c>
      <c r="I45" s="22">
        <v>15.1</v>
      </c>
      <c r="J45" s="23">
        <v>19.600000000000001</v>
      </c>
      <c r="K45" s="22"/>
      <c r="L45" s="1" t="str">
        <f t="shared" si="3"/>
        <v>5b1</v>
      </c>
      <c r="M45" s="2" t="s">
        <v>10</v>
      </c>
      <c r="N45" s="20">
        <v>1</v>
      </c>
      <c r="O45" s="26">
        <v>0.57999999999999996</v>
      </c>
      <c r="Q45" s="15" t="str">
        <f t="shared" si="4"/>
        <v>1010</v>
      </c>
      <c r="R45" s="56">
        <v>7.85</v>
      </c>
      <c r="S45" s="6">
        <v>10</v>
      </c>
      <c r="T45" s="7">
        <v>10</v>
      </c>
      <c r="V45" s="6"/>
    </row>
    <row r="46" spans="2:22" x14ac:dyDescent="0.3">
      <c r="B46" s="1" t="str">
        <f t="shared" si="2"/>
        <v>41,8</v>
      </c>
      <c r="C46" s="5">
        <v>4</v>
      </c>
      <c r="D46" s="15">
        <v>1.8</v>
      </c>
      <c r="E46" s="15">
        <v>0.46</v>
      </c>
      <c r="F46" s="15">
        <v>0.46</v>
      </c>
      <c r="G46" s="22">
        <v>34.799999999999997</v>
      </c>
      <c r="H46" s="22">
        <v>114</v>
      </c>
      <c r="I46" s="22">
        <v>16</v>
      </c>
      <c r="J46" s="23">
        <v>21.8</v>
      </c>
      <c r="K46" s="22"/>
      <c r="L46" s="1" t="str">
        <f t="shared" si="3"/>
        <v>5b1,1</v>
      </c>
      <c r="M46" s="5" t="s">
        <v>10</v>
      </c>
      <c r="N46" s="22">
        <v>1.1000000000000001</v>
      </c>
      <c r="O46" s="27">
        <v>0.61</v>
      </c>
      <c r="Q46" s="6" t="str">
        <f t="shared" si="4"/>
        <v>1625</v>
      </c>
      <c r="R46" s="5">
        <v>8.0399999999999991</v>
      </c>
      <c r="S46" s="6">
        <v>16</v>
      </c>
      <c r="T46" s="7">
        <v>25</v>
      </c>
      <c r="V46" s="6"/>
    </row>
    <row r="47" spans="2:22" ht="15" thickBot="1" x14ac:dyDescent="0.35">
      <c r="B47" s="1" t="str">
        <f t="shared" si="2"/>
        <v>42</v>
      </c>
      <c r="C47" s="8">
        <v>4</v>
      </c>
      <c r="D47" s="16">
        <v>2</v>
      </c>
      <c r="E47" s="16">
        <v>0.46</v>
      </c>
      <c r="F47" s="16">
        <v>0.46</v>
      </c>
      <c r="G47" s="24">
        <v>35.799999999999997</v>
      </c>
      <c r="H47" s="24">
        <v>120</v>
      </c>
      <c r="I47" s="24">
        <v>16.8</v>
      </c>
      <c r="J47" s="25">
        <v>24.4</v>
      </c>
      <c r="K47" s="22"/>
      <c r="L47" s="1" t="str">
        <f t="shared" si="3"/>
        <v>5b1,2</v>
      </c>
      <c r="M47" s="5" t="s">
        <v>10</v>
      </c>
      <c r="N47" s="22">
        <v>1.2</v>
      </c>
      <c r="O47" s="27">
        <v>0.66</v>
      </c>
      <c r="Q47" s="15" t="str">
        <f t="shared" si="4"/>
        <v>1214</v>
      </c>
      <c r="R47" s="56">
        <v>8.08</v>
      </c>
      <c r="S47" s="6">
        <v>12</v>
      </c>
      <c r="T47" s="7">
        <v>14</v>
      </c>
      <c r="V47" s="6"/>
    </row>
    <row r="48" spans="2:22" x14ac:dyDescent="0.3">
      <c r="B48" s="1" t="str">
        <f t="shared" si="2"/>
        <v>5a1</v>
      </c>
      <c r="C48" s="2" t="s">
        <v>9</v>
      </c>
      <c r="D48" s="14">
        <v>1</v>
      </c>
      <c r="E48" s="14">
        <v>0.61</v>
      </c>
      <c r="F48" s="14">
        <v>0.84</v>
      </c>
      <c r="G48" s="20">
        <v>44.1</v>
      </c>
      <c r="H48" s="20">
        <v>59.5</v>
      </c>
      <c r="I48" s="20">
        <v>16.2</v>
      </c>
      <c r="J48" s="21">
        <v>18.3</v>
      </c>
      <c r="K48" s="22"/>
      <c r="L48" s="1" t="str">
        <f t="shared" si="3"/>
        <v>5b1,3</v>
      </c>
      <c r="M48" s="5" t="s">
        <v>10</v>
      </c>
      <c r="N48" s="22">
        <v>1.3</v>
      </c>
      <c r="O48" s="27">
        <v>0.7</v>
      </c>
      <c r="Q48" s="6" t="str">
        <f t="shared" si="4"/>
        <v>1624</v>
      </c>
      <c r="R48" s="5">
        <v>8.3800000000000008</v>
      </c>
      <c r="S48" s="6">
        <v>16</v>
      </c>
      <c r="T48" s="7">
        <v>24</v>
      </c>
      <c r="V48" s="6"/>
    </row>
    <row r="49" spans="2:22" x14ac:dyDescent="0.3">
      <c r="B49" s="1" t="str">
        <f t="shared" si="2"/>
        <v>5a1,05</v>
      </c>
      <c r="C49" s="5" t="s">
        <v>9</v>
      </c>
      <c r="D49" s="15">
        <v>1.05</v>
      </c>
      <c r="E49" s="15">
        <v>0.65</v>
      </c>
      <c r="F49" s="15">
        <v>0.9</v>
      </c>
      <c r="G49" s="22">
        <v>42.6</v>
      </c>
      <c r="H49" s="22">
        <v>61.2</v>
      </c>
      <c r="I49" s="22">
        <v>16.2</v>
      </c>
      <c r="J49" s="23">
        <v>18.899999999999999</v>
      </c>
      <c r="K49" s="22"/>
      <c r="L49" s="1" t="str">
        <f t="shared" si="3"/>
        <v>5b1,4</v>
      </c>
      <c r="M49" s="5" t="s">
        <v>10</v>
      </c>
      <c r="N49" s="22">
        <v>1.4</v>
      </c>
      <c r="O49" s="27">
        <v>0.74</v>
      </c>
      <c r="Q49" s="15" t="str">
        <f t="shared" si="4"/>
        <v>1213</v>
      </c>
      <c r="R49" s="56">
        <v>8.6999999999999993</v>
      </c>
      <c r="S49" s="6">
        <v>12</v>
      </c>
      <c r="T49" s="7">
        <v>13</v>
      </c>
      <c r="V49" s="6"/>
    </row>
    <row r="50" spans="2:22" ht="15" thickBot="1" x14ac:dyDescent="0.35">
      <c r="B50" s="1" t="str">
        <f t="shared" si="2"/>
        <v>5a1,1</v>
      </c>
      <c r="C50" s="5" t="s">
        <v>9</v>
      </c>
      <c r="D50" s="15">
        <v>1.1000000000000001</v>
      </c>
      <c r="E50" s="15">
        <v>0.7</v>
      </c>
      <c r="F50" s="15">
        <v>0.96</v>
      </c>
      <c r="G50" s="22">
        <v>41.6</v>
      </c>
      <c r="H50" s="19">
        <v>66.5</v>
      </c>
      <c r="I50" s="22">
        <v>16.3</v>
      </c>
      <c r="J50" s="23">
        <v>19.5</v>
      </c>
      <c r="K50" s="22"/>
      <c r="L50" s="1" t="str">
        <f t="shared" si="3"/>
        <v>5b1,5</v>
      </c>
      <c r="M50" s="8" t="s">
        <v>10</v>
      </c>
      <c r="N50" s="24">
        <v>1.5</v>
      </c>
      <c r="O50" s="28">
        <v>0.75</v>
      </c>
      <c r="Q50" s="6" t="str">
        <f t="shared" si="4"/>
        <v>1623</v>
      </c>
      <c r="R50" s="5">
        <v>8.74</v>
      </c>
      <c r="S50" s="6">
        <v>16</v>
      </c>
      <c r="T50" s="7">
        <v>23</v>
      </c>
      <c r="V50" s="6"/>
    </row>
    <row r="51" spans="2:22" x14ac:dyDescent="0.3">
      <c r="B51" s="1" t="str">
        <f t="shared" si="2"/>
        <v>5a1,15</v>
      </c>
      <c r="C51" s="5" t="s">
        <v>9</v>
      </c>
      <c r="D51" s="15">
        <v>1.1499999999999999</v>
      </c>
      <c r="E51" s="13">
        <v>0.75</v>
      </c>
      <c r="F51" s="15">
        <v>1.02</v>
      </c>
      <c r="G51" s="22">
        <v>41</v>
      </c>
      <c r="H51" s="22">
        <v>72</v>
      </c>
      <c r="I51" s="22">
        <v>16.5</v>
      </c>
      <c r="J51" s="23">
        <v>20.2</v>
      </c>
      <c r="K51" s="22"/>
      <c r="L51" s="1" t="str">
        <f t="shared" si="3"/>
        <v>61</v>
      </c>
      <c r="M51" s="2">
        <v>6</v>
      </c>
      <c r="N51" s="20">
        <v>1</v>
      </c>
      <c r="O51" s="26">
        <v>0.53</v>
      </c>
      <c r="Q51" s="6" t="str">
        <f t="shared" si="4"/>
        <v>1622</v>
      </c>
      <c r="R51" s="5">
        <v>9.14</v>
      </c>
      <c r="S51" s="6">
        <v>16</v>
      </c>
      <c r="T51" s="7">
        <v>22</v>
      </c>
      <c r="V51" s="6"/>
    </row>
    <row r="52" spans="2:22" x14ac:dyDescent="0.3">
      <c r="B52" s="1" t="str">
        <f t="shared" si="2"/>
        <v>5a1,2</v>
      </c>
      <c r="C52" s="5" t="s">
        <v>9</v>
      </c>
      <c r="D52" s="15">
        <v>1.2</v>
      </c>
      <c r="E52" s="15">
        <v>0.81</v>
      </c>
      <c r="F52" s="15">
        <v>1.0900000000000001</v>
      </c>
      <c r="G52" s="22">
        <v>40.6</v>
      </c>
      <c r="H52" s="22">
        <v>77.5</v>
      </c>
      <c r="I52" s="22">
        <v>16.7</v>
      </c>
      <c r="J52" s="23">
        <v>20.9</v>
      </c>
      <c r="K52" s="22"/>
      <c r="L52" s="1" t="str">
        <f t="shared" si="3"/>
        <v>61,1</v>
      </c>
      <c r="M52" s="5">
        <v>6</v>
      </c>
      <c r="N52" s="22">
        <v>1.1000000000000001</v>
      </c>
      <c r="O52" s="27">
        <v>0.55000000000000004</v>
      </c>
      <c r="Q52" s="15" t="str">
        <f t="shared" si="4"/>
        <v>1212</v>
      </c>
      <c r="R52" s="56">
        <v>9.42</v>
      </c>
      <c r="S52" s="6">
        <v>12</v>
      </c>
      <c r="T52" s="7">
        <v>12</v>
      </c>
      <c r="V52" s="6"/>
    </row>
    <row r="53" spans="2:22" x14ac:dyDescent="0.3">
      <c r="B53" s="1" t="str">
        <f t="shared" si="2"/>
        <v>5a1,25</v>
      </c>
      <c r="C53" s="5" t="s">
        <v>9</v>
      </c>
      <c r="D53" s="15">
        <v>1.25</v>
      </c>
      <c r="E53" s="15">
        <v>0.87</v>
      </c>
      <c r="F53" s="15">
        <v>1.1599999999999999</v>
      </c>
      <c r="G53" s="22">
        <v>40.4</v>
      </c>
      <c r="H53" s="22">
        <v>83</v>
      </c>
      <c r="I53" s="19">
        <v>16.899999999999999</v>
      </c>
      <c r="J53" s="23">
        <v>21.7</v>
      </c>
      <c r="K53" s="22"/>
      <c r="L53" s="1" t="str">
        <f t="shared" si="3"/>
        <v>61,2</v>
      </c>
      <c r="M53" s="5">
        <v>6</v>
      </c>
      <c r="N53" s="22">
        <v>1.2</v>
      </c>
      <c r="O53" s="27">
        <v>0.56000000000000005</v>
      </c>
      <c r="Q53" s="6" t="str">
        <f t="shared" si="4"/>
        <v>1621</v>
      </c>
      <c r="R53" s="5">
        <v>9.57</v>
      </c>
      <c r="S53" s="6">
        <v>16</v>
      </c>
      <c r="T53" s="7">
        <v>21</v>
      </c>
      <c r="V53" s="6"/>
    </row>
    <row r="54" spans="2:22" x14ac:dyDescent="0.3">
      <c r="B54" s="1" t="str">
        <f t="shared" si="2"/>
        <v>5a1,3</v>
      </c>
      <c r="C54" s="5" t="s">
        <v>9</v>
      </c>
      <c r="D54" s="15">
        <v>1.3</v>
      </c>
      <c r="E54" s="15">
        <v>0.93</v>
      </c>
      <c r="F54" s="15">
        <v>1.22</v>
      </c>
      <c r="G54" s="22">
        <v>40.299999999999997</v>
      </c>
      <c r="H54" s="22">
        <v>89.5</v>
      </c>
      <c r="I54" s="22">
        <v>17.2</v>
      </c>
      <c r="J54" s="23">
        <v>22.6</v>
      </c>
      <c r="K54" s="22"/>
      <c r="L54" s="1" t="str">
        <f t="shared" si="3"/>
        <v>61,3</v>
      </c>
      <c r="M54" s="5">
        <v>6</v>
      </c>
      <c r="N54" s="22">
        <v>1.3</v>
      </c>
      <c r="O54" s="27">
        <v>0.56000000000000005</v>
      </c>
      <c r="Q54" s="15" t="str">
        <f t="shared" si="4"/>
        <v>1620</v>
      </c>
      <c r="R54" s="56">
        <v>10.050000000000001</v>
      </c>
      <c r="S54" s="6">
        <v>16</v>
      </c>
      <c r="T54" s="7">
        <v>20</v>
      </c>
      <c r="V54" s="6"/>
    </row>
    <row r="55" spans="2:22" x14ac:dyDescent="0.3">
      <c r="B55" s="1" t="str">
        <f t="shared" si="2"/>
        <v>5a1,35</v>
      </c>
      <c r="C55" s="5" t="s">
        <v>9</v>
      </c>
      <c r="D55" s="15">
        <v>1.35</v>
      </c>
      <c r="E55" s="15">
        <v>0.99</v>
      </c>
      <c r="F55" s="13">
        <v>1.29</v>
      </c>
      <c r="G55" s="22">
        <v>40.4</v>
      </c>
      <c r="H55" s="22">
        <v>95</v>
      </c>
      <c r="I55" s="22">
        <v>17.5</v>
      </c>
      <c r="J55" s="23">
        <v>23.5</v>
      </c>
      <c r="K55" s="22"/>
      <c r="L55" s="1" t="str">
        <f t="shared" si="3"/>
        <v>61,4</v>
      </c>
      <c r="M55" s="5">
        <v>6</v>
      </c>
      <c r="N55" s="22">
        <v>1.4</v>
      </c>
      <c r="O55" s="27">
        <v>0.56999999999999995</v>
      </c>
      <c r="Q55" s="15" t="str">
        <f t="shared" si="4"/>
        <v>1211</v>
      </c>
      <c r="R55" s="56">
        <v>10.28</v>
      </c>
      <c r="S55" s="6">
        <v>12</v>
      </c>
      <c r="T55" s="7">
        <v>11</v>
      </c>
      <c r="V55" s="6"/>
    </row>
    <row r="56" spans="2:22" ht="15" thickBot="1" x14ac:dyDescent="0.35">
      <c r="B56" s="1" t="str">
        <f t="shared" si="2"/>
        <v>5a1,4</v>
      </c>
      <c r="C56" s="5" t="s">
        <v>9</v>
      </c>
      <c r="D56" s="15">
        <v>1.4</v>
      </c>
      <c r="E56" s="15">
        <v>1.04</v>
      </c>
      <c r="F56" s="15">
        <v>1.36</v>
      </c>
      <c r="G56" s="22">
        <v>40.6</v>
      </c>
      <c r="H56" s="22">
        <v>101</v>
      </c>
      <c r="I56" s="22">
        <v>17.8</v>
      </c>
      <c r="J56" s="23">
        <v>24.4</v>
      </c>
      <c r="K56" s="22"/>
      <c r="L56" s="1" t="str">
        <f t="shared" si="3"/>
        <v>61,5</v>
      </c>
      <c r="M56" s="8">
        <v>6</v>
      </c>
      <c r="N56" s="24">
        <v>1.5</v>
      </c>
      <c r="O56" s="28">
        <v>0.57999999999999996</v>
      </c>
      <c r="Q56" s="6" t="str">
        <f t="shared" si="4"/>
        <v>1619</v>
      </c>
      <c r="R56" s="5">
        <v>10.58</v>
      </c>
      <c r="S56" s="6">
        <v>16</v>
      </c>
      <c r="T56" s="7">
        <v>19</v>
      </c>
      <c r="V56" s="6"/>
    </row>
    <row r="57" spans="2:22" x14ac:dyDescent="0.3">
      <c r="B57" s="1" t="str">
        <f t="shared" si="2"/>
        <v>5a1,45</v>
      </c>
      <c r="C57" s="5" t="s">
        <v>9</v>
      </c>
      <c r="D57" s="15">
        <v>1.45</v>
      </c>
      <c r="E57" s="15">
        <v>1.0900000000000001</v>
      </c>
      <c r="F57" s="15">
        <v>1.43</v>
      </c>
      <c r="G57" s="22">
        <v>40.9</v>
      </c>
      <c r="H57" s="22">
        <v>107</v>
      </c>
      <c r="I57" s="22">
        <v>18.2</v>
      </c>
      <c r="J57" s="23">
        <v>25.3</v>
      </c>
      <c r="K57" s="22"/>
      <c r="Q57" s="6" t="str">
        <f t="shared" si="4"/>
        <v>1618</v>
      </c>
      <c r="R57" s="5">
        <v>11.17</v>
      </c>
      <c r="S57" s="6">
        <v>16</v>
      </c>
      <c r="T57" s="7">
        <v>18</v>
      </c>
      <c r="V57" s="6"/>
    </row>
    <row r="58" spans="2:22" x14ac:dyDescent="0.3">
      <c r="B58" s="1" t="str">
        <f t="shared" si="2"/>
        <v>5a1,5</v>
      </c>
      <c r="C58" s="5" t="s">
        <v>9</v>
      </c>
      <c r="D58" s="15">
        <v>1.5</v>
      </c>
      <c r="E58" s="15">
        <v>1.1399999999999999</v>
      </c>
      <c r="F58" s="15">
        <v>1.49</v>
      </c>
      <c r="G58" s="22">
        <v>41.3</v>
      </c>
      <c r="H58" s="22">
        <v>114</v>
      </c>
      <c r="I58" s="22">
        <v>18.600000000000001</v>
      </c>
      <c r="J58" s="23">
        <v>26.2</v>
      </c>
      <c r="K58" s="22"/>
      <c r="Q58" s="15" t="str">
        <f t="shared" si="4"/>
        <v>1210</v>
      </c>
      <c r="R58" s="56">
        <v>11.31</v>
      </c>
      <c r="S58" s="6">
        <v>12</v>
      </c>
      <c r="T58" s="7">
        <v>10</v>
      </c>
      <c r="V58" s="6"/>
    </row>
    <row r="59" spans="2:22" x14ac:dyDescent="0.3">
      <c r="B59" s="1" t="str">
        <f t="shared" si="2"/>
        <v>5a1,55</v>
      </c>
      <c r="C59" s="5" t="s">
        <v>9</v>
      </c>
      <c r="D59" s="15">
        <v>1.55</v>
      </c>
      <c r="E59" s="15">
        <v>1.19</v>
      </c>
      <c r="F59" s="15">
        <v>1.55</v>
      </c>
      <c r="G59" s="22">
        <v>41.8</v>
      </c>
      <c r="H59" s="22">
        <v>121</v>
      </c>
      <c r="I59" s="22">
        <v>19</v>
      </c>
      <c r="J59" s="23">
        <v>27.1</v>
      </c>
      <c r="K59" s="22"/>
      <c r="Q59" s="6" t="str">
        <f t="shared" si="4"/>
        <v>1617</v>
      </c>
      <c r="R59" s="5">
        <v>11.83</v>
      </c>
      <c r="S59" s="6">
        <v>16</v>
      </c>
      <c r="T59" s="7">
        <v>17</v>
      </c>
      <c r="V59" s="6"/>
    </row>
    <row r="60" spans="2:22" x14ac:dyDescent="0.3">
      <c r="B60" s="1" t="str">
        <f t="shared" si="2"/>
        <v>5a1,6</v>
      </c>
      <c r="C60" s="5" t="s">
        <v>9</v>
      </c>
      <c r="D60" s="15">
        <v>1.6</v>
      </c>
      <c r="E60" s="15">
        <v>1.24</v>
      </c>
      <c r="F60" s="15">
        <v>1.6</v>
      </c>
      <c r="G60" s="22">
        <v>42.5</v>
      </c>
      <c r="H60" s="22">
        <v>129</v>
      </c>
      <c r="I60" s="22">
        <v>19.5</v>
      </c>
      <c r="J60" s="23">
        <v>28</v>
      </c>
      <c r="K60" s="22"/>
      <c r="Q60" s="6" t="str">
        <f t="shared" si="4"/>
        <v>1616</v>
      </c>
      <c r="R60" s="5">
        <v>12.57</v>
      </c>
      <c r="S60" s="6">
        <v>16</v>
      </c>
      <c r="T60" s="7">
        <v>16</v>
      </c>
      <c r="V60" s="6"/>
    </row>
    <row r="61" spans="2:22" x14ac:dyDescent="0.3">
      <c r="B61" s="1" t="str">
        <f t="shared" si="2"/>
        <v>5a1,8</v>
      </c>
      <c r="C61" s="5" t="s">
        <v>9</v>
      </c>
      <c r="D61" s="15">
        <v>1.8</v>
      </c>
      <c r="E61" s="15">
        <v>1.24</v>
      </c>
      <c r="F61" s="15">
        <v>1.6</v>
      </c>
      <c r="G61" s="22">
        <v>45.4</v>
      </c>
      <c r="H61" s="22">
        <v>160</v>
      </c>
      <c r="I61" s="22">
        <v>21.4</v>
      </c>
      <c r="J61" s="23">
        <v>31.7</v>
      </c>
      <c r="K61" s="22"/>
      <c r="Q61" s="15" t="str">
        <f t="shared" si="4"/>
        <v>1615</v>
      </c>
      <c r="R61" s="56">
        <v>13.4</v>
      </c>
      <c r="S61" s="6">
        <v>16</v>
      </c>
      <c r="T61" s="7">
        <v>15</v>
      </c>
      <c r="V61" s="6"/>
    </row>
    <row r="62" spans="2:22" ht="15" thickBot="1" x14ac:dyDescent="0.35">
      <c r="B62" s="1" t="str">
        <f t="shared" si="2"/>
        <v>5a2</v>
      </c>
      <c r="C62" s="8" t="s">
        <v>9</v>
      </c>
      <c r="D62" s="16">
        <v>2</v>
      </c>
      <c r="E62" s="15">
        <v>1.24</v>
      </c>
      <c r="F62" s="16">
        <v>1.6</v>
      </c>
      <c r="G62" s="24">
        <v>49</v>
      </c>
      <c r="H62" s="24">
        <v>194</v>
      </c>
      <c r="I62" s="24">
        <v>23.6</v>
      </c>
      <c r="J62" s="25">
        <v>35.4</v>
      </c>
      <c r="K62" s="22"/>
      <c r="Q62" s="15" t="str">
        <f t="shared" si="4"/>
        <v>1614</v>
      </c>
      <c r="R62" s="56">
        <v>14.36</v>
      </c>
      <c r="S62" s="6">
        <v>16</v>
      </c>
      <c r="T62" s="7">
        <v>14</v>
      </c>
      <c r="V62" s="6"/>
    </row>
    <row r="63" spans="2:22" x14ac:dyDescent="0.3">
      <c r="B63" s="1" t="str">
        <f t="shared" si="2"/>
        <v>5b1</v>
      </c>
      <c r="C63" s="2" t="s">
        <v>10</v>
      </c>
      <c r="D63" s="14">
        <v>1</v>
      </c>
      <c r="E63" s="14">
        <v>0.84</v>
      </c>
      <c r="F63" s="14">
        <v>0.61</v>
      </c>
      <c r="G63" s="20">
        <v>59.5</v>
      </c>
      <c r="H63" s="20">
        <v>44.1</v>
      </c>
      <c r="I63" s="20">
        <v>18.3</v>
      </c>
      <c r="J63" s="21">
        <v>16.2</v>
      </c>
      <c r="K63" s="22"/>
      <c r="Q63" s="15" t="str">
        <f t="shared" si="4"/>
        <v>1613</v>
      </c>
      <c r="R63" s="56">
        <v>15.47</v>
      </c>
      <c r="S63" s="6">
        <v>16</v>
      </c>
      <c r="T63" s="7">
        <v>13</v>
      </c>
      <c r="V63" s="6"/>
    </row>
    <row r="64" spans="2:22" x14ac:dyDescent="0.3">
      <c r="B64" s="1" t="str">
        <f t="shared" si="2"/>
        <v>5b1,05</v>
      </c>
      <c r="C64" s="5" t="s">
        <v>10</v>
      </c>
      <c r="D64" s="15">
        <v>1.05</v>
      </c>
      <c r="E64" s="15">
        <v>0.8</v>
      </c>
      <c r="F64" s="15">
        <v>0.57999999999999996</v>
      </c>
      <c r="G64" s="22">
        <v>54.7</v>
      </c>
      <c r="H64" s="22">
        <v>45.9</v>
      </c>
      <c r="I64" s="22">
        <v>17.5</v>
      </c>
      <c r="J64" s="23">
        <v>16.2</v>
      </c>
      <c r="K64" s="22"/>
      <c r="Q64" s="15" t="str">
        <f t="shared" si="4"/>
        <v>1612</v>
      </c>
      <c r="R64" s="56">
        <v>16.760000000000002</v>
      </c>
      <c r="S64" s="6">
        <v>16</v>
      </c>
      <c r="T64" s="7">
        <v>12</v>
      </c>
      <c r="V64" s="6"/>
    </row>
    <row r="65" spans="2:22" x14ac:dyDescent="0.3">
      <c r="B65" s="1" t="str">
        <f t="shared" si="2"/>
        <v>5b1,1</v>
      </c>
      <c r="C65" s="5" t="s">
        <v>10</v>
      </c>
      <c r="D65" s="15">
        <v>1.1000000000000001</v>
      </c>
      <c r="E65" s="15">
        <v>0.76</v>
      </c>
      <c r="F65" s="15">
        <v>0.55000000000000004</v>
      </c>
      <c r="G65" s="22">
        <v>50.7</v>
      </c>
      <c r="H65" s="19">
        <v>48.1</v>
      </c>
      <c r="I65" s="22">
        <v>16.899999999999999</v>
      </c>
      <c r="J65" s="23">
        <v>16.3</v>
      </c>
      <c r="K65" s="22"/>
      <c r="Q65" s="15" t="str">
        <f t="shared" si="4"/>
        <v>1611</v>
      </c>
      <c r="R65" s="56">
        <v>18.28</v>
      </c>
      <c r="S65" s="6">
        <v>16</v>
      </c>
      <c r="T65" s="7">
        <v>11</v>
      </c>
      <c r="V65" s="6"/>
    </row>
    <row r="66" spans="2:22" ht="15" thickBot="1" x14ac:dyDescent="0.35">
      <c r="B66" s="1" t="str">
        <f t="shared" si="2"/>
        <v>5b1,15</v>
      </c>
      <c r="C66" s="5" t="s">
        <v>10</v>
      </c>
      <c r="D66" s="15">
        <v>1.1499999999999999</v>
      </c>
      <c r="E66" s="15">
        <v>0.74</v>
      </c>
      <c r="F66" s="15">
        <v>0.53</v>
      </c>
      <c r="G66" s="22">
        <v>47.5</v>
      </c>
      <c r="H66" s="22">
        <v>50.7</v>
      </c>
      <c r="I66" s="22">
        <v>16.5</v>
      </c>
      <c r="J66" s="23">
        <v>16.399999999999999</v>
      </c>
      <c r="K66" s="22"/>
      <c r="Q66" s="16" t="str">
        <f t="shared" si="4"/>
        <v>1610</v>
      </c>
      <c r="R66" s="57">
        <v>20.11</v>
      </c>
      <c r="S66" s="9">
        <v>16</v>
      </c>
      <c r="T66" s="10">
        <v>10</v>
      </c>
      <c r="V66" s="6"/>
    </row>
    <row r="67" spans="2:22" x14ac:dyDescent="0.3">
      <c r="B67" s="1" t="str">
        <f t="shared" si="2"/>
        <v>5b1,2</v>
      </c>
      <c r="C67" s="5" t="s">
        <v>10</v>
      </c>
      <c r="D67" s="15">
        <v>1.2</v>
      </c>
      <c r="E67" s="15">
        <v>0.72</v>
      </c>
      <c r="F67" s="15">
        <v>0.51</v>
      </c>
      <c r="G67" s="22">
        <v>44.9</v>
      </c>
      <c r="H67" s="22">
        <v>53.7</v>
      </c>
      <c r="I67" s="22">
        <v>16.2</v>
      </c>
      <c r="J67" s="23">
        <v>16.600000000000001</v>
      </c>
      <c r="K67" s="22"/>
      <c r="V67" s="6"/>
    </row>
    <row r="68" spans="2:22" x14ac:dyDescent="0.3">
      <c r="B68" s="1" t="str">
        <f t="shared" ref="B68:B92" si="5">C68&amp;D68</f>
        <v>5b1,25</v>
      </c>
      <c r="C68" s="5" t="s">
        <v>10</v>
      </c>
      <c r="D68" s="15">
        <v>1.25</v>
      </c>
      <c r="E68" s="15">
        <v>0.71</v>
      </c>
      <c r="F68" s="15">
        <v>0.5</v>
      </c>
      <c r="G68" s="22">
        <v>42.9</v>
      </c>
      <c r="H68" s="22">
        <v>57.1</v>
      </c>
      <c r="I68" s="19">
        <v>16</v>
      </c>
      <c r="J68" s="23">
        <v>16.899999999999999</v>
      </c>
      <c r="K68" s="22"/>
    </row>
    <row r="69" spans="2:22" x14ac:dyDescent="0.3">
      <c r="B69" s="1" t="str">
        <f t="shared" si="5"/>
        <v>5b1,3</v>
      </c>
      <c r="C69" s="5" t="s">
        <v>10</v>
      </c>
      <c r="D69" s="15">
        <v>1.3</v>
      </c>
      <c r="E69" s="15">
        <v>0.7</v>
      </c>
      <c r="F69" s="15">
        <v>0.49</v>
      </c>
      <c r="G69" s="22">
        <v>41.3</v>
      </c>
      <c r="H69" s="22">
        <v>61</v>
      </c>
      <c r="I69" s="22">
        <v>15.8</v>
      </c>
      <c r="J69" s="23">
        <v>17.3</v>
      </c>
      <c r="K69" s="22"/>
    </row>
    <row r="70" spans="2:22" x14ac:dyDescent="0.3">
      <c r="B70" s="1" t="str">
        <f t="shared" si="5"/>
        <v>5b1,35</v>
      </c>
      <c r="C70" s="5" t="s">
        <v>10</v>
      </c>
      <c r="D70" s="15">
        <v>1.35</v>
      </c>
      <c r="E70" s="15">
        <v>0.7</v>
      </c>
      <c r="F70" s="13">
        <v>0.48</v>
      </c>
      <c r="G70" s="22">
        <v>40.1</v>
      </c>
      <c r="H70" s="22">
        <v>65.400000000000006</v>
      </c>
      <c r="I70" s="22">
        <v>15.7</v>
      </c>
      <c r="J70" s="23">
        <v>17.7</v>
      </c>
      <c r="K70" s="22"/>
    </row>
    <row r="71" spans="2:22" x14ac:dyDescent="0.3">
      <c r="B71" s="1" t="str">
        <f t="shared" si="5"/>
        <v>5b1,4</v>
      </c>
      <c r="C71" s="5" t="s">
        <v>10</v>
      </c>
      <c r="D71" s="15">
        <v>1.4</v>
      </c>
      <c r="E71" s="15">
        <v>0.69</v>
      </c>
      <c r="F71" s="15">
        <v>0.47</v>
      </c>
      <c r="G71" s="22">
        <v>39.200000000000003</v>
      </c>
      <c r="H71" s="22">
        <v>70.400000000000006</v>
      </c>
      <c r="I71" s="22">
        <v>15.7</v>
      </c>
      <c r="J71" s="23">
        <v>18.100000000000001</v>
      </c>
      <c r="K71" s="22"/>
    </row>
    <row r="72" spans="2:22" x14ac:dyDescent="0.3">
      <c r="B72" s="1" t="str">
        <f t="shared" si="5"/>
        <v>5b1,45</v>
      </c>
      <c r="C72" s="5" t="s">
        <v>10</v>
      </c>
      <c r="D72" s="15">
        <v>1.45</v>
      </c>
      <c r="E72" s="15">
        <v>0.69</v>
      </c>
      <c r="F72" s="15">
        <v>0.47</v>
      </c>
      <c r="G72" s="22">
        <v>38.4</v>
      </c>
      <c r="H72" s="22">
        <v>76.099999999999994</v>
      </c>
      <c r="I72" s="22">
        <v>15.7</v>
      </c>
      <c r="J72" s="23">
        <v>18.600000000000001</v>
      </c>
      <c r="K72" s="22"/>
    </row>
    <row r="73" spans="2:22" x14ac:dyDescent="0.3">
      <c r="B73" s="1" t="str">
        <f t="shared" si="5"/>
        <v>5b1,5</v>
      </c>
      <c r="C73" s="5" t="s">
        <v>10</v>
      </c>
      <c r="D73" s="15">
        <v>1.5</v>
      </c>
      <c r="E73" s="15">
        <v>0.69</v>
      </c>
      <c r="F73" s="15">
        <v>0.46</v>
      </c>
      <c r="G73" s="22">
        <v>37.799999999999997</v>
      </c>
      <c r="H73" s="22">
        <v>82.5</v>
      </c>
      <c r="I73" s="22">
        <v>15.8</v>
      </c>
      <c r="J73" s="23">
        <v>19</v>
      </c>
      <c r="K73" s="22"/>
    </row>
    <row r="74" spans="2:22" x14ac:dyDescent="0.3">
      <c r="B74" s="1" t="str">
        <f t="shared" si="5"/>
        <v>5b1,55</v>
      </c>
      <c r="C74" s="5" t="s">
        <v>10</v>
      </c>
      <c r="D74" s="15">
        <v>1.55</v>
      </c>
      <c r="E74" s="15">
        <v>0.68</v>
      </c>
      <c r="F74" s="15">
        <v>0.46</v>
      </c>
      <c r="G74" s="22">
        <v>37.700000000000003</v>
      </c>
      <c r="H74" s="22">
        <v>89.5</v>
      </c>
      <c r="I74" s="22">
        <v>15.9</v>
      </c>
      <c r="J74" s="23">
        <v>19.5</v>
      </c>
      <c r="K74" s="22"/>
    </row>
    <row r="75" spans="2:22" x14ac:dyDescent="0.3">
      <c r="B75" s="1" t="str">
        <f t="shared" si="5"/>
        <v>5b1,6</v>
      </c>
      <c r="C75" s="5" t="s">
        <v>10</v>
      </c>
      <c r="D75" s="15">
        <v>1.6</v>
      </c>
      <c r="E75" s="15">
        <v>0.68</v>
      </c>
      <c r="F75" s="15">
        <v>0.46</v>
      </c>
      <c r="G75" s="22">
        <v>37.700000000000003</v>
      </c>
      <c r="H75" s="22">
        <v>97</v>
      </c>
      <c r="I75" s="22">
        <v>16.100000000000001</v>
      </c>
      <c r="J75" s="23">
        <v>20</v>
      </c>
      <c r="K75" s="22"/>
    </row>
    <row r="76" spans="2:22" x14ac:dyDescent="0.3">
      <c r="B76" s="1" t="str">
        <f t="shared" si="5"/>
        <v>5b1,8</v>
      </c>
      <c r="C76" s="5" t="s">
        <v>10</v>
      </c>
      <c r="D76" s="15">
        <v>1.8</v>
      </c>
      <c r="E76" s="15">
        <v>0.68</v>
      </c>
      <c r="F76" s="15">
        <v>0.46</v>
      </c>
      <c r="G76" s="22">
        <v>37.6</v>
      </c>
      <c r="H76" s="22">
        <v>143</v>
      </c>
      <c r="I76" s="22">
        <v>16.7</v>
      </c>
      <c r="J76" s="23">
        <v>22.1</v>
      </c>
      <c r="K76" s="22"/>
    </row>
    <row r="77" spans="2:22" ht="15" thickBot="1" x14ac:dyDescent="0.35">
      <c r="B77" s="1" t="str">
        <f t="shared" si="5"/>
        <v>5b2</v>
      </c>
      <c r="C77" s="8" t="s">
        <v>10</v>
      </c>
      <c r="D77" s="16">
        <v>2</v>
      </c>
      <c r="E77" s="16">
        <v>0.68</v>
      </c>
      <c r="F77" s="16">
        <v>0.46</v>
      </c>
      <c r="G77" s="24">
        <v>37.5</v>
      </c>
      <c r="H77" s="24">
        <v>202</v>
      </c>
      <c r="I77" s="24">
        <v>17.600000000000001</v>
      </c>
      <c r="J77" s="25">
        <v>24.6</v>
      </c>
      <c r="K77" s="22"/>
    </row>
    <row r="78" spans="2:22" x14ac:dyDescent="0.3">
      <c r="B78" s="1" t="str">
        <f t="shared" si="5"/>
        <v>61</v>
      </c>
      <c r="C78" s="2">
        <v>6</v>
      </c>
      <c r="D78" s="14">
        <v>1</v>
      </c>
      <c r="E78" s="14">
        <v>1.03</v>
      </c>
      <c r="F78" s="14">
        <v>1.03</v>
      </c>
      <c r="G78" s="20">
        <v>56.8</v>
      </c>
      <c r="H78" s="20">
        <v>56.8</v>
      </c>
      <c r="I78" s="20">
        <v>19.399999999999999</v>
      </c>
      <c r="J78" s="21">
        <v>19.399999999999999</v>
      </c>
      <c r="K78" s="22"/>
    </row>
    <row r="79" spans="2:22" x14ac:dyDescent="0.3">
      <c r="B79" s="1" t="str">
        <f t="shared" si="5"/>
        <v>61,05</v>
      </c>
      <c r="C79" s="5">
        <v>6</v>
      </c>
      <c r="D79" s="15">
        <v>1.05</v>
      </c>
      <c r="E79" s="15">
        <v>1.04</v>
      </c>
      <c r="F79" s="15">
        <v>1.04</v>
      </c>
      <c r="G79" s="22">
        <v>53.5</v>
      </c>
      <c r="H79" s="22">
        <v>61.2</v>
      </c>
      <c r="I79" s="22">
        <v>19</v>
      </c>
      <c r="J79" s="23">
        <v>19.8</v>
      </c>
      <c r="K79" s="22"/>
    </row>
    <row r="80" spans="2:22" x14ac:dyDescent="0.3">
      <c r="B80" s="1" t="str">
        <f t="shared" si="5"/>
        <v>61,1</v>
      </c>
      <c r="C80" s="5">
        <v>6</v>
      </c>
      <c r="D80" s="15">
        <v>1.1000000000000001</v>
      </c>
      <c r="E80" s="15">
        <v>1.05</v>
      </c>
      <c r="F80" s="15">
        <v>1.05</v>
      </c>
      <c r="G80" s="22">
        <v>50.7</v>
      </c>
      <c r="H80" s="19">
        <v>66.3</v>
      </c>
      <c r="I80" s="22">
        <v>18.8</v>
      </c>
      <c r="J80" s="23">
        <v>20.3</v>
      </c>
      <c r="K80" s="22"/>
    </row>
    <row r="81" spans="2:11" x14ac:dyDescent="0.3">
      <c r="B81" s="1" t="str">
        <f t="shared" si="5"/>
        <v>61,15</v>
      </c>
      <c r="C81" s="5">
        <v>6</v>
      </c>
      <c r="D81" s="15">
        <v>1.1499999999999999</v>
      </c>
      <c r="E81" s="15">
        <v>1.07</v>
      </c>
      <c r="F81" s="15">
        <v>1.07</v>
      </c>
      <c r="G81" s="22">
        <v>48.8</v>
      </c>
      <c r="H81" s="22">
        <v>72.2</v>
      </c>
      <c r="I81" s="19">
        <v>18.7</v>
      </c>
      <c r="J81" s="23">
        <v>20.9</v>
      </c>
      <c r="K81" s="22"/>
    </row>
    <row r="82" spans="2:11" x14ac:dyDescent="0.3">
      <c r="B82" s="1" t="str">
        <f t="shared" si="5"/>
        <v>61,2</v>
      </c>
      <c r="C82" s="5">
        <v>6</v>
      </c>
      <c r="D82" s="15">
        <v>1.2</v>
      </c>
      <c r="E82" s="15">
        <v>1.1000000000000001</v>
      </c>
      <c r="F82" s="15">
        <v>1.1000000000000001</v>
      </c>
      <c r="G82" s="22">
        <v>47.2</v>
      </c>
      <c r="H82" s="22">
        <v>78.900000000000006</v>
      </c>
      <c r="I82" s="19">
        <v>18.600000000000001</v>
      </c>
      <c r="J82" s="23">
        <v>21.5</v>
      </c>
      <c r="K82" s="22"/>
    </row>
    <row r="83" spans="2:11" x14ac:dyDescent="0.3">
      <c r="B83" s="1" t="str">
        <f t="shared" si="5"/>
        <v>61,25</v>
      </c>
      <c r="C83" s="5">
        <v>6</v>
      </c>
      <c r="D83" s="15">
        <v>1.25</v>
      </c>
      <c r="E83" s="15">
        <v>1.1299999999999999</v>
      </c>
      <c r="F83" s="15">
        <v>1.1299999999999999</v>
      </c>
      <c r="G83" s="22">
        <v>46.1</v>
      </c>
      <c r="H83" s="22">
        <v>86.7</v>
      </c>
      <c r="I83" s="22">
        <v>18.7</v>
      </c>
      <c r="J83" s="23">
        <v>22.2</v>
      </c>
      <c r="K83" s="22"/>
    </row>
    <row r="84" spans="2:11" x14ac:dyDescent="0.3">
      <c r="B84" s="1" t="str">
        <f t="shared" si="5"/>
        <v>61,3</v>
      </c>
      <c r="C84" s="5">
        <v>6</v>
      </c>
      <c r="D84" s="15">
        <v>1.3</v>
      </c>
      <c r="E84" s="15">
        <v>1.17</v>
      </c>
      <c r="F84" s="15">
        <v>1.17</v>
      </c>
      <c r="G84" s="22">
        <v>45.2</v>
      </c>
      <c r="H84" s="22">
        <v>95.6</v>
      </c>
      <c r="I84" s="22">
        <v>18.8</v>
      </c>
      <c r="J84" s="23">
        <v>22.9</v>
      </c>
      <c r="K84" s="22"/>
    </row>
    <row r="85" spans="2:11" x14ac:dyDescent="0.3">
      <c r="B85" s="1" t="str">
        <f t="shared" si="5"/>
        <v>61,35</v>
      </c>
      <c r="C85" s="5">
        <v>6</v>
      </c>
      <c r="D85" s="15">
        <v>1.35</v>
      </c>
      <c r="E85" s="15">
        <v>1.21</v>
      </c>
      <c r="F85" s="13">
        <v>1.21</v>
      </c>
      <c r="G85" s="22">
        <v>44.9</v>
      </c>
      <c r="H85" s="22">
        <v>105.6</v>
      </c>
      <c r="I85" s="19">
        <v>19</v>
      </c>
      <c r="J85" s="23">
        <v>23.7</v>
      </c>
      <c r="K85" s="22"/>
    </row>
    <row r="86" spans="2:11" x14ac:dyDescent="0.3">
      <c r="B86" s="1" t="str">
        <f t="shared" si="5"/>
        <v>61,4</v>
      </c>
      <c r="C86" s="5">
        <v>6</v>
      </c>
      <c r="D86" s="15">
        <v>1.4</v>
      </c>
      <c r="E86" s="15">
        <v>1.24</v>
      </c>
      <c r="F86" s="15">
        <v>1.24</v>
      </c>
      <c r="G86" s="22">
        <v>44.6</v>
      </c>
      <c r="H86" s="22">
        <v>116.6</v>
      </c>
      <c r="I86" s="22">
        <v>19.2</v>
      </c>
      <c r="J86" s="23">
        <v>24.5</v>
      </c>
      <c r="K86" s="22"/>
    </row>
    <row r="87" spans="2:11" x14ac:dyDescent="0.3">
      <c r="B87" s="1" t="str">
        <f t="shared" si="5"/>
        <v>61,45</v>
      </c>
      <c r="C87" s="5">
        <v>6</v>
      </c>
      <c r="D87" s="15">
        <v>1.45</v>
      </c>
      <c r="E87" s="15">
        <v>1.28</v>
      </c>
      <c r="F87" s="15">
        <v>1.28</v>
      </c>
      <c r="G87" s="22">
        <v>44.5</v>
      </c>
      <c r="H87" s="22">
        <v>128.5</v>
      </c>
      <c r="I87" s="22">
        <v>19.5</v>
      </c>
      <c r="J87" s="23">
        <v>25.3</v>
      </c>
      <c r="K87" s="22"/>
    </row>
    <row r="88" spans="2:11" x14ac:dyDescent="0.3">
      <c r="B88" s="1" t="str">
        <f t="shared" si="5"/>
        <v>61,5</v>
      </c>
      <c r="C88" s="5">
        <v>6</v>
      </c>
      <c r="D88" s="15">
        <v>1.5</v>
      </c>
      <c r="E88" s="15">
        <v>1.31</v>
      </c>
      <c r="F88" s="15">
        <v>1.31</v>
      </c>
      <c r="G88" s="22">
        <v>44.4</v>
      </c>
      <c r="H88" s="22">
        <v>140.5</v>
      </c>
      <c r="I88" s="22">
        <v>19.8</v>
      </c>
      <c r="J88" s="23">
        <v>26.2</v>
      </c>
      <c r="K88" s="22"/>
    </row>
    <row r="89" spans="2:11" x14ac:dyDescent="0.3">
      <c r="B89" s="1" t="str">
        <f t="shared" si="5"/>
        <v>61,55</v>
      </c>
      <c r="C89" s="5">
        <v>6</v>
      </c>
      <c r="D89" s="15">
        <v>1.55</v>
      </c>
      <c r="E89" s="15">
        <v>1.35</v>
      </c>
      <c r="F89" s="15">
        <v>1.35</v>
      </c>
      <c r="G89" s="22">
        <v>45.2</v>
      </c>
      <c r="H89" s="22">
        <v>152</v>
      </c>
      <c r="I89" s="22">
        <v>20.100000000000001</v>
      </c>
      <c r="J89" s="23">
        <v>27</v>
      </c>
      <c r="K89" s="22"/>
    </row>
    <row r="90" spans="2:11" x14ac:dyDescent="0.3">
      <c r="B90" s="1" t="str">
        <f t="shared" si="5"/>
        <v>61,6</v>
      </c>
      <c r="C90" s="5">
        <v>6</v>
      </c>
      <c r="D90" s="15">
        <v>1.6</v>
      </c>
      <c r="E90" s="15">
        <v>1.39</v>
      </c>
      <c r="F90" s="15">
        <v>1.39</v>
      </c>
      <c r="G90" s="22">
        <v>46.1</v>
      </c>
      <c r="H90" s="22">
        <v>163</v>
      </c>
      <c r="I90" s="22">
        <v>20.5</v>
      </c>
      <c r="J90" s="23">
        <v>27.9</v>
      </c>
      <c r="K90" s="22"/>
    </row>
    <row r="91" spans="2:11" x14ac:dyDescent="0.3">
      <c r="B91" s="1" t="str">
        <f t="shared" si="5"/>
        <v>61,8</v>
      </c>
      <c r="C91" s="5">
        <v>6</v>
      </c>
      <c r="D91" s="15">
        <v>1.8</v>
      </c>
      <c r="E91" s="15">
        <v>1.39</v>
      </c>
      <c r="F91" s="15">
        <v>1.39</v>
      </c>
      <c r="G91" s="22">
        <v>48.8</v>
      </c>
      <c r="H91" s="22">
        <v>190</v>
      </c>
      <c r="I91" s="22">
        <v>22</v>
      </c>
      <c r="J91" s="23">
        <v>31.4</v>
      </c>
      <c r="K91" s="22"/>
    </row>
    <row r="92" spans="2:11" ht="15" thickBot="1" x14ac:dyDescent="0.35">
      <c r="B92" s="1" t="str">
        <f t="shared" si="5"/>
        <v>62</v>
      </c>
      <c r="C92" s="8">
        <v>6</v>
      </c>
      <c r="D92" s="16">
        <v>2</v>
      </c>
      <c r="E92" s="16">
        <v>1.39</v>
      </c>
      <c r="F92" s="16">
        <v>1.39</v>
      </c>
      <c r="G92" s="24">
        <v>50</v>
      </c>
      <c r="H92" s="24">
        <v>210</v>
      </c>
      <c r="I92" s="24">
        <v>24</v>
      </c>
      <c r="J92" s="25">
        <v>35</v>
      </c>
      <c r="K92" s="22"/>
    </row>
  </sheetData>
  <sortState ref="Q3:T66">
    <sortCondition ref="R3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D115"/>
  <sheetViews>
    <sheetView showGridLines="0" topLeftCell="A4" zoomScale="70" zoomScaleNormal="70" workbookViewId="0">
      <selection activeCell="C82" sqref="C82:X82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10" width="17.109375" customWidth="1"/>
    <col min="11" max="11" width="17" customWidth="1"/>
    <col min="12" max="24" width="17.109375" customWidth="1"/>
  </cols>
  <sheetData>
    <row r="2" spans="2:21" ht="18" x14ac:dyDescent="0.35">
      <c r="B2" s="52" t="s">
        <v>209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230</v>
      </c>
      <c r="C35" s="6">
        <v>0.74</v>
      </c>
      <c r="D35" s="6">
        <v>3.83</v>
      </c>
      <c r="E35" s="6">
        <v>16</v>
      </c>
      <c r="F35" s="112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232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211</v>
      </c>
      <c r="D39" s="74" t="s">
        <v>212</v>
      </c>
      <c r="E39" s="74" t="s">
        <v>213</v>
      </c>
      <c r="F39" s="74" t="s">
        <v>214</v>
      </c>
      <c r="G39" s="74" t="s">
        <v>215</v>
      </c>
      <c r="H39" s="74" t="s">
        <v>216</v>
      </c>
      <c r="I39" s="74" t="s">
        <v>217</v>
      </c>
      <c r="J39" s="74" t="s">
        <v>218</v>
      </c>
      <c r="K39" s="74" t="s">
        <v>219</v>
      </c>
      <c r="L39" s="74" t="s">
        <v>220</v>
      </c>
      <c r="M39" s="74" t="s">
        <v>221</v>
      </c>
      <c r="N39" s="74" t="s">
        <v>222</v>
      </c>
      <c r="O39" s="74" t="s">
        <v>223</v>
      </c>
      <c r="P39" s="74" t="s">
        <v>224</v>
      </c>
      <c r="Q39" s="74" t="s">
        <v>225</v>
      </c>
      <c r="R39" s="74" t="s">
        <v>226</v>
      </c>
      <c r="S39" s="74" t="s">
        <v>227</v>
      </c>
      <c r="T39" s="74" t="s">
        <v>228</v>
      </c>
      <c r="U39" s="74" t="s">
        <v>229</v>
      </c>
      <c r="V39" s="74" t="s">
        <v>230</v>
      </c>
      <c r="W39" s="74" t="s">
        <v>231</v>
      </c>
      <c r="X39" s="74" t="s">
        <v>232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9.1</v>
      </c>
      <c r="O42" s="76">
        <f t="shared" si="1"/>
        <v>5.6</v>
      </c>
      <c r="P42" s="76">
        <f t="shared" si="1"/>
        <v>5.6</v>
      </c>
      <c r="Q42" s="76">
        <f t="shared" si="1"/>
        <v>8.93</v>
      </c>
      <c r="R42" s="76">
        <f t="shared" si="1"/>
        <v>3.83</v>
      </c>
      <c r="S42" s="76">
        <f t="shared" si="1"/>
        <v>3.83</v>
      </c>
      <c r="T42" s="76">
        <f t="shared" si="1"/>
        <v>10.69</v>
      </c>
      <c r="U42" s="76">
        <f t="shared" si="1"/>
        <v>10.86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3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>
        <f t="shared" si="3"/>
        <v>4</v>
      </c>
      <c r="S44" s="116">
        <f t="shared" si="3"/>
        <v>4</v>
      </c>
      <c r="T44" s="116" t="str">
        <f t="shared" si="3"/>
        <v>2a</v>
      </c>
      <c r="U44" s="116" t="str">
        <f t="shared" si="3"/>
        <v>2a</v>
      </c>
      <c r="V44" s="116">
        <f t="shared" si="3"/>
        <v>4</v>
      </c>
      <c r="W44" s="116">
        <f t="shared" si="3"/>
        <v>4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6.1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6</v>
      </c>
      <c r="R46" s="81">
        <f t="shared" si="4"/>
        <v>3.7</v>
      </c>
      <c r="S46" s="81">
        <f t="shared" si="4"/>
        <v>3.7</v>
      </c>
      <c r="T46" s="81">
        <f t="shared" si="4"/>
        <v>8</v>
      </c>
      <c r="U46" s="81">
        <f t="shared" si="4"/>
        <v>8.1999999999999993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0.76</v>
      </c>
      <c r="S47" s="77">
        <f>IF(S46&gt;1.5,VLOOKUP(S44&amp;1.5,tablas!$L$3:$O$56,4,FALSE),VLOOKUP(S44&amp;S46,tablas!$L$3:$O$56,4,FALSE))</f>
        <v>0.76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0.76</v>
      </c>
      <c r="W47" s="77">
        <f>IF(W46&gt;1.5,VLOOKUP(W44&amp;1.5,tablas!$L$3:$O$56,4,FALSE),VLOOKUP(W44&amp;W46,tablas!$L$3:$O$56,4,FALSE))</f>
        <v>0.76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100</v>
      </c>
      <c r="D56" s="84">
        <f t="shared" ref="D56:X56" si="5">VLOOKUP(D$39,$B$16:$H$35,6)</f>
        <v>100</v>
      </c>
      <c r="E56" s="84">
        <f t="shared" si="5"/>
        <v>100</v>
      </c>
      <c r="F56" s="84">
        <f t="shared" si="5"/>
        <v>100</v>
      </c>
      <c r="G56" s="84">
        <f t="shared" si="5"/>
        <v>100</v>
      </c>
      <c r="H56" s="84">
        <f t="shared" si="5"/>
        <v>100</v>
      </c>
      <c r="I56" s="84">
        <f t="shared" si="5"/>
        <v>100</v>
      </c>
      <c r="J56" s="84">
        <f t="shared" si="5"/>
        <v>100</v>
      </c>
      <c r="K56" s="84">
        <f t="shared" si="5"/>
        <v>100</v>
      </c>
      <c r="L56" s="84">
        <f t="shared" si="5"/>
        <v>100</v>
      </c>
      <c r="M56" s="84">
        <f t="shared" si="5"/>
        <v>100</v>
      </c>
      <c r="N56" s="84">
        <f t="shared" si="5"/>
        <v>100</v>
      </c>
      <c r="O56" s="84">
        <f t="shared" si="5"/>
        <v>100</v>
      </c>
      <c r="P56" s="84">
        <f t="shared" si="5"/>
        <v>100</v>
      </c>
      <c r="Q56" s="84">
        <f t="shared" si="5"/>
        <v>100</v>
      </c>
      <c r="R56" s="84">
        <f t="shared" si="5"/>
        <v>100</v>
      </c>
      <c r="S56" s="84">
        <f t="shared" si="5"/>
        <v>100</v>
      </c>
      <c r="T56" s="84">
        <f t="shared" si="5"/>
        <v>100</v>
      </c>
      <c r="U56" s="84">
        <f t="shared" si="5"/>
        <v>100</v>
      </c>
      <c r="V56" s="84">
        <f t="shared" si="5"/>
        <v>100</v>
      </c>
      <c r="W56" s="84">
        <f t="shared" si="5"/>
        <v>100</v>
      </c>
      <c r="X56" s="84">
        <f t="shared" si="5"/>
        <v>100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910</v>
      </c>
      <c r="D59" s="76">
        <f t="shared" ref="D59:X59" si="8">1.2*D58+1.6*D56</f>
        <v>910</v>
      </c>
      <c r="E59" s="76">
        <f t="shared" si="8"/>
        <v>910</v>
      </c>
      <c r="F59" s="76">
        <f t="shared" si="8"/>
        <v>910</v>
      </c>
      <c r="G59" s="76">
        <f t="shared" si="8"/>
        <v>910</v>
      </c>
      <c r="H59" s="76">
        <f t="shared" si="8"/>
        <v>910</v>
      </c>
      <c r="I59" s="76">
        <f t="shared" si="8"/>
        <v>910</v>
      </c>
      <c r="J59" s="76">
        <f t="shared" si="8"/>
        <v>910</v>
      </c>
      <c r="K59" s="76">
        <f t="shared" si="8"/>
        <v>910</v>
      </c>
      <c r="L59" s="76">
        <f t="shared" si="8"/>
        <v>910</v>
      </c>
      <c r="M59" s="76">
        <f t="shared" si="8"/>
        <v>910</v>
      </c>
      <c r="N59" s="76">
        <f t="shared" si="8"/>
        <v>910</v>
      </c>
      <c r="O59" s="76">
        <f t="shared" si="8"/>
        <v>910</v>
      </c>
      <c r="P59" s="76">
        <f t="shared" si="8"/>
        <v>910</v>
      </c>
      <c r="Q59" s="76">
        <f t="shared" si="8"/>
        <v>910</v>
      </c>
      <c r="R59" s="76">
        <f t="shared" si="8"/>
        <v>910</v>
      </c>
      <c r="S59" s="76">
        <f t="shared" si="8"/>
        <v>910</v>
      </c>
      <c r="T59" s="76">
        <f t="shared" si="8"/>
        <v>910</v>
      </c>
      <c r="U59" s="76">
        <f t="shared" si="8"/>
        <v>910</v>
      </c>
      <c r="V59" s="76">
        <f t="shared" si="8"/>
        <v>910</v>
      </c>
      <c r="W59" s="76">
        <f>1.2*W58+1.6*W56</f>
        <v>910</v>
      </c>
      <c r="X59" s="76">
        <f t="shared" si="8"/>
        <v>910</v>
      </c>
    </row>
    <row r="60" spans="2:24" x14ac:dyDescent="0.3">
      <c r="B60" s="98" t="s">
        <v>92</v>
      </c>
      <c r="C60" s="85">
        <f>C59*C41*C42</f>
        <v>55055</v>
      </c>
      <c r="D60" s="86">
        <f>D59*D41*D42</f>
        <v>23696.399999999998</v>
      </c>
      <c r="E60" s="86">
        <f t="shared" ref="E60:X60" si="9">E59*E41*E42</f>
        <v>23696.399999999998</v>
      </c>
      <c r="F60" s="86">
        <f t="shared" si="9"/>
        <v>43438.394999999997</v>
      </c>
      <c r="G60" s="86">
        <f t="shared" si="9"/>
        <v>36861.551999999996</v>
      </c>
      <c r="H60" s="86">
        <f t="shared" si="9"/>
        <v>22840.999999999996</v>
      </c>
      <c r="I60" s="86">
        <f t="shared" si="9"/>
        <v>7720.4400000000005</v>
      </c>
      <c r="J60" s="86">
        <f t="shared" si="9"/>
        <v>14268.8</v>
      </c>
      <c r="K60" s="86">
        <f t="shared" si="9"/>
        <v>16784.04</v>
      </c>
      <c r="L60" s="86">
        <f>L59*L41*L42</f>
        <v>22840.999999999996</v>
      </c>
      <c r="M60" s="86">
        <f t="shared" si="9"/>
        <v>34372.338000000003</v>
      </c>
      <c r="N60" s="86">
        <f t="shared" si="9"/>
        <v>12504.31</v>
      </c>
      <c r="O60" s="86">
        <f t="shared" si="9"/>
        <v>7694.9599999999991</v>
      </c>
      <c r="P60" s="86">
        <f t="shared" si="9"/>
        <v>7694.9599999999991</v>
      </c>
      <c r="Q60" s="86">
        <f t="shared" si="9"/>
        <v>12270.712999999998</v>
      </c>
      <c r="R60" s="86">
        <f t="shared" si="9"/>
        <v>3624.712</v>
      </c>
      <c r="S60" s="86">
        <f t="shared" si="9"/>
        <v>3624.712</v>
      </c>
      <c r="T60" s="86">
        <f t="shared" si="9"/>
        <v>13035.386</v>
      </c>
      <c r="U60" s="86">
        <f t="shared" si="9"/>
        <v>13242.684000000001</v>
      </c>
      <c r="V60" s="86">
        <f t="shared" si="9"/>
        <v>2579.1219999999998</v>
      </c>
      <c r="W60" s="86">
        <f t="shared" si="9"/>
        <v>2439.71</v>
      </c>
      <c r="X60" s="86">
        <f t="shared" si="9"/>
        <v>9078.159999999998</v>
      </c>
    </row>
    <row r="61" spans="2:24" ht="15" thickBot="1" x14ac:dyDescent="0.35">
      <c r="B61" s="99" t="s">
        <v>93</v>
      </c>
      <c r="C61" s="87">
        <f>C56/(2*C59)</f>
        <v>5.4945054945054944E-2</v>
      </c>
      <c r="D61" s="88">
        <f>D56/(2*D59)</f>
        <v>5.4945054945054944E-2</v>
      </c>
      <c r="E61" s="88">
        <f t="shared" ref="E61:X61" si="10">E56/(2*E59)</f>
        <v>5.4945054945054944E-2</v>
      </c>
      <c r="F61" s="88">
        <f t="shared" si="10"/>
        <v>5.4945054945054944E-2</v>
      </c>
      <c r="G61" s="88">
        <f t="shared" si="10"/>
        <v>5.4945054945054944E-2</v>
      </c>
      <c r="H61" s="88">
        <f t="shared" si="10"/>
        <v>5.4945054945054944E-2</v>
      </c>
      <c r="I61" s="88">
        <f t="shared" si="10"/>
        <v>5.4945054945054944E-2</v>
      </c>
      <c r="J61" s="88">
        <f t="shared" si="10"/>
        <v>5.4945054945054944E-2</v>
      </c>
      <c r="K61" s="88">
        <f t="shared" si="10"/>
        <v>5.4945054945054944E-2</v>
      </c>
      <c r="L61" s="88">
        <f t="shared" si="10"/>
        <v>5.4945054945054944E-2</v>
      </c>
      <c r="M61" s="88">
        <f t="shared" si="10"/>
        <v>5.4945054945054944E-2</v>
      </c>
      <c r="N61" s="88">
        <f t="shared" si="10"/>
        <v>5.4945054945054944E-2</v>
      </c>
      <c r="O61" s="88">
        <f t="shared" si="10"/>
        <v>5.4945054945054944E-2</v>
      </c>
      <c r="P61" s="88">
        <f t="shared" si="10"/>
        <v>5.4945054945054944E-2</v>
      </c>
      <c r="Q61" s="88">
        <f t="shared" si="10"/>
        <v>5.4945054945054944E-2</v>
      </c>
      <c r="R61" s="88">
        <f t="shared" si="10"/>
        <v>5.4945054945054944E-2</v>
      </c>
      <c r="S61" s="88">
        <f t="shared" si="10"/>
        <v>5.4945054945054944E-2</v>
      </c>
      <c r="T61" s="88">
        <f t="shared" si="10"/>
        <v>5.4945054945054944E-2</v>
      </c>
      <c r="U61" s="88">
        <f t="shared" si="10"/>
        <v>5.4945054945054944E-2</v>
      </c>
      <c r="V61" s="88">
        <f t="shared" si="10"/>
        <v>5.4945054945054944E-2</v>
      </c>
      <c r="W61" s="88">
        <f t="shared" si="10"/>
        <v>5.4945054945054944E-2</v>
      </c>
      <c r="X61" s="88">
        <f t="shared" si="10"/>
        <v>5.4945054945054944E-2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745.56735357917569</v>
      </c>
      <c r="D63" s="89">
        <f t="shared" ref="D63:X63" si="11">IF(D46&lt;=2,D60/D49*(1+D61*D53)*D47,IF(OR(D44=6,D44="5a",D44="3a"),D59*D41^2/17,(IF(OR(D44="2a",D44=4,D44="5b"),D59*D41^2/12,IF(OR(D44=1,D44="2b",D44="3b"),D59*D41^2/8)))))</f>
        <v>312.45695575221237</v>
      </c>
      <c r="E63" s="89">
        <f t="shared" si="11"/>
        <v>312.45695575221237</v>
      </c>
      <c r="F63" s="89">
        <f t="shared" si="11"/>
        <v>592.97808026905818</v>
      </c>
      <c r="G63" s="89">
        <f t="shared" si="11"/>
        <v>463.77311186440676</v>
      </c>
      <c r="H63" s="89">
        <f t="shared" si="11"/>
        <v>262.07716962524654</v>
      </c>
      <c r="I63" s="89">
        <f t="shared" si="11"/>
        <v>160.17792000000003</v>
      </c>
      <c r="J63" s="89">
        <f t="shared" si="11"/>
        <v>104.9176470588235</v>
      </c>
      <c r="K63" s="89">
        <f t="shared" si="11"/>
        <v>450.18235294117648</v>
      </c>
      <c r="L63" s="89">
        <f t="shared" si="11"/>
        <v>262.07716962524654</v>
      </c>
      <c r="M63" s="89">
        <f t="shared" si="11"/>
        <v>432.45510000000007</v>
      </c>
      <c r="N63" s="89">
        <f t="shared" si="11"/>
        <v>172.90758333333335</v>
      </c>
      <c r="O63" s="89">
        <f t="shared" si="11"/>
        <v>172.90758333333335</v>
      </c>
      <c r="P63" s="89">
        <f t="shared" si="11"/>
        <v>172.90758333333335</v>
      </c>
      <c r="Q63" s="89">
        <f t="shared" si="11"/>
        <v>172.90758333333335</v>
      </c>
      <c r="R63" s="89">
        <f t="shared" si="11"/>
        <v>82.021333333333345</v>
      </c>
      <c r="S63" s="89">
        <f t="shared" si="11"/>
        <v>82.021333333333345</v>
      </c>
      <c r="T63" s="89">
        <f t="shared" si="11"/>
        <v>136.16633333333337</v>
      </c>
      <c r="U63" s="89">
        <f t="shared" si="11"/>
        <v>136.16633333333337</v>
      </c>
      <c r="V63" s="89">
        <f t="shared" si="11"/>
        <v>41.526333333333334</v>
      </c>
      <c r="W63" s="89">
        <f t="shared" si="11"/>
        <v>37.158333333333324</v>
      </c>
      <c r="X63" s="89">
        <f t="shared" si="11"/>
        <v>187.84595744680848</v>
      </c>
    </row>
    <row r="64" spans="2:24" x14ac:dyDescent="0.3">
      <c r="B64" s="97" t="s">
        <v>15</v>
      </c>
      <c r="C64" s="90">
        <f>C63/(0.9*(0.9*($C$7/100))*($L$9*1000))</f>
        <v>1.5361373880795288</v>
      </c>
      <c r="D64" s="90">
        <f t="shared" ref="D64:X64" si="12">D63/(0.9*(0.9*($C$7/100))*($L$9*1000))</f>
        <v>0.6437739120312933</v>
      </c>
      <c r="E64" s="90">
        <f t="shared" si="12"/>
        <v>0.6437739120312933</v>
      </c>
      <c r="F64" s="90">
        <f t="shared" si="12"/>
        <v>1.2217485047327672</v>
      </c>
      <c r="G64" s="90">
        <f t="shared" si="12"/>
        <v>0.95553971522607639</v>
      </c>
      <c r="H64" s="90">
        <f t="shared" si="12"/>
        <v>0.53997339997619553</v>
      </c>
      <c r="I64" s="90">
        <f t="shared" si="12"/>
        <v>0.33002422983731389</v>
      </c>
      <c r="J64" s="90">
        <f t="shared" si="12"/>
        <v>0.21616815642837256</v>
      </c>
      <c r="K64" s="90">
        <f t="shared" si="12"/>
        <v>0.92753785487888452</v>
      </c>
      <c r="L64" s="90">
        <f t="shared" si="12"/>
        <v>0.53997339997619553</v>
      </c>
      <c r="M64" s="90">
        <f t="shared" si="12"/>
        <v>0.89101332641052255</v>
      </c>
      <c r="N64" s="90">
        <f t="shared" si="12"/>
        <v>0.35625192300296132</v>
      </c>
      <c r="O64" s="90">
        <f t="shared" si="12"/>
        <v>0.35625192300296132</v>
      </c>
      <c r="P64" s="90">
        <f t="shared" si="12"/>
        <v>0.35625192300296132</v>
      </c>
      <c r="Q64" s="90">
        <f t="shared" si="12"/>
        <v>0.35625192300296132</v>
      </c>
      <c r="R64" s="90">
        <f t="shared" si="12"/>
        <v>0.16899350024999035</v>
      </c>
      <c r="S64" s="90">
        <f t="shared" si="12"/>
        <v>0.16899350024999035</v>
      </c>
      <c r="T64" s="90">
        <f t="shared" si="12"/>
        <v>0.28055170954963271</v>
      </c>
      <c r="U64" s="90">
        <f t="shared" si="12"/>
        <v>0.28055170954963271</v>
      </c>
      <c r="V64" s="90">
        <f t="shared" si="12"/>
        <v>8.555920926118224E-2</v>
      </c>
      <c r="W64" s="90">
        <f t="shared" si="12"/>
        <v>7.6559555401715274E-2</v>
      </c>
      <c r="X64" s="90">
        <f t="shared" si="12"/>
        <v>0.38703035620911919</v>
      </c>
    </row>
    <row r="65" spans="2:24" x14ac:dyDescent="0.3">
      <c r="B65" s="97" t="s">
        <v>98</v>
      </c>
      <c r="C65" s="92">
        <f>(C64*($L$9))/(0.85*$L$6*100)</f>
        <v>3.7916193892620437E-2</v>
      </c>
      <c r="D65" s="92">
        <f t="shared" ref="D65:X65" si="13">(D64*($L$9))/(0.85*$L$6*100)</f>
        <v>1.5890151923263755E-2</v>
      </c>
      <c r="E65" s="92">
        <f t="shared" si="13"/>
        <v>1.5890151923263755E-2</v>
      </c>
      <c r="F65" s="92">
        <f t="shared" si="13"/>
        <v>3.0156191466298984E-2</v>
      </c>
      <c r="G65" s="92">
        <f t="shared" si="13"/>
        <v>2.3585409349294154E-2</v>
      </c>
      <c r="H65" s="92">
        <f t="shared" si="13"/>
        <v>1.3328063159735393E-2</v>
      </c>
      <c r="I65" s="92">
        <f t="shared" si="13"/>
        <v>8.1459267802981745E-3</v>
      </c>
      <c r="J65" s="92">
        <f t="shared" si="13"/>
        <v>5.3356384631685965E-3</v>
      </c>
      <c r="K65" s="92">
        <f t="shared" si="13"/>
        <v>2.2894244630228523E-2</v>
      </c>
      <c r="L65" s="92">
        <f t="shared" si="13"/>
        <v>1.3328063159735393E-2</v>
      </c>
      <c r="M65" s="92">
        <f t="shared" si="13"/>
        <v>2.1992716476568839E-2</v>
      </c>
      <c r="N65" s="92">
        <f t="shared" si="13"/>
        <v>8.7933000602807062E-3</v>
      </c>
      <c r="O65" s="92">
        <f t="shared" si="13"/>
        <v>8.7933000602807062E-3</v>
      </c>
      <c r="P65" s="92">
        <f t="shared" si="13"/>
        <v>8.7933000602807062E-3</v>
      </c>
      <c r="Q65" s="92">
        <f t="shared" si="13"/>
        <v>8.7933000602807062E-3</v>
      </c>
      <c r="R65" s="92">
        <f t="shared" si="13"/>
        <v>4.1712351849478588E-3</v>
      </c>
      <c r="S65" s="92">
        <f t="shared" si="13"/>
        <v>4.1712351849478588E-3</v>
      </c>
      <c r="T65" s="92">
        <f t="shared" si="13"/>
        <v>6.9248057489759403E-3</v>
      </c>
      <c r="U65" s="92">
        <f t="shared" si="13"/>
        <v>6.9248057489759403E-3</v>
      </c>
      <c r="V65" s="92">
        <f t="shared" si="13"/>
        <v>2.1118420740361015E-3</v>
      </c>
      <c r="W65" s="92">
        <f t="shared" si="13"/>
        <v>1.8897052890388777E-3</v>
      </c>
      <c r="X65" s="92">
        <f t="shared" si="13"/>
        <v>9.5529984116207046E-3</v>
      </c>
    </row>
    <row r="66" spans="2:24" ht="15" thickBot="1" x14ac:dyDescent="0.35">
      <c r="B66" s="97" t="s">
        <v>15</v>
      </c>
      <c r="C66" s="76">
        <f>ROUNDUP(C63/(0.9*(($C$7-C65/2)/100)*($L$9*1000)),2)</f>
        <v>1.39</v>
      </c>
      <c r="D66" s="76">
        <f t="shared" ref="D66:X66" si="14">ROUNDUP(D63/(0.9*(($C$7-D65/2)/100)*($L$9*1000)),2)</f>
        <v>0.57999999999999996</v>
      </c>
      <c r="E66" s="76">
        <f t="shared" si="14"/>
        <v>0.57999999999999996</v>
      </c>
      <c r="F66" s="76">
        <f t="shared" si="14"/>
        <v>1.1100000000000001</v>
      </c>
      <c r="G66" s="76">
        <f t="shared" si="14"/>
        <v>0.87</v>
      </c>
      <c r="H66" s="76">
        <f t="shared" si="14"/>
        <v>0.49</v>
      </c>
      <c r="I66" s="76">
        <f t="shared" si="14"/>
        <v>0.3</v>
      </c>
      <c r="J66" s="76">
        <f t="shared" si="14"/>
        <v>0.2</v>
      </c>
      <c r="K66" s="76">
        <f t="shared" si="14"/>
        <v>0.84</v>
      </c>
      <c r="L66" s="76">
        <f t="shared" si="14"/>
        <v>0.49</v>
      </c>
      <c r="M66" s="76">
        <f t="shared" si="14"/>
        <v>0.81</v>
      </c>
      <c r="N66" s="76">
        <f t="shared" si="14"/>
        <v>0.33</v>
      </c>
      <c r="O66" s="76">
        <f t="shared" si="14"/>
        <v>0.33</v>
      </c>
      <c r="P66" s="76">
        <f t="shared" si="14"/>
        <v>0.33</v>
      </c>
      <c r="Q66" s="76">
        <f t="shared" si="14"/>
        <v>0.33</v>
      </c>
      <c r="R66" s="76">
        <f t="shared" si="14"/>
        <v>0.16</v>
      </c>
      <c r="S66" s="76">
        <f t="shared" si="14"/>
        <v>0.16</v>
      </c>
      <c r="T66" s="76">
        <f t="shared" si="14"/>
        <v>0.26</v>
      </c>
      <c r="U66" s="76">
        <f t="shared" si="14"/>
        <v>0.26</v>
      </c>
      <c r="V66" s="76">
        <f t="shared" si="14"/>
        <v>0.08</v>
      </c>
      <c r="W66" s="76">
        <f t="shared" si="14"/>
        <v>6.9999999999999993E-2</v>
      </c>
      <c r="X66" s="76">
        <f t="shared" si="14"/>
        <v>0.35000000000000003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745.56735357917569</v>
      </c>
      <c r="D68" s="89">
        <f t="shared" ref="D68:X68" si="15">IF(D46&lt;=2,D60/D49*(1+D61*D53)*D47,"-")</f>
        <v>312.45695575221237</v>
      </c>
      <c r="E68" s="89">
        <f t="shared" si="15"/>
        <v>312.45695575221237</v>
      </c>
      <c r="F68" s="89">
        <f t="shared" si="15"/>
        <v>592.97808026905818</v>
      </c>
      <c r="G68" s="89">
        <f t="shared" si="15"/>
        <v>463.77311186440676</v>
      </c>
      <c r="H68" s="89">
        <f t="shared" si="15"/>
        <v>262.07716962524654</v>
      </c>
      <c r="I68" s="89">
        <f t="shared" si="15"/>
        <v>160.17792000000003</v>
      </c>
      <c r="J68" s="89" t="str">
        <f t="shared" si="15"/>
        <v>-</v>
      </c>
      <c r="K68" s="89" t="str">
        <f t="shared" si="15"/>
        <v>-</v>
      </c>
      <c r="L68" s="89">
        <f t="shared" si="15"/>
        <v>262.07716962524654</v>
      </c>
      <c r="M68" s="89">
        <f t="shared" si="15"/>
        <v>432.45510000000007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187.84595744680848</v>
      </c>
    </row>
    <row r="69" spans="2:24" x14ac:dyDescent="0.3">
      <c r="B69" s="97" t="s">
        <v>15</v>
      </c>
      <c r="C69" s="90">
        <f>C63/(0.9*(0.9*($C$7/100))*($L$9*1000))</f>
        <v>1.5361373880795288</v>
      </c>
      <c r="D69" s="90">
        <f t="shared" ref="D69:X69" si="16">D63/(0.9*(0.9*($C$7/100))*($L$9*1000))</f>
        <v>0.6437739120312933</v>
      </c>
      <c r="E69" s="90">
        <f t="shared" si="16"/>
        <v>0.6437739120312933</v>
      </c>
      <c r="F69" s="90">
        <f t="shared" si="16"/>
        <v>1.2217485047327672</v>
      </c>
      <c r="G69" s="90">
        <f t="shared" si="16"/>
        <v>0.95553971522607639</v>
      </c>
      <c r="H69" s="90">
        <f t="shared" si="16"/>
        <v>0.53997339997619553</v>
      </c>
      <c r="I69" s="90">
        <f t="shared" si="16"/>
        <v>0.33002422983731389</v>
      </c>
      <c r="J69" s="90">
        <f t="shared" si="16"/>
        <v>0.21616815642837256</v>
      </c>
      <c r="K69" s="90">
        <f t="shared" si="16"/>
        <v>0.92753785487888452</v>
      </c>
      <c r="L69" s="90">
        <f t="shared" si="16"/>
        <v>0.53997339997619553</v>
      </c>
      <c r="M69" s="90">
        <f t="shared" si="16"/>
        <v>0.89101332641052255</v>
      </c>
      <c r="N69" s="90">
        <f t="shared" si="16"/>
        <v>0.35625192300296132</v>
      </c>
      <c r="O69" s="90">
        <f t="shared" si="16"/>
        <v>0.35625192300296132</v>
      </c>
      <c r="P69" s="90">
        <f t="shared" si="16"/>
        <v>0.35625192300296132</v>
      </c>
      <c r="Q69" s="90">
        <f t="shared" si="16"/>
        <v>0.35625192300296132</v>
      </c>
      <c r="R69" s="90">
        <f t="shared" si="16"/>
        <v>0.16899350024999035</v>
      </c>
      <c r="S69" s="90">
        <f t="shared" si="16"/>
        <v>0.16899350024999035</v>
      </c>
      <c r="T69" s="90">
        <f t="shared" si="16"/>
        <v>0.28055170954963271</v>
      </c>
      <c r="U69" s="90">
        <f t="shared" si="16"/>
        <v>0.28055170954963271</v>
      </c>
      <c r="V69" s="90">
        <f t="shared" si="16"/>
        <v>8.555920926118224E-2</v>
      </c>
      <c r="W69" s="90">
        <f t="shared" si="16"/>
        <v>7.6559555401715274E-2</v>
      </c>
      <c r="X69" s="90">
        <f t="shared" si="16"/>
        <v>0.38703035620911919</v>
      </c>
    </row>
    <row r="70" spans="2:24" x14ac:dyDescent="0.3">
      <c r="B70" s="97" t="s">
        <v>98</v>
      </c>
      <c r="C70" s="92">
        <f>(C69*($L$9))/(0.85*$L$6*100)</f>
        <v>3.7916193892620437E-2</v>
      </c>
      <c r="D70" s="92">
        <f t="shared" ref="D70:X70" si="17">(D69*($L$9))/(0.85*$L$6*100)</f>
        <v>1.5890151923263755E-2</v>
      </c>
      <c r="E70" s="92">
        <f t="shared" si="17"/>
        <v>1.5890151923263755E-2</v>
      </c>
      <c r="F70" s="92">
        <f t="shared" si="17"/>
        <v>3.0156191466298984E-2</v>
      </c>
      <c r="G70" s="92">
        <f t="shared" si="17"/>
        <v>2.3585409349294154E-2</v>
      </c>
      <c r="H70" s="92">
        <f t="shared" si="17"/>
        <v>1.3328063159735393E-2</v>
      </c>
      <c r="I70" s="92">
        <f t="shared" si="17"/>
        <v>8.1459267802981745E-3</v>
      </c>
      <c r="J70" s="92">
        <f t="shared" si="17"/>
        <v>5.3356384631685965E-3</v>
      </c>
      <c r="K70" s="92">
        <f t="shared" si="17"/>
        <v>2.2894244630228523E-2</v>
      </c>
      <c r="L70" s="92">
        <f t="shared" si="17"/>
        <v>1.3328063159735393E-2</v>
      </c>
      <c r="M70" s="92">
        <f t="shared" si="17"/>
        <v>2.1992716476568839E-2</v>
      </c>
      <c r="N70" s="92">
        <f t="shared" si="17"/>
        <v>8.7933000602807062E-3</v>
      </c>
      <c r="O70" s="92">
        <f t="shared" si="17"/>
        <v>8.7933000602807062E-3</v>
      </c>
      <c r="P70" s="92">
        <f t="shared" si="17"/>
        <v>8.7933000602807062E-3</v>
      </c>
      <c r="Q70" s="92">
        <f t="shared" si="17"/>
        <v>8.7933000602807062E-3</v>
      </c>
      <c r="R70" s="92">
        <f t="shared" si="17"/>
        <v>4.1712351849478588E-3</v>
      </c>
      <c r="S70" s="92">
        <f t="shared" si="17"/>
        <v>4.1712351849478588E-3</v>
      </c>
      <c r="T70" s="92">
        <f t="shared" si="17"/>
        <v>6.9248057489759403E-3</v>
      </c>
      <c r="U70" s="92">
        <f t="shared" si="17"/>
        <v>6.9248057489759403E-3</v>
      </c>
      <c r="V70" s="92">
        <f t="shared" si="17"/>
        <v>2.1118420740361015E-3</v>
      </c>
      <c r="W70" s="92">
        <f t="shared" si="17"/>
        <v>1.8897052890388777E-3</v>
      </c>
      <c r="X70" s="92">
        <f t="shared" si="17"/>
        <v>9.5529984116207046E-3</v>
      </c>
    </row>
    <row r="71" spans="2:24" ht="15" thickBot="1" x14ac:dyDescent="0.35">
      <c r="B71" s="97" t="s">
        <v>15</v>
      </c>
      <c r="C71" s="76">
        <f>ROUNDUP(C63/(0.9*(($C$7-C65/2)/100)*($L$9*1000)),2)</f>
        <v>1.39</v>
      </c>
      <c r="D71" s="76">
        <f t="shared" ref="D71:X71" si="18">ROUNDUP(D63/(0.9*(($C$7-D65/2)/100)*($L$9*1000)),2)</f>
        <v>0.57999999999999996</v>
      </c>
      <c r="E71" s="76">
        <f t="shared" si="18"/>
        <v>0.57999999999999996</v>
      </c>
      <c r="F71" s="76">
        <f t="shared" si="18"/>
        <v>1.1100000000000001</v>
      </c>
      <c r="G71" s="76">
        <f t="shared" si="18"/>
        <v>0.87</v>
      </c>
      <c r="H71" s="76">
        <f t="shared" si="18"/>
        <v>0.49</v>
      </c>
      <c r="I71" s="76">
        <f t="shared" si="18"/>
        <v>0.3</v>
      </c>
      <c r="J71" s="76">
        <f t="shared" si="18"/>
        <v>0.2</v>
      </c>
      <c r="K71" s="76">
        <f t="shared" si="18"/>
        <v>0.84</v>
      </c>
      <c r="L71" s="76">
        <f t="shared" si="18"/>
        <v>0.49</v>
      </c>
      <c r="M71" s="76">
        <f t="shared" si="18"/>
        <v>0.81</v>
      </c>
      <c r="N71" s="76">
        <f t="shared" si="18"/>
        <v>0.33</v>
      </c>
      <c r="O71" s="76">
        <f t="shared" si="18"/>
        <v>0.33</v>
      </c>
      <c r="P71" s="76">
        <f t="shared" si="18"/>
        <v>0.33</v>
      </c>
      <c r="Q71" s="76">
        <f t="shared" si="18"/>
        <v>0.33</v>
      </c>
      <c r="R71" s="76">
        <f t="shared" si="18"/>
        <v>0.16</v>
      </c>
      <c r="S71" s="76">
        <f t="shared" si="18"/>
        <v>0.16</v>
      </c>
      <c r="T71" s="76">
        <f t="shared" si="18"/>
        <v>0.26</v>
      </c>
      <c r="U71" s="76">
        <f t="shared" si="18"/>
        <v>0.26</v>
      </c>
      <c r="V71" s="76">
        <f t="shared" si="18"/>
        <v>0.08</v>
      </c>
      <c r="W71" s="76">
        <f t="shared" si="18"/>
        <v>6.9999999999999993E-2</v>
      </c>
      <c r="X71" s="76">
        <f t="shared" si="18"/>
        <v>0.35000000000000003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2685.6097560975609</v>
      </c>
      <c r="D73" s="89">
        <f t="shared" ref="D73:X73" si="19">IF(D46&lt;=2,D60/D51,IF(OR(D44=6,D44="5a",D44="3a"),D59*D41^2/12,(IF(OR(D44="2a",D44=4,D44="5b"),D59*D41^2/8,"-"))))</f>
        <v>1260.4468085106382</v>
      </c>
      <c r="E73" s="89">
        <f t="shared" si="19"/>
        <v>1260.4468085106382</v>
      </c>
      <c r="F73" s="89">
        <f t="shared" si="19"/>
        <v>2262.4164062499999</v>
      </c>
      <c r="G73" s="89">
        <f t="shared" si="19"/>
        <v>1981.8038709677417</v>
      </c>
      <c r="H73" s="89">
        <f t="shared" si="19"/>
        <v>1214.946808510638</v>
      </c>
      <c r="I73" s="89">
        <f t="shared" si="19"/>
        <v>438.6613636363636</v>
      </c>
      <c r="J73" s="89">
        <f t="shared" si="19"/>
        <v>148.6333333333333</v>
      </c>
      <c r="K73" s="89">
        <f t="shared" si="19"/>
        <v>637.75833333333333</v>
      </c>
      <c r="L73" s="89">
        <f t="shared" si="19"/>
        <v>1214.946808510638</v>
      </c>
      <c r="M73" s="89">
        <f t="shared" si="19"/>
        <v>1847.9751612903226</v>
      </c>
      <c r="N73" s="89">
        <f t="shared" si="19"/>
        <v>259.36137500000001</v>
      </c>
      <c r="O73" s="89">
        <f t="shared" si="19"/>
        <v>259.36137500000001</v>
      </c>
      <c r="P73" s="89">
        <f t="shared" si="19"/>
        <v>259.36137500000001</v>
      </c>
      <c r="Q73" s="89">
        <f t="shared" si="19"/>
        <v>259.36137500000001</v>
      </c>
      <c r="R73" s="89">
        <f t="shared" si="19"/>
        <v>123.03200000000001</v>
      </c>
      <c r="S73" s="89">
        <f t="shared" si="19"/>
        <v>123.03200000000001</v>
      </c>
      <c r="T73" s="89">
        <f t="shared" si="19"/>
        <v>204.24950000000004</v>
      </c>
      <c r="U73" s="89">
        <f t="shared" si="19"/>
        <v>204.24950000000004</v>
      </c>
      <c r="V73" s="89">
        <f t="shared" si="19"/>
        <v>62.289499999999997</v>
      </c>
      <c r="W73" s="89">
        <f t="shared" si="19"/>
        <v>55.73749999999999</v>
      </c>
      <c r="X73" s="89">
        <f t="shared" si="19"/>
        <v>543.60239520958078</v>
      </c>
    </row>
    <row r="74" spans="2:24" x14ac:dyDescent="0.3">
      <c r="B74" s="97" t="s">
        <v>15</v>
      </c>
      <c r="C74" s="90">
        <f>C73/(0.9*(0.9*($C$7/100))*($L$9*1000))</f>
        <v>5.5333237652210352</v>
      </c>
      <c r="D74" s="90">
        <f t="shared" ref="D74:X74" si="20">D73/(0.9*(0.9*($C$7/100))*($L$9*1000))</f>
        <v>2.5969745844472421</v>
      </c>
      <c r="E74" s="90">
        <f t="shared" si="20"/>
        <v>2.5969745844472421</v>
      </c>
      <c r="F74" s="90">
        <f t="shared" si="20"/>
        <v>4.6613929812795645</v>
      </c>
      <c r="G74" s="90">
        <f t="shared" si="20"/>
        <v>4.0832300494645972</v>
      </c>
      <c r="H74" s="90">
        <f t="shared" si="20"/>
        <v>2.5032281900777944</v>
      </c>
      <c r="I74" s="90">
        <f t="shared" si="20"/>
        <v>0.9038004657163532</v>
      </c>
      <c r="J74" s="90">
        <f t="shared" si="20"/>
        <v>0.30623822160686109</v>
      </c>
      <c r="K74" s="90">
        <f t="shared" si="20"/>
        <v>1.3140119610784196</v>
      </c>
      <c r="L74" s="90">
        <f t="shared" si="20"/>
        <v>2.5032281900777944</v>
      </c>
      <c r="M74" s="90">
        <f t="shared" si="20"/>
        <v>3.8074946869289135</v>
      </c>
      <c r="N74" s="90">
        <f t="shared" si="20"/>
        <v>0.53437788450444201</v>
      </c>
      <c r="O74" s="90">
        <f t="shared" si="20"/>
        <v>0.53437788450444201</v>
      </c>
      <c r="P74" s="90">
        <f t="shared" si="20"/>
        <v>0.53437788450444201</v>
      </c>
      <c r="Q74" s="90">
        <f t="shared" si="20"/>
        <v>0.53437788450444201</v>
      </c>
      <c r="R74" s="90">
        <f t="shared" si="20"/>
        <v>0.25349025037498552</v>
      </c>
      <c r="S74" s="90">
        <f t="shared" si="20"/>
        <v>0.25349025037498552</v>
      </c>
      <c r="T74" s="90">
        <f t="shared" si="20"/>
        <v>0.42082756432444901</v>
      </c>
      <c r="U74" s="90">
        <f t="shared" si="20"/>
        <v>0.42082756432444901</v>
      </c>
      <c r="V74" s="90">
        <f t="shared" si="20"/>
        <v>0.12833881389177335</v>
      </c>
      <c r="W74" s="90">
        <f t="shared" si="20"/>
        <v>0.11483933310257292</v>
      </c>
      <c r="X74" s="90">
        <f t="shared" si="20"/>
        <v>1.1200168026701871</v>
      </c>
    </row>
    <row r="75" spans="2:24" x14ac:dyDescent="0.3">
      <c r="B75" s="97" t="s">
        <v>98</v>
      </c>
      <c r="C75" s="92">
        <f>(C74*($L$9))/(0.85*$L$6*100)</f>
        <v>0.13657800297085368</v>
      </c>
      <c r="D75" s="92">
        <f t="shared" ref="D75:X75" si="21">(D74*($L$9))/(0.85*$L$6*100)</f>
        <v>6.4100641415422127E-2</v>
      </c>
      <c r="E75" s="92">
        <f t="shared" si="21"/>
        <v>6.4100641415422127E-2</v>
      </c>
      <c r="F75" s="92">
        <f t="shared" si="21"/>
        <v>0.11505629734646215</v>
      </c>
      <c r="G75" s="92">
        <f t="shared" si="21"/>
        <v>0.10078560906406273</v>
      </c>
      <c r="H75" s="92">
        <f t="shared" si="21"/>
        <v>6.1786716571701039E-2</v>
      </c>
      <c r="I75" s="92">
        <f t="shared" si="21"/>
        <v>2.2308339061510907E-2</v>
      </c>
      <c r="J75" s="92">
        <f t="shared" si="21"/>
        <v>7.5588211561555107E-3</v>
      </c>
      <c r="K75" s="92">
        <f t="shared" si="21"/>
        <v>3.2433513226157069E-2</v>
      </c>
      <c r="L75" s="92">
        <f t="shared" si="21"/>
        <v>6.1786716571701039E-2</v>
      </c>
      <c r="M75" s="92">
        <f t="shared" si="21"/>
        <v>9.3979684314046991E-2</v>
      </c>
      <c r="N75" s="92">
        <f t="shared" si="21"/>
        <v>1.318995009042106E-2</v>
      </c>
      <c r="O75" s="92">
        <f t="shared" si="21"/>
        <v>1.318995009042106E-2</v>
      </c>
      <c r="P75" s="92">
        <f t="shared" si="21"/>
        <v>1.318995009042106E-2</v>
      </c>
      <c r="Q75" s="92">
        <f t="shared" si="21"/>
        <v>1.318995009042106E-2</v>
      </c>
      <c r="R75" s="92">
        <f t="shared" si="21"/>
        <v>6.2568527774217878E-3</v>
      </c>
      <c r="S75" s="92">
        <f t="shared" si="21"/>
        <v>6.2568527774217878E-3</v>
      </c>
      <c r="T75" s="92">
        <f t="shared" si="21"/>
        <v>1.0387208623463909E-2</v>
      </c>
      <c r="U75" s="92">
        <f t="shared" si="21"/>
        <v>1.0387208623463909E-2</v>
      </c>
      <c r="V75" s="92">
        <f t="shared" si="21"/>
        <v>3.1677631110541521E-3</v>
      </c>
      <c r="W75" s="92">
        <f t="shared" si="21"/>
        <v>2.8345579335583167E-3</v>
      </c>
      <c r="X75" s="92">
        <f t="shared" si="21"/>
        <v>2.764516675564245E-2</v>
      </c>
    </row>
    <row r="76" spans="2:24" ht="15" thickBot="1" x14ac:dyDescent="0.35">
      <c r="B76" s="97" t="s">
        <v>15</v>
      </c>
      <c r="C76" s="76">
        <f>ROUNDUP(C73/(0.9*(($C$7-C75/2)/100)*($L$9*1000)),2)</f>
        <v>5.01</v>
      </c>
      <c r="D76" s="76">
        <f t="shared" ref="D76:X76" si="22">ROUNDUP(D73/(0.9*(($C$7-D75/2)/100)*($L$9*1000)),2)</f>
        <v>2.3499999999999996</v>
      </c>
      <c r="E76" s="76">
        <f t="shared" si="22"/>
        <v>2.3499999999999996</v>
      </c>
      <c r="F76" s="76">
        <f t="shared" si="22"/>
        <v>4.22</v>
      </c>
      <c r="G76" s="76">
        <f t="shared" si="22"/>
        <v>3.69</v>
      </c>
      <c r="H76" s="76">
        <f t="shared" si="22"/>
        <v>2.2599999999999998</v>
      </c>
      <c r="I76" s="76">
        <f t="shared" si="22"/>
        <v>0.82000000000000006</v>
      </c>
      <c r="J76" s="76">
        <f t="shared" si="22"/>
        <v>0.28000000000000003</v>
      </c>
      <c r="K76" s="76">
        <f t="shared" si="22"/>
        <v>1.19</v>
      </c>
      <c r="L76" s="76">
        <f t="shared" si="22"/>
        <v>2.2599999999999998</v>
      </c>
      <c r="M76" s="76">
        <f t="shared" si="22"/>
        <v>3.44</v>
      </c>
      <c r="N76" s="76">
        <f t="shared" si="22"/>
        <v>0.49</v>
      </c>
      <c r="O76" s="76">
        <f t="shared" si="22"/>
        <v>0.49</v>
      </c>
      <c r="P76" s="76">
        <f t="shared" si="22"/>
        <v>0.49</v>
      </c>
      <c r="Q76" s="76">
        <f t="shared" si="22"/>
        <v>0.49</v>
      </c>
      <c r="R76" s="76">
        <f t="shared" si="22"/>
        <v>0.23</v>
      </c>
      <c r="S76" s="76">
        <f t="shared" si="22"/>
        <v>0.23</v>
      </c>
      <c r="T76" s="76">
        <f t="shared" si="22"/>
        <v>0.38</v>
      </c>
      <c r="U76" s="76">
        <f t="shared" si="22"/>
        <v>0.38</v>
      </c>
      <c r="V76" s="76">
        <f t="shared" si="22"/>
        <v>0.12</v>
      </c>
      <c r="W76" s="76">
        <f t="shared" si="22"/>
        <v>0.11</v>
      </c>
      <c r="X76" s="76">
        <f t="shared" si="22"/>
        <v>1.01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φ8@10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φ8@12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φ10@21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φ10@23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1973.2974910394266</v>
      </c>
      <c r="D78" s="89">
        <f t="shared" ref="D78:X78" si="23">IF(D46&lt;=2,D60/D52,IF(OR(D44=6,D44="5a",D44="3a"),D59*D41^2/17.5,(IF(OR(D44="2a",D44=4,D44="5b"),D59*D41^2/11.25,IF(OR(D44=1,D44="2b",D44="3b"),D59*D41^2/8)))))</f>
        <v>1034.7772925764191</v>
      </c>
      <c r="E78" s="89">
        <f t="shared" si="23"/>
        <v>1034.7772925764191</v>
      </c>
      <c r="F78" s="89">
        <f t="shared" si="23"/>
        <v>1772.9957142857143</v>
      </c>
      <c r="G78" s="89">
        <f t="shared" si="23"/>
        <v>1714.4907906976741</v>
      </c>
      <c r="H78" s="89">
        <f t="shared" si="23"/>
        <v>1125.1724137931033</v>
      </c>
      <c r="I78" s="89">
        <f t="shared" si="23"/>
        <v>313.83902439024388</v>
      </c>
      <c r="J78" s="89">
        <f t="shared" si="23"/>
        <v>101.91999999999999</v>
      </c>
      <c r="K78" s="89">
        <f t="shared" si="23"/>
        <v>437.32</v>
      </c>
      <c r="L78" s="89">
        <f t="shared" si="23"/>
        <v>1125.1724137931033</v>
      </c>
      <c r="M78" s="89">
        <f t="shared" si="23"/>
        <v>1598.7133953488374</v>
      </c>
      <c r="N78" s="89">
        <f t="shared" si="23"/>
        <v>184.43475555555557</v>
      </c>
      <c r="O78" s="89">
        <f t="shared" si="23"/>
        <v>184.43475555555557</v>
      </c>
      <c r="P78" s="89">
        <f t="shared" si="23"/>
        <v>184.43475555555557</v>
      </c>
      <c r="Q78" s="89">
        <f t="shared" si="23"/>
        <v>184.43475555555557</v>
      </c>
      <c r="R78" s="89">
        <f t="shared" si="23"/>
        <v>87.489422222222231</v>
      </c>
      <c r="S78" s="89">
        <f t="shared" si="23"/>
        <v>87.489422222222231</v>
      </c>
      <c r="T78" s="89">
        <f t="shared" si="23"/>
        <v>145.24408888888891</v>
      </c>
      <c r="U78" s="89">
        <f t="shared" si="23"/>
        <v>145.24408888888891</v>
      </c>
      <c r="V78" s="89">
        <f t="shared" si="23"/>
        <v>44.294755555555554</v>
      </c>
      <c r="W78" s="89">
        <f t="shared" si="23"/>
        <v>39.635555555555548</v>
      </c>
      <c r="X78" s="89">
        <f t="shared" si="23"/>
        <v>410.77647058823516</v>
      </c>
    </row>
    <row r="79" spans="2:24" x14ac:dyDescent="0.3">
      <c r="B79" s="97" t="s">
        <v>15</v>
      </c>
      <c r="C79" s="90">
        <f>C78/(0.9*(0.9*($C$7/100))*($L$9*1000))</f>
        <v>4.0657038418290767</v>
      </c>
      <c r="D79" s="91">
        <f>D78/(0.9*(0.9*($C$7/100))*($L$9*1000))</f>
        <v>2.1320140693278669</v>
      </c>
      <c r="E79" s="91">
        <f t="shared" ref="E79:X79" si="24">E78/(0.9*(0.9*($C$7/100))*($L$9*1000))</f>
        <v>2.1320140693278669</v>
      </c>
      <c r="F79" s="91">
        <f t="shared" si="24"/>
        <v>3.6530100098190874</v>
      </c>
      <c r="G79" s="91">
        <f t="shared" si="24"/>
        <v>3.5324687869786744</v>
      </c>
      <c r="H79" s="91">
        <f t="shared" si="24"/>
        <v>2.3182605898257407</v>
      </c>
      <c r="I79" s="91">
        <f t="shared" si="24"/>
        <v>0.6466214714068218</v>
      </c>
      <c r="J79" s="91">
        <f t="shared" si="24"/>
        <v>0.20999192338756192</v>
      </c>
      <c r="K79" s="91">
        <f t="shared" si="24"/>
        <v>0.90103677331091636</v>
      </c>
      <c r="L79" s="91">
        <f t="shared" si="24"/>
        <v>2.3182605898257407</v>
      </c>
      <c r="M79" s="91">
        <f t="shared" si="24"/>
        <v>3.2939256361338511</v>
      </c>
      <c r="N79" s="91">
        <f t="shared" si="24"/>
        <v>0.38000205120315877</v>
      </c>
      <c r="O79" s="91">
        <f t="shared" si="24"/>
        <v>0.38000205120315877</v>
      </c>
      <c r="P79" s="91">
        <f t="shared" si="24"/>
        <v>0.38000205120315877</v>
      </c>
      <c r="Q79" s="91">
        <f t="shared" si="24"/>
        <v>0.38000205120315877</v>
      </c>
      <c r="R79" s="91">
        <f t="shared" si="24"/>
        <v>0.1802597335999897</v>
      </c>
      <c r="S79" s="91">
        <f t="shared" si="24"/>
        <v>0.1802597335999897</v>
      </c>
      <c r="T79" s="91">
        <f t="shared" si="24"/>
        <v>0.29925515685294152</v>
      </c>
      <c r="U79" s="91">
        <f t="shared" si="24"/>
        <v>0.29925515685294152</v>
      </c>
      <c r="V79" s="91">
        <f t="shared" si="24"/>
        <v>9.1263156545261043E-2</v>
      </c>
      <c r="W79" s="91">
        <f t="shared" si="24"/>
        <v>8.1663525761829628E-2</v>
      </c>
      <c r="X79" s="91">
        <f t="shared" si="24"/>
        <v>0.84634753866932666</v>
      </c>
    </row>
    <row r="80" spans="2:24" x14ac:dyDescent="0.3">
      <c r="B80" s="97" t="s">
        <v>98</v>
      </c>
      <c r="C80" s="92">
        <f>(C79*($L$9))/(0.85*$L$6*100)</f>
        <v>0.10035301293557351</v>
      </c>
      <c r="D80" s="93">
        <f>(D79*($L$9))/(0.85*$L$6*100)</f>
        <v>5.2624107362879306E-2</v>
      </c>
      <c r="E80" s="93">
        <f t="shared" ref="E80:X80" si="25">(E79*($L$9))/(0.85*$L$6*100)</f>
        <v>5.2624107362879306E-2</v>
      </c>
      <c r="F80" s="93">
        <f t="shared" si="25"/>
        <v>9.0166567716411156E-2</v>
      </c>
      <c r="G80" s="93">
        <f t="shared" si="25"/>
        <v>8.7191271097282169E-2</v>
      </c>
      <c r="H80" s="93">
        <f t="shared" si="25"/>
        <v>5.7221195642757613E-2</v>
      </c>
      <c r="I80" s="93">
        <f t="shared" si="25"/>
        <v>1.5960437702544392E-2</v>
      </c>
      <c r="J80" s="93">
        <f t="shared" si="25"/>
        <v>5.1831916499352083E-3</v>
      </c>
      <c r="K80" s="93">
        <f t="shared" si="25"/>
        <v>2.2240123355079133E-2</v>
      </c>
      <c r="L80" s="93">
        <f t="shared" si="25"/>
        <v>5.7221195642757613E-2</v>
      </c>
      <c r="M80" s="93">
        <f t="shared" si="25"/>
        <v>8.1303354801919733E-2</v>
      </c>
      <c r="N80" s="93">
        <f t="shared" si="25"/>
        <v>9.3795200642994205E-3</v>
      </c>
      <c r="O80" s="93">
        <f t="shared" si="25"/>
        <v>9.3795200642994205E-3</v>
      </c>
      <c r="P80" s="93">
        <f t="shared" si="25"/>
        <v>9.3795200642994205E-3</v>
      </c>
      <c r="Q80" s="93">
        <f t="shared" si="25"/>
        <v>9.3795200642994205E-3</v>
      </c>
      <c r="R80" s="93">
        <f t="shared" si="25"/>
        <v>4.4493175306110494E-3</v>
      </c>
      <c r="S80" s="93">
        <f t="shared" si="25"/>
        <v>4.4493175306110494E-3</v>
      </c>
      <c r="T80" s="93">
        <f t="shared" si="25"/>
        <v>7.3864594655743349E-3</v>
      </c>
      <c r="U80" s="93">
        <f t="shared" si="25"/>
        <v>7.3864594655743349E-3</v>
      </c>
      <c r="V80" s="93">
        <f t="shared" si="25"/>
        <v>2.2526315456385076E-3</v>
      </c>
      <c r="W80" s="93">
        <f t="shared" si="25"/>
        <v>2.0156856416414697E-3</v>
      </c>
      <c r="X80" s="93">
        <f t="shared" si="25"/>
        <v>2.0890239132091801E-2</v>
      </c>
    </row>
    <row r="81" spans="2:26" ht="15" thickBot="1" x14ac:dyDescent="0.35">
      <c r="B81" s="97" t="s">
        <v>15</v>
      </c>
      <c r="C81" s="76">
        <f>ROUNDUP(C78/(0.9*(($C$7-C80/2)/100)*($L$9*1000)),2)</f>
        <v>3.6799999999999997</v>
      </c>
      <c r="D81" s="77">
        <f>ROUNDUP(D78/(0.9*(($C$7-D80/2)/100)*($L$9*1000)),2)</f>
        <v>1.93</v>
      </c>
      <c r="E81" s="77">
        <f t="shared" ref="E81:X81" si="26">ROUNDUP(E78/(0.9*(($C$7-E80/2)/100)*($L$9*1000)),2)</f>
        <v>1.93</v>
      </c>
      <c r="F81" s="77">
        <f t="shared" si="26"/>
        <v>3.3</v>
      </c>
      <c r="G81" s="77">
        <f t="shared" si="26"/>
        <v>3.19</v>
      </c>
      <c r="H81" s="77">
        <f t="shared" si="26"/>
        <v>2.0999999999999996</v>
      </c>
      <c r="I81" s="77">
        <f t="shared" si="26"/>
        <v>0.59</v>
      </c>
      <c r="J81" s="77">
        <f t="shared" si="26"/>
        <v>0.19</v>
      </c>
      <c r="K81" s="77">
        <f t="shared" si="26"/>
        <v>0.82000000000000006</v>
      </c>
      <c r="L81" s="77">
        <f t="shared" si="26"/>
        <v>2.0999999999999996</v>
      </c>
      <c r="M81" s="77">
        <f t="shared" si="26"/>
        <v>2.98</v>
      </c>
      <c r="N81" s="77">
        <f t="shared" si="26"/>
        <v>0.35000000000000003</v>
      </c>
      <c r="O81" s="77">
        <f t="shared" si="26"/>
        <v>0.35000000000000003</v>
      </c>
      <c r="P81" s="77">
        <f t="shared" si="26"/>
        <v>0.35000000000000003</v>
      </c>
      <c r="Q81" s="77">
        <f t="shared" si="26"/>
        <v>0.35000000000000003</v>
      </c>
      <c r="R81" s="77">
        <f t="shared" si="26"/>
        <v>0.17</v>
      </c>
      <c r="S81" s="77">
        <f t="shared" si="26"/>
        <v>0.17</v>
      </c>
      <c r="T81" s="77">
        <f t="shared" si="26"/>
        <v>0.27</v>
      </c>
      <c r="U81" s="77">
        <f t="shared" si="26"/>
        <v>0.27</v>
      </c>
      <c r="V81" s="77">
        <f t="shared" si="26"/>
        <v>0.09</v>
      </c>
      <c r="W81" s="77">
        <f t="shared" si="26"/>
        <v>0.08</v>
      </c>
      <c r="X81" s="77">
        <f t="shared" si="26"/>
        <v>0.77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φ10@21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φ8@15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φ10@24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φ8@17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PUTA LA WEA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PUTA LA WEA</v>
      </c>
      <c r="G83" t="str">
        <f>IF(AND(G67='8 a 13'!G67,G72='8 a 13'!G72,G77='8 a 13'!G77,G82='8 a 13'!G82),"IGUAL","PUTA LA WEA")</f>
        <v>PUTA LA WEA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PUTA LA WEA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26" t="s">
        <v>107</v>
      </c>
      <c r="C84" s="126"/>
      <c r="P84" s="40"/>
      <c r="T84" s="40"/>
      <c r="U84" s="41"/>
    </row>
    <row r="85" spans="2:26" ht="15" thickBot="1" x14ac:dyDescent="0.35">
      <c r="B85" s="73" t="s">
        <v>43</v>
      </c>
      <c r="C85" s="74" t="s">
        <v>211</v>
      </c>
      <c r="D85" s="75" t="s">
        <v>212</v>
      </c>
      <c r="E85" s="74" t="s">
        <v>211</v>
      </c>
      <c r="F85" s="75" t="s">
        <v>215</v>
      </c>
      <c r="G85" s="74" t="s">
        <v>211</v>
      </c>
      <c r="H85" s="75" t="s">
        <v>216</v>
      </c>
      <c r="I85" s="74" t="s">
        <v>211</v>
      </c>
      <c r="J85" s="75" t="s">
        <v>222</v>
      </c>
      <c r="K85" s="74" t="s">
        <v>211</v>
      </c>
      <c r="L85" s="75" t="s">
        <v>231</v>
      </c>
      <c r="M85" s="74" t="s">
        <v>212</v>
      </c>
      <c r="N85" s="75" t="s">
        <v>213</v>
      </c>
      <c r="O85" s="74" t="s">
        <v>212</v>
      </c>
      <c r="P85" s="75" t="s">
        <v>218</v>
      </c>
      <c r="Q85" s="74" t="s">
        <v>212</v>
      </c>
      <c r="R85" s="75" t="s">
        <v>223</v>
      </c>
      <c r="S85" s="74" t="s">
        <v>213</v>
      </c>
      <c r="T85" s="75" t="s">
        <v>224</v>
      </c>
      <c r="U85" s="74" t="s">
        <v>213</v>
      </c>
      <c r="V85" s="75" t="s">
        <v>218</v>
      </c>
      <c r="W85" s="74" t="s">
        <v>213</v>
      </c>
      <c r="X85" s="75" t="s">
        <v>214</v>
      </c>
      <c r="Y85" s="74" t="s">
        <v>214</v>
      </c>
      <c r="Z85" s="75" t="s">
        <v>225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1973.2974910394266</v>
      </c>
      <c r="D87" s="86">
        <f t="shared" si="27"/>
        <v>1034.7772925764191</v>
      </c>
      <c r="E87" s="104">
        <f t="shared" si="27"/>
        <v>2685.6097560975609</v>
      </c>
      <c r="F87" s="86">
        <f t="shared" si="27"/>
        <v>1981.8038709677417</v>
      </c>
      <c r="G87" s="104">
        <f t="shared" si="27"/>
        <v>2685.6097560975609</v>
      </c>
      <c r="H87" s="86">
        <f t="shared" si="27"/>
        <v>1125.1724137931033</v>
      </c>
      <c r="I87" s="104">
        <f t="shared" si="27"/>
        <v>2685.6097560975609</v>
      </c>
      <c r="J87" s="86">
        <f t="shared" si="27"/>
        <v>259.36137500000001</v>
      </c>
      <c r="K87" s="104">
        <f t="shared" si="27"/>
        <v>1973.2974910394266</v>
      </c>
      <c r="L87" s="86">
        <f>HLOOKUP(L85,$B$39:$X$82,IF(L86="x",35,40),FALSE)</f>
        <v>55.73749999999999</v>
      </c>
      <c r="M87" s="104">
        <f t="shared" ref="M87:Z87" si="28">HLOOKUP(M85,$B$39:$X$82,IF(M86="x",35,40),FALSE)</f>
        <v>1034.7772925764191</v>
      </c>
      <c r="N87" s="86">
        <f t="shared" si="28"/>
        <v>1034.7772925764191</v>
      </c>
      <c r="O87" s="104">
        <f t="shared" si="28"/>
        <v>1260.4468085106382</v>
      </c>
      <c r="P87" s="86">
        <f t="shared" si="28"/>
        <v>148.6333333333333</v>
      </c>
      <c r="Q87" s="104">
        <f t="shared" si="28"/>
        <v>1260.4468085106382</v>
      </c>
      <c r="R87" s="86">
        <f t="shared" si="28"/>
        <v>259.36137500000001</v>
      </c>
      <c r="S87" s="104">
        <f t="shared" si="28"/>
        <v>1260.4468085106382</v>
      </c>
      <c r="T87" s="86">
        <f t="shared" si="28"/>
        <v>259.36137500000001</v>
      </c>
      <c r="U87" s="104">
        <f t="shared" si="28"/>
        <v>1260.4468085106382</v>
      </c>
      <c r="V87" s="86">
        <f t="shared" si="28"/>
        <v>148.6333333333333</v>
      </c>
      <c r="W87" s="104">
        <f t="shared" si="28"/>
        <v>1034.7772925764191</v>
      </c>
      <c r="X87" s="86">
        <f t="shared" si="28"/>
        <v>1772.9957142857143</v>
      </c>
      <c r="Y87" s="104">
        <f t="shared" si="28"/>
        <v>2262.4164062499999</v>
      </c>
      <c r="Z87" s="86">
        <f t="shared" si="28"/>
        <v>259.36137500000001</v>
      </c>
    </row>
    <row r="88" spans="2:26" x14ac:dyDescent="0.3">
      <c r="B88" s="106" t="s">
        <v>111</v>
      </c>
      <c r="C88" s="127">
        <f>(MAX(C87:D87)-MIN(C87:D87))/(MAX(C87:D87))</f>
        <v>0.47561009058428677</v>
      </c>
      <c r="D88" s="128"/>
      <c r="E88" s="127">
        <f>(MAX(E87:F87)-MIN(E87:F87))/(MAX(E87:F87))</f>
        <v>0.26206558251133039</v>
      </c>
      <c r="F88" s="128"/>
      <c r="G88" s="127">
        <f>(MAX(G87:H87)-MIN(G87:H87))/(MAX(G87:H87))</f>
        <v>0.58103651834059367</v>
      </c>
      <c r="H88" s="128"/>
      <c r="I88" s="127">
        <f>(MAX(I87:J87)-MIN(I87:J87))/(MAX(I87:J87))</f>
        <v>0.90342551652892567</v>
      </c>
      <c r="J88" s="128"/>
      <c r="K88" s="127">
        <f>(MAX(K87:L87)-MIN(K87:L87))/(MAX(K87:L87))</f>
        <v>0.97175413223140494</v>
      </c>
      <c r="L88" s="128"/>
      <c r="M88" s="127">
        <f>(MAX(M87:N87)-MIN(M87:N87))/(MAX(M87:N87))</f>
        <v>0</v>
      </c>
      <c r="N88" s="128"/>
      <c r="O88" s="127">
        <f>(MAX(O87:P87)-MIN(O87:P87))/(MAX(O87:P87))</f>
        <v>0.88207885304659506</v>
      </c>
      <c r="P88" s="128"/>
      <c r="Q88" s="127">
        <f>(MAX(Q87:R87)-MIN(Q87:R87))/(MAX(Q87:R87))</f>
        <v>0.79423060675883261</v>
      </c>
      <c r="R88" s="128"/>
      <c r="S88" s="127">
        <f>(MAX(S87:T87)-MIN(S87:T87))/(MAX(S87:T87))</f>
        <v>0.79423060675883261</v>
      </c>
      <c r="T88" s="128"/>
      <c r="U88" s="127">
        <f>(MAX(U87:V87)-MIN(U87:V87))/(MAX(U87:V87))</f>
        <v>0.88207885304659506</v>
      </c>
      <c r="V88" s="128"/>
      <c r="W88" s="127">
        <f>(MAX(W87:X87)-MIN(W87:X87))/(MAX(W87:X87))</f>
        <v>0.41636785456455588</v>
      </c>
      <c r="X88" s="128"/>
      <c r="Y88" s="127">
        <f>(MAX(Y87:Z87)-MIN(Y87:Z87))/(MAX(Y87:Z87))</f>
        <v>0.88536090249190835</v>
      </c>
      <c r="Z88" s="128"/>
    </row>
    <row r="89" spans="2:26" x14ac:dyDescent="0.3">
      <c r="B89" s="106" t="s">
        <v>112</v>
      </c>
      <c r="C89" s="129">
        <f>IF(C88&lt;25%,(C87*0.5+D87*0.5)*0.9,IF(C88&lt;50%,(MAX(C87:D87)*0.6+MIN(C87:D87)*0.4)*0.9,IF(C88&lt;70%,(MAX(C87:D87)*0.65+MIN(C87:D87)*0.35)*0.9,IF(C88&lt;100%,(MAX(C87:D87)*0.7+MIN(C87:D87)*0.3)*0.9,0.7*MAX(C87:D87)))))</f>
        <v>1438.1004704888012</v>
      </c>
      <c r="D89" s="130"/>
      <c r="E89" s="129">
        <f>IF(E88&lt;25%,(E87*0.5+F87*0.5)*0.9,IF(E88&lt;50%,(MAX(E87:F87)*0.6+MIN(E87:F87)*0.4)*0.9,IF(E88&lt;70%,(MAX(E87:F87)*0.65+MIN(E87:F87)*0.35)*0.9,IF(E88&lt;100%,(MAX(E87:F87)*0.7+MIN(E87:F87)*0.3)*0.9,0.7*MAX(E87:F87)))))</f>
        <v>2163.6786618410697</v>
      </c>
      <c r="F89" s="130"/>
      <c r="G89" s="129">
        <f>IF(G88&lt;25%,(G87*0.5+H87*0.5)*0.9,IF(G88&lt;50%,(MAX(G87:H87)*0.6+MIN(G87:H87)*0.4)*0.9,IF(G88&lt;70%,(MAX(G87:H87)*0.65+MIN(G87:H87)*0.35)*0.9,IF(G88&lt;100%,(MAX(G87:H87)*0.7+MIN(G87:H87)*0.3)*0.9,0.7*MAX(G87:H87)))))</f>
        <v>1925.511017661901</v>
      </c>
      <c r="H89" s="130"/>
      <c r="I89" s="129">
        <f>IF(I88&lt;25%,(I87*0.5+J87*0.5)*0.9,IF(I88&lt;50%,(MAX(I87:J87)*0.6+MIN(I87:J87)*0.4)*0.9,IF(I88&lt;70%,(MAX(I87:J87)*0.65+MIN(I87:J87)*0.35)*0.9,IF(I88&lt;100%,(MAX(I87:J87)*0.7+MIN(I87:J87)*0.3)*0.9,0.7*MAX(I87:J87)))))</f>
        <v>1761.9617175914634</v>
      </c>
      <c r="J89" s="130"/>
      <c r="K89" s="129">
        <f>IF(K88&lt;25%,(K87*0.5+L87*0.5)*0.9,IF(K88&lt;50%,(MAX(K87:L87)*0.6+MIN(K87:L87)*0.4)*0.9,IF(K88&lt;70%,(MAX(K87:L87)*0.65+MIN(K87:L87)*0.35)*0.9,IF(K88&lt;100%,(MAX(K87:L87)*0.7+MIN(K87:L87)*0.3)*0.9,0.7*MAX(K87:L87)))))</f>
        <v>1258.2265443548388</v>
      </c>
      <c r="L89" s="130"/>
      <c r="M89" s="129">
        <f>IF(M88&lt;25%,(M87*0.5+N87*0.5)*0.9,IF(M88&lt;50%,(MAX(M87:N87)*0.6+MIN(M87:N87)*0.4)*0.9,IF(M88&lt;70%,(MAX(M87:N87)*0.65+MIN(M87:N87)*0.35)*0.9,IF(M88&lt;100%,(MAX(M87:N87)*0.7+MIN(M87:N87)*0.3)*0.9,0.7*MAX(M87:N87)))))</f>
        <v>931.29956331877725</v>
      </c>
      <c r="N89" s="130"/>
      <c r="O89" s="129">
        <f>IF(O88&lt;25%,(O87*0.5+P87*0.5)*0.9,IF(O88&lt;50%,(MAX(O87:P87)*0.6+MIN(O87:P87)*0.4)*0.9,IF(O88&lt;70%,(MAX(O87:P87)*0.65+MIN(O87:P87)*0.35)*0.9,IF(O88&lt;100%,(MAX(O87:P87)*0.7+MIN(O87:P87)*0.3)*0.9,0.7*MAX(O87:P87)))))</f>
        <v>834.21248936170207</v>
      </c>
      <c r="P89" s="130"/>
      <c r="Q89" s="129">
        <f>IF(Q88&lt;25%,(Q87*0.5+R87*0.5)*0.9,IF(Q88&lt;50%,(MAX(Q87:R87)*0.6+MIN(Q87:R87)*0.4)*0.9,IF(Q88&lt;70%,(MAX(Q87:R87)*0.65+MIN(Q87:R87)*0.35)*0.9,IF(Q88&lt;100%,(MAX(Q87:R87)*0.7+MIN(Q87:R87)*0.3)*0.9,0.7*MAX(Q87:R87)))))</f>
        <v>864.10906061170203</v>
      </c>
      <c r="R89" s="130"/>
      <c r="S89" s="129">
        <f>IF(S88&lt;25%,(S87*0.5+T87*0.5)*0.9,IF(S88&lt;50%,(MAX(S87:T87)*0.6+MIN(S87:T87)*0.4)*0.9,IF(S88&lt;70%,(MAX(S87:T87)*0.65+MIN(S87:T87)*0.35)*0.9,IF(S88&lt;100%,(MAX(S87:T87)*0.7+MIN(S87:T87)*0.3)*0.9,0.7*MAX(S87:T87)))))</f>
        <v>864.10906061170203</v>
      </c>
      <c r="T89" s="130"/>
      <c r="U89" s="129">
        <f>IF(U88&lt;25%,(U87*0.5+V87*0.5)*0.9,IF(U88&lt;50%,(MAX(U87:V87)*0.6+MIN(U87:V87)*0.4)*0.9,IF(U88&lt;70%,(MAX(U87:V87)*0.65+MIN(U87:V87)*0.35)*0.9,IF(U88&lt;100%,(MAX(U87:V87)*0.7+MIN(U87:V87)*0.3)*0.9,0.7*MAX(U87:V87)))))</f>
        <v>834.21248936170207</v>
      </c>
      <c r="V89" s="130"/>
      <c r="W89" s="129">
        <f>IF(W88&lt;25%,(W87*0.5+X87*0.5)*0.9,IF(W88&lt;50%,(MAX(W87:X87)*0.6+MIN(W87:X87)*0.4)*0.9,IF(W88&lt;70%,(MAX(W87:X87)*0.65+MIN(W87:X87)*0.35)*0.9,IF(W88&lt;100%,(MAX(W87:X87)*0.7+MIN(W87:X87)*0.3)*0.9,0.7*MAX(W87:X87)))))</f>
        <v>1329.9375110417966</v>
      </c>
      <c r="X89" s="130"/>
      <c r="Y89" s="129">
        <f>IF(Y88&lt;25%,(Y87*0.5+Z87*0.5)*0.9,IF(Y88&lt;50%,(MAX(Y87:Z87)*0.6+MIN(Y87:Z87)*0.4)*0.9,IF(Y88&lt;70%,(MAX(Y87:Z87)*0.65+MIN(Y87:Z87)*0.35)*0.9,IF(Y88&lt;100%,(MAX(Y87:Z87)*0.7+MIN(Y87:Z87)*0.3)*0.9,0.7*MAX(Y87:Z87)))))</f>
        <v>1495.3499071874999</v>
      </c>
      <c r="Z89" s="130"/>
    </row>
    <row r="90" spans="2:26" x14ac:dyDescent="0.3">
      <c r="B90" s="107" t="s">
        <v>15</v>
      </c>
      <c r="C90" s="131">
        <f>C89/(0.9*(0.9*($C$7/100))*($L$9*1000))</f>
        <v>2.9630051395457335</v>
      </c>
      <c r="D90" s="132"/>
      <c r="E90" s="131">
        <f>E89/(0.9*(0.9*($C$7/100))*($L$9*1000))</f>
        <v>4.4579576510266135</v>
      </c>
      <c r="F90" s="132"/>
      <c r="G90" s="131">
        <f>G89/(0.9*(0.9*($C$7/100))*($L$9*1000))</f>
        <v>3.967246488449415</v>
      </c>
      <c r="H90" s="132"/>
      <c r="I90" s="131">
        <f>I89/(0.9*(0.9*($C$7/100))*($L$9*1000))</f>
        <v>3.630276000905452</v>
      </c>
      <c r="J90" s="132"/>
      <c r="K90" s="131">
        <f>K89/(0.9*(0.9*($C$7/100))*($L$9*1000))</f>
        <v>2.5924000402900131</v>
      </c>
      <c r="L90" s="132"/>
      <c r="M90" s="131">
        <f>M89/(0.9*(0.9*($C$7/100))*($L$9*1000))</f>
        <v>1.9188126623950803</v>
      </c>
      <c r="N90" s="132"/>
      <c r="O90" s="131">
        <f>O89/(0.9*(0.9*($C$7/100))*($L$9*1000))</f>
        <v>1.7187783080356149</v>
      </c>
      <c r="P90" s="132"/>
      <c r="Q90" s="131">
        <f>Q89/(0.9*(0.9*($C$7/100))*($L$9*1000))</f>
        <v>1.7803760170179617</v>
      </c>
      <c r="R90" s="132"/>
      <c r="S90" s="131">
        <f>S89/(0.9*(0.9*($C$7/100))*($L$9*1000))</f>
        <v>1.7803760170179617</v>
      </c>
      <c r="T90" s="132"/>
      <c r="U90" s="131">
        <f>U89/(0.9*(0.9*($C$7/100))*($L$9*1000))</f>
        <v>1.7187783080356149</v>
      </c>
      <c r="V90" s="132"/>
      <c r="W90" s="131">
        <f>W89/(0.9*(0.9*($C$7/100))*($L$9*1000))</f>
        <v>2.7401504702603394</v>
      </c>
      <c r="X90" s="132"/>
      <c r="Y90" s="131">
        <f>Y89/(0.9*(0.9*($C$7/100))*($L$9*1000))</f>
        <v>3.0809596070223249</v>
      </c>
      <c r="Z90" s="132"/>
    </row>
    <row r="91" spans="2:26" x14ac:dyDescent="0.3">
      <c r="B91" s="107" t="s">
        <v>98</v>
      </c>
      <c r="C91" s="133">
        <f>(C90*($L$9))/(0.85*$L$6*100)</f>
        <v>7.3135305635846248E-2</v>
      </c>
      <c r="D91" s="134"/>
      <c r="E91" s="133">
        <f>(E90*($L$9))/(0.85*$L$6*100)</f>
        <v>0.11003494086732356</v>
      </c>
      <c r="F91" s="134"/>
      <c r="G91" s="133">
        <f>(G90*($L$9))/(0.85*$L$6*100)</f>
        <v>9.7922808365418085E-2</v>
      </c>
      <c r="H91" s="134"/>
      <c r="I91" s="133">
        <f>(I90*($L$9))/(0.85*$L$6*100)</f>
        <v>8.9605428396051526E-2</v>
      </c>
      <c r="J91" s="134"/>
      <c r="K91" s="133">
        <f>(K90*($L$9))/(0.85*$L$6*100)</f>
        <v>6.3987728791472062E-2</v>
      </c>
      <c r="L91" s="134"/>
      <c r="M91" s="133">
        <f>(M90*($L$9))/(0.85*$L$6*100)</f>
        <v>4.7361696626591371E-2</v>
      </c>
      <c r="N91" s="134"/>
      <c r="O91" s="133">
        <f>(O90*($L$9))/(0.85*$L$6*100)</f>
        <v>4.2424285803877929E-2</v>
      </c>
      <c r="P91" s="134"/>
      <c r="Q91" s="133">
        <f>(Q90*($L$9))/(0.85*$L$6*100)</f>
        <v>4.3944690616129621E-2</v>
      </c>
      <c r="R91" s="134"/>
      <c r="S91" s="133">
        <f>(S90*($L$9))/(0.85*$L$6*100)</f>
        <v>4.3944690616129621E-2</v>
      </c>
      <c r="T91" s="134"/>
      <c r="U91" s="133">
        <f>(U90*($L$9))/(0.85*$L$6*100)</f>
        <v>4.2424285803877929E-2</v>
      </c>
      <c r="V91" s="134"/>
      <c r="W91" s="133">
        <f>(W90*($L$9))/(0.85*$L$6*100)</f>
        <v>6.7634625217498578E-2</v>
      </c>
      <c r="X91" s="134"/>
      <c r="Y91" s="133">
        <f>(Y90*($L$9))/(0.85*$L$6*100)</f>
        <v>7.6046753852684834E-2</v>
      </c>
      <c r="Z91" s="134"/>
    </row>
    <row r="92" spans="2:26" ht="15" thickBot="1" x14ac:dyDescent="0.35">
      <c r="B92" s="108" t="s">
        <v>15</v>
      </c>
      <c r="C92" s="135">
        <f>ROUNDUP(C89/(0.9*(($C$7-C91/2)/100)*($L$9*1000)),2)</f>
        <v>2.6799999999999997</v>
      </c>
      <c r="D92" s="136"/>
      <c r="E92" s="135">
        <f>ROUNDUP(E89/(0.9*(($C$7-E91/2)/100)*($L$9*1000)),2)</f>
        <v>4.0299999999999994</v>
      </c>
      <c r="F92" s="136"/>
      <c r="G92" s="135">
        <f>ROUNDUP(G89/(0.9*(($C$7-G91/2)/100)*($L$9*1000)),2)</f>
        <v>3.59</v>
      </c>
      <c r="H92" s="136"/>
      <c r="I92" s="135">
        <f>ROUNDUP(I89/(0.9*(($C$7-I91/2)/100)*($L$9*1000)),2)</f>
        <v>3.28</v>
      </c>
      <c r="J92" s="136"/>
      <c r="K92" s="135">
        <f>ROUNDUP(K89/(0.9*(($C$7-K91/2)/100)*($L$9*1000)),2)</f>
        <v>2.34</v>
      </c>
      <c r="L92" s="136"/>
      <c r="M92" s="135">
        <f>ROUNDUP(M89/(0.9*(($C$7-M91/2)/100)*($L$9*1000)),2)</f>
        <v>1.73</v>
      </c>
      <c r="N92" s="136"/>
      <c r="O92" s="135">
        <f>ROUNDUP(O89/(0.9*(($C$7-O91/2)/100)*($L$9*1000)),2)</f>
        <v>1.55</v>
      </c>
      <c r="P92" s="136"/>
      <c r="Q92" s="135">
        <f>ROUNDUP(Q89/(0.9*(($C$7-Q91/2)/100)*($L$9*1000)),2)</f>
        <v>1.61</v>
      </c>
      <c r="R92" s="136"/>
      <c r="S92" s="135">
        <f>ROUNDUP(S89/(0.9*(($C$7-S91/2)/100)*($L$9*1000)),2)</f>
        <v>1.61</v>
      </c>
      <c r="T92" s="136"/>
      <c r="U92" s="135">
        <f>ROUNDUP(U89/(0.9*(($C$7-U91/2)/100)*($L$9*1000)),2)</f>
        <v>1.55</v>
      </c>
      <c r="V92" s="136"/>
      <c r="W92" s="135">
        <f>ROUNDUP(W89/(0.9*(($C$7-W91/2)/100)*($L$9*1000)),2)</f>
        <v>2.48</v>
      </c>
      <c r="X92" s="136"/>
      <c r="Y92" s="135">
        <f>ROUNDUP(Y89/(0.9*(($C$7-Y91/2)/100)*($L$9*1000)),2)</f>
        <v>2.7899999999999996</v>
      </c>
      <c r="Z92" s="136"/>
    </row>
    <row r="93" spans="2:26" ht="16.2" thickBot="1" x14ac:dyDescent="0.35">
      <c r="B93" s="61" t="s">
        <v>113</v>
      </c>
      <c r="C93" s="140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φ8@17</v>
      </c>
      <c r="D93" s="141"/>
      <c r="E93" s="140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φ10@20</v>
      </c>
      <c r="F93" s="141"/>
      <c r="G93" s="140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φ8@14</v>
      </c>
      <c r="H93" s="141"/>
      <c r="I93" s="140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φ8@15</v>
      </c>
      <c r="J93" s="141"/>
      <c r="K93" s="140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1"/>
      <c r="M93" s="140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1"/>
      <c r="O93" s="140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1"/>
      <c r="Q93" s="140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1"/>
      <c r="S93" s="140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1"/>
      <c r="U93" s="140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1"/>
      <c r="W93" s="140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1"/>
      <c r="Y93" s="140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φ8@17</v>
      </c>
      <c r="Z93" s="141"/>
    </row>
    <row r="94" spans="2:26" ht="15" thickBot="1" x14ac:dyDescent="0.35">
      <c r="C94" t="str">
        <f>IF(C93='2 a 7'!C93:D93,"IGUAL","PUTA LA WEA")</f>
        <v>PUTA LA WEA</v>
      </c>
      <c r="E94" t="str">
        <f>IF(E93='2 a 7'!E93:F93,"IGUAL","PUTA LA WEA")</f>
        <v>PUTA LA WEA</v>
      </c>
      <c r="G94" t="str">
        <f>IF(G93='2 a 7'!G93:H93,"IGUAL","PUTA LA WEA")</f>
        <v>PUTA LA WEA</v>
      </c>
      <c r="I94" t="str">
        <f>IF(I93='2 a 7'!I93:J93,"IGUAL","PUTA LA WEA")</f>
        <v>PUTA LA WEA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PUTA LA WEA</v>
      </c>
    </row>
    <row r="95" spans="2:26" ht="15" thickBot="1" x14ac:dyDescent="0.35">
      <c r="B95" s="73" t="s">
        <v>43</v>
      </c>
      <c r="C95" s="74" t="s">
        <v>214</v>
      </c>
      <c r="D95" s="75" t="s">
        <v>218</v>
      </c>
      <c r="E95" s="74" t="s">
        <v>214</v>
      </c>
      <c r="F95" s="75" t="s">
        <v>226</v>
      </c>
      <c r="G95" s="74" t="s">
        <v>214</v>
      </c>
      <c r="H95" s="75" t="s">
        <v>220</v>
      </c>
      <c r="I95" s="74" t="s">
        <v>214</v>
      </c>
      <c r="J95" s="75" t="s">
        <v>221</v>
      </c>
      <c r="K95" s="74" t="s">
        <v>215</v>
      </c>
      <c r="L95" s="75" t="s">
        <v>230</v>
      </c>
      <c r="M95" s="74" t="s">
        <v>215</v>
      </c>
      <c r="N95" s="75" t="s">
        <v>216</v>
      </c>
      <c r="O95" s="74" t="s">
        <v>215</v>
      </c>
      <c r="P95" s="75" t="s">
        <v>229</v>
      </c>
      <c r="Q95" s="74" t="s">
        <v>216</v>
      </c>
      <c r="R95" s="75" t="s">
        <v>229</v>
      </c>
      <c r="S95" s="74" t="s">
        <v>216</v>
      </c>
      <c r="T95" s="75" t="s">
        <v>218</v>
      </c>
      <c r="U95" s="74" t="s">
        <v>216</v>
      </c>
      <c r="V95" s="75" t="s">
        <v>217</v>
      </c>
      <c r="W95" s="74" t="s">
        <v>216</v>
      </c>
      <c r="X95" s="75" t="s">
        <v>232</v>
      </c>
      <c r="Y95" s="74" t="s">
        <v>217</v>
      </c>
      <c r="Z95" s="75" t="s">
        <v>218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30" x14ac:dyDescent="0.3">
      <c r="B97" s="106" t="s">
        <v>110</v>
      </c>
      <c r="C97" s="104">
        <f>HLOOKUP(C95,$B$39:$X$82,IF(C96="x",35,40),FALSE)</f>
        <v>1772.9957142857143</v>
      </c>
      <c r="D97" s="86">
        <f>HLOOKUP(D95,$B$39:$X$82,IF(D96="x",35,40),FALSE)</f>
        <v>101.91999999999999</v>
      </c>
      <c r="E97" s="104">
        <f t="shared" ref="E97:Z97" si="29">HLOOKUP(E95,$B$39:$X$82,IF(E96="x",35,40),FALSE)</f>
        <v>1772.9957142857143</v>
      </c>
      <c r="F97" s="86">
        <f t="shared" si="29"/>
        <v>123.03200000000001</v>
      </c>
      <c r="G97" s="104">
        <f t="shared" si="29"/>
        <v>2262.4164062499999</v>
      </c>
      <c r="H97" s="86">
        <f t="shared" si="29"/>
        <v>1214.946808510638</v>
      </c>
      <c r="I97" s="104">
        <f t="shared" si="29"/>
        <v>2262.4164062499999</v>
      </c>
      <c r="J97" s="86">
        <f t="shared" si="29"/>
        <v>1847.9751612903226</v>
      </c>
      <c r="K97" s="104">
        <f t="shared" si="29"/>
        <v>1714.4907906976741</v>
      </c>
      <c r="L97" s="86">
        <f t="shared" si="29"/>
        <v>62.289499999999997</v>
      </c>
      <c r="M97" s="104">
        <f t="shared" si="29"/>
        <v>1714.4907906976741</v>
      </c>
      <c r="N97" s="86">
        <f t="shared" si="29"/>
        <v>1214.946808510638</v>
      </c>
      <c r="O97" s="104">
        <f t="shared" si="29"/>
        <v>1981.8038709677417</v>
      </c>
      <c r="P97" s="86">
        <f t="shared" si="29"/>
        <v>204.24950000000004</v>
      </c>
      <c r="Q97" s="104">
        <f t="shared" si="29"/>
        <v>1125.1724137931033</v>
      </c>
      <c r="R97" s="86">
        <f t="shared" si="29"/>
        <v>204.24950000000004</v>
      </c>
      <c r="S97" s="104">
        <f t="shared" si="29"/>
        <v>1125.1724137931033</v>
      </c>
      <c r="T97" s="86">
        <f t="shared" si="29"/>
        <v>148.6333333333333</v>
      </c>
      <c r="U97" s="104">
        <f t="shared" si="29"/>
        <v>1214.946808510638</v>
      </c>
      <c r="V97" s="86">
        <f t="shared" si="29"/>
        <v>438.6613636363636</v>
      </c>
      <c r="W97" s="104">
        <f t="shared" si="29"/>
        <v>1214.946808510638</v>
      </c>
      <c r="X97" s="86">
        <f t="shared" si="29"/>
        <v>410.77647058823516</v>
      </c>
      <c r="Y97" s="104">
        <f t="shared" si="29"/>
        <v>313.83902439024388</v>
      </c>
      <c r="Z97" s="86">
        <f t="shared" si="29"/>
        <v>148.6333333333333</v>
      </c>
    </row>
    <row r="98" spans="2:30" x14ac:dyDescent="0.3">
      <c r="B98" s="106" t="s">
        <v>111</v>
      </c>
      <c r="C98" s="127">
        <f>(MAX(C97:D97)-MIN(C97:D97))/(MAX(C97:D97))</f>
        <v>0.94251537148184228</v>
      </c>
      <c r="D98" s="128"/>
      <c r="E98" s="127">
        <f>(MAX(E97:F97)-MIN(E97:F97))/(MAX(E97:F97))</f>
        <v>0.93060784128879537</v>
      </c>
      <c r="F98" s="128"/>
      <c r="G98" s="127">
        <f>(MAX(G97:H97)-MIN(G97:H97))/(MAX(G97:H97))</f>
        <v>0.46298709417315603</v>
      </c>
      <c r="H98" s="128"/>
      <c r="I98" s="127">
        <f>(MAX(I97:J97)-MIN(I97:J97))/(MAX(I97:J97))</f>
        <v>0.18318521904931812</v>
      </c>
      <c r="J98" s="128"/>
      <c r="K98" s="127">
        <f>(MAX(K97:L97)-MIN(K97:L97))/(MAX(K97:L97))</f>
        <v>0.96366880455820192</v>
      </c>
      <c r="L98" s="128"/>
      <c r="M98" s="127">
        <f>(MAX(M97:N97)-MIN(M97:N97))/(MAX(M97:N97))</f>
        <v>0.29136580079485741</v>
      </c>
      <c r="N98" s="128"/>
      <c r="O98" s="127">
        <f>(MAX(O97:P97)-MIN(O97:P97))/(MAX(O97:P97))</f>
        <v>0.89693758146699842</v>
      </c>
      <c r="P98" s="128"/>
      <c r="Q98" s="127">
        <f>(MAX(Q97:R97)-MIN(Q97:R97))/(MAX(Q97:R97))</f>
        <v>0.81847270916334658</v>
      </c>
      <c r="R98" s="128"/>
      <c r="S98" s="127">
        <f>(MAX(S97:T97)-MIN(S97:T97))/(MAX(S97:T97))</f>
        <v>0.86790172642762287</v>
      </c>
      <c r="T98" s="128"/>
      <c r="U98" s="127">
        <f>(MAX(U97:V97)-MIN(U97:V97))/(MAX(U97:V97))</f>
        <v>0.63894603404563555</v>
      </c>
      <c r="V98" s="128"/>
      <c r="W98" s="142">
        <f>(MAX(W97:X97)-MIN(W97:X97))/(MAX(W97:X97))</f>
        <v>0.66189756809864619</v>
      </c>
      <c r="X98" s="128"/>
      <c r="Y98" s="127">
        <f>(MAX(Y97:Z97)-MIN(Y97:Z97))/(MAX(Y97:Z97))</f>
        <v>0.5264026402640265</v>
      </c>
      <c r="Z98" s="128"/>
    </row>
    <row r="99" spans="2:30" x14ac:dyDescent="0.3">
      <c r="B99" s="106" t="s">
        <v>112</v>
      </c>
      <c r="C99" s="129">
        <f>IF(C98&lt;25%,(C97*0.5+D97*0.5)*0.9,IF(C98&lt;50%,(MAX(C97:D97)*0.6+MIN(C97:D97)*0.4)*0.9,IF(C98&lt;70%,(MAX(C97:D97)*0.65+MIN(C97:D97)*0.35)*0.9,IF(C98&lt;100%,(MAX(C97:D97)*0.7+MIN(C97:D97)*0.3)*0.9,0.7*MAX(C97:D97)))))</f>
        <v>1144.5056999999999</v>
      </c>
      <c r="D99" s="130"/>
      <c r="E99" s="129">
        <f>IF(E98&lt;25%,(E97*0.5+F97*0.5)*0.9,IF(E98&lt;50%,(MAX(E97:F97)*0.6+MIN(E97:F97)*0.4)*0.9,IF(E98&lt;70%,(MAX(E97:F97)*0.65+MIN(E97:F97)*0.35)*0.9,IF(E98&lt;100%,(MAX(E97:F97)*0.7+MIN(E97:F97)*0.3)*0.9,0.7*MAX(E97:F97)))))</f>
        <v>1150.2059400000001</v>
      </c>
      <c r="F99" s="130"/>
      <c r="G99" s="129">
        <f>IF(G98&lt;25%,(G97*0.5+H97*0.5)*0.9,IF(G98&lt;50%,(MAX(G97:H97)*0.6+MIN(G97:H97)*0.4)*0.9,IF(G98&lt;70%,(MAX(G97:H97)*0.65+MIN(G97:H97)*0.35)*0.9,IF(G98&lt;100%,(MAX(G97:H97)*0.7+MIN(G97:H97)*0.3)*0.9,0.7*MAX(G97:H97)))))</f>
        <v>1659.0857104388297</v>
      </c>
      <c r="H99" s="130"/>
      <c r="I99" s="129">
        <f>IF(I98&lt;25%,(I97*0.5+J97*0.5)*0.9,IF(I98&lt;50%,(MAX(I97:J97)*0.6+MIN(I97:J97)*0.4)*0.9,IF(I98&lt;70%,(MAX(I97:J97)*0.65+MIN(I97:J97)*0.35)*0.9,IF(I98&lt;100%,(MAX(I97:J97)*0.7+MIN(I97:J97)*0.3)*0.9,0.7*MAX(I97:J97)))))</f>
        <v>1849.676205393145</v>
      </c>
      <c r="J99" s="130"/>
      <c r="K99" s="129">
        <f>IF(K98&lt;25%,(K97*0.5+L97*0.5)*0.9,IF(K98&lt;50%,(MAX(K97:L97)*0.6+MIN(K97:L97)*0.4)*0.9,IF(K98&lt;70%,(MAX(K97:L97)*0.65+MIN(K97:L97)*0.35)*0.9,IF(K98&lt;100%,(MAX(K97:L97)*0.7+MIN(K97:L97)*0.3)*0.9,0.7*MAX(K97:L97)))))</f>
        <v>1096.9473631395347</v>
      </c>
      <c r="L99" s="130"/>
      <c r="M99" s="129">
        <f>IF(M98&lt;25%,(M97*0.5+N97*0.5)*0.9,IF(M98&lt;50%,(MAX(M97:N97)*0.6+MIN(M97:N97)*0.4)*0.9,IF(M98&lt;70%,(MAX(M97:N97)*0.65+MIN(M97:N97)*0.35)*0.9,IF(M98&lt;100%,(MAX(M97:N97)*0.7+MIN(M97:N97)*0.3)*0.9,0.7*MAX(M97:N97)))))</f>
        <v>1363.2058780405737</v>
      </c>
      <c r="N99" s="130"/>
      <c r="O99" s="129">
        <f>IF(O98&lt;25%,(O97*0.5+P97*0.5)*0.9,IF(O98&lt;50%,(MAX(O97:P97)*0.6+MIN(O97:P97)*0.4)*0.9,IF(O98&lt;70%,(MAX(O97:P97)*0.65+MIN(O97:P97)*0.35)*0.9,IF(O98&lt;100%,(MAX(O97:P97)*0.7+MIN(O97:P97)*0.3)*0.9,0.7*MAX(O97:P97)))))</f>
        <v>1303.6838037096772</v>
      </c>
      <c r="P99" s="130"/>
      <c r="Q99" s="129">
        <f>IF(Q98&lt;25%,(Q97*0.5+R97*0.5)*0.9,IF(Q98&lt;50%,(MAX(Q97:R97)*0.6+MIN(Q97:R97)*0.4)*0.9,IF(Q98&lt;70%,(MAX(Q97:R97)*0.65+MIN(Q97:R97)*0.35)*0.9,IF(Q98&lt;100%,(MAX(Q97:R97)*0.7+MIN(Q97:R97)*0.3)*0.9,0.7*MAX(Q97:R97)))))</f>
        <v>764.00598568965506</v>
      </c>
      <c r="R99" s="130"/>
      <c r="S99" s="129">
        <f>IF(S98&lt;25%,(S97*0.5+T97*0.5)*0.9,IF(S98&lt;50%,(MAX(S97:T97)*0.6+MIN(S97:T97)*0.4)*0.9,IF(S98&lt;70%,(MAX(S97:T97)*0.65+MIN(S97:T97)*0.35)*0.9,IF(S98&lt;100%,(MAX(S97:T97)*0.7+MIN(S97:T97)*0.3)*0.9,0.7*MAX(S97:T97)))))</f>
        <v>748.989620689655</v>
      </c>
      <c r="T99" s="130"/>
      <c r="U99" s="129">
        <f>IF(U98&lt;25%,(U97*0.5+V97*0.5)*0.9,IF(U98&lt;50%,(MAX(U97:V97)*0.6+MIN(U97:V97)*0.4)*0.9,IF(U98&lt;70%,(MAX(U97:V97)*0.65+MIN(U97:V97)*0.35)*0.9,IF(U98&lt;100%,(MAX(U97:V97)*0.7+MIN(U97:V97)*0.3)*0.9,0.7*MAX(U97:V97)))))</f>
        <v>848.92221252417778</v>
      </c>
      <c r="V99" s="130"/>
      <c r="W99" s="143">
        <f>IF(W98&lt;25%,(W97*0.5+X97*0.5)*0.9,IF(W98&lt;50%,(MAX(W97:X97)*0.6+MIN(W97:X97)*0.4)*0.9,IF(W98&lt;70%,(MAX(W97:X97)*0.65+MIN(W97:X97)*0.35)*0.9,IF(W98&lt;100%,(MAX(W97:X97)*0.7+MIN(W97:X97)*0.3)*0.9,0.7*MAX(W97:X97)))))</f>
        <v>840.13847121401739</v>
      </c>
      <c r="X99" s="130"/>
      <c r="Y99" s="129">
        <f>IF(Y98&lt;25%,(Y97*0.5+Z97*0.5)*0.9,IF(Y98&lt;50%,(MAX(Y97:Z97)*0.6+MIN(Y97:Z97)*0.4)*0.9,IF(Y98&lt;70%,(MAX(Y97:Z97)*0.65+MIN(Y97:Z97)*0.35)*0.9,IF(Y98&lt;100%,(MAX(Y97:Z97)*0.7+MIN(Y97:Z97)*0.3)*0.9,0.7*MAX(Y97:Z97)))))</f>
        <v>230.41532926829268</v>
      </c>
      <c r="Z99" s="130"/>
    </row>
    <row r="100" spans="2:30" x14ac:dyDescent="0.3">
      <c r="B100" s="107" t="s">
        <v>15</v>
      </c>
      <c r="C100" s="131">
        <f>C99/(0.9*(0.9*($C$7/100))*($L$9*1000))</f>
        <v>2.3580941255006667</v>
      </c>
      <c r="D100" s="132"/>
      <c r="E100" s="131">
        <f>E99/(0.9*(0.9*($C$7/100))*($L$9*1000))</f>
        <v>2.3698386737872714</v>
      </c>
      <c r="F100" s="132"/>
      <c r="G100" s="131">
        <f>G99/(0.9*(0.9*($C$7/100))*($L$9*1000))</f>
        <v>3.418314358318971</v>
      </c>
      <c r="H100" s="132"/>
      <c r="I100" s="131">
        <f>I99/(0.9*(0.9*($C$7/100))*($L$9*1000))</f>
        <v>3.810999450693815</v>
      </c>
      <c r="J100" s="132"/>
      <c r="K100" s="131">
        <f>K99/(0.9*(0.9*($C$7/100))*($L$9*1000))</f>
        <v>2.2601068155473438</v>
      </c>
      <c r="L100" s="132"/>
      <c r="M100" s="131">
        <f>M99/(0.9*(0.9*($C$7/100))*($L$9*1000))</f>
        <v>2.8086952933964899</v>
      </c>
      <c r="N100" s="132"/>
      <c r="O100" s="131">
        <f>O99/(0.9*(0.9*($C$7/100))*($L$9*1000))</f>
        <v>2.6860583735302974</v>
      </c>
      <c r="P100" s="132"/>
      <c r="Q100" s="131">
        <f>Q99/(0.9*(0.9*($C$7/100))*($L$9*1000))</f>
        <v>1.574127613957818</v>
      </c>
      <c r="R100" s="132"/>
      <c r="S100" s="131">
        <f>S99/(0.9*(0.9*($C$7/100))*($L$9*1000))</f>
        <v>1.543188491424069</v>
      </c>
      <c r="T100" s="132"/>
      <c r="U100" s="131">
        <f>U99/(0.9*(0.9*($C$7/100))*($L$9*1000))</f>
        <v>1.749085637896161</v>
      </c>
      <c r="V100" s="132"/>
      <c r="W100" s="144">
        <f>W99/(0.9*(0.9*($C$7/100))*($L$9*1000))</f>
        <v>1.7309879658763478</v>
      </c>
      <c r="X100" s="132"/>
      <c r="Y100" s="131">
        <f>Y99/(0.9*(0.9*($C$7/100))*($L$9*1000))</f>
        <v>0.47473860057915207</v>
      </c>
      <c r="Z100" s="132"/>
    </row>
    <row r="101" spans="2:30" x14ac:dyDescent="0.3">
      <c r="B101" s="107" t="s">
        <v>98</v>
      </c>
      <c r="C101" s="133">
        <f>(C100*($L$9))/(0.85*$L$6*100)</f>
        <v>5.8204399406821532E-2</v>
      </c>
      <c r="D101" s="134"/>
      <c r="E101" s="133">
        <f>(E100*($L$9))/(0.85*$L$6*100)</f>
        <v>5.8494287911242913E-2</v>
      </c>
      <c r="F101" s="134"/>
      <c r="G101" s="133">
        <f>(G100*($L$9))/(0.85*$L$6*100)</f>
        <v>8.4373618532901942E-2</v>
      </c>
      <c r="H101" s="134"/>
      <c r="I101" s="133">
        <f>(I100*($L$9))/(0.85*$L$6*100)</f>
        <v>9.4066191747229119E-2</v>
      </c>
      <c r="J101" s="134"/>
      <c r="K101" s="133">
        <f>(K100*($L$9))/(0.85*$L$6*100)</f>
        <v>5.5785796831272383E-2</v>
      </c>
      <c r="L101" s="134"/>
      <c r="M101" s="133">
        <f>(M100*($L$9))/(0.85*$L$6*100)</f>
        <v>6.932650435834474E-2</v>
      </c>
      <c r="N101" s="134"/>
      <c r="O101" s="133">
        <f>(O100*($L$9))/(0.85*$L$6*100)</f>
        <v>6.6299480038694764E-2</v>
      </c>
      <c r="P101" s="134"/>
      <c r="Q101" s="133">
        <f>(Q100*($L$9))/(0.85*$L$6*100)</f>
        <v>3.8853899583272553E-2</v>
      </c>
      <c r="R101" s="134"/>
      <c r="S101" s="133">
        <f>(S100*($L$9))/(0.85*$L$6*100)</f>
        <v>3.8090234967099283E-2</v>
      </c>
      <c r="T101" s="134"/>
      <c r="U101" s="133">
        <f>(U100*($L$9))/(0.85*$L$6*100)</f>
        <v>4.3172355998821042E-2</v>
      </c>
      <c r="V101" s="134"/>
      <c r="W101" s="145">
        <f>(W100*($L$9))/(0.85*$L$6*100)</f>
        <v>4.2725654521054035E-2</v>
      </c>
      <c r="X101" s="134"/>
      <c r="Y101" s="133">
        <f>(Y100*($L$9))/(0.85*$L$6*100)</f>
        <v>1.1717884720177457E-2</v>
      </c>
      <c r="Z101" s="134"/>
    </row>
    <row r="102" spans="2:30" ht="15" thickBot="1" x14ac:dyDescent="0.35">
      <c r="B102" s="108" t="s">
        <v>15</v>
      </c>
      <c r="C102" s="135">
        <f>ROUNDUP(C99/(0.9*(($C$7-C101/2)/100)*($L$9*1000)),2)</f>
        <v>2.13</v>
      </c>
      <c r="D102" s="136"/>
      <c r="E102" s="135">
        <f>ROUNDUP(E99/(0.9*(($C$7-E101/2)/100)*($L$9*1000)),2)</f>
        <v>2.1399999999999997</v>
      </c>
      <c r="F102" s="136"/>
      <c r="G102" s="135">
        <f>ROUNDUP(G99/(0.9*(($C$7-G101/2)/100)*($L$9*1000)),2)</f>
        <v>3.09</v>
      </c>
      <c r="H102" s="136"/>
      <c r="I102" s="135">
        <f>ROUNDUP(I99/(0.9*(($C$7-I101/2)/100)*($L$9*1000)),2)</f>
        <v>3.4499999999999997</v>
      </c>
      <c r="J102" s="136"/>
      <c r="K102" s="135">
        <f>ROUNDUP(K99/(0.9*(($C$7-K101/2)/100)*($L$9*1000)),2)</f>
        <v>2.0399999999999996</v>
      </c>
      <c r="L102" s="136"/>
      <c r="M102" s="135">
        <f>ROUNDUP(M99/(0.9*(($C$7-M101/2)/100)*($L$9*1000)),2)</f>
        <v>2.5399999999999996</v>
      </c>
      <c r="N102" s="136"/>
      <c r="O102" s="135">
        <f>ROUNDUP(O99/(0.9*(($C$7-O101/2)/100)*($L$9*1000)),2)</f>
        <v>2.4299999999999997</v>
      </c>
      <c r="P102" s="136"/>
      <c r="Q102" s="135">
        <f>ROUNDUP(Q99/(0.9*(($C$7-Q101/2)/100)*($L$9*1000)),2)</f>
        <v>1.42</v>
      </c>
      <c r="R102" s="136"/>
      <c r="S102" s="135">
        <f>ROUNDUP(S99/(0.9*(($C$7-S101/2)/100)*($L$9*1000)),2)</f>
        <v>1.4</v>
      </c>
      <c r="T102" s="136"/>
      <c r="U102" s="135">
        <f>ROUNDUP(U99/(0.9*(($C$7-U101/2)/100)*($L$9*1000)),2)</f>
        <v>1.58</v>
      </c>
      <c r="V102" s="136"/>
      <c r="W102" s="146">
        <f>ROUNDUP(W99/(0.9*(($C$7-W101/2)/100)*($L$9*1000)),2)</f>
        <v>1.57</v>
      </c>
      <c r="X102" s="147"/>
      <c r="Y102" s="135">
        <f>ROUNDUP(Y99/(0.9*(($C$7-Y101/2)/100)*($L$9*1000)),2)</f>
        <v>0.43</v>
      </c>
      <c r="Z102" s="136"/>
    </row>
    <row r="103" spans="2:30" ht="16.2" thickBot="1" x14ac:dyDescent="0.35">
      <c r="B103" s="61" t="s">
        <v>113</v>
      </c>
      <c r="C103" s="140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1"/>
      <c r="E103" s="140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1"/>
      <c r="G103" s="140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φ10@25</v>
      </c>
      <c r="H103" s="141"/>
      <c r="I103" s="140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φ10@23</v>
      </c>
      <c r="J103" s="141"/>
      <c r="K103" s="140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1"/>
      <c r="M103" s="140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1"/>
      <c r="O103" s="140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1"/>
      <c r="Q103" s="140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1"/>
      <c r="S103" s="140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1"/>
      <c r="U103" s="140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1"/>
      <c r="W103" s="140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1"/>
      <c r="Y103" s="140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1"/>
    </row>
    <row r="104" spans="2:30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PUTA LA WEA</v>
      </c>
      <c r="I104" t="str">
        <f>IF(I103='2 a 7'!I103:J103,"IGUAL","PUTA LA WEA")</f>
        <v>PUTA LA WEA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30" ht="15" thickBot="1" x14ac:dyDescent="0.35">
      <c r="B105" s="73" t="s">
        <v>43</v>
      </c>
      <c r="C105" s="74" t="s">
        <v>217</v>
      </c>
      <c r="D105" s="75" t="s">
        <v>232</v>
      </c>
      <c r="E105" s="74" t="s">
        <v>218</v>
      </c>
      <c r="F105" s="75" t="s">
        <v>219</v>
      </c>
      <c r="G105" s="74" t="s">
        <v>218</v>
      </c>
      <c r="H105" s="75" t="s">
        <v>220</v>
      </c>
      <c r="I105" s="74" t="s">
        <v>219</v>
      </c>
      <c r="J105" s="75" t="s">
        <v>232</v>
      </c>
      <c r="K105" s="74" t="s">
        <v>219</v>
      </c>
      <c r="L105" s="75" t="s">
        <v>220</v>
      </c>
      <c r="M105" s="74" t="s">
        <v>220</v>
      </c>
      <c r="N105" s="75" t="s">
        <v>221</v>
      </c>
      <c r="O105" s="74" t="s">
        <v>220</v>
      </c>
      <c r="P105" s="75" t="s">
        <v>228</v>
      </c>
      <c r="Q105" s="74" t="s">
        <v>221</v>
      </c>
      <c r="R105" s="75" t="s">
        <v>228</v>
      </c>
      <c r="S105" s="74" t="s">
        <v>221</v>
      </c>
      <c r="T105" s="75" t="s">
        <v>227</v>
      </c>
      <c r="U105" s="74" t="s">
        <v>223</v>
      </c>
      <c r="V105" s="75" t="s">
        <v>224</v>
      </c>
      <c r="W105" s="74" t="s">
        <v>222</v>
      </c>
      <c r="X105" s="75" t="s">
        <v>231</v>
      </c>
      <c r="Y105" s="74" t="s">
        <v>225</v>
      </c>
      <c r="Z105" s="75" t="s">
        <v>226</v>
      </c>
      <c r="AA105" s="74" t="s">
        <v>227</v>
      </c>
      <c r="AB105" s="75" t="s">
        <v>228</v>
      </c>
      <c r="AC105" s="74" t="s">
        <v>229</v>
      </c>
      <c r="AD105" s="75" t="s">
        <v>230</v>
      </c>
    </row>
    <row r="106" spans="2:30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  <c r="W106" s="102" t="s">
        <v>108</v>
      </c>
      <c r="X106" s="103" t="s">
        <v>109</v>
      </c>
      <c r="Y106" s="102" t="s">
        <v>108</v>
      </c>
      <c r="Z106" s="103" t="s">
        <v>109</v>
      </c>
      <c r="AA106" s="102" t="s">
        <v>109</v>
      </c>
      <c r="AB106" s="103" t="s">
        <v>108</v>
      </c>
      <c r="AC106" s="102" t="s">
        <v>108</v>
      </c>
      <c r="AD106" s="103" t="s">
        <v>109</v>
      </c>
    </row>
    <row r="107" spans="2:30" x14ac:dyDescent="0.3">
      <c r="B107" s="106" t="s">
        <v>110</v>
      </c>
      <c r="C107" s="104">
        <f t="shared" ref="C107:T107" si="30">HLOOKUP(C105,$B$39:$X$82,IF(C106="x",35,40),FALSE)</f>
        <v>313.83902439024388</v>
      </c>
      <c r="D107" s="86">
        <f t="shared" si="30"/>
        <v>543.60239520958078</v>
      </c>
      <c r="E107" s="104">
        <f t="shared" si="30"/>
        <v>148.6333333333333</v>
      </c>
      <c r="F107" s="86">
        <f t="shared" si="30"/>
        <v>437.32</v>
      </c>
      <c r="G107" s="104">
        <f t="shared" si="30"/>
        <v>148.6333333333333</v>
      </c>
      <c r="H107" s="86">
        <f t="shared" si="30"/>
        <v>1214.946808510638</v>
      </c>
      <c r="I107" s="104">
        <f t="shared" si="30"/>
        <v>637.75833333333333</v>
      </c>
      <c r="J107" s="86">
        <f t="shared" si="30"/>
        <v>410.77647058823516</v>
      </c>
      <c r="K107" s="104">
        <f t="shared" si="30"/>
        <v>637.75833333333333</v>
      </c>
      <c r="L107" s="86">
        <f t="shared" si="30"/>
        <v>1125.1724137931033</v>
      </c>
      <c r="M107" s="104">
        <f t="shared" si="30"/>
        <v>1125.1724137931033</v>
      </c>
      <c r="N107" s="86">
        <f t="shared" si="30"/>
        <v>1598.7133953488374</v>
      </c>
      <c r="O107" s="104">
        <f t="shared" si="30"/>
        <v>1214.946808510638</v>
      </c>
      <c r="P107" s="86">
        <f t="shared" si="30"/>
        <v>204.24950000000004</v>
      </c>
      <c r="Q107" s="104">
        <f t="shared" si="30"/>
        <v>1847.9751612903226</v>
      </c>
      <c r="R107" s="86">
        <f t="shared" si="30"/>
        <v>204.24950000000004</v>
      </c>
      <c r="S107" s="104">
        <f t="shared" si="30"/>
        <v>1598.7133953488374</v>
      </c>
      <c r="T107" s="86">
        <f t="shared" si="30"/>
        <v>123.03200000000001</v>
      </c>
      <c r="U107" s="104">
        <f t="shared" ref="U107:AD107" si="31">HLOOKUP(U105,$B$39:$X$82,IF(U106="x",35,40),FALSE)</f>
        <v>184.43475555555557</v>
      </c>
      <c r="V107" s="86">
        <f t="shared" si="31"/>
        <v>184.43475555555557</v>
      </c>
      <c r="W107" s="104">
        <f t="shared" si="31"/>
        <v>259.36137500000001</v>
      </c>
      <c r="X107" s="86">
        <f t="shared" si="31"/>
        <v>39.635555555555548</v>
      </c>
      <c r="Y107" s="104">
        <f t="shared" si="31"/>
        <v>259.36137500000001</v>
      </c>
      <c r="Z107" s="86">
        <f t="shared" si="31"/>
        <v>87.489422222222231</v>
      </c>
      <c r="AA107" s="104">
        <f t="shared" si="31"/>
        <v>87.489422222222231</v>
      </c>
      <c r="AB107" s="86">
        <f t="shared" si="31"/>
        <v>204.24950000000004</v>
      </c>
      <c r="AC107" s="104">
        <f t="shared" si="31"/>
        <v>204.24950000000004</v>
      </c>
      <c r="AD107" s="86">
        <f t="shared" si="31"/>
        <v>44.294755555555554</v>
      </c>
    </row>
    <row r="108" spans="2:30" x14ac:dyDescent="0.3">
      <c r="B108" s="106" t="s">
        <v>111</v>
      </c>
      <c r="C108" s="127">
        <f>(MAX(C107:D107)-MIN(C107:D107))/(MAX(C107:D107))</f>
        <v>0.42266806188510964</v>
      </c>
      <c r="D108" s="128"/>
      <c r="E108" s="127">
        <f>(MAX(E107:F107)-MIN(E107:F107))/(MAX(E107:F107))</f>
        <v>0.66012683313515674</v>
      </c>
      <c r="F108" s="128"/>
      <c r="G108" s="127">
        <f>(MAX(G107:H107)-MIN(G107:H107))/(MAX(G107:H107))</f>
        <v>0.87766268260292168</v>
      </c>
      <c r="H108" s="128"/>
      <c r="I108" s="127">
        <f>(MAX(I107:J107)-MIN(I107:J107))/(MAX(I107:J107))</f>
        <v>0.35590575752847581</v>
      </c>
      <c r="J108" s="128"/>
      <c r="K108" s="127">
        <f>(MAX(K107:L107)-MIN(K107:L107))/(MAX(K107:L107))</f>
        <v>0.43319057104913672</v>
      </c>
      <c r="L108" s="128"/>
      <c r="M108" s="127">
        <f>(MAX(M107:N107)-MIN(M107:N107))/(MAX(M107:N107))</f>
        <v>0.29620129720149624</v>
      </c>
      <c r="N108" s="128"/>
      <c r="O108" s="127">
        <f>(MAX(O107:P107)-MIN(O107:P107))/(MAX(O107:P107))</f>
        <v>0.83188605577689234</v>
      </c>
      <c r="P108" s="128"/>
      <c r="Q108" s="127">
        <f>(MAX(Q107:R107)-MIN(Q107:R107))/(MAX(Q107:R107))</f>
        <v>0.88947389322192738</v>
      </c>
      <c r="R108" s="128"/>
      <c r="S108" s="127">
        <f>(MAX(S107:T107)-MIN(S107:T107))/(MAX(S107:T107))</f>
        <v>0.9230431168226032</v>
      </c>
      <c r="T108" s="128"/>
      <c r="U108" s="127">
        <f>(MAX(U107:V107)-MIN(U107:V107))/(MAX(U107:V107))</f>
        <v>0</v>
      </c>
      <c r="V108" s="128"/>
      <c r="W108" s="127">
        <f>(MAX(W107:X107)-MIN(W107:X107))/(MAX(W107:X107))</f>
        <v>0.84718019190191463</v>
      </c>
      <c r="X108" s="128"/>
      <c r="Y108" s="127">
        <f>(MAX(Y107:Z107)-MIN(Y107:Z107))/(MAX(Y107:Z107))</f>
        <v>0.6626736644104303</v>
      </c>
      <c r="Z108" s="128"/>
      <c r="AA108" s="127">
        <f>(MAX(AA107:AB107)-MIN(AA107:AB107))/(MAX(AA107:AB107))</f>
        <v>0.57165416697606497</v>
      </c>
      <c r="AB108" s="128"/>
      <c r="AC108" s="127">
        <f>(MAX(AC107:AD107)-MIN(AC107:AD107))/(MAX(AC107:AD107))</f>
        <v>0.78313408083958325</v>
      </c>
      <c r="AD108" s="128"/>
    </row>
    <row r="109" spans="2:30" x14ac:dyDescent="0.3">
      <c r="B109" s="106" t="s">
        <v>112</v>
      </c>
      <c r="C109" s="129">
        <f>IF(C108&lt;25%,(C107*0.5+D107*0.5)*0.9,IF(C108&lt;50%,(MAX(C107:D107)*0.6+MIN(C107:D107)*0.4)*0.9,IF(C108&lt;70%,(MAX(C107:D107)*0.65+MIN(C107:D107)*0.35)*0.9,IF(C108&lt;100%,(MAX(C107:D107)*0.7+MIN(C107:D107)*0.3)*0.9,0.7*MAX(C107:D107)))))</f>
        <v>406.52734219366147</v>
      </c>
      <c r="D109" s="130"/>
      <c r="E109" s="129">
        <f>IF(E108&lt;25%,(E107*0.5+F107*0.5)*0.9,IF(E108&lt;50%,(MAX(E107:F107)*0.6+MIN(E107:F107)*0.4)*0.9,IF(E108&lt;70%,(MAX(E107:F107)*0.65+MIN(E107:F107)*0.35)*0.9,IF(E108&lt;100%,(MAX(E107:F107)*0.7+MIN(E107:F107)*0.3)*0.9,0.7*MAX(E107:F107)))))</f>
        <v>302.65169999999995</v>
      </c>
      <c r="F109" s="130"/>
      <c r="G109" s="129">
        <f>IF(G108&lt;25%,(G107*0.5+H107*0.5)*0.9,IF(G108&lt;50%,(MAX(G107:H107)*0.6+MIN(G107:H107)*0.4)*0.9,IF(G108&lt;70%,(MAX(G107:H107)*0.65+MIN(G107:H107)*0.35)*0.9,IF(G108&lt;100%,(MAX(G107:H107)*0.7+MIN(G107:H107)*0.3)*0.9,0.7*MAX(G107:H107)))))</f>
        <v>805.54748936170199</v>
      </c>
      <c r="H109" s="130"/>
      <c r="I109" s="129">
        <f>IF(I108&lt;25%,(I107*0.5+J107*0.5)*0.9,IF(I108&lt;50%,(MAX(I107:J107)*0.6+MIN(I107:J107)*0.4)*0.9,IF(I108&lt;70%,(MAX(I107:J107)*0.65+MIN(I107:J107)*0.35)*0.9,IF(I108&lt;100%,(MAX(I107:J107)*0.7+MIN(I107:J107)*0.3)*0.9,0.7*MAX(I107:J107)))))</f>
        <v>492.26902941176462</v>
      </c>
      <c r="J109" s="130"/>
      <c r="K109" s="129">
        <f>IF(K108&lt;25%,(K107*0.5+L107*0.5)*0.9,IF(K108&lt;50%,(MAX(K107:L107)*0.6+MIN(K107:L107)*0.4)*0.9,IF(K108&lt;70%,(MAX(K107:L107)*0.65+MIN(K107:L107)*0.35)*0.9,IF(K108&lt;100%,(MAX(K107:L107)*0.7+MIN(K107:L107)*0.3)*0.9,0.7*MAX(K107:L107)))))</f>
        <v>837.18610344827584</v>
      </c>
      <c r="L109" s="130"/>
      <c r="M109" s="129">
        <f>IF(M108&lt;25%,(M107*0.5+N107*0.5)*0.9,IF(M108&lt;50%,(MAX(M107:N107)*0.6+MIN(M107:N107)*0.4)*0.9,IF(M108&lt;70%,(MAX(M107:N107)*0.65+MIN(M107:N107)*0.35)*0.9,IF(M108&lt;100%,(MAX(M107:N107)*0.7+MIN(M107:N107)*0.3)*0.9,0.7*MAX(M107:N107)))))</f>
        <v>1268.3673024538894</v>
      </c>
      <c r="N109" s="130"/>
      <c r="O109" s="129">
        <f>IF(O108&lt;25%,(O107*0.5+P107*0.5)*0.9,IF(O108&lt;50%,(MAX(O107:P107)*0.6+MIN(O107:P107)*0.4)*0.9,IF(O108&lt;70%,(MAX(O107:P107)*0.65+MIN(O107:P107)*0.35)*0.9,IF(O108&lt;100%,(MAX(O107:P107)*0.7+MIN(O107:P107)*0.3)*0.9,0.7*MAX(O107:P107)))))</f>
        <v>820.56385436170194</v>
      </c>
      <c r="P109" s="130"/>
      <c r="Q109" s="129">
        <f>IF(Q108&lt;25%,(Q107*0.5+R107*0.5)*0.9,IF(Q108&lt;50%,(MAX(Q107:R107)*0.6+MIN(Q107:R107)*0.4)*0.9,IF(Q108&lt;70%,(MAX(Q107:R107)*0.65+MIN(Q107:R107)*0.35)*0.9,IF(Q108&lt;100%,(MAX(Q107:R107)*0.7+MIN(Q107:R107)*0.3)*0.9,0.7*MAX(Q107:R107)))))</f>
        <v>1219.3717166129031</v>
      </c>
      <c r="R109" s="130"/>
      <c r="S109" s="129">
        <f>IF(S108&lt;25%,(S107*0.5+T107*0.5)*0.9,IF(S108&lt;50%,(MAX(S107:T107)*0.6+MIN(S107:T107)*0.4)*0.9,IF(S108&lt;70%,(MAX(S107:T107)*0.65+MIN(S107:T107)*0.35)*0.9,IF(S108&lt;100%,(MAX(S107:T107)*0.7+MIN(S107:T107)*0.3)*0.9,0.7*MAX(S107:T107)))))</f>
        <v>1040.4080790697674</v>
      </c>
      <c r="T109" s="130"/>
      <c r="U109" s="129">
        <f>IF(U108&lt;25%,(U107*0.5+V107*0.5)*0.9,IF(U108&lt;50%,(MAX(U107:V107)*0.6+MIN(U107:V107)*0.4)*0.9,IF(U108&lt;70%,(MAX(U107:V107)*0.65+MIN(U107:V107)*0.35)*0.9,IF(U108&lt;100%,(MAX(U107:V107)*0.7+MIN(U107:V107)*0.3)*0.9,0.7*MAX(U107:V107)))))</f>
        <v>165.99128000000002</v>
      </c>
      <c r="V109" s="130"/>
      <c r="W109" s="129">
        <f>IF(W108&lt;25%,(W107*0.5+X107*0.5)*0.9,IF(W108&lt;50%,(MAX(W107:X107)*0.6+MIN(W107:X107)*0.4)*0.9,IF(W108&lt;70%,(MAX(W107:X107)*0.65+MIN(W107:X107)*0.35)*0.9,IF(W108&lt;100%,(MAX(W107:X107)*0.7+MIN(W107:X107)*0.3)*0.9,0.7*MAX(W107:X107)))))</f>
        <v>174.09926625000003</v>
      </c>
      <c r="X109" s="130"/>
      <c r="Y109" s="129">
        <f>IF(Y108&lt;25%,(Y107*0.5+Z107*0.5)*0.9,IF(Y108&lt;50%,(MAX(Y107:Z107)*0.6+MIN(Y107:Z107)*0.4)*0.9,IF(Y108&lt;70%,(MAX(Y107:Z107)*0.65+MIN(Y107:Z107)*0.35)*0.9,IF(Y108&lt;100%,(MAX(Y107:Z107)*0.7+MIN(Y107:Z107)*0.3)*0.9,0.7*MAX(Y107:Z107)))))</f>
        <v>179.28557237500002</v>
      </c>
      <c r="Z109" s="130"/>
      <c r="AA109" s="129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147.04512550000004</v>
      </c>
      <c r="AB109" s="130"/>
      <c r="AC109" s="129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140.63676900000002</v>
      </c>
      <c r="AD109" s="130"/>
    </row>
    <row r="110" spans="2:30" x14ac:dyDescent="0.3">
      <c r="B110" s="107" t="s">
        <v>15</v>
      </c>
      <c r="C110" s="131">
        <f>C109/(0.9*(0.9*($C$7/100))*($L$9*1000))</f>
        <v>0.83759280314835693</v>
      </c>
      <c r="D110" s="132"/>
      <c r="E110" s="131">
        <f>E109/(0.9*(0.9*($C$7/100))*($L$9*1000))</f>
        <v>0.62357155219304727</v>
      </c>
      <c r="F110" s="132"/>
      <c r="G110" s="131">
        <f>G109/(0.9*(0.9*($C$7/100))*($L$9*1000))</f>
        <v>1.659718079582863</v>
      </c>
      <c r="H110" s="132"/>
      <c r="I110" s="131">
        <f>I109/(0.9*(0.9*($C$7/100))*($L$9*1000))</f>
        <v>1.0142515729033041</v>
      </c>
      <c r="J110" s="132"/>
      <c r="K110" s="131">
        <f>K109/(0.9*(0.9*($C$7/100))*($L$9*1000))</f>
        <v>1.7249050244941313</v>
      </c>
      <c r="L110" s="132"/>
      <c r="M110" s="131">
        <f>M109/(0.9*(0.9*($C$7/100))*($L$9*1000))</f>
        <v>2.6132936558495463</v>
      </c>
      <c r="N110" s="132"/>
      <c r="O110" s="131">
        <f>O109/(0.9*(0.9*($C$7/100))*($L$9*1000))</f>
        <v>1.6906572021166117</v>
      </c>
      <c r="P110" s="132"/>
      <c r="Q110" s="131">
        <f>Q109/(0.9*(0.9*($C$7/100))*($L$9*1000))</f>
        <v>2.5123450951328166</v>
      </c>
      <c r="R110" s="132"/>
      <c r="S110" s="131">
        <f>S109/(0.9*(0.9*($C$7/100))*($L$9*1000))</f>
        <v>2.1436155183655718</v>
      </c>
      <c r="T110" s="132"/>
      <c r="U110" s="131">
        <f>U109/(0.9*(0.9*($C$7/100))*($L$9*1000))</f>
        <v>0.3420018460828429</v>
      </c>
      <c r="V110" s="132"/>
      <c r="W110" s="131">
        <f>W109/(0.9*(0.9*($C$7/100))*($L$9*1000))</f>
        <v>0.35870721919349252</v>
      </c>
      <c r="X110" s="132"/>
      <c r="Y110" s="131">
        <f>Y109/(0.9*(0.9*($C$7/100))*($L$9*1000))</f>
        <v>0.36939287851909536</v>
      </c>
      <c r="Z110" s="132"/>
      <c r="AA110" s="131">
        <f>AA109/(0.9*(0.9*($C$7/100))*($L$9*1000))</f>
        <v>0.30296594121379944</v>
      </c>
      <c r="AB110" s="132"/>
      <c r="AC110" s="131">
        <f>AC109/(0.9*(0.9*($C$7/100))*($L$9*1000))</f>
        <v>0.28976241779162332</v>
      </c>
      <c r="AD110" s="132"/>
    </row>
    <row r="111" spans="2:30" x14ac:dyDescent="0.3">
      <c r="B111" s="107" t="s">
        <v>98</v>
      </c>
      <c r="C111" s="133">
        <f>(C110*($L$9))/(0.85*$L$6*100)</f>
        <v>2.0674147620962903E-2</v>
      </c>
      <c r="D111" s="134"/>
      <c r="E111" s="133">
        <f>(E110*($L$9))/(0.85*$L$6*100)</f>
        <v>1.5391500826910279E-2</v>
      </c>
      <c r="F111" s="134"/>
      <c r="G111" s="133">
        <f>(G110*($L$9))/(0.85*$L$6*100)</f>
        <v>4.0966513152333642E-2</v>
      </c>
      <c r="H111" s="134"/>
      <c r="I111" s="133">
        <f>(I110*($L$9))/(0.85*$L$6*100)</f>
        <v>2.5034583229677863E-2</v>
      </c>
      <c r="J111" s="134"/>
      <c r="K111" s="133">
        <f>(K110*($L$9))/(0.85*$L$6*100)</f>
        <v>4.2575510408505664E-2</v>
      </c>
      <c r="L111" s="134"/>
      <c r="M111" s="133">
        <f>(M110*($L$9))/(0.85*$L$6*100)</f>
        <v>6.4503442024429411E-2</v>
      </c>
      <c r="N111" s="134"/>
      <c r="O111" s="133">
        <f>(O110*($L$9))/(0.85*$L$6*100)</f>
        <v>4.1730177768506911E-2</v>
      </c>
      <c r="P111" s="134"/>
      <c r="Q111" s="133">
        <f>(Q110*($L$9))/(0.85*$L$6*100)</f>
        <v>6.2011747446184866E-2</v>
      </c>
      <c r="R111" s="134"/>
      <c r="S111" s="133">
        <f>(S110*($L$9))/(0.85*$L$6*100)</f>
        <v>5.2910463775113305E-2</v>
      </c>
      <c r="T111" s="134"/>
      <c r="U111" s="133">
        <f>(U110*($L$9))/(0.85*$L$6*100)</f>
        <v>8.4415680578694783E-3</v>
      </c>
      <c r="V111" s="134"/>
      <c r="W111" s="133">
        <f>(W110*($L$9))/(0.85*$L$6*100)</f>
        <v>8.8539036802084657E-3</v>
      </c>
      <c r="X111" s="134"/>
      <c r="Y111" s="133">
        <f>(Y110*($L$9))/(0.85*$L$6*100)</f>
        <v>9.1176558250388017E-3</v>
      </c>
      <c r="Z111" s="134"/>
      <c r="AA111" s="133">
        <f>(AA110*($L$9))/(0.85*$L$6*100)</f>
        <v>7.4780520668688679E-3</v>
      </c>
      <c r="AB111" s="134"/>
      <c r="AC111" s="133">
        <f>(AC110*($L$9))/(0.85*$L$6*100)</f>
        <v>7.152151950104658E-3</v>
      </c>
      <c r="AD111" s="134"/>
    </row>
    <row r="112" spans="2:30" ht="15" thickBot="1" x14ac:dyDescent="0.35">
      <c r="B112" s="108" t="s">
        <v>15</v>
      </c>
      <c r="C112" s="135">
        <f>ROUNDUP(C109/(0.9*(($C$7-C111/2)/100)*($L$9*1000)),2)</f>
        <v>0.76</v>
      </c>
      <c r="D112" s="136"/>
      <c r="E112" s="135">
        <f>ROUNDUP(E109/(0.9*(($C$7-E111/2)/100)*($L$9*1000)),2)</f>
        <v>0.57000000000000006</v>
      </c>
      <c r="F112" s="136"/>
      <c r="G112" s="135">
        <f>ROUNDUP(G109/(0.9*(($C$7-G111/2)/100)*($L$9*1000)),2)</f>
        <v>1.5</v>
      </c>
      <c r="H112" s="136"/>
      <c r="I112" s="135">
        <f>ROUNDUP(I109/(0.9*(($C$7-I111/2)/100)*($L$9*1000)),2)</f>
        <v>0.92</v>
      </c>
      <c r="J112" s="136"/>
      <c r="K112" s="135">
        <f>ROUNDUP(K109/(0.9*(($C$7-K111/2)/100)*($L$9*1000)),2)</f>
        <v>1.56</v>
      </c>
      <c r="L112" s="136"/>
      <c r="M112" s="135">
        <f>ROUNDUP(M109/(0.9*(($C$7-M111/2)/100)*($L$9*1000)),2)</f>
        <v>2.36</v>
      </c>
      <c r="N112" s="136"/>
      <c r="O112" s="135">
        <f>ROUNDUP(O109/(0.9*(($C$7-O111/2)/100)*($L$9*1000)),2)</f>
        <v>1.53</v>
      </c>
      <c r="P112" s="136"/>
      <c r="Q112" s="135">
        <f>ROUNDUP(Q109/(0.9*(($C$7-Q111/2)/100)*($L$9*1000)),2)</f>
        <v>2.2699999999999996</v>
      </c>
      <c r="R112" s="136"/>
      <c r="S112" s="135">
        <f>ROUNDUP(S109/(0.9*(($C$7-S111/2)/100)*($L$9*1000)),2)</f>
        <v>1.94</v>
      </c>
      <c r="T112" s="136"/>
      <c r="U112" s="135">
        <f>ROUNDUP(U109/(0.9*(($C$7-U111/2)/100)*($L$9*1000)),2)</f>
        <v>0.31</v>
      </c>
      <c r="V112" s="136"/>
      <c r="W112" s="135">
        <f>ROUNDUP(W109/(0.9*(($C$7-W111/2)/100)*($L$9*1000)),2)</f>
        <v>0.33</v>
      </c>
      <c r="X112" s="136"/>
      <c r="Y112" s="135">
        <f>ROUNDUP(Y109/(0.9*(($C$7-Y111/2)/100)*($L$9*1000)),2)</f>
        <v>0.34</v>
      </c>
      <c r="Z112" s="136"/>
      <c r="AA112" s="135">
        <f>ROUNDUP(AA109/(0.9*(($C$7-AA111/2)/100)*($L$9*1000)),2)</f>
        <v>0.28000000000000003</v>
      </c>
      <c r="AB112" s="136"/>
      <c r="AC112" s="135">
        <f>ROUNDUP(AC109/(0.9*(($C$7-AC111/2)/100)*($L$9*1000)),2)</f>
        <v>0.27</v>
      </c>
      <c r="AD112" s="136"/>
    </row>
    <row r="113" spans="2:30" ht="16.2" thickBot="1" x14ac:dyDescent="0.35">
      <c r="B113" s="61" t="s">
        <v>113</v>
      </c>
      <c r="C113" s="140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1"/>
      <c r="E113" s="140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1"/>
      <c r="G113" s="140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1"/>
      <c r="I113" s="140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1"/>
      <c r="K113" s="140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1"/>
      <c r="M113" s="140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1"/>
      <c r="O113" s="140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1"/>
      <c r="Q113" s="140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1"/>
      <c r="S113" s="140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1"/>
      <c r="U113" s="140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1"/>
      <c r="W113" s="140" t="str">
        <f>IF(W112&gt;$C$12,"φ"&amp;IF(VLOOKUP(VLOOKUP(W112,tablas!$R$3:$T$66,2,TRUE)&amp;VLOOKUP(W112,tablas!$R$3:$T$66,3,TRUE),tablas!$Q$3:$R$66,2,FALSE)&lt;W112,VLOOKUP(W112+0.1,tablas!$R$3:$T$66,2,TRUE),VLOOKUP(W112,tablas!$R$3:$T$66,2,TRUE))&amp;"@"&amp;IF(VLOOKUP(VLOOKUP(W112,tablas!$R$3:$T$66,2,TRUE)&amp;VLOOKUP(W112,tablas!$R$3:$T$66,3,TRUE),tablas!$Q$3:$R$66,2,FALSE)&lt;W112,VLOOKUP(W112+0.1,tablas!$R$3:$T$66,3,TRUE),VLOOKUP(W112,tablas!$R$3:$T$66,3,TRUE)),$C$13)</f>
        <v>φ8@17</v>
      </c>
      <c r="X113" s="141"/>
      <c r="Y113" s="140" t="str">
        <f>IF(Y112&gt;$C$12,"φ"&amp;IF(VLOOKUP(VLOOKUP(Y112,tablas!$R$3:$T$66,2,TRUE)&amp;VLOOKUP(Y112,tablas!$R$3:$T$66,3,TRUE),tablas!$Q$3:$R$66,2,FALSE)&lt;Y112,VLOOKUP(Y112+0.1,tablas!$R$3:$T$66,2,TRUE),VLOOKUP(Y112,tablas!$R$3:$T$66,2,TRUE))&amp;"@"&amp;IF(VLOOKUP(VLOOKUP(Y112,tablas!$R$3:$T$66,2,TRUE)&amp;VLOOKUP(Y112,tablas!$R$3:$T$66,3,TRUE),tablas!$Q$3:$R$66,2,FALSE)&lt;Y112,VLOOKUP(Y112+0.1,tablas!$R$3:$T$66,3,TRUE),VLOOKUP(Y112,tablas!$R$3:$T$66,3,TRUE)),$C$13)</f>
        <v>φ8@17</v>
      </c>
      <c r="Z113" s="141"/>
      <c r="AA113" s="140" t="str">
        <f>IF(AA112&gt;$C$12,"φ"&amp;IF(VLOOKUP(VLOOKUP(AA112,tablas!$R$3:$T$66,2,TRUE)&amp;VLOOKUP(AA112,tablas!$R$3:$T$66,3,TRUE),tablas!$Q$3:$R$66,2,FALSE)&lt;AA112,VLOOKUP(AA112+0.1,tablas!$R$3:$T$66,2,TRUE),VLOOKUP(AA112,tablas!$R$3:$T$66,2,TRUE))&amp;"@"&amp;IF(VLOOKUP(VLOOKUP(AA112,tablas!$R$3:$T$66,2,TRUE)&amp;VLOOKUP(AA112,tablas!$R$3:$T$66,3,TRUE),tablas!$Q$3:$R$66,2,FALSE)&lt;AA112,VLOOKUP(AA112+0.1,tablas!$R$3:$T$66,3,TRUE),VLOOKUP(AA112,tablas!$R$3:$T$66,3,TRUE)),$C$13)</f>
        <v>φ8@17</v>
      </c>
      <c r="AB113" s="141"/>
      <c r="AC113" s="140" t="str">
        <f>IF(AC112&gt;$C$12,"φ"&amp;IF(VLOOKUP(VLOOKUP(AC112,tablas!$R$3:$T$66,2,TRUE)&amp;VLOOKUP(AC112,tablas!$R$3:$T$66,3,TRUE),tablas!$Q$3:$R$66,2,FALSE)&lt;AC112,VLOOKUP(AC112+0.1,tablas!$R$3:$T$66,2,TRUE),VLOOKUP(AC112,tablas!$R$3:$T$66,2,TRUE))&amp;"@"&amp;IF(VLOOKUP(VLOOKUP(AC112,tablas!$R$3:$T$66,2,TRUE)&amp;VLOOKUP(AC112,tablas!$R$3:$T$66,3,TRUE),tablas!$Q$3:$R$66,2,FALSE)&lt;AC112,VLOOKUP(AC112+0.1,tablas!$R$3:$T$66,3,TRUE),VLOOKUP(AC112,tablas!$R$3:$T$66,3,TRUE)),$C$13)</f>
        <v>φ8@17</v>
      </c>
      <c r="AD113" s="141"/>
    </row>
    <row r="114" spans="2:30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  <row r="115" spans="2:30" x14ac:dyDescent="0.3">
      <c r="E115" t="e">
        <f>IF(W113='2 a 7'!U113:V113,"IGUAL","PUTA LA WEA")</f>
        <v>#VALUE!</v>
      </c>
    </row>
  </sheetData>
  <mergeCells count="232"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  <mergeCell ref="U113:V113"/>
    <mergeCell ref="Y108:Z108"/>
    <mergeCell ref="Y109:Z109"/>
    <mergeCell ref="Y110:Z110"/>
    <mergeCell ref="Y111:Z111"/>
    <mergeCell ref="Y112:Z112"/>
    <mergeCell ref="Y113:Z113"/>
    <mergeCell ref="M113:N113"/>
    <mergeCell ref="O113:P113"/>
    <mergeCell ref="Q113:R113"/>
    <mergeCell ref="S113:T113"/>
    <mergeCell ref="W113:X113"/>
    <mergeCell ref="U108:V108"/>
    <mergeCell ref="U109:V109"/>
    <mergeCell ref="U110:V110"/>
    <mergeCell ref="U111:V111"/>
    <mergeCell ref="U112:V112"/>
    <mergeCell ref="M112:N112"/>
    <mergeCell ref="O112:P112"/>
    <mergeCell ref="Q112:R112"/>
    <mergeCell ref="S112:T112"/>
    <mergeCell ref="W112:X112"/>
    <mergeCell ref="W111:X111"/>
    <mergeCell ref="M110:N110"/>
    <mergeCell ref="M111:N111"/>
    <mergeCell ref="O111:P111"/>
    <mergeCell ref="Q111:R111"/>
    <mergeCell ref="S111:T111"/>
    <mergeCell ref="C112:D112"/>
    <mergeCell ref="E112:F112"/>
    <mergeCell ref="G112:H112"/>
    <mergeCell ref="I112:J112"/>
    <mergeCell ref="K112:L112"/>
    <mergeCell ref="C111:D111"/>
    <mergeCell ref="E111:F111"/>
    <mergeCell ref="G111:H111"/>
    <mergeCell ref="I111:J111"/>
    <mergeCell ref="K111:L111"/>
    <mergeCell ref="C113:D113"/>
    <mergeCell ref="E113:F113"/>
    <mergeCell ref="G113:H113"/>
    <mergeCell ref="I113:J113"/>
    <mergeCell ref="K113:L113"/>
    <mergeCell ref="C110:D110"/>
    <mergeCell ref="E110:F110"/>
    <mergeCell ref="G110:H110"/>
    <mergeCell ref="I110:J110"/>
    <mergeCell ref="K110:L110"/>
    <mergeCell ref="O110:P110"/>
    <mergeCell ref="Q110:R110"/>
    <mergeCell ref="S110:T110"/>
    <mergeCell ref="W110:X110"/>
    <mergeCell ref="W108:X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W109:X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2:L27"/>
  <sheetViews>
    <sheetView topLeftCell="A13" workbookViewId="0">
      <selection activeCell="B3" sqref="B3:L27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50" t="s">
        <v>308</v>
      </c>
      <c r="C3" s="149"/>
      <c r="D3" s="149"/>
      <c r="E3" s="149"/>
      <c r="F3" s="151"/>
      <c r="G3" s="168"/>
      <c r="H3" s="168"/>
      <c r="I3" s="168"/>
      <c r="J3" s="168"/>
      <c r="K3" s="168"/>
      <c r="L3" s="168"/>
    </row>
    <row r="4" spans="2:12" ht="15" thickBot="1" x14ac:dyDescent="0.35">
      <c r="B4" s="152" t="s">
        <v>43</v>
      </c>
      <c r="C4" s="152" t="s">
        <v>246</v>
      </c>
      <c r="D4" s="152" t="s">
        <v>244</v>
      </c>
      <c r="E4" s="156" t="s">
        <v>240</v>
      </c>
      <c r="F4" s="157"/>
      <c r="G4" s="166" t="s">
        <v>241</v>
      </c>
      <c r="H4" s="167"/>
      <c r="I4" s="166" t="s">
        <v>253</v>
      </c>
      <c r="J4" s="167"/>
      <c r="K4" s="166" t="s">
        <v>254</v>
      </c>
      <c r="L4" s="167"/>
    </row>
    <row r="5" spans="2:12" ht="43.8" thickBot="1" x14ac:dyDescent="0.35">
      <c r="B5" s="153"/>
      <c r="C5" s="153"/>
      <c r="D5" s="153"/>
      <c r="E5" s="158" t="s">
        <v>245</v>
      </c>
      <c r="F5" s="159" t="s">
        <v>242</v>
      </c>
      <c r="G5" s="158" t="s">
        <v>245</v>
      </c>
      <c r="H5" s="159" t="s">
        <v>242</v>
      </c>
      <c r="I5" s="158" t="s">
        <v>245</v>
      </c>
      <c r="J5" s="159" t="s">
        <v>242</v>
      </c>
      <c r="K5" s="158" t="s">
        <v>245</v>
      </c>
      <c r="L5" s="159" t="s">
        <v>242</v>
      </c>
    </row>
    <row r="6" spans="2:12" x14ac:dyDescent="0.3">
      <c r="B6" s="154" t="s">
        <v>211</v>
      </c>
      <c r="C6" s="154">
        <f>'1'!$C$12</f>
        <v>2.88</v>
      </c>
      <c r="D6" s="155">
        <v>910</v>
      </c>
      <c r="E6" s="160">
        <v>1.39</v>
      </c>
      <c r="F6" s="161" t="s">
        <v>277</v>
      </c>
      <c r="G6" s="160">
        <v>1.39</v>
      </c>
      <c r="H6" s="161" t="s">
        <v>277</v>
      </c>
      <c r="I6" s="160">
        <v>5.01</v>
      </c>
      <c r="J6" s="161" t="s">
        <v>248</v>
      </c>
      <c r="K6" s="160">
        <v>3.6799999999999997</v>
      </c>
      <c r="L6" s="161" t="s">
        <v>264</v>
      </c>
    </row>
    <row r="7" spans="2:12" x14ac:dyDescent="0.3">
      <c r="B7" s="154" t="s">
        <v>212</v>
      </c>
      <c r="C7" s="154">
        <f>'1'!$C$12</f>
        <v>2.88</v>
      </c>
      <c r="D7" s="155">
        <v>910</v>
      </c>
      <c r="E7" s="160">
        <v>0.57999999999999996</v>
      </c>
      <c r="F7" s="161" t="s">
        <v>277</v>
      </c>
      <c r="G7" s="160">
        <v>0.57999999999999996</v>
      </c>
      <c r="H7" s="161" t="s">
        <v>277</v>
      </c>
      <c r="I7" s="160">
        <v>2.3499999999999996</v>
      </c>
      <c r="J7" s="161" t="s">
        <v>277</v>
      </c>
      <c r="K7" s="160">
        <v>1.93</v>
      </c>
      <c r="L7" s="161" t="s">
        <v>277</v>
      </c>
    </row>
    <row r="8" spans="2:12" x14ac:dyDescent="0.3">
      <c r="B8" s="154" t="s">
        <v>213</v>
      </c>
      <c r="C8" s="154">
        <f>'1'!$C$12</f>
        <v>2.88</v>
      </c>
      <c r="D8" s="155">
        <v>910</v>
      </c>
      <c r="E8" s="160">
        <v>0.57999999999999996</v>
      </c>
      <c r="F8" s="161" t="s">
        <v>277</v>
      </c>
      <c r="G8" s="160">
        <v>0.57999999999999996</v>
      </c>
      <c r="H8" s="161" t="s">
        <v>277</v>
      </c>
      <c r="I8" s="160">
        <v>2.3499999999999996</v>
      </c>
      <c r="J8" s="161" t="s">
        <v>277</v>
      </c>
      <c r="K8" s="160">
        <v>1.93</v>
      </c>
      <c r="L8" s="161" t="s">
        <v>277</v>
      </c>
    </row>
    <row r="9" spans="2:12" x14ac:dyDescent="0.3">
      <c r="B9" s="154" t="s">
        <v>214</v>
      </c>
      <c r="C9" s="154">
        <f>'1'!$C$12</f>
        <v>2.88</v>
      </c>
      <c r="D9" s="155">
        <v>910</v>
      </c>
      <c r="E9" s="160">
        <v>1.1100000000000001</v>
      </c>
      <c r="F9" s="161" t="s">
        <v>277</v>
      </c>
      <c r="G9" s="160">
        <v>1.1100000000000001</v>
      </c>
      <c r="H9" s="161" t="s">
        <v>277</v>
      </c>
      <c r="I9" s="160">
        <v>4.22</v>
      </c>
      <c r="J9" s="161" t="s">
        <v>282</v>
      </c>
      <c r="K9" s="160">
        <v>3.3</v>
      </c>
      <c r="L9" s="161" t="s">
        <v>257</v>
      </c>
    </row>
    <row r="10" spans="2:12" x14ac:dyDescent="0.3">
      <c r="B10" s="154" t="s">
        <v>215</v>
      </c>
      <c r="C10" s="154">
        <f>'1'!$C$12</f>
        <v>2.88</v>
      </c>
      <c r="D10" s="155">
        <v>910</v>
      </c>
      <c r="E10" s="160">
        <v>0.87</v>
      </c>
      <c r="F10" s="161" t="s">
        <v>277</v>
      </c>
      <c r="G10" s="160">
        <v>0.87</v>
      </c>
      <c r="H10" s="161" t="s">
        <v>277</v>
      </c>
      <c r="I10" s="160">
        <v>3.69</v>
      </c>
      <c r="J10" s="161" t="s">
        <v>264</v>
      </c>
      <c r="K10" s="160">
        <v>3.19</v>
      </c>
      <c r="L10" s="161" t="s">
        <v>249</v>
      </c>
    </row>
    <row r="11" spans="2:12" x14ac:dyDescent="0.3">
      <c r="B11" s="154" t="s">
        <v>216</v>
      </c>
      <c r="C11" s="154">
        <f>'1'!$C$12</f>
        <v>2.88</v>
      </c>
      <c r="D11" s="155">
        <v>910</v>
      </c>
      <c r="E11" s="160">
        <v>0.49</v>
      </c>
      <c r="F11" s="161" t="s">
        <v>277</v>
      </c>
      <c r="G11" s="160">
        <v>0.49</v>
      </c>
      <c r="H11" s="161" t="s">
        <v>277</v>
      </c>
      <c r="I11" s="160">
        <v>2.2599999999999998</v>
      </c>
      <c r="J11" s="161" t="s">
        <v>277</v>
      </c>
      <c r="K11" s="160">
        <v>2.0999999999999996</v>
      </c>
      <c r="L11" s="161" t="s">
        <v>277</v>
      </c>
    </row>
    <row r="12" spans="2:12" x14ac:dyDescent="0.3">
      <c r="B12" s="154" t="s">
        <v>217</v>
      </c>
      <c r="C12" s="154">
        <f>'1'!$C$12</f>
        <v>2.88</v>
      </c>
      <c r="D12" s="155">
        <v>910</v>
      </c>
      <c r="E12" s="160">
        <v>0.3</v>
      </c>
      <c r="F12" s="161" t="s">
        <v>277</v>
      </c>
      <c r="G12" s="160">
        <v>0.3</v>
      </c>
      <c r="H12" s="161" t="s">
        <v>277</v>
      </c>
      <c r="I12" s="160">
        <v>0.82000000000000006</v>
      </c>
      <c r="J12" s="161" t="s">
        <v>277</v>
      </c>
      <c r="K12" s="160">
        <v>0.59</v>
      </c>
      <c r="L12" s="161" t="s">
        <v>277</v>
      </c>
    </row>
    <row r="13" spans="2:12" x14ac:dyDescent="0.3">
      <c r="B13" s="154" t="s">
        <v>218</v>
      </c>
      <c r="C13" s="154">
        <f>'1'!$C$12</f>
        <v>2.88</v>
      </c>
      <c r="D13" s="155">
        <v>910</v>
      </c>
      <c r="E13" s="160">
        <v>0.2</v>
      </c>
      <c r="F13" s="161" t="s">
        <v>277</v>
      </c>
      <c r="G13" s="160">
        <v>0.2</v>
      </c>
      <c r="H13" s="161" t="s">
        <v>277</v>
      </c>
      <c r="I13" s="160">
        <v>0.28000000000000003</v>
      </c>
      <c r="J13" s="161" t="s">
        <v>277</v>
      </c>
      <c r="K13" s="160">
        <v>0.19</v>
      </c>
      <c r="L13" s="161" t="s">
        <v>277</v>
      </c>
    </row>
    <row r="14" spans="2:12" x14ac:dyDescent="0.3">
      <c r="B14" s="154" t="s">
        <v>219</v>
      </c>
      <c r="C14" s="154">
        <f>'1'!$C$12</f>
        <v>2.88</v>
      </c>
      <c r="D14" s="155">
        <v>910</v>
      </c>
      <c r="E14" s="160">
        <v>0.84</v>
      </c>
      <c r="F14" s="161" t="s">
        <v>277</v>
      </c>
      <c r="G14" s="160">
        <v>0.84</v>
      </c>
      <c r="H14" s="161" t="s">
        <v>277</v>
      </c>
      <c r="I14" s="160">
        <v>1.19</v>
      </c>
      <c r="J14" s="161" t="s">
        <v>277</v>
      </c>
      <c r="K14" s="160">
        <v>0.82000000000000006</v>
      </c>
      <c r="L14" s="161" t="s">
        <v>277</v>
      </c>
    </row>
    <row r="15" spans="2:12" x14ac:dyDescent="0.3">
      <c r="B15" s="154" t="s">
        <v>220</v>
      </c>
      <c r="C15" s="154">
        <f>'1'!$C$12</f>
        <v>2.88</v>
      </c>
      <c r="D15" s="155">
        <v>910</v>
      </c>
      <c r="E15" s="160">
        <v>0.49</v>
      </c>
      <c r="F15" s="161" t="s">
        <v>277</v>
      </c>
      <c r="G15" s="160">
        <v>0.49</v>
      </c>
      <c r="H15" s="161" t="s">
        <v>277</v>
      </c>
      <c r="I15" s="160">
        <v>2.2599999999999998</v>
      </c>
      <c r="J15" s="161" t="s">
        <v>277</v>
      </c>
      <c r="K15" s="160">
        <v>2.0999999999999996</v>
      </c>
      <c r="L15" s="161" t="s">
        <v>277</v>
      </c>
    </row>
    <row r="16" spans="2:12" x14ac:dyDescent="0.3">
      <c r="B16" s="154" t="s">
        <v>221</v>
      </c>
      <c r="C16" s="154">
        <f>'1'!$C$12</f>
        <v>2.88</v>
      </c>
      <c r="D16" s="155">
        <v>910</v>
      </c>
      <c r="E16" s="160">
        <v>0.81</v>
      </c>
      <c r="F16" s="161" t="s">
        <v>277</v>
      </c>
      <c r="G16" s="160">
        <v>0.81</v>
      </c>
      <c r="H16" s="161" t="s">
        <v>277</v>
      </c>
      <c r="I16" s="160">
        <v>3.44</v>
      </c>
      <c r="J16" s="161" t="s">
        <v>250</v>
      </c>
      <c r="K16" s="160">
        <v>2.98</v>
      </c>
      <c r="L16" s="161" t="s">
        <v>277</v>
      </c>
    </row>
    <row r="17" spans="2:12" x14ac:dyDescent="0.3">
      <c r="B17" s="154" t="s">
        <v>222</v>
      </c>
      <c r="C17" s="154">
        <f>'1'!$C$12</f>
        <v>2.88</v>
      </c>
      <c r="D17" s="155">
        <v>910</v>
      </c>
      <c r="E17" s="160">
        <v>0.33</v>
      </c>
      <c r="F17" s="161" t="s">
        <v>277</v>
      </c>
      <c r="G17" s="160">
        <v>0.33</v>
      </c>
      <c r="H17" s="161" t="s">
        <v>277</v>
      </c>
      <c r="I17" s="160">
        <v>0.49</v>
      </c>
      <c r="J17" s="161" t="s">
        <v>277</v>
      </c>
      <c r="K17" s="160">
        <v>0.35000000000000003</v>
      </c>
      <c r="L17" s="161" t="s">
        <v>277</v>
      </c>
    </row>
    <row r="18" spans="2:12" x14ac:dyDescent="0.3">
      <c r="B18" s="154" t="s">
        <v>223</v>
      </c>
      <c r="C18" s="154">
        <f>'1'!$C$12</f>
        <v>2.88</v>
      </c>
      <c r="D18" s="155">
        <v>910</v>
      </c>
      <c r="E18" s="160">
        <v>0.33</v>
      </c>
      <c r="F18" s="161" t="s">
        <v>277</v>
      </c>
      <c r="G18" s="160">
        <v>0.33</v>
      </c>
      <c r="H18" s="161" t="s">
        <v>277</v>
      </c>
      <c r="I18" s="160">
        <v>0.49</v>
      </c>
      <c r="J18" s="161" t="s">
        <v>277</v>
      </c>
      <c r="K18" s="160">
        <v>0.35000000000000003</v>
      </c>
      <c r="L18" s="161" t="s">
        <v>277</v>
      </c>
    </row>
    <row r="19" spans="2:12" x14ac:dyDescent="0.3">
      <c r="B19" s="154" t="s">
        <v>224</v>
      </c>
      <c r="C19" s="154">
        <f>'1'!$C$12</f>
        <v>2.88</v>
      </c>
      <c r="D19" s="155">
        <v>910</v>
      </c>
      <c r="E19" s="160">
        <v>0.33</v>
      </c>
      <c r="F19" s="161" t="s">
        <v>277</v>
      </c>
      <c r="G19" s="160">
        <v>0.33</v>
      </c>
      <c r="H19" s="161" t="s">
        <v>277</v>
      </c>
      <c r="I19" s="160">
        <v>0.49</v>
      </c>
      <c r="J19" s="161" t="s">
        <v>277</v>
      </c>
      <c r="K19" s="160">
        <v>0.35000000000000003</v>
      </c>
      <c r="L19" s="161" t="s">
        <v>277</v>
      </c>
    </row>
    <row r="20" spans="2:12" x14ac:dyDescent="0.3">
      <c r="B20" s="154" t="s">
        <v>225</v>
      </c>
      <c r="C20" s="154">
        <f>'1'!$C$12</f>
        <v>2.88</v>
      </c>
      <c r="D20" s="155">
        <v>910</v>
      </c>
      <c r="E20" s="160">
        <v>0.33</v>
      </c>
      <c r="F20" s="161" t="s">
        <v>277</v>
      </c>
      <c r="G20" s="160">
        <v>0.33</v>
      </c>
      <c r="H20" s="161" t="s">
        <v>277</v>
      </c>
      <c r="I20" s="160">
        <v>0.49</v>
      </c>
      <c r="J20" s="161" t="s">
        <v>277</v>
      </c>
      <c r="K20" s="160">
        <v>0.35000000000000003</v>
      </c>
      <c r="L20" s="161" t="s">
        <v>277</v>
      </c>
    </row>
    <row r="21" spans="2:12" x14ac:dyDescent="0.3">
      <c r="B21" s="154" t="s">
        <v>226</v>
      </c>
      <c r="C21" s="154">
        <f>'1'!$C$12</f>
        <v>2.88</v>
      </c>
      <c r="D21" s="155">
        <v>910</v>
      </c>
      <c r="E21" s="160">
        <v>0.16</v>
      </c>
      <c r="F21" s="161" t="s">
        <v>277</v>
      </c>
      <c r="G21" s="160">
        <v>0.16</v>
      </c>
      <c r="H21" s="161" t="s">
        <v>277</v>
      </c>
      <c r="I21" s="160">
        <v>0.23</v>
      </c>
      <c r="J21" s="161" t="s">
        <v>277</v>
      </c>
      <c r="K21" s="160">
        <v>0.17</v>
      </c>
      <c r="L21" s="161" t="s">
        <v>277</v>
      </c>
    </row>
    <row r="22" spans="2:12" x14ac:dyDescent="0.3">
      <c r="B22" s="154" t="s">
        <v>227</v>
      </c>
      <c r="C22" s="154">
        <f>'1'!$C$12</f>
        <v>2.88</v>
      </c>
      <c r="D22" s="155">
        <v>910</v>
      </c>
      <c r="E22" s="160">
        <v>0.16</v>
      </c>
      <c r="F22" s="161" t="s">
        <v>277</v>
      </c>
      <c r="G22" s="160">
        <v>0.16</v>
      </c>
      <c r="H22" s="161" t="s">
        <v>277</v>
      </c>
      <c r="I22" s="160">
        <v>0.23</v>
      </c>
      <c r="J22" s="161" t="s">
        <v>277</v>
      </c>
      <c r="K22" s="160">
        <v>0.17</v>
      </c>
      <c r="L22" s="161" t="s">
        <v>277</v>
      </c>
    </row>
    <row r="23" spans="2:12" x14ac:dyDescent="0.3">
      <c r="B23" s="154" t="s">
        <v>228</v>
      </c>
      <c r="C23" s="154">
        <f>'1'!$C$12</f>
        <v>2.88</v>
      </c>
      <c r="D23" s="155">
        <v>910</v>
      </c>
      <c r="E23" s="160">
        <v>0.26</v>
      </c>
      <c r="F23" s="161" t="s">
        <v>277</v>
      </c>
      <c r="G23" s="160">
        <v>0.26</v>
      </c>
      <c r="H23" s="161" t="s">
        <v>277</v>
      </c>
      <c r="I23" s="160">
        <v>0.38</v>
      </c>
      <c r="J23" s="161" t="s">
        <v>277</v>
      </c>
      <c r="K23" s="160">
        <v>0.27</v>
      </c>
      <c r="L23" s="161" t="s">
        <v>277</v>
      </c>
    </row>
    <row r="24" spans="2:12" x14ac:dyDescent="0.3">
      <c r="B24" s="154" t="s">
        <v>229</v>
      </c>
      <c r="C24" s="154">
        <f>'1'!$C$12</f>
        <v>2.88</v>
      </c>
      <c r="D24" s="155">
        <v>910</v>
      </c>
      <c r="E24" s="160">
        <v>0.26</v>
      </c>
      <c r="F24" s="161" t="s">
        <v>277</v>
      </c>
      <c r="G24" s="160">
        <v>0.26</v>
      </c>
      <c r="H24" s="161" t="s">
        <v>277</v>
      </c>
      <c r="I24" s="160">
        <v>0.38</v>
      </c>
      <c r="J24" s="161" t="s">
        <v>277</v>
      </c>
      <c r="K24" s="160">
        <v>0.27</v>
      </c>
      <c r="L24" s="161" t="s">
        <v>277</v>
      </c>
    </row>
    <row r="25" spans="2:12" x14ac:dyDescent="0.3">
      <c r="B25" s="154" t="s">
        <v>230</v>
      </c>
      <c r="C25" s="154">
        <f>'1'!$C$12</f>
        <v>2.88</v>
      </c>
      <c r="D25" s="155">
        <v>910</v>
      </c>
      <c r="E25" s="160">
        <v>0.08</v>
      </c>
      <c r="F25" s="161" t="s">
        <v>277</v>
      </c>
      <c r="G25" s="160">
        <v>0.08</v>
      </c>
      <c r="H25" s="161" t="s">
        <v>277</v>
      </c>
      <c r="I25" s="160">
        <v>0.12</v>
      </c>
      <c r="J25" s="161" t="s">
        <v>277</v>
      </c>
      <c r="K25" s="160">
        <v>0.09</v>
      </c>
      <c r="L25" s="161" t="s">
        <v>277</v>
      </c>
    </row>
    <row r="26" spans="2:12" x14ac:dyDescent="0.3">
      <c r="B26" s="154" t="s">
        <v>231</v>
      </c>
      <c r="C26" s="154">
        <f>'1'!$C$12</f>
        <v>2.88</v>
      </c>
      <c r="D26" s="155">
        <v>910</v>
      </c>
      <c r="E26" s="160">
        <v>6.9999999999999993E-2</v>
      </c>
      <c r="F26" s="161" t="s">
        <v>277</v>
      </c>
      <c r="G26" s="160">
        <v>6.9999999999999993E-2</v>
      </c>
      <c r="H26" s="161" t="s">
        <v>277</v>
      </c>
      <c r="I26" s="160">
        <v>0.11</v>
      </c>
      <c r="J26" s="161" t="s">
        <v>277</v>
      </c>
      <c r="K26" s="160">
        <v>0.08</v>
      </c>
      <c r="L26" s="161" t="s">
        <v>277</v>
      </c>
    </row>
    <row r="27" spans="2:12" ht="15" thickBot="1" x14ac:dyDescent="0.35">
      <c r="B27" s="162" t="s">
        <v>232</v>
      </c>
      <c r="C27" s="162">
        <f>'1'!$C$12</f>
        <v>2.88</v>
      </c>
      <c r="D27" s="170">
        <v>910</v>
      </c>
      <c r="E27" s="9">
        <v>0.35000000000000003</v>
      </c>
      <c r="F27" s="9" t="s">
        <v>277</v>
      </c>
      <c r="G27" s="171">
        <v>0.35000000000000003</v>
      </c>
      <c r="H27" s="172" t="s">
        <v>277</v>
      </c>
      <c r="I27" s="9">
        <v>1.01</v>
      </c>
      <c r="J27" s="9" t="s">
        <v>277</v>
      </c>
      <c r="K27" s="171">
        <v>0.77</v>
      </c>
      <c r="L27" s="172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B2:U74"/>
  <sheetViews>
    <sheetView showGridLines="0" topLeftCell="A4" zoomScale="70" zoomScaleNormal="70" workbookViewId="0">
      <selection activeCell="C63" sqref="C63:E63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6" width="17.33203125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6.88671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233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" hidden="1" thickBot="1" x14ac:dyDescent="0.35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t="15" thickBot="1" x14ac:dyDescent="0.35">
      <c r="B19" s="67"/>
      <c r="C19" s="9"/>
      <c r="D19" s="9"/>
      <c r="E19" s="9"/>
      <c r="F19" s="112"/>
      <c r="G19" s="6"/>
      <c r="H19" s="6"/>
      <c r="I19" s="6"/>
      <c r="P19" s="40"/>
      <c r="T19" s="40"/>
      <c r="U19" s="41"/>
    </row>
    <row r="20" spans="2:21" ht="15" thickBot="1" x14ac:dyDescent="0.35">
      <c r="B20" s="73" t="s">
        <v>43</v>
      </c>
      <c r="C20" s="74" t="s">
        <v>234</v>
      </c>
      <c r="D20" s="74" t="s">
        <v>235</v>
      </c>
      <c r="E20" s="74" t="s">
        <v>236</v>
      </c>
      <c r="F20" s="39"/>
      <c r="G20" s="39"/>
      <c r="H20" s="39"/>
      <c r="I20" s="39"/>
    </row>
    <row r="21" spans="2:21" ht="15" thickBot="1" x14ac:dyDescent="0.35">
      <c r="B21" s="71" t="s">
        <v>95</v>
      </c>
      <c r="C21" s="115"/>
      <c r="D21" s="115"/>
      <c r="E21" s="72"/>
      <c r="F21" s="39"/>
      <c r="G21" s="39"/>
      <c r="H21" s="39"/>
      <c r="I21" s="39"/>
    </row>
    <row r="22" spans="2:21" x14ac:dyDescent="0.3">
      <c r="B22" s="97" t="s">
        <v>81</v>
      </c>
      <c r="C22" s="76">
        <f>VLOOKUP(C$20,$B$16:$H$18,2)</f>
        <v>2.1</v>
      </c>
      <c r="D22" s="76">
        <f>VLOOKUP(D$20,$B$16:$H$18,2)</f>
        <v>2.3199999999999998</v>
      </c>
      <c r="E22" s="76">
        <f>VLOOKUP(E$20,$B$16:$H$18,2)</f>
        <v>2.9</v>
      </c>
    </row>
    <row r="23" spans="2:21" x14ac:dyDescent="0.3">
      <c r="B23" s="97" t="s">
        <v>82</v>
      </c>
      <c r="C23" s="76">
        <f>VLOOKUP(C$20,$B$16:$H$18,3)</f>
        <v>4.04</v>
      </c>
      <c r="D23" s="76">
        <f>VLOOKUP(D$20,$B$16:$H$18,3)</f>
        <v>4.3</v>
      </c>
      <c r="E23" s="76">
        <f>VLOOKUP(E$20,$B$16:$H$18,3)</f>
        <v>6.36</v>
      </c>
    </row>
    <row r="24" spans="2:21" x14ac:dyDescent="0.3">
      <c r="B24" s="100" t="s">
        <v>86</v>
      </c>
      <c r="C24" s="76">
        <f>ROUNDUP((C28*C22*100)/C29+$C$5,0)</f>
        <v>6</v>
      </c>
      <c r="D24" s="76">
        <f t="shared" ref="D24:E24" si="0">ROUNDUP((D28*D22*100)/D29+$C$5,0)</f>
        <v>6</v>
      </c>
      <c r="E24" s="76">
        <f t="shared" si="0"/>
        <v>7</v>
      </c>
    </row>
    <row r="25" spans="2:21" ht="15" thickBot="1" x14ac:dyDescent="0.35">
      <c r="B25" s="101" t="s">
        <v>0</v>
      </c>
      <c r="C25" s="116" t="str">
        <f>VLOOKUP(C$20,$B$16:$I$18,5)</f>
        <v>5a</v>
      </c>
      <c r="D25" s="116">
        <f>VLOOKUP(D$20,$B$16:$I$18,5)</f>
        <v>6</v>
      </c>
      <c r="E25" s="116">
        <f>VLOOKUP(E$20,$B$16:$I$18,5)</f>
        <v>6</v>
      </c>
    </row>
    <row r="26" spans="2:21" ht="15" thickBot="1" x14ac:dyDescent="0.35">
      <c r="B26" s="71" t="s">
        <v>94</v>
      </c>
      <c r="C26" s="115"/>
      <c r="D26" s="115"/>
      <c r="E26" s="72"/>
    </row>
    <row r="27" spans="2:21" x14ac:dyDescent="0.3">
      <c r="B27" s="100" t="s">
        <v>84</v>
      </c>
      <c r="C27" s="80">
        <f>ROUNDUP(C23/C22,1)</f>
        <v>2</v>
      </c>
      <c r="D27" s="81">
        <f>ROUNDUP(D23/D22,1)</f>
        <v>1.9000000000000001</v>
      </c>
      <c r="E27" s="81">
        <f t="shared" ref="E27" si="1">ROUNDUP(E23/E22,1)</f>
        <v>2.2000000000000002</v>
      </c>
    </row>
    <row r="28" spans="2:21" x14ac:dyDescent="0.3">
      <c r="B28" s="100" t="s">
        <v>11</v>
      </c>
      <c r="C28" s="76">
        <f>IF(C27&gt;1.5,VLOOKUP(C25&amp;1.5,tablas!$L$3:$O$56,4,FALSE),VLOOKUP(C25&amp;C27,tablas!$L$3:$O$56,4,FALSE))</f>
        <v>0.59</v>
      </c>
      <c r="D28" s="77">
        <f>IF(D27&gt;1.5,VLOOKUP(D25&amp;1.5,tablas!$L$3:$O$56,4,FALSE),VLOOKUP(D25&amp;D27,tablas!$L$3:$O$56,4,FALSE))</f>
        <v>0.57999999999999996</v>
      </c>
      <c r="E28" s="77">
        <f>IF(E27&gt;1.5,VLOOKUP(E25&amp;1.5,tablas!$L$3:$O$56,4,FALSE),VLOOKUP(E25&amp;E27,tablas!$L$3:$O$56,4,FALSE))</f>
        <v>0.57999999999999996</v>
      </c>
    </row>
    <row r="29" spans="2:21" x14ac:dyDescent="0.3">
      <c r="B29" s="100" t="s">
        <v>85</v>
      </c>
      <c r="C29" s="76">
        <v>35</v>
      </c>
      <c r="D29" s="77">
        <v>35</v>
      </c>
      <c r="E29" s="77">
        <v>36</v>
      </c>
    </row>
    <row r="30" spans="2:21" x14ac:dyDescent="0.3">
      <c r="B30" s="97" t="s">
        <v>4</v>
      </c>
      <c r="C30" s="76">
        <f>IF(C27&lt;=2,VLOOKUP(C25&amp;C27,tablas!$B$3:$J$92,6,FALSE),"Franja de losa")</f>
        <v>49</v>
      </c>
      <c r="D30" s="77">
        <f>IF(D27&lt;=2,VLOOKUP(D25&amp;D27-0.1,tablas!$B$3:$J$92,6,FALSE),"Franja de losa")</f>
        <v>48.8</v>
      </c>
      <c r="E30" s="77" t="str">
        <f>IF(E27&lt;=2,VLOOKUP(E25&amp;E27,tablas!$B$3:$J$92,6,FALSE),"Franja de losa")</f>
        <v>Franja de losa</v>
      </c>
    </row>
    <row r="31" spans="2:21" x14ac:dyDescent="0.3">
      <c r="B31" s="97" t="s">
        <v>5</v>
      </c>
      <c r="C31" s="76">
        <f>IF(C27&lt;=2,VLOOKUP(C25&amp;C27,tablas!$B$3:$J$92,7,FALSE),"Franja de losa")</f>
        <v>194</v>
      </c>
      <c r="D31" s="77">
        <f>IF(D27&lt;=2,VLOOKUP(D25&amp;D27-0.1,tablas!$B$3:$J$92,7,FALSE),"Franja de losa")</f>
        <v>190</v>
      </c>
      <c r="E31" s="77" t="str">
        <f>IF(E27&lt;=2,VLOOKUP(E25&amp;E27,tablas!$B$3:$J$92,7,FALSE),"Franja de losa")</f>
        <v>Franja de losa</v>
      </c>
    </row>
    <row r="32" spans="2:21" x14ac:dyDescent="0.3">
      <c r="B32" s="97" t="s">
        <v>6</v>
      </c>
      <c r="C32" s="76">
        <f>IF(C27&lt;=2,VLOOKUP(C25&amp;C27,tablas!$B$3:$J$92,8,FALSE),"Franja de losa")</f>
        <v>23.6</v>
      </c>
      <c r="D32" s="77">
        <f>IF(D27&lt;=2,VLOOKUP(D25&amp;D27-0.1,tablas!$B$3:$J$92,8,FALSE),"Franja de losa")</f>
        <v>22</v>
      </c>
      <c r="E32" s="77" t="str">
        <f>IF(E27&lt;=2,VLOOKUP(E25&amp;E27,tablas!$B$3:$J$92,8,FALSE),"Franja de losa")</f>
        <v>Franja de losa</v>
      </c>
    </row>
    <row r="33" spans="2:5" x14ac:dyDescent="0.3">
      <c r="B33" s="97" t="s">
        <v>7</v>
      </c>
      <c r="C33" s="76">
        <f>IF(C27&lt;=2,VLOOKUP(C25&amp;C27,tablas!$B$3:$J$92,9,FALSE),"Franja de losa")</f>
        <v>35.4</v>
      </c>
      <c r="D33" s="77">
        <f>IF(D27&lt;=2,VLOOKUP(D25&amp;D27-0.1,tablas!$B$3:$J$92,9,FALSE),"Franja de losa")</f>
        <v>31.4</v>
      </c>
      <c r="E33" s="77" t="str">
        <f>IF(E27&lt;=2,VLOOKUP(E25&amp;E27,tablas!$B$3:$J$92,9,FALSE),"Franja de losa")</f>
        <v>Franja de losa</v>
      </c>
    </row>
    <row r="34" spans="2:5" x14ac:dyDescent="0.3">
      <c r="B34" s="100" t="s">
        <v>2</v>
      </c>
      <c r="C34" s="76">
        <f>IF(C27&lt;=2,VLOOKUP(C25&amp;C27,tablas!$B$3:$J$92,4,FALSE),"Franja de losa")</f>
        <v>1.24</v>
      </c>
      <c r="D34" s="77">
        <f>IF(D27&lt;=2,VLOOKUP(D25&amp;D27-0.1,tablas!$B$3:$J$92,4,FALSE),"Franja de losa")</f>
        <v>1.39</v>
      </c>
      <c r="E34" s="77" t="str">
        <f>IF(E27&lt;=2,VLOOKUP(E25&amp;E27,tablas!$B$3:$J$92,4,FALSE),"Franja de losa")</f>
        <v>Franja de losa</v>
      </c>
    </row>
    <row r="35" spans="2:5" ht="15" thickBot="1" x14ac:dyDescent="0.35">
      <c r="B35" s="101" t="s">
        <v>3</v>
      </c>
      <c r="C35" s="82">
        <f>IF(C27&lt;=2,VLOOKUP(C25&amp;C27,tablas!$B$3:$J$92,5,FALSE),"Franja de losa")</f>
        <v>1.6</v>
      </c>
      <c r="D35" s="83">
        <f>IF(D27&lt;=2,VLOOKUP(D25&amp;D27-0.1,tablas!$B$3:$J$92,5,FALSE),"Franja de losa")</f>
        <v>1.39</v>
      </c>
      <c r="E35" s="83" t="str">
        <f>IF(E27&lt;=2,VLOOKUP(E25&amp;E27,tablas!$B$3:$J$92,5,FALSE),"Franja de losa")</f>
        <v>Franja de losa</v>
      </c>
    </row>
    <row r="36" spans="2:5" ht="15" thickBot="1" x14ac:dyDescent="0.35">
      <c r="B36" s="71" t="s">
        <v>87</v>
      </c>
      <c r="C36" s="115"/>
      <c r="D36" s="115"/>
      <c r="E36" s="72"/>
    </row>
    <row r="37" spans="2:5" x14ac:dyDescent="0.3">
      <c r="B37" s="97" t="s">
        <v>83</v>
      </c>
      <c r="C37" s="84">
        <f>VLOOKUP(C$20,$B$16:$H$18,6)</f>
        <v>100</v>
      </c>
      <c r="D37" s="84">
        <f t="shared" ref="D37:E37" si="2">VLOOKUP(D$20,$B$16:$H$18,6)</f>
        <v>100</v>
      </c>
      <c r="E37" s="84">
        <f t="shared" si="2"/>
        <v>100</v>
      </c>
    </row>
    <row r="38" spans="2:5" x14ac:dyDescent="0.3">
      <c r="B38" s="97" t="s">
        <v>89</v>
      </c>
      <c r="C38" s="76">
        <f>$L$7*($C$4/100)</f>
        <v>400</v>
      </c>
      <c r="D38" s="77">
        <f>$L$7*($C$4/100)</f>
        <v>400</v>
      </c>
      <c r="E38" s="77">
        <f t="shared" ref="E38" si="3">$L$7*($C$4/100)</f>
        <v>400</v>
      </c>
    </row>
    <row r="39" spans="2:5" x14ac:dyDescent="0.3">
      <c r="B39" s="97" t="s">
        <v>90</v>
      </c>
      <c r="C39" s="76">
        <f>C38+$I$8</f>
        <v>625</v>
      </c>
      <c r="D39" s="77">
        <f>D38+$I$8</f>
        <v>625</v>
      </c>
      <c r="E39" s="77">
        <f t="shared" ref="E39" si="4">E38+$I$8</f>
        <v>625</v>
      </c>
    </row>
    <row r="40" spans="2:5" x14ac:dyDescent="0.3">
      <c r="B40" s="97" t="s">
        <v>91</v>
      </c>
      <c r="C40" s="76">
        <f>1.2*C39+1.6*C37</f>
        <v>910</v>
      </c>
      <c r="D40" s="77">
        <f>1.2*D39+1.6*D37</f>
        <v>910</v>
      </c>
      <c r="E40" s="77">
        <f t="shared" ref="E40" si="5">1.2*E39+1.6*E37</f>
        <v>910</v>
      </c>
    </row>
    <row r="41" spans="2:5" x14ac:dyDescent="0.3">
      <c r="B41" s="98" t="s">
        <v>92</v>
      </c>
      <c r="C41" s="85">
        <f>C40*C22*C23</f>
        <v>7720.4400000000005</v>
      </c>
      <c r="D41" s="86">
        <f>D40*D22*D23</f>
        <v>9078.159999999998</v>
      </c>
      <c r="E41" s="86">
        <f t="shared" ref="E41" si="6">E40*E22*E23</f>
        <v>16784.04</v>
      </c>
    </row>
    <row r="42" spans="2:5" ht="15" thickBot="1" x14ac:dyDescent="0.35">
      <c r="B42" s="99" t="s">
        <v>93</v>
      </c>
      <c r="C42" s="87">
        <f>C37/(2*C40)</f>
        <v>5.4945054945054944E-2</v>
      </c>
      <c r="D42" s="88">
        <f>D37/(2*D40)</f>
        <v>5.4945054945054944E-2</v>
      </c>
      <c r="E42" s="88">
        <f t="shared" ref="E42" si="7">E37/(2*E40)</f>
        <v>5.4945054945054944E-2</v>
      </c>
    </row>
    <row r="43" spans="2:5" ht="15" thickBot="1" x14ac:dyDescent="0.35">
      <c r="B43" s="71" t="s">
        <v>96</v>
      </c>
      <c r="C43" s="115"/>
      <c r="D43" s="115"/>
      <c r="E43" s="72"/>
    </row>
    <row r="44" spans="2:5" x14ac:dyDescent="0.3">
      <c r="B44" s="96" t="s">
        <v>97</v>
      </c>
      <c r="C44" s="89">
        <f>IF(C27&lt;=2,C41/C30*(1+C42*C34)*C28,IF(OR(C25=6,C25="5a",C25="3a"),C40*C22^2/17,(IF(OR(C25="2a",C25=4,C25="5b"),C40*C22^2/12,IF(OR(C25=1,C25="2b",C25="3b"),C40*C22^2/8)))))</f>
        <v>99.293965714285719</v>
      </c>
      <c r="D44" s="89">
        <f t="shared" ref="D44:E44" si="8">IF(D27&lt;=2,D41/D30*(1+D42*D34)*D28,IF(OR(D25=6,D25="5a",D25="3a"),D40*D22^2/17,(IF(OR(D25="2a",D25=4,D25="5b"),D40*D22^2/12,IF(OR(D25=1,D25="2b",D25="3b"),D40*D22^2/8)))))</f>
        <v>116.13658524590161</v>
      </c>
      <c r="E44" s="89">
        <f t="shared" si="8"/>
        <v>450.18235294117648</v>
      </c>
    </row>
    <row r="45" spans="2:5" x14ac:dyDescent="0.3">
      <c r="B45" s="97" t="s">
        <v>15</v>
      </c>
      <c r="C45" s="90">
        <f>C44/(0.9*(0.9*($C$7/100))*($L$9*1000))</f>
        <v>0.20458134655731447</v>
      </c>
      <c r="D45" s="90">
        <f t="shared" ref="D45:E45" si="9">D44/(0.9*(0.9*($C$7/100))*($L$9*1000))</f>
        <v>0.23928321145457643</v>
      </c>
      <c r="E45" s="90">
        <f t="shared" si="9"/>
        <v>0.92753785487888452</v>
      </c>
    </row>
    <row r="46" spans="2:5" x14ac:dyDescent="0.3">
      <c r="B46" s="97" t="s">
        <v>98</v>
      </c>
      <c r="C46" s="92">
        <f>(C45*($L$9))/(0.85*$L$6*100)</f>
        <v>5.0496433867664708E-3</v>
      </c>
      <c r="D46" s="92">
        <f t="shared" ref="D46:E46" si="10">(D45*($L$9))/(0.85*$L$6*100)</f>
        <v>5.9061830739653232E-3</v>
      </c>
      <c r="E46" s="92">
        <f t="shared" si="10"/>
        <v>2.2894244630228523E-2</v>
      </c>
    </row>
    <row r="47" spans="2:5" ht="15" thickBot="1" x14ac:dyDescent="0.35">
      <c r="B47" s="97" t="s">
        <v>15</v>
      </c>
      <c r="C47" s="76">
        <f>ROUNDUP(C44/(0.9*(($C$7-C46/2)/100)*($L$9*1000)),2)</f>
        <v>0.19</v>
      </c>
      <c r="D47" s="76">
        <f t="shared" ref="D47:E47" si="11">ROUNDUP(D44/(0.9*(($C$7-D46/2)/100)*($L$9*1000)),2)</f>
        <v>0.22</v>
      </c>
      <c r="E47" s="76">
        <f t="shared" si="11"/>
        <v>0.84</v>
      </c>
    </row>
    <row r="48" spans="2:5" ht="16.2" thickBot="1" x14ac:dyDescent="0.35">
      <c r="B48" s="61" t="s">
        <v>100</v>
      </c>
      <c r="C48" s="94" t="str">
        <f>IF(C47&gt;$C$12,"φ"&amp;IF(VLOOKUP(VLOOKUP(C47,tablas!$R$3:$T$66,2,TRUE)&amp;VLOOKUP(C47,tablas!$R$3:$T$66,3,TRUE),tablas!$Q$3:$R$66,2,FALSE)&lt;C47,VLOOKUP(C47+0.1,tablas!$R$3:$T$66,2,TRUE),VLOOKUP(C47,tablas!$R$3:$T$66,2,TRUE))&amp;"@"&amp;IF(VLOOKUP(VLOOKUP(C47,tablas!$R$3:$T$66,2,TRUE)&amp;VLOOKUP(C47,tablas!$R$3:$T$66,3,TRUE),tablas!$Q$3:$R$66,2,FALSE)&lt;C47,VLOOKUP(C47+0.1,tablas!$R$3:$T$66,3,TRUE),VLOOKUP(C47,tablas!$R$3:$T$66,3,TRUE)),$C$13)</f>
        <v>φ8@17</v>
      </c>
      <c r="D48" s="94" t="str">
        <f>IF(D47&gt;$C$12,"φ"&amp;IF(VLOOKUP(VLOOKUP(D47,tablas!$R$3:$T$66,2,TRUE)&amp;VLOOKUP(D47,tablas!$R$3:$T$66,3,TRUE),tablas!$Q$3:$R$66,2,FALSE)&lt;D47,VLOOKUP(D47+0.1,tablas!$R$3:$T$66,2,TRUE),VLOOKUP(D47,tablas!$R$3:$T$66,2,TRUE))&amp;"@"&amp;IF(VLOOKUP(VLOOKUP(D47,tablas!$R$3:$T$66,2,TRUE)&amp;VLOOKUP(D47,tablas!$R$3:$T$66,3,TRUE),tablas!$Q$3:$R$66,2,FALSE)&lt;D47,VLOOKUP(D47+0.1,tablas!$R$3:$T$66,3,TRUE),VLOOKUP(D47,tablas!$R$3:$T$66,3,TRUE)),$C$13)</f>
        <v>φ8@17</v>
      </c>
      <c r="E48" s="94" t="str">
        <f>IF(E47&gt;$C$12,"φ"&amp;IF(VLOOKUP(VLOOKUP(E47,tablas!$R$3:$T$66,2,TRUE)&amp;VLOOKUP(E47,tablas!$R$3:$T$66,3,TRUE),tablas!$Q$3:$R$66,2,FALSE)&lt;E47,VLOOKUP(E47+0.1,tablas!$R$3:$T$66,2,TRUE),VLOOKUP(E47,tablas!$R$3:$T$66,2,TRUE))&amp;"@"&amp;IF(VLOOKUP(VLOOKUP(E47,tablas!$R$3:$T$66,2,TRUE)&amp;VLOOKUP(E47,tablas!$R$3:$T$66,3,TRUE),tablas!$Q$3:$R$66,2,FALSE)&lt;E47,VLOOKUP(E47+0.1,tablas!$R$3:$T$66,3,TRUE),VLOOKUP(E47,tablas!$R$3:$T$66,3,TRUE)),$C$13)</f>
        <v>φ8@17</v>
      </c>
    </row>
    <row r="49" spans="2:5" x14ac:dyDescent="0.3">
      <c r="B49" s="96" t="s">
        <v>102</v>
      </c>
      <c r="C49" s="89">
        <f>IF(C27&lt;=2,C41/C30*(1+C42*C34)*C28,"-")</f>
        <v>99.293965714285719</v>
      </c>
      <c r="D49" s="89">
        <f t="shared" ref="D49:E49" si="12">IF(D27&lt;=2,D41/D30*(1+D42*D34)*D28,"-")</f>
        <v>116.13658524590161</v>
      </c>
      <c r="E49" s="89" t="str">
        <f t="shared" si="12"/>
        <v>-</v>
      </c>
    </row>
    <row r="50" spans="2:5" x14ac:dyDescent="0.3">
      <c r="B50" s="97" t="s">
        <v>15</v>
      </c>
      <c r="C50" s="90">
        <f>C44/(0.9*(0.9*($C$7/100))*($L$9*1000))</f>
        <v>0.20458134655731447</v>
      </c>
      <c r="D50" s="90">
        <f t="shared" ref="D50:E50" si="13">D44/(0.9*(0.9*($C$7/100))*($L$9*1000))</f>
        <v>0.23928321145457643</v>
      </c>
      <c r="E50" s="90">
        <f t="shared" si="13"/>
        <v>0.92753785487888452</v>
      </c>
    </row>
    <row r="51" spans="2:5" x14ac:dyDescent="0.3">
      <c r="B51" s="97" t="s">
        <v>98</v>
      </c>
      <c r="C51" s="92">
        <f>(C50*($L$9))/(0.85*$L$6*100)</f>
        <v>5.0496433867664708E-3</v>
      </c>
      <c r="D51" s="92">
        <f t="shared" ref="D51:E51" si="14">(D50*($L$9))/(0.85*$L$6*100)</f>
        <v>5.9061830739653232E-3</v>
      </c>
      <c r="E51" s="92">
        <f t="shared" si="14"/>
        <v>2.2894244630228523E-2</v>
      </c>
    </row>
    <row r="52" spans="2:5" ht="15" thickBot="1" x14ac:dyDescent="0.35">
      <c r="B52" s="97" t="s">
        <v>15</v>
      </c>
      <c r="C52" s="76">
        <f>ROUNDUP(C44/(0.9*(($C$7-C46/2)/100)*($L$9*1000)),2)</f>
        <v>0.19</v>
      </c>
      <c r="D52" s="76">
        <f t="shared" ref="D52:E52" si="15">ROUNDUP(D44/(0.9*(($C$7-D46/2)/100)*($L$9*1000)),2)</f>
        <v>0.22</v>
      </c>
      <c r="E52" s="76">
        <f t="shared" si="15"/>
        <v>0.84</v>
      </c>
    </row>
    <row r="53" spans="2:5" ht="16.2" thickBot="1" x14ac:dyDescent="0.35">
      <c r="B53" s="61" t="s">
        <v>101</v>
      </c>
      <c r="C53" s="94" t="str">
        <f>IF(C52&gt;$C$12,"φ"&amp;IF(VLOOKUP(VLOOKUP(C52,tablas!$R$3:$T$66,2,TRUE)&amp;VLOOKUP(C52,tablas!$R$3:$T$66,3,TRUE),tablas!$Q$3:$R$66,2,FALSE)&lt;C52,VLOOKUP(C52+0.1,tablas!$R$3:$T$66,2,TRUE),VLOOKUP(C52,tablas!$R$3:$T$66,2,TRUE))&amp;"@"&amp;IF(VLOOKUP(VLOOKUP(C52,tablas!$R$3:$T$66,2,TRUE)&amp;VLOOKUP(C52,tablas!$R$3:$T$66,3,TRUE),tablas!$Q$3:$R$66,2,FALSE)&lt;C52,VLOOKUP(C52+0.1,tablas!$R$3:$T$66,3,TRUE),VLOOKUP(C52,tablas!$R$3:$T$66,3,TRUE)),$C$13)</f>
        <v>φ8@17</v>
      </c>
      <c r="D53" s="94" t="str">
        <f>IF(D52&gt;$C$12,"φ"&amp;IF(VLOOKUP(VLOOKUP(D52,tablas!$R$3:$T$66,2,TRUE)&amp;VLOOKUP(D52,tablas!$R$3:$T$66,3,TRUE),tablas!$Q$3:$R$66,2,FALSE)&lt;D52,VLOOKUP(D52+0.1,tablas!$R$3:$T$66,2,TRUE),VLOOKUP(D52,tablas!$R$3:$T$66,2,TRUE))&amp;"@"&amp;IF(VLOOKUP(VLOOKUP(D52,tablas!$R$3:$T$66,2,TRUE)&amp;VLOOKUP(D52,tablas!$R$3:$T$66,3,TRUE),tablas!$Q$3:$R$66,2,FALSE)&lt;D52,VLOOKUP(D52+0.1,tablas!$R$3:$T$66,3,TRUE),VLOOKUP(D52,tablas!$R$3:$T$66,3,TRUE)),$C$13)</f>
        <v>φ8@17</v>
      </c>
      <c r="E53" s="94" t="str">
        <f>IF(E52&gt;$C$12,"φ"&amp;IF(VLOOKUP(VLOOKUP(E52,tablas!$R$3:$T$66,2,TRUE)&amp;VLOOKUP(E52,tablas!$R$3:$T$66,3,TRUE),tablas!$Q$3:$R$66,2,FALSE)&lt;E52,VLOOKUP(E52+0.1,tablas!$R$3:$T$66,2,TRUE),VLOOKUP(E52,tablas!$R$3:$T$66,2,TRUE))&amp;"@"&amp;IF(VLOOKUP(VLOOKUP(E52,tablas!$R$3:$T$66,2,TRUE)&amp;VLOOKUP(E52,tablas!$R$3:$T$66,3,TRUE),tablas!$Q$3:$R$66,2,FALSE)&lt;E52,VLOOKUP(E52+0.1,tablas!$R$3:$T$66,3,TRUE),VLOOKUP(E52,tablas!$R$3:$T$66,3,TRUE)),$C$13)</f>
        <v>φ8@17</v>
      </c>
    </row>
    <row r="54" spans="2:5" x14ac:dyDescent="0.3">
      <c r="B54" s="96" t="s">
        <v>103</v>
      </c>
      <c r="C54" s="89">
        <f>IF(C27&lt;=2,C41/C32,IF(OR(C25=6,C25="5a",C25="3a"),C40*C22^2/12,(IF(OR(C25="2a",C25=4,C25="5b"),C40*C22^2/8,"-"))))</f>
        <v>327.13728813559322</v>
      </c>
      <c r="D54" s="89">
        <f t="shared" ref="D54:E54" si="16">IF(D27&lt;=2,D41/D32,IF(OR(D25=6,D25="5a",D25="3a"),D40*D22^2/12,(IF(OR(D25="2a",D25=4,D25="5b"),D40*D22^2/8,"-"))))</f>
        <v>412.64363636363629</v>
      </c>
      <c r="E54" s="89">
        <f t="shared" si="16"/>
        <v>637.75833333333333</v>
      </c>
    </row>
    <row r="55" spans="2:5" x14ac:dyDescent="0.3">
      <c r="B55" s="97" t="s">
        <v>15</v>
      </c>
      <c r="C55" s="90">
        <f>C54/(0.9*(0.9*($C$7/100))*($L$9*1000))</f>
        <v>0.67402068629694145</v>
      </c>
      <c r="D55" s="90">
        <f t="shared" ref="D55:E55" si="17">D54/(0.9*(0.9*($C$7/100))*($L$9*1000))</f>
        <v>0.85019457293600553</v>
      </c>
      <c r="E55" s="90">
        <f t="shared" si="17"/>
        <v>1.3140119610784196</v>
      </c>
    </row>
    <row r="56" spans="2:5" x14ac:dyDescent="0.3">
      <c r="B56" s="97" t="s">
        <v>98</v>
      </c>
      <c r="C56" s="92">
        <f>(C55*($L$9))/(0.85*$L$6*100)</f>
        <v>1.6636727435703054E-2</v>
      </c>
      <c r="D56" s="92">
        <f t="shared" ref="D56:E56" si="18">(D55*($L$9))/(0.85*$L$6*100)</f>
        <v>2.0985194764510402E-2</v>
      </c>
      <c r="E56" s="92">
        <f t="shared" si="18"/>
        <v>3.2433513226157069E-2</v>
      </c>
    </row>
    <row r="57" spans="2:5" ht="15" thickBot="1" x14ac:dyDescent="0.35">
      <c r="B57" s="97" t="s">
        <v>15</v>
      </c>
      <c r="C57" s="76">
        <f>ROUNDUP(C54/(0.9*(($C$7-C56/2)/100)*($L$9*1000)),2)</f>
        <v>0.61</v>
      </c>
      <c r="D57" s="76">
        <f t="shared" ref="D57:E57" si="19">ROUNDUP(D54/(0.9*(($C$7-D56/2)/100)*($L$9*1000)),2)</f>
        <v>0.77</v>
      </c>
      <c r="E57" s="76">
        <f t="shared" si="19"/>
        <v>1.19</v>
      </c>
    </row>
    <row r="58" spans="2:5" ht="16.2" thickBot="1" x14ac:dyDescent="0.35">
      <c r="B58" s="61" t="s">
        <v>105</v>
      </c>
      <c r="C58" s="94" t="str">
        <f>IF(C57&gt;$C$12,"φ"&amp;IF(VLOOKUP(VLOOKUP(C57,tablas!$R$3:$T$66,2,TRUE)&amp;VLOOKUP(C57,tablas!$R$3:$T$66,3,TRUE),tablas!$Q$3:$R$66,2,FALSE)&lt;C57,VLOOKUP(C57+0.1,tablas!$R$3:$T$66,2,TRUE),VLOOKUP(C57,tablas!$R$3:$T$66,2,TRUE))&amp;"@"&amp;IF(VLOOKUP(VLOOKUP(C57,tablas!$R$3:$T$66,2,TRUE)&amp;VLOOKUP(C57,tablas!$R$3:$T$66,3,TRUE),tablas!$Q$3:$R$66,2,FALSE)&lt;C57,VLOOKUP(C57+0.1,tablas!$R$3:$T$66,3,TRUE),VLOOKUP(C57,tablas!$R$3:$T$66,3,TRUE)),$C$13)</f>
        <v>φ8@17</v>
      </c>
      <c r="D58" s="94" t="str">
        <f>IF(D57&gt;$C$12,"φ"&amp;IF(VLOOKUP(VLOOKUP(D57,tablas!$R$3:$T$66,2,TRUE)&amp;VLOOKUP(D57,tablas!$R$3:$T$66,3,TRUE),tablas!$Q$3:$R$66,2,FALSE)&lt;D57,VLOOKUP(D57+0.1,tablas!$R$3:$T$66,2,TRUE),VLOOKUP(D57,tablas!$R$3:$T$66,2,TRUE))&amp;"@"&amp;IF(VLOOKUP(VLOOKUP(D57,tablas!$R$3:$T$66,2,TRUE)&amp;VLOOKUP(D57,tablas!$R$3:$T$66,3,TRUE),tablas!$Q$3:$R$66,2,FALSE)&lt;D57,VLOOKUP(D57+0.1,tablas!$R$3:$T$66,3,TRUE),VLOOKUP(D57,tablas!$R$3:$T$66,3,TRUE)),$C$13)</f>
        <v>φ8@17</v>
      </c>
      <c r="E58" s="94" t="str">
        <f>IF(E57&gt;$C$12,"φ"&amp;IF(VLOOKUP(VLOOKUP(E57,tablas!$R$3:$T$66,2,TRUE)&amp;VLOOKUP(E57,tablas!$R$3:$T$66,3,TRUE),tablas!$Q$3:$R$66,2,FALSE)&lt;E57,VLOOKUP(E57+0.1,tablas!$R$3:$T$66,2,TRUE),VLOOKUP(E57,tablas!$R$3:$T$66,2,TRUE))&amp;"@"&amp;IF(VLOOKUP(VLOOKUP(E57,tablas!$R$3:$T$66,2,TRUE)&amp;VLOOKUP(E57,tablas!$R$3:$T$66,3,TRUE),tablas!$Q$3:$R$66,2,FALSE)&lt;E57,VLOOKUP(E57+0.1,tablas!$R$3:$T$66,3,TRUE),VLOOKUP(E57,tablas!$R$3:$T$66,3,TRUE)),$C$13)</f>
        <v>φ8@17</v>
      </c>
    </row>
    <row r="59" spans="2:5" x14ac:dyDescent="0.3">
      <c r="B59" s="96" t="s">
        <v>104</v>
      </c>
      <c r="C59" s="89">
        <f>IF(C27&lt;=2,C41/C33,IF(OR(C25=6,C25="5a",C25="3a"),C40*C22^2/17.5,(IF(OR(C25="2a",C25=4,C25="5b"),C40*C22^2/11.25,IF(OR(C25=1,C25="2b",C25="3b"),C40*C22^2/8)))))</f>
        <v>218.09152542372883</v>
      </c>
      <c r="D59" s="89">
        <f t="shared" ref="D59:E59" si="20">IF(D27&lt;=2,D41/D33,IF(OR(D25=6,D25="5a",D25="3a"),D40*D22^2/17.5,(IF(OR(D25="2a",D25=4,D25="5b"),D40*D22^2/11.25,IF(OR(D25=1,D25="2b",D25="3b"),D40*D22^2/8)))))</f>
        <v>289.11337579617827</v>
      </c>
      <c r="E59" s="89">
        <f t="shared" si="20"/>
        <v>437.32</v>
      </c>
    </row>
    <row r="60" spans="2:5" x14ac:dyDescent="0.3">
      <c r="B60" s="97" t="s">
        <v>15</v>
      </c>
      <c r="C60" s="90">
        <f>C59/(0.9*(0.9*($C$7/100))*($L$9*1000))</f>
        <v>0.44934712419796097</v>
      </c>
      <c r="D60" s="91">
        <f>D59/(0.9*(0.9*($C$7/100))*($L$9*1000))</f>
        <v>0.59567772626089555</v>
      </c>
      <c r="E60" s="91">
        <f t="shared" ref="E60" si="21">E59/(0.9*(0.9*($C$7/100))*($L$9*1000))</f>
        <v>0.90103677331091636</v>
      </c>
    </row>
    <row r="61" spans="2:5" x14ac:dyDescent="0.3">
      <c r="B61" s="97" t="s">
        <v>98</v>
      </c>
      <c r="C61" s="92">
        <f>(C60*($L$9))/(0.85*$L$6*100)</f>
        <v>1.1091151623802037E-2</v>
      </c>
      <c r="D61" s="93">
        <f>(D60*($L$9))/(0.85*$L$6*100)</f>
        <v>1.4703002701249326E-2</v>
      </c>
      <c r="E61" s="93">
        <f t="shared" ref="E61" si="22">(E60*($L$9))/(0.85*$L$6*100)</f>
        <v>2.2240123355079133E-2</v>
      </c>
    </row>
    <row r="62" spans="2:5" ht="15" thickBot="1" x14ac:dyDescent="0.35">
      <c r="B62" s="97" t="s">
        <v>15</v>
      </c>
      <c r="C62" s="76">
        <f>ROUNDUP(C59/(0.9*(($C$7-C61/2)/100)*($L$9*1000)),2)</f>
        <v>0.41000000000000003</v>
      </c>
      <c r="D62" s="77">
        <f>ROUNDUP(D59/(0.9*(($C$7-D61/2)/100)*($L$9*1000)),2)</f>
        <v>0.54</v>
      </c>
      <c r="E62" s="77">
        <f t="shared" ref="E62" si="23">ROUNDUP(E59/(0.9*(($C$7-E61/2)/100)*($L$9*1000)),2)</f>
        <v>0.82000000000000006</v>
      </c>
    </row>
    <row r="63" spans="2:5" ht="16.2" thickBot="1" x14ac:dyDescent="0.35">
      <c r="B63" s="61" t="s">
        <v>106</v>
      </c>
      <c r="C63" s="94" t="str">
        <f>IF(C62&gt;$C$12,"φ"&amp;IF(VLOOKUP(VLOOKUP(C62,tablas!$R$3:$T$66,2,TRUE)&amp;VLOOKUP(C62,tablas!$R$3:$T$66,3,TRUE),tablas!$Q$3:$R$66,2,FALSE)&lt;C62,VLOOKUP(C62+0.1,tablas!$R$3:$T$66,2,TRUE),VLOOKUP(C62,tablas!$R$3:$T$66,2,TRUE))&amp;"@"&amp;IF(VLOOKUP(VLOOKUP(C62,tablas!$R$3:$T$66,2,TRUE)&amp;VLOOKUP(C62,tablas!$R$3:$T$66,3,TRUE),tablas!$Q$3:$R$66,2,FALSE)&lt;C62,VLOOKUP(C62+0.1,tablas!$R$3:$T$66,3,TRUE),VLOOKUP(C62,tablas!$R$3:$T$66,3,TRUE)),$C$13)</f>
        <v>φ8@17</v>
      </c>
      <c r="D63" s="95" t="str">
        <f>IF(D62&gt;$C$12,"φ"&amp;IF(VLOOKUP(VLOOKUP(D62,tablas!$R$3:$T$66,2,TRUE)&amp;VLOOKUP(D62,tablas!$R$3:$T$66,3,TRUE),tablas!$Q$3:$R$66,2,FALSE)&lt;D62,VLOOKUP(D62+0.1,tablas!$R$3:$T$66,2,TRUE),VLOOKUP(D62,tablas!$R$3:$T$66,2,TRUE))&amp;"@"&amp;IF(VLOOKUP(VLOOKUP(D62,tablas!$R$3:$T$66,2,TRUE)&amp;VLOOKUP(D62,tablas!$R$3:$T$66,3,TRUE),tablas!$Q$3:$R$66,2,FALSE)&lt;D62,VLOOKUP(D62+0.1,tablas!$R$3:$T$66,3,TRUE),VLOOKUP(D62,tablas!$R$3:$T$66,3,TRUE)),$C$13)</f>
        <v>φ8@17</v>
      </c>
      <c r="E63" s="95" t="str">
        <f>IF(E62&gt;$C$12,"φ"&amp;IF(VLOOKUP(VLOOKUP(E62,tablas!$R$3:$T$66,2,TRUE)&amp;VLOOKUP(E62,tablas!$R$3:$T$66,3,TRUE),tablas!$Q$3:$R$66,2,FALSE)&lt;E62,VLOOKUP(E62+0.1,tablas!$R$3:$T$66,2,TRUE),VLOOKUP(E62,tablas!$R$3:$T$66,2,TRUE))&amp;"@"&amp;IF(VLOOKUP(VLOOKUP(E62,tablas!$R$3:$T$66,2,TRUE)&amp;VLOOKUP(E62,tablas!$R$3:$T$66,3,TRUE),tablas!$Q$3:$R$66,2,FALSE)&lt;E62,VLOOKUP(E62+0.1,tablas!$R$3:$T$66,3,TRUE),VLOOKUP(E62,tablas!$R$3:$T$66,3,TRUE)),$C$13)</f>
        <v>φ8@17</v>
      </c>
    </row>
    <row r="65" spans="2:21" ht="15" thickBot="1" x14ac:dyDescent="0.35">
      <c r="B65" s="126" t="s">
        <v>107</v>
      </c>
      <c r="C65" s="126"/>
      <c r="P65" s="40"/>
      <c r="T65" s="40"/>
      <c r="U65" s="41"/>
    </row>
    <row r="66" spans="2:21" ht="15" thickBot="1" x14ac:dyDescent="0.35">
      <c r="B66" s="73" t="s">
        <v>43</v>
      </c>
      <c r="C66" s="74" t="s">
        <v>234</v>
      </c>
      <c r="D66" s="75" t="s">
        <v>235</v>
      </c>
      <c r="E66" s="74" t="s">
        <v>235</v>
      </c>
      <c r="F66" s="75" t="s">
        <v>236</v>
      </c>
    </row>
    <row r="67" spans="2:21" x14ac:dyDescent="0.3">
      <c r="B67" s="105" t="s">
        <v>114</v>
      </c>
      <c r="C67" s="102" t="s">
        <v>109</v>
      </c>
      <c r="D67" s="103" t="s">
        <v>108</v>
      </c>
      <c r="E67" s="102" t="s">
        <v>109</v>
      </c>
      <c r="F67" s="103" t="s">
        <v>108</v>
      </c>
    </row>
    <row r="68" spans="2:21" x14ac:dyDescent="0.3">
      <c r="B68" s="106" t="s">
        <v>110</v>
      </c>
      <c r="C68" s="104">
        <f>HLOOKUP(C66,$B$20:$E$63,IF(C67="x",35,40),FALSE)</f>
        <v>218.09152542372883</v>
      </c>
      <c r="D68" s="86">
        <f>HLOOKUP(D66,$B$20:$E$63,IF(D67="x",35,40),FALSE)</f>
        <v>412.64363636363629</v>
      </c>
      <c r="E68" s="104">
        <f>HLOOKUP(E66,$B$20:$E$63,IF(E67="x",35,40),FALSE)</f>
        <v>289.11337579617827</v>
      </c>
      <c r="F68" s="86">
        <f>HLOOKUP(F66,$B$20:$E$63,IF(F67="x",35,40),FALSE)</f>
        <v>637.75833333333333</v>
      </c>
    </row>
    <row r="69" spans="2:21" x14ac:dyDescent="0.3">
      <c r="B69" s="106" t="s">
        <v>111</v>
      </c>
      <c r="C69" s="127">
        <f>(MAX(C68:D68)-MIN(C68:D68))/(MAX(C68:D68))</f>
        <v>0.47147730825166828</v>
      </c>
      <c r="D69" s="128"/>
      <c r="E69" s="127">
        <f>(MAX(E68:F68)-MIN(E68:F68))/(MAX(E68:F68))</f>
        <v>0.5466725236108062</v>
      </c>
      <c r="F69" s="128"/>
    </row>
    <row r="70" spans="2:21" x14ac:dyDescent="0.3">
      <c r="B70" s="106" t="s">
        <v>112</v>
      </c>
      <c r="C70" s="129">
        <f>IF(C69&lt;25%,(C68*0.5+D68*0.5)*0.9,IF(C69&lt;50%,(MAX(C68:D68)*0.6+MIN(C68:D68)*0.4)*0.9,IF(C69&lt;70%,(MAX(C68:D68)*0.65+MIN(C68:D68)*0.35)*0.9,IF(C69&lt;100%,(MAX(C68:D68)*0.7+MIN(C68:D68)*0.3)*0.9,0.7*MAX(C68:D68)))))</f>
        <v>301.34051278890598</v>
      </c>
      <c r="D70" s="130"/>
      <c r="E70" s="129">
        <f>IF(E69&lt;25%,(E68*0.5+F68*0.5)*0.9,IF(E69&lt;50%,(MAX(E68:F68)*0.6+MIN(E68:F68)*0.4)*0.9,IF(E69&lt;70%,(MAX(E68:F68)*0.65+MIN(E68:F68)*0.35)*0.9,IF(E69&lt;100%,(MAX(E68:F68)*0.7+MIN(E68:F68)*0.3)*0.9,0.7*MAX(E68:F68)))))</f>
        <v>464.15933837579615</v>
      </c>
      <c r="F70" s="130"/>
    </row>
    <row r="71" spans="2:21" x14ac:dyDescent="0.3">
      <c r="B71" s="107" t="s">
        <v>15</v>
      </c>
      <c r="C71" s="131">
        <f>C70/(0.9*(0.9*($C$7/100))*($L$9*1000))</f>
        <v>0.62087003409670893</v>
      </c>
      <c r="D71" s="132"/>
      <c r="E71" s="131">
        <f>E70/(0.9*(0.9*($C$7/100))*($L$9*1000))</f>
        <v>0.95633548100305765</v>
      </c>
      <c r="F71" s="132"/>
    </row>
    <row r="72" spans="2:21" x14ac:dyDescent="0.3">
      <c r="B72" s="107" t="s">
        <v>98</v>
      </c>
      <c r="C72" s="133">
        <f>(C71*($L$9))/(0.85*$L$6*100)</f>
        <v>1.5324819757404351E-2</v>
      </c>
      <c r="D72" s="134"/>
      <c r="E72" s="133">
        <f>(E71*($L$9))/(0.85*$L$6*100)</f>
        <v>2.3605051088195429E-2</v>
      </c>
      <c r="F72" s="134"/>
    </row>
    <row r="73" spans="2:21" ht="15" thickBot="1" x14ac:dyDescent="0.35">
      <c r="B73" s="108" t="s">
        <v>15</v>
      </c>
      <c r="C73" s="135">
        <f>ROUNDUP(C70/(0.9*(($C$7-C72/2)/100)*($L$9*1000)),2)</f>
        <v>0.56000000000000005</v>
      </c>
      <c r="D73" s="136"/>
      <c r="E73" s="135">
        <f>ROUNDUP(E70/(0.9*(($C$7-E72/2)/100)*($L$9*1000)),2)</f>
        <v>0.87</v>
      </c>
      <c r="F73" s="136"/>
    </row>
    <row r="74" spans="2:21" ht="16.2" thickBot="1" x14ac:dyDescent="0.35">
      <c r="B74" s="61" t="s">
        <v>113</v>
      </c>
      <c r="C74" s="140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φ8@17</v>
      </c>
      <c r="D74" s="141"/>
      <c r="E74" s="140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φ8@17</v>
      </c>
      <c r="F74" s="141"/>
    </row>
  </sheetData>
  <mergeCells count="16">
    <mergeCell ref="C74:D74"/>
    <mergeCell ref="E74:F74"/>
    <mergeCell ref="C73:D73"/>
    <mergeCell ref="E73:F73"/>
    <mergeCell ref="C72:D72"/>
    <mergeCell ref="E72:F72"/>
    <mergeCell ref="C71:D71"/>
    <mergeCell ref="E71:F71"/>
    <mergeCell ref="C70:D70"/>
    <mergeCell ref="E70:F70"/>
    <mergeCell ref="E4:F4"/>
    <mergeCell ref="H4:I4"/>
    <mergeCell ref="K4:L4"/>
    <mergeCell ref="B65:C65"/>
    <mergeCell ref="C69:D69"/>
    <mergeCell ref="E69:F6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2:L8"/>
  <sheetViews>
    <sheetView workbookViewId="0">
      <selection activeCell="I18" sqref="I18"/>
    </sheetView>
  </sheetViews>
  <sheetFormatPr baseColWidth="10" defaultRowHeight="14.4" x14ac:dyDescent="0.3"/>
  <sheetData>
    <row r="2" spans="2:12" ht="15" thickBot="1" x14ac:dyDescent="0.35"/>
    <row r="3" spans="2:12" ht="15" thickBot="1" x14ac:dyDescent="0.35">
      <c r="B3" s="150" t="s">
        <v>309</v>
      </c>
      <c r="C3" s="149"/>
      <c r="D3" s="149"/>
      <c r="E3" s="149"/>
      <c r="F3" s="151"/>
      <c r="G3" s="168"/>
      <c r="H3" s="168"/>
      <c r="I3" s="168"/>
      <c r="J3" s="168"/>
      <c r="K3" s="168"/>
      <c r="L3" s="168"/>
    </row>
    <row r="4" spans="2:12" ht="15" thickBot="1" x14ac:dyDescent="0.35">
      <c r="B4" s="152" t="s">
        <v>43</v>
      </c>
      <c r="C4" s="152" t="s">
        <v>246</v>
      </c>
      <c r="D4" s="152" t="s">
        <v>244</v>
      </c>
      <c r="E4" s="156" t="s">
        <v>240</v>
      </c>
      <c r="F4" s="157"/>
      <c r="G4" s="166" t="s">
        <v>241</v>
      </c>
      <c r="H4" s="167"/>
      <c r="I4" s="166" t="s">
        <v>253</v>
      </c>
      <c r="J4" s="167"/>
      <c r="K4" s="166" t="s">
        <v>254</v>
      </c>
      <c r="L4" s="167"/>
    </row>
    <row r="5" spans="2:12" ht="43.8" thickBot="1" x14ac:dyDescent="0.35">
      <c r="B5" s="153"/>
      <c r="C5" s="153"/>
      <c r="D5" s="153"/>
      <c r="E5" s="158" t="s">
        <v>245</v>
      </c>
      <c r="F5" s="159" t="s">
        <v>242</v>
      </c>
      <c r="G5" s="158" t="s">
        <v>245</v>
      </c>
      <c r="H5" s="159" t="s">
        <v>242</v>
      </c>
      <c r="I5" s="158" t="s">
        <v>245</v>
      </c>
      <c r="J5" s="159" t="s">
        <v>242</v>
      </c>
      <c r="K5" s="158" t="s">
        <v>245</v>
      </c>
      <c r="L5" s="159" t="s">
        <v>242</v>
      </c>
    </row>
    <row r="6" spans="2:12" x14ac:dyDescent="0.3">
      <c r="B6" s="154" t="s">
        <v>234</v>
      </c>
      <c r="C6" s="154">
        <f>'1'!$C$12</f>
        <v>2.88</v>
      </c>
      <c r="D6" s="155">
        <v>910</v>
      </c>
      <c r="E6" s="160">
        <v>0.19</v>
      </c>
      <c r="F6" s="161" t="s">
        <v>277</v>
      </c>
      <c r="G6" s="160">
        <v>0.19</v>
      </c>
      <c r="H6" s="161" t="s">
        <v>277</v>
      </c>
      <c r="I6" s="160">
        <v>0.61</v>
      </c>
      <c r="J6" s="161" t="s">
        <v>277</v>
      </c>
      <c r="K6" s="160">
        <v>0.41000000000000003</v>
      </c>
      <c r="L6" s="161" t="s">
        <v>277</v>
      </c>
    </row>
    <row r="7" spans="2:12" x14ac:dyDescent="0.3">
      <c r="B7" s="154" t="s">
        <v>235</v>
      </c>
      <c r="C7" s="154">
        <f>'1'!$C$12</f>
        <v>2.88</v>
      </c>
      <c r="D7" s="155">
        <v>910</v>
      </c>
      <c r="E7" s="160">
        <v>0.22</v>
      </c>
      <c r="F7" s="161" t="s">
        <v>277</v>
      </c>
      <c r="G7" s="160">
        <v>0.22</v>
      </c>
      <c r="H7" s="161" t="s">
        <v>277</v>
      </c>
      <c r="I7" s="160">
        <v>0.77</v>
      </c>
      <c r="J7" s="161" t="s">
        <v>277</v>
      </c>
      <c r="K7" s="160">
        <v>0.54</v>
      </c>
      <c r="L7" s="161" t="s">
        <v>277</v>
      </c>
    </row>
    <row r="8" spans="2:12" ht="15" thickBot="1" x14ac:dyDescent="0.35">
      <c r="B8" s="162" t="s">
        <v>236</v>
      </c>
      <c r="C8" s="162">
        <f>'1'!$C$12</f>
        <v>2.88</v>
      </c>
      <c r="D8" s="163">
        <v>910</v>
      </c>
      <c r="E8" s="164">
        <v>0.84</v>
      </c>
      <c r="F8" s="165" t="s">
        <v>277</v>
      </c>
      <c r="G8" s="164">
        <v>0.84</v>
      </c>
      <c r="H8" s="165" t="s">
        <v>277</v>
      </c>
      <c r="I8" s="164">
        <v>1.19</v>
      </c>
      <c r="J8" s="165" t="s">
        <v>277</v>
      </c>
      <c r="K8" s="164">
        <v>0.82000000000000006</v>
      </c>
      <c r="L8" s="165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1"/>
  <sheetViews>
    <sheetView showGridLines="0" topLeftCell="A32" zoomScale="80" zoomScaleNormal="80" workbookViewId="0">
      <selection activeCell="C61" sqref="C61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9.44140625" bestFit="1" customWidth="1"/>
    <col min="4" max="4" width="4.33203125" customWidth="1"/>
    <col min="5" max="5" width="18.33203125" bestFit="1" customWidth="1"/>
    <col min="6" max="6" width="11.88671875" bestFit="1" customWidth="1"/>
    <col min="7" max="7" width="4.33203125" customWidth="1"/>
    <col min="8" max="8" width="14.109375" bestFit="1" customWidth="1"/>
    <col min="9" max="9" width="17.5546875" bestFit="1" customWidth="1"/>
    <col min="10" max="10" width="4.33203125" customWidth="1"/>
    <col min="11" max="11" width="13.5546875" bestFit="1" customWidth="1"/>
    <col min="12" max="12" width="10.5546875" bestFit="1" customWidth="1"/>
    <col min="13" max="13" width="11.33203125" bestFit="1" customWidth="1"/>
    <col min="14" max="24" width="14.6640625" bestFit="1" customWidth="1"/>
  </cols>
  <sheetData>
    <row r="2" spans="2:21" ht="18" x14ac:dyDescent="0.35">
      <c r="B2" s="52" t="s">
        <v>237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t="15" hidden="1" thickBot="1" x14ac:dyDescent="0.35">
      <c r="B16" s="122" t="s">
        <v>238</v>
      </c>
      <c r="C16" s="121">
        <v>2.2000000000000002</v>
      </c>
      <c r="D16" s="121">
        <v>4.04</v>
      </c>
      <c r="E16" s="121">
        <v>16</v>
      </c>
      <c r="F16" s="121">
        <v>6</v>
      </c>
      <c r="G16" s="121">
        <v>100</v>
      </c>
      <c r="H16" s="121" t="s">
        <v>187</v>
      </c>
      <c r="I16" s="123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" thickBot="1" x14ac:dyDescent="0.35">
      <c r="B17" s="67"/>
      <c r="C17" s="9"/>
      <c r="D17" s="6"/>
      <c r="E17" s="6"/>
      <c r="F17" s="112"/>
      <c r="G17" s="6"/>
      <c r="H17" s="6"/>
      <c r="I17" s="6"/>
      <c r="P17" s="40"/>
      <c r="T17" s="40"/>
      <c r="U17" s="41"/>
    </row>
    <row r="18" spans="2:21" ht="15" thickBot="1" x14ac:dyDescent="0.35">
      <c r="B18" s="73" t="s">
        <v>43</v>
      </c>
      <c r="C18" s="74" t="s">
        <v>238</v>
      </c>
      <c r="D18" s="39"/>
      <c r="E18" s="39"/>
      <c r="F18" s="39"/>
      <c r="G18" s="39"/>
    </row>
    <row r="19" spans="2:21" ht="15" thickBot="1" x14ac:dyDescent="0.35">
      <c r="B19" s="71" t="s">
        <v>95</v>
      </c>
      <c r="C19" s="72"/>
      <c r="D19" s="39"/>
      <c r="E19" s="39"/>
      <c r="F19" s="39"/>
      <c r="G19" s="39"/>
    </row>
    <row r="20" spans="2:21" x14ac:dyDescent="0.3">
      <c r="B20" s="97" t="s">
        <v>81</v>
      </c>
      <c r="C20" s="76">
        <f>VLOOKUP(C$18,$B$16:$H$16,2)</f>
        <v>2.2000000000000002</v>
      </c>
    </row>
    <row r="21" spans="2:21" x14ac:dyDescent="0.3">
      <c r="B21" s="97" t="s">
        <v>82</v>
      </c>
      <c r="C21" s="76">
        <f>VLOOKUP(C$18,$B$16:$H$16,3)</f>
        <v>4.04</v>
      </c>
    </row>
    <row r="22" spans="2:21" x14ac:dyDescent="0.3">
      <c r="B22" s="100" t="s">
        <v>86</v>
      </c>
      <c r="C22" s="76">
        <f>ROUNDUP((C26*C20*100)/C27+$C$5,0)</f>
        <v>6</v>
      </c>
    </row>
    <row r="23" spans="2:21" ht="15" thickBot="1" x14ac:dyDescent="0.35">
      <c r="B23" s="101" t="s">
        <v>0</v>
      </c>
      <c r="C23" s="116">
        <f>VLOOKUP(C$18,$B$16:$I$16,5)</f>
        <v>6</v>
      </c>
    </row>
    <row r="24" spans="2:21" ht="15" thickBot="1" x14ac:dyDescent="0.35">
      <c r="B24" s="71" t="s">
        <v>94</v>
      </c>
      <c r="C24" s="72"/>
    </row>
    <row r="25" spans="2:21" x14ac:dyDescent="0.3">
      <c r="B25" s="100" t="s">
        <v>84</v>
      </c>
      <c r="C25" s="80">
        <f>ROUNDUP(C21/C20,1)</f>
        <v>1.9000000000000001</v>
      </c>
    </row>
    <row r="26" spans="2:21" x14ac:dyDescent="0.3">
      <c r="B26" s="100" t="s">
        <v>11</v>
      </c>
      <c r="C26" s="76">
        <f>IF(C25&gt;1.5,VLOOKUP(C23&amp;1.5,tablas!$L$3:$O$56,4,FALSE),VLOOKUP(C23&amp;C25,tablas!$L$3:$O$56,4,FALSE))</f>
        <v>0.57999999999999996</v>
      </c>
    </row>
    <row r="27" spans="2:21" x14ac:dyDescent="0.3">
      <c r="B27" s="100" t="s">
        <v>85</v>
      </c>
      <c r="C27" s="76">
        <v>35</v>
      </c>
    </row>
    <row r="28" spans="2:21" x14ac:dyDescent="0.3">
      <c r="B28" s="97" t="s">
        <v>4</v>
      </c>
      <c r="C28" s="76">
        <f>IF(C25&lt;=2,VLOOKUP(C23&amp;C25-0.1,tablas!$B$3:$J$92,6,FALSE),"Franja de losa")</f>
        <v>48.8</v>
      </c>
    </row>
    <row r="29" spans="2:21" x14ac:dyDescent="0.3">
      <c r="B29" s="97" t="s">
        <v>5</v>
      </c>
      <c r="C29" s="76">
        <f>IF(C25&lt;=2,VLOOKUP(C23&amp;C25-0.1,tablas!$B$3:$J$92,7,FALSE),"Franja de losa")</f>
        <v>190</v>
      </c>
    </row>
    <row r="30" spans="2:21" x14ac:dyDescent="0.3">
      <c r="B30" s="97" t="s">
        <v>6</v>
      </c>
      <c r="C30" s="76">
        <f>IF(C25&lt;=2,VLOOKUP(C23&amp;C25-0.1,tablas!$B$3:$J$92,8,FALSE),"Franja de losa")</f>
        <v>22</v>
      </c>
    </row>
    <row r="31" spans="2:21" x14ac:dyDescent="0.3">
      <c r="B31" s="97" t="s">
        <v>7</v>
      </c>
      <c r="C31" s="76">
        <f>IF(C25&lt;=2,VLOOKUP(C23&amp;C25-0.1,tablas!$B$3:$J$92,9,FALSE),"Franja de losa")</f>
        <v>31.4</v>
      </c>
    </row>
    <row r="32" spans="2:21" x14ac:dyDescent="0.3">
      <c r="B32" s="100" t="s">
        <v>2</v>
      </c>
      <c r="C32" s="76">
        <f>IF(C25&lt;=2,VLOOKUP(C23&amp;C25-0.1,tablas!$B$3:$J$92,4,FALSE),"Franja de losa")</f>
        <v>1.39</v>
      </c>
    </row>
    <row r="33" spans="2:3" ht="15" thickBot="1" x14ac:dyDescent="0.35">
      <c r="B33" s="101" t="s">
        <v>3</v>
      </c>
      <c r="C33" s="82">
        <f>IF(C25&lt;=2,VLOOKUP(C23&amp;C25-0.1,tablas!$B$3:$J$92,5,FALSE),"Franja de losa")</f>
        <v>1.39</v>
      </c>
    </row>
    <row r="34" spans="2:3" ht="15" thickBot="1" x14ac:dyDescent="0.35">
      <c r="B34" s="71" t="s">
        <v>87</v>
      </c>
      <c r="C34" s="72"/>
    </row>
    <row r="35" spans="2:3" x14ac:dyDescent="0.3">
      <c r="B35" s="97" t="s">
        <v>83</v>
      </c>
      <c r="C35" s="84">
        <f>VLOOKUP($C$18,$B$16:$H$16,6)</f>
        <v>100</v>
      </c>
    </row>
    <row r="36" spans="2:3" x14ac:dyDescent="0.3">
      <c r="B36" s="97" t="s">
        <v>89</v>
      </c>
      <c r="C36" s="76">
        <f>$L$7*($C$4/100)</f>
        <v>400</v>
      </c>
    </row>
    <row r="37" spans="2:3" x14ac:dyDescent="0.3">
      <c r="B37" s="97" t="s">
        <v>90</v>
      </c>
      <c r="C37" s="76">
        <f>C36+$I$8</f>
        <v>625</v>
      </c>
    </row>
    <row r="38" spans="2:3" x14ac:dyDescent="0.3">
      <c r="B38" s="97" t="s">
        <v>91</v>
      </c>
      <c r="C38" s="76">
        <f>1.2*C37+1.6*C35</f>
        <v>910</v>
      </c>
    </row>
    <row r="39" spans="2:3" x14ac:dyDescent="0.3">
      <c r="B39" s="98" t="s">
        <v>92</v>
      </c>
      <c r="C39" s="85">
        <f>C38*C20*C21</f>
        <v>8088.0800000000008</v>
      </c>
    </row>
    <row r="40" spans="2:3" ht="15" thickBot="1" x14ac:dyDescent="0.35">
      <c r="B40" s="99" t="s">
        <v>93</v>
      </c>
      <c r="C40" s="87">
        <f>C35/(2*C38)</f>
        <v>5.4945054945054944E-2</v>
      </c>
    </row>
    <row r="41" spans="2:3" ht="15" thickBot="1" x14ac:dyDescent="0.35">
      <c r="B41" s="71" t="s">
        <v>96</v>
      </c>
      <c r="C41" s="72"/>
    </row>
    <row r="42" spans="2:3" x14ac:dyDescent="0.3">
      <c r="B42" s="96" t="s">
        <v>97</v>
      </c>
      <c r="C42" s="89">
        <f>IF(C25&lt;=2,C39/C28*(1+C40*C32)*C26,IF(OR(C23=6,C23="5a",C23="3a"),C38*C20^2/17,(IF(OR(C23="2a",C23=4,C23="5b"),C38*C20^2/12,IF(OR(C23=1,C23="2b",C23="3b"),C38*C20^2/8)))))</f>
        <v>103.47052622950821</v>
      </c>
    </row>
    <row r="43" spans="2:3" x14ac:dyDescent="0.3">
      <c r="B43" s="97" t="s">
        <v>15</v>
      </c>
      <c r="C43" s="90">
        <f>C42/(0.9*(0.9*($C$7/100))*($L$9*1000))</f>
        <v>0.21318656609946632</v>
      </c>
    </row>
    <row r="44" spans="2:3" x14ac:dyDescent="0.3">
      <c r="B44" s="97" t="s">
        <v>98</v>
      </c>
      <c r="C44" s="92">
        <f>(C43*($L$9))/(0.85*$L$6*100)</f>
        <v>5.2620444227549938E-3</v>
      </c>
    </row>
    <row r="45" spans="2:3" ht="15" thickBot="1" x14ac:dyDescent="0.35">
      <c r="B45" s="97" t="s">
        <v>15</v>
      </c>
      <c r="C45" s="76">
        <f>ROUNDUP(C42/(0.9*(($C$7-C44/2)/100)*($L$9*1000)),2)</f>
        <v>0.2</v>
      </c>
    </row>
    <row r="46" spans="2:3" ht="16.2" thickBot="1" x14ac:dyDescent="0.35">
      <c r="B46" s="61" t="s">
        <v>100</v>
      </c>
      <c r="C46" s="94" t="str">
        <f>IF(C45&gt;$C$12,"φ"&amp;IF(VLOOKUP(VLOOKUP(C45,tablas!$R$3:$T$66,2,TRUE)&amp;VLOOKUP(C45,tablas!$R$3:$T$66,3,TRUE),tablas!$Q$3:$R$66,2,FALSE)&lt;C45,VLOOKUP(C45+0.1,tablas!$R$3:$T$66,2,TRUE),VLOOKUP(C45,tablas!$R$3:$T$66,2,TRUE))&amp;"@"&amp;IF(VLOOKUP(VLOOKUP(C45,tablas!$R$3:$T$66,2,TRUE)&amp;VLOOKUP(C45,tablas!$R$3:$T$66,3,TRUE),tablas!$Q$3:$R$66,2,FALSE)&lt;C45,VLOOKUP(C45+0.1,tablas!$R$3:$T$66,3,TRUE),VLOOKUP(C45,tablas!$R$3:$T$66,3,TRUE)),$C$13)</f>
        <v>φ8@17</v>
      </c>
    </row>
    <row r="47" spans="2:3" x14ac:dyDescent="0.3">
      <c r="B47" s="96" t="s">
        <v>102</v>
      </c>
      <c r="C47" s="89">
        <f>IF(C25&lt;=2,C39/C28*(1+C40*C32)*C26,"-")</f>
        <v>103.47052622950821</v>
      </c>
    </row>
    <row r="48" spans="2:3" x14ac:dyDescent="0.3">
      <c r="B48" s="97" t="s">
        <v>15</v>
      </c>
      <c r="C48" s="90">
        <f>C42/(0.9*(0.9*($C$7/100))*($L$9*1000))</f>
        <v>0.21318656609946632</v>
      </c>
    </row>
    <row r="49" spans="2:3" x14ac:dyDescent="0.3">
      <c r="B49" s="97" t="s">
        <v>98</v>
      </c>
      <c r="C49" s="92">
        <f>(C48*($L$9))/(0.85*$L$6*100)</f>
        <v>5.2620444227549938E-3</v>
      </c>
    </row>
    <row r="50" spans="2:3" ht="15" thickBot="1" x14ac:dyDescent="0.35">
      <c r="B50" s="97" t="s">
        <v>15</v>
      </c>
      <c r="C50" s="76">
        <f>ROUNDUP(C42/(0.9*(($C$7-C44/2)/100)*($L$9*1000)),2)</f>
        <v>0.2</v>
      </c>
    </row>
    <row r="51" spans="2:3" ht="16.2" thickBot="1" x14ac:dyDescent="0.35">
      <c r="B51" s="61" t="s">
        <v>101</v>
      </c>
      <c r="C51" s="94" t="str">
        <f>IF(C50&gt;$C$12,"φ"&amp;IF(VLOOKUP(VLOOKUP(C50,tablas!$R$3:$T$66,2,TRUE)&amp;VLOOKUP(C50,tablas!$R$3:$T$66,3,TRUE),tablas!$Q$3:$R$66,2,FALSE)&lt;C50,VLOOKUP(C50+0.1,tablas!$R$3:$T$66,2,TRUE),VLOOKUP(C50,tablas!$R$3:$T$66,2,TRUE))&amp;"@"&amp;IF(VLOOKUP(VLOOKUP(C50,tablas!$R$3:$T$66,2,TRUE)&amp;VLOOKUP(C50,tablas!$R$3:$T$66,3,TRUE),tablas!$Q$3:$R$66,2,FALSE)&lt;C50,VLOOKUP(C50+0.1,tablas!$R$3:$T$66,3,TRUE),VLOOKUP(C50,tablas!$R$3:$T$66,3,TRUE)),$C$13)</f>
        <v>φ8@17</v>
      </c>
    </row>
    <row r="52" spans="2:3" x14ac:dyDescent="0.3">
      <c r="B52" s="96" t="s">
        <v>103</v>
      </c>
      <c r="C52" s="89">
        <f>IF(C25&lt;=2,C39/C30,IF(OR(C23=6,C23="5a",C23="3a"),C38*C20^2/12,(IF(OR(C23="2a",C23=4,C23="5b"),C38*C20^2/8,"-"))))</f>
        <v>367.64000000000004</v>
      </c>
    </row>
    <row r="53" spans="2:3" x14ac:dyDescent="0.3">
      <c r="B53" s="97" t="s">
        <v>15</v>
      </c>
      <c r="C53" s="90">
        <f>C52/(0.9*(0.9*($C$7/100))*($L$9*1000))</f>
        <v>0.75747086650513429</v>
      </c>
    </row>
    <row r="54" spans="2:3" x14ac:dyDescent="0.3">
      <c r="B54" s="97" t="s">
        <v>98</v>
      </c>
      <c r="C54" s="92">
        <f>(C53*($L$9))/(0.85*$L$6*100)</f>
        <v>1.8696512737266292E-2</v>
      </c>
    </row>
    <row r="55" spans="2:3" ht="15" thickBot="1" x14ac:dyDescent="0.35">
      <c r="B55" s="97" t="s">
        <v>15</v>
      </c>
      <c r="C55" s="76">
        <f>ROUNDUP(C52/(0.9*(($C$7-C54/2)/100)*($L$9*1000)),2)</f>
        <v>0.69000000000000006</v>
      </c>
    </row>
    <row r="56" spans="2:3" ht="16.2" thickBot="1" x14ac:dyDescent="0.35">
      <c r="B56" s="61" t="s">
        <v>105</v>
      </c>
      <c r="C56" s="94" t="str">
        <f>IF(C55&gt;$C$12,"φ"&amp;IF(VLOOKUP(VLOOKUP(C55,tablas!$R$3:$T$66,2,TRUE)&amp;VLOOKUP(C55,tablas!$R$3:$T$66,3,TRUE),tablas!$Q$3:$R$66,2,FALSE)&lt;C55,VLOOKUP(C55+0.1,tablas!$R$3:$T$66,2,TRUE),VLOOKUP(C55,tablas!$R$3:$T$66,2,TRUE))&amp;"@"&amp;IF(VLOOKUP(VLOOKUP(C55,tablas!$R$3:$T$66,2,TRUE)&amp;VLOOKUP(C55,tablas!$R$3:$T$66,3,TRUE),tablas!$Q$3:$R$66,2,FALSE)&lt;C55,VLOOKUP(C55+0.1,tablas!$R$3:$T$66,3,TRUE),VLOOKUP(C55,tablas!$R$3:$T$66,3,TRUE)),$C$13)</f>
        <v>φ8@17</v>
      </c>
    </row>
    <row r="57" spans="2:3" x14ac:dyDescent="0.3">
      <c r="B57" s="96" t="s">
        <v>104</v>
      </c>
      <c r="C57" s="89">
        <f>IF(C25&lt;=2,C39/C31,IF(OR(C23=6,C23="5a",C23="3a"),C38*C20^2/17.5,(IF(OR(C23="2a",C23=4,C23="5b"),C38*C20^2/11.25,IF(OR(C23=1,C23="2b",C23="3b"),C38*C20^2/8)))))</f>
        <v>257.58216560509555</v>
      </c>
    </row>
    <row r="58" spans="2:3" x14ac:dyDescent="0.3">
      <c r="B58" s="97" t="s">
        <v>15</v>
      </c>
      <c r="C58" s="90">
        <f>C57/(0.9*(0.9*($C$7/100))*($L$9*1000))</f>
        <v>0.53071207207366089</v>
      </c>
    </row>
    <row r="59" spans="2:3" x14ac:dyDescent="0.3">
      <c r="B59" s="97" t="s">
        <v>98</v>
      </c>
      <c r="C59" s="92">
        <f>(C58*($L$9))/(0.85*$L$6*100)</f>
        <v>1.3099467522925425E-2</v>
      </c>
    </row>
    <row r="60" spans="2:3" ht="15" thickBot="1" x14ac:dyDescent="0.35">
      <c r="B60" s="97" t="s">
        <v>15</v>
      </c>
      <c r="C60" s="76">
        <f>ROUNDUP(C57/(0.9*(($C$7-C59/2)/100)*($L$9*1000)),2)</f>
        <v>0.48</v>
      </c>
    </row>
    <row r="61" spans="2:3" ht="16.2" thickBot="1" x14ac:dyDescent="0.35">
      <c r="B61" s="61" t="s">
        <v>106</v>
      </c>
      <c r="C61" s="94" t="str">
        <f>IF(C60&gt;$C$12,"φ"&amp;IF(VLOOKUP(VLOOKUP(C60,tablas!$R$3:$T$66,2,TRUE)&amp;VLOOKUP(C60,tablas!$R$3:$T$66,3,TRUE),tablas!$Q$3:$R$66,2,FALSE)&lt;C60,VLOOKUP(C60+0.1,tablas!$R$3:$T$66,2,TRUE),VLOOKUP(C60,tablas!$R$3:$T$66,2,TRUE))&amp;"@"&amp;IF(VLOOKUP(VLOOKUP(C60,tablas!$R$3:$T$66,2,TRUE)&amp;VLOOKUP(C60,tablas!$R$3:$T$66,3,TRUE),tablas!$Q$3:$R$66,2,FALSE)&lt;C60,VLOOKUP(C60+0.1,tablas!$R$3:$T$66,3,TRUE),VLOOKUP(C60,tablas!$R$3:$T$66,3,TRUE)),$C$13)</f>
        <v>φ8@17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A1:L7"/>
  <sheetViews>
    <sheetView tabSelected="1" workbookViewId="0">
      <selection activeCell="J17" sqref="J17"/>
    </sheetView>
  </sheetViews>
  <sheetFormatPr baseColWidth="10" defaultRowHeight="14.4" x14ac:dyDescent="0.3"/>
  <sheetData>
    <row r="1" spans="1:12" x14ac:dyDescent="0.3">
      <c r="A1" t="s">
        <v>307</v>
      </c>
    </row>
    <row r="3" spans="1:12" ht="15" thickBot="1" x14ac:dyDescent="0.35"/>
    <row r="4" spans="1:12" ht="15" thickBot="1" x14ac:dyDescent="0.35">
      <c r="B4" s="150" t="s">
        <v>310</v>
      </c>
      <c r="C4" s="149"/>
      <c r="D4" s="149"/>
      <c r="E4" s="149"/>
      <c r="F4" s="151"/>
      <c r="G4" s="168"/>
      <c r="H4" s="168"/>
      <c r="I4" s="168"/>
      <c r="J4" s="168"/>
      <c r="K4" s="168"/>
      <c r="L4" s="168"/>
    </row>
    <row r="5" spans="1:12" ht="15" thickBot="1" x14ac:dyDescent="0.35">
      <c r="B5" s="152" t="s">
        <v>43</v>
      </c>
      <c r="C5" s="152" t="s">
        <v>246</v>
      </c>
      <c r="D5" s="152" t="s">
        <v>244</v>
      </c>
      <c r="E5" s="156" t="s">
        <v>240</v>
      </c>
      <c r="F5" s="157"/>
      <c r="G5" s="166" t="s">
        <v>241</v>
      </c>
      <c r="H5" s="167"/>
      <c r="I5" s="166" t="s">
        <v>253</v>
      </c>
      <c r="J5" s="167"/>
      <c r="K5" s="166" t="s">
        <v>254</v>
      </c>
      <c r="L5" s="167"/>
    </row>
    <row r="6" spans="1:12" ht="43.8" thickBot="1" x14ac:dyDescent="0.35">
      <c r="B6" s="153"/>
      <c r="C6" s="153"/>
      <c r="D6" s="153"/>
      <c r="E6" s="158" t="s">
        <v>245</v>
      </c>
      <c r="F6" s="159" t="s">
        <v>242</v>
      </c>
      <c r="G6" s="158" t="s">
        <v>245</v>
      </c>
      <c r="H6" s="159" t="s">
        <v>242</v>
      </c>
      <c r="I6" s="158" t="s">
        <v>245</v>
      </c>
      <c r="J6" s="159" t="s">
        <v>242</v>
      </c>
      <c r="K6" s="158" t="s">
        <v>245</v>
      </c>
      <c r="L6" s="159" t="s">
        <v>242</v>
      </c>
    </row>
    <row r="7" spans="1:12" ht="15" thickBot="1" x14ac:dyDescent="0.35">
      <c r="B7" s="173" t="s">
        <v>238</v>
      </c>
      <c r="C7" s="173">
        <f>'1'!$C$12</f>
        <v>2.88</v>
      </c>
      <c r="D7" s="174">
        <v>910</v>
      </c>
      <c r="E7" s="175">
        <f>Cubierta!$C$45</f>
        <v>0.2</v>
      </c>
      <c r="F7" s="176" t="str">
        <f>Cubierta!$C$46</f>
        <v>φ8@17</v>
      </c>
      <c r="G7" s="175">
        <f>Cubierta!$C$50</f>
        <v>0.2</v>
      </c>
      <c r="H7" s="176" t="str">
        <f>Cubierta!$C$51</f>
        <v>φ8@17</v>
      </c>
      <c r="I7" s="175">
        <f>Cubierta!$C$55</f>
        <v>0.69000000000000006</v>
      </c>
      <c r="J7" s="176" t="str">
        <f>Cubierta!$C$56</f>
        <v>φ8@17</v>
      </c>
      <c r="K7" s="175">
        <f>Cubierta!$C$60</f>
        <v>0.48</v>
      </c>
      <c r="L7" s="176" t="str">
        <f>Cubierta!$C$61</f>
        <v>φ8@17</v>
      </c>
    </row>
  </sheetData>
  <mergeCells count="10">
    <mergeCell ref="B4:F4"/>
    <mergeCell ref="G4:I4"/>
    <mergeCell ref="J4:L4"/>
    <mergeCell ref="B5:B6"/>
    <mergeCell ref="C5:C6"/>
    <mergeCell ref="D5:D6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F130"/>
  <sheetViews>
    <sheetView showGridLines="0" topLeftCell="A58" zoomScale="70" zoomScaleNormal="70" workbookViewId="0">
      <selection activeCell="C80" sqref="C80"/>
    </sheetView>
  </sheetViews>
  <sheetFormatPr baseColWidth="10" defaultRowHeight="14.4" x14ac:dyDescent="0.3"/>
  <cols>
    <col min="1" max="1" width="2.88671875" customWidth="1"/>
    <col min="2" max="2" width="18.109375" customWidth="1"/>
    <col min="3" max="15" width="17.109375" customWidth="1"/>
    <col min="16" max="16" width="17.109375" style="40" customWidth="1"/>
    <col min="17" max="19" width="17.109375" customWidth="1"/>
    <col min="20" max="20" width="17.109375" style="40" customWidth="1"/>
    <col min="21" max="21" width="17.109375" style="41" customWidth="1"/>
    <col min="22" max="31" width="17.109375" customWidth="1"/>
  </cols>
  <sheetData>
    <row r="2" spans="2:12" ht="18" x14ac:dyDescent="0.35">
      <c r="B2" s="52" t="s">
        <v>18</v>
      </c>
    </row>
    <row r="3" spans="2:12" ht="15" thickBot="1" x14ac:dyDescent="0.35"/>
    <row r="4" spans="2:12" ht="15" thickBot="1" x14ac:dyDescent="0.35">
      <c r="B4" s="114" t="s">
        <v>19</v>
      </c>
      <c r="C4" s="113">
        <v>17</v>
      </c>
      <c r="E4" s="124" t="s">
        <v>29</v>
      </c>
      <c r="F4" s="125"/>
      <c r="H4" s="124" t="s">
        <v>30</v>
      </c>
      <c r="I4" s="125"/>
      <c r="K4" s="124" t="s">
        <v>39</v>
      </c>
      <c r="L4" s="125"/>
    </row>
    <row r="5" spans="2:12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</row>
    <row r="6" spans="2:12" x14ac:dyDescent="0.3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</row>
    <row r="7" spans="2:12" ht="15" thickBot="1" x14ac:dyDescent="0.35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2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</row>
    <row r="9" spans="2:12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2" x14ac:dyDescent="0.3">
      <c r="B10" s="46" t="s">
        <v>33</v>
      </c>
      <c r="C10" s="36">
        <v>5</v>
      </c>
    </row>
    <row r="11" spans="2:12" ht="15" thickBot="1" x14ac:dyDescent="0.35">
      <c r="B11" s="48" t="s">
        <v>35</v>
      </c>
      <c r="C11" s="37">
        <v>20</v>
      </c>
    </row>
    <row r="12" spans="2:12" ht="15" thickBot="1" x14ac:dyDescent="0.35">
      <c r="B12" s="49" t="s">
        <v>88</v>
      </c>
      <c r="C12" s="43">
        <f>C4*0.18</f>
        <v>3.06</v>
      </c>
    </row>
    <row r="13" spans="2:12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φ8@16</v>
      </c>
    </row>
    <row r="14" spans="2:12" ht="15" thickBot="1" x14ac:dyDescent="0.35">
      <c r="B14" s="51"/>
      <c r="C14" s="62"/>
    </row>
    <row r="15" spans="2:12" ht="15" hidden="1" thickBot="1" x14ac:dyDescent="0.35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</row>
    <row r="16" spans="2:12" hidden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</row>
    <row r="17" spans="2:8" hidden="1" x14ac:dyDescent="0.3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</row>
    <row r="18" spans="2:8" hidden="1" x14ac:dyDescent="0.3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</row>
    <row r="19" spans="2:8" hidden="1" x14ac:dyDescent="0.3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</row>
    <row r="20" spans="2:8" hidden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</row>
    <row r="21" spans="2:8" hidden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</row>
    <row r="22" spans="2:8" hidden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</row>
    <row r="23" spans="2:8" hidden="1" x14ac:dyDescent="0.3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</row>
    <row r="24" spans="2:8" hidden="1" x14ac:dyDescent="0.3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</row>
    <row r="25" spans="2:8" hidden="1" x14ac:dyDescent="0.3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</row>
    <row r="26" spans="2:8" hidden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</row>
    <row r="27" spans="2:8" hidden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</row>
    <row r="28" spans="2:8" hidden="1" x14ac:dyDescent="0.3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</row>
    <row r="29" spans="2:8" hidden="1" x14ac:dyDescent="0.3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</row>
    <row r="30" spans="2:8" hidden="1" x14ac:dyDescent="0.3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</row>
    <row r="31" spans="2:8" hidden="1" x14ac:dyDescent="0.3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</row>
    <row r="32" spans="2:8" hidden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</row>
    <row r="33" spans="2:31" hidden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</row>
    <row r="34" spans="2:31" hidden="1" x14ac:dyDescent="0.3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</row>
    <row r="35" spans="2:31" hidden="1" x14ac:dyDescent="0.3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</row>
    <row r="36" spans="2:31" hidden="1" x14ac:dyDescent="0.3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</row>
    <row r="37" spans="2:31" hidden="1" x14ac:dyDescent="0.3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</row>
    <row r="38" spans="2:31" hidden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</row>
    <row r="39" spans="2:31" hidden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</row>
    <row r="40" spans="2:31" hidden="1" x14ac:dyDescent="0.3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3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3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3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" hidden="1" thickBot="1" x14ac:dyDescent="0.35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" hidden="1" thickBot="1" x14ac:dyDescent="0.35">
      <c r="B45" s="51"/>
      <c r="C45" s="62"/>
    </row>
    <row r="46" spans="2:31" ht="15" thickBot="1" x14ac:dyDescent="0.35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" thickBot="1" x14ac:dyDescent="0.35">
      <c r="B47" s="137" t="s">
        <v>95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9"/>
    </row>
    <row r="48" spans="2:31" x14ac:dyDescent="0.3">
      <c r="B48" s="97" t="s">
        <v>81</v>
      </c>
      <c r="C48" s="76">
        <f t="shared" ref="C48:R48" si="0">VLOOKUP(C$46,$B$16:$H$44,2)</f>
        <v>5</v>
      </c>
      <c r="D48" s="77">
        <f t="shared" si="0"/>
        <v>5</v>
      </c>
      <c r="E48" s="77">
        <f t="shared" si="0"/>
        <v>5</v>
      </c>
      <c r="F48" s="77">
        <f t="shared" si="0"/>
        <v>5</v>
      </c>
      <c r="G48" s="77">
        <f t="shared" si="0"/>
        <v>4.45</v>
      </c>
      <c r="H48" s="77">
        <f t="shared" si="0"/>
        <v>3.6</v>
      </c>
      <c r="I48" s="77">
        <f t="shared" si="0"/>
        <v>5.33</v>
      </c>
      <c r="J48" s="77">
        <f t="shared" si="0"/>
        <v>5.54</v>
      </c>
      <c r="K48" s="77">
        <f t="shared" si="0"/>
        <v>5.54</v>
      </c>
      <c r="L48" s="77">
        <f t="shared" si="0"/>
        <v>5.54</v>
      </c>
      <c r="M48" s="77">
        <f t="shared" si="0"/>
        <v>3.6</v>
      </c>
      <c r="N48" s="77">
        <f t="shared" si="0"/>
        <v>6.05</v>
      </c>
      <c r="O48" s="77">
        <f t="shared" si="0"/>
        <v>4.6500000000000004</v>
      </c>
      <c r="P48" s="77">
        <f t="shared" si="0"/>
        <v>4.6500000000000004</v>
      </c>
      <c r="Q48" s="77">
        <f t="shared" si="0"/>
        <v>6.05</v>
      </c>
      <c r="R48" s="77">
        <f t="shared" si="0"/>
        <v>4.45</v>
      </c>
      <c r="S48" s="77">
        <f t="shared" ref="S48:AE48" si="1">VLOOKUP(S$46,$B$16:$H$44,2)</f>
        <v>3.6</v>
      </c>
      <c r="T48" s="77">
        <f t="shared" si="1"/>
        <v>7.16</v>
      </c>
      <c r="U48" s="77">
        <f t="shared" si="1"/>
        <v>1.4</v>
      </c>
      <c r="V48" s="77">
        <f t="shared" si="1"/>
        <v>2.1</v>
      </c>
      <c r="W48" s="77">
        <f t="shared" si="1"/>
        <v>2.9</v>
      </c>
      <c r="X48" s="77">
        <f t="shared" si="1"/>
        <v>4.25</v>
      </c>
      <c r="Y48" s="77">
        <f t="shared" si="1"/>
        <v>6.49</v>
      </c>
      <c r="Z48" s="77">
        <f t="shared" si="1"/>
        <v>8.24</v>
      </c>
      <c r="AA48" s="77">
        <f t="shared" si="1"/>
        <v>5</v>
      </c>
      <c r="AB48" s="77">
        <f t="shared" si="1"/>
        <v>5.52</v>
      </c>
      <c r="AC48" s="77">
        <f>VLOOKUP(AC$46,$B$16:$H$44,2)</f>
        <v>7.09</v>
      </c>
      <c r="AD48" s="77">
        <f t="shared" si="1"/>
        <v>3.6</v>
      </c>
      <c r="AE48" s="77">
        <f t="shared" si="1"/>
        <v>2.3199999999999998</v>
      </c>
    </row>
    <row r="49" spans="2:31" x14ac:dyDescent="0.3">
      <c r="B49" s="97" t="s">
        <v>82</v>
      </c>
      <c r="C49" s="76">
        <f t="shared" ref="C49:R49" si="2">VLOOKUP(C$46,$B$16:$H$44,3)</f>
        <v>5.33</v>
      </c>
      <c r="D49" s="77">
        <f t="shared" si="2"/>
        <v>7.2</v>
      </c>
      <c r="E49" s="77">
        <f t="shared" si="2"/>
        <v>7.2</v>
      </c>
      <c r="F49" s="77">
        <f t="shared" si="2"/>
        <v>7.89</v>
      </c>
      <c r="G49" s="77">
        <f t="shared" si="2"/>
        <v>5</v>
      </c>
      <c r="H49" s="77">
        <f t="shared" si="2"/>
        <v>5</v>
      </c>
      <c r="I49" s="77">
        <f t="shared" si="2"/>
        <v>5.54</v>
      </c>
      <c r="J49" s="77">
        <f t="shared" si="2"/>
        <v>7.2</v>
      </c>
      <c r="K49" s="77">
        <f t="shared" si="2"/>
        <v>7.2</v>
      </c>
      <c r="L49" s="77">
        <f t="shared" si="2"/>
        <v>12.34</v>
      </c>
      <c r="M49" s="77">
        <f t="shared" si="2"/>
        <v>5.54</v>
      </c>
      <c r="N49" s="77">
        <f t="shared" si="2"/>
        <v>9.34</v>
      </c>
      <c r="O49" s="77">
        <f t="shared" si="2"/>
        <v>5.6</v>
      </c>
      <c r="P49" s="77">
        <f t="shared" si="2"/>
        <v>5.6</v>
      </c>
      <c r="Q49" s="77">
        <f t="shared" si="2"/>
        <v>9.49</v>
      </c>
      <c r="R49" s="77">
        <f t="shared" si="2"/>
        <v>10.5</v>
      </c>
      <c r="S49" s="77">
        <f t="shared" ref="S49:AE49" si="3">VLOOKUP(S$46,$B$16:$H$44,3)</f>
        <v>10.5</v>
      </c>
      <c r="T49" s="77">
        <f t="shared" si="3"/>
        <v>11.34</v>
      </c>
      <c r="U49" s="77">
        <f t="shared" si="3"/>
        <v>11.2</v>
      </c>
      <c r="V49" s="77">
        <f t="shared" si="3"/>
        <v>4.04</v>
      </c>
      <c r="W49" s="77">
        <f t="shared" si="3"/>
        <v>6.36</v>
      </c>
      <c r="X49" s="77">
        <f t="shared" si="3"/>
        <v>6.36</v>
      </c>
      <c r="Y49" s="77">
        <f t="shared" si="3"/>
        <v>7.16</v>
      </c>
      <c r="Z49" s="77">
        <f t="shared" si="3"/>
        <v>18.54</v>
      </c>
      <c r="AA49" s="77">
        <f t="shared" si="3"/>
        <v>8.24</v>
      </c>
      <c r="AB49" s="77">
        <f t="shared" si="3"/>
        <v>8.24</v>
      </c>
      <c r="AC49" s="77">
        <f>VLOOKUP(AC$46,$B$16:$H$44,3)</f>
        <v>10.15</v>
      </c>
      <c r="AD49" s="77">
        <f t="shared" si="3"/>
        <v>10.15</v>
      </c>
      <c r="AE49" s="77">
        <f t="shared" si="3"/>
        <v>4.3</v>
      </c>
    </row>
    <row r="50" spans="2:31" x14ac:dyDescent="0.3">
      <c r="B50" s="100" t="s">
        <v>86</v>
      </c>
      <c r="C50" s="76">
        <f>ROUNDUP((C54*C48*100)/C55+$C$5,0)</f>
        <v>10</v>
      </c>
      <c r="D50" s="77">
        <f>ROUNDUP((D54*D48*100)/D55+$C$5,0)</f>
        <v>11</v>
      </c>
      <c r="E50" s="77">
        <f t="shared" ref="E50:R50" si="4">ROUNDUP((E54*E48*100)/E55+$C$5,0)</f>
        <v>11</v>
      </c>
      <c r="F50" s="77">
        <f t="shared" si="4"/>
        <v>10</v>
      </c>
      <c r="G50" s="77">
        <f t="shared" si="4"/>
        <v>9</v>
      </c>
      <c r="H50" s="77">
        <f t="shared" si="4"/>
        <v>8</v>
      </c>
      <c r="I50" s="77">
        <f t="shared" si="4"/>
        <v>10</v>
      </c>
      <c r="J50" s="77">
        <f t="shared" si="4"/>
        <v>10</v>
      </c>
      <c r="K50" s="77">
        <f t="shared" si="4"/>
        <v>10</v>
      </c>
      <c r="L50" s="77">
        <f t="shared" si="4"/>
        <v>10</v>
      </c>
      <c r="M50" s="77">
        <f t="shared" si="4"/>
        <v>7</v>
      </c>
      <c r="N50" s="77">
        <f t="shared" si="4"/>
        <v>10</v>
      </c>
      <c r="O50" s="77">
        <f t="shared" si="4"/>
        <v>8</v>
      </c>
      <c r="P50" s="77">
        <f t="shared" si="4"/>
        <v>8</v>
      </c>
      <c r="Q50" s="77">
        <f t="shared" si="4"/>
        <v>10</v>
      </c>
      <c r="R50" s="77">
        <f t="shared" si="4"/>
        <v>8</v>
      </c>
      <c r="S50" s="77">
        <f t="shared" ref="S50:AC50" si="5">ROUNDUP((S54*S48*100)/S55+$C$5,0)</f>
        <v>7</v>
      </c>
      <c r="T50" s="77">
        <f t="shared" si="5"/>
        <v>11</v>
      </c>
      <c r="U50" s="77">
        <f t="shared" si="5"/>
        <v>4</v>
      </c>
      <c r="V50" s="77">
        <f t="shared" si="5"/>
        <v>5</v>
      </c>
      <c r="W50" s="77">
        <f t="shared" si="5"/>
        <v>6</v>
      </c>
      <c r="X50" s="77">
        <f t="shared" si="5"/>
        <v>7</v>
      </c>
      <c r="Y50" s="77">
        <f t="shared" si="5"/>
        <v>9</v>
      </c>
      <c r="Z50" s="77">
        <f t="shared" si="5"/>
        <v>11</v>
      </c>
      <c r="AA50" s="77">
        <f t="shared" si="5"/>
        <v>7</v>
      </c>
      <c r="AB50" s="77">
        <f t="shared" si="5"/>
        <v>8</v>
      </c>
      <c r="AC50" s="77">
        <f t="shared" si="5"/>
        <v>9</v>
      </c>
      <c r="AD50" s="77">
        <f t="shared" ref="AD50:AE50" si="6">ROUNDUP((AD54*AD48*100)/AD55+$C$5,0)</f>
        <v>6</v>
      </c>
      <c r="AE50" s="77">
        <f t="shared" si="6"/>
        <v>5</v>
      </c>
    </row>
    <row r="51" spans="2:31" ht="15" thickBot="1" x14ac:dyDescent="0.35">
      <c r="B51" s="101" t="s">
        <v>0</v>
      </c>
      <c r="C51" s="78">
        <f>VLOOKUP($C$46,$B$16:$H$44,5)</f>
        <v>6</v>
      </c>
      <c r="D51" s="79">
        <f t="shared" ref="D51:R51" si="7">VLOOKUP(D$46,$B$16:$H$44,5,TRUE)</f>
        <v>6</v>
      </c>
      <c r="E51" s="79">
        <f t="shared" si="7"/>
        <v>6</v>
      </c>
      <c r="F51" s="79">
        <f t="shared" si="7"/>
        <v>6</v>
      </c>
      <c r="G51" s="79">
        <f t="shared" si="7"/>
        <v>6</v>
      </c>
      <c r="H51" s="79">
        <f t="shared" si="7"/>
        <v>6</v>
      </c>
      <c r="I51" s="79">
        <f t="shared" si="7"/>
        <v>6</v>
      </c>
      <c r="J51" s="79">
        <f t="shared" si="7"/>
        <v>6</v>
      </c>
      <c r="K51" s="79">
        <f t="shared" si="7"/>
        <v>6</v>
      </c>
      <c r="L51" s="79">
        <f t="shared" si="7"/>
        <v>6</v>
      </c>
      <c r="M51" s="79">
        <f t="shared" si="7"/>
        <v>6</v>
      </c>
      <c r="N51" s="79">
        <f t="shared" si="7"/>
        <v>6</v>
      </c>
      <c r="O51" s="79">
        <f t="shared" si="7"/>
        <v>6</v>
      </c>
      <c r="P51" s="79">
        <f t="shared" si="7"/>
        <v>6</v>
      </c>
      <c r="Q51" s="79">
        <f t="shared" si="7"/>
        <v>6</v>
      </c>
      <c r="R51" s="79">
        <f t="shared" si="7"/>
        <v>6</v>
      </c>
      <c r="S51" s="79">
        <f t="shared" ref="S51:AE51" si="8">VLOOKUP(S$46,$B$16:$H$44,5,TRUE)</f>
        <v>6</v>
      </c>
      <c r="T51" s="79">
        <f t="shared" si="8"/>
        <v>6</v>
      </c>
      <c r="U51" s="79">
        <f t="shared" si="8"/>
        <v>6</v>
      </c>
      <c r="V51" s="79" t="str">
        <f t="shared" si="8"/>
        <v>5b</v>
      </c>
      <c r="W51" s="79">
        <f t="shared" si="8"/>
        <v>6</v>
      </c>
      <c r="X51" s="79">
        <f t="shared" si="8"/>
        <v>6</v>
      </c>
      <c r="Y51" s="79">
        <f t="shared" si="8"/>
        <v>6</v>
      </c>
      <c r="Z51" s="79">
        <f t="shared" si="8"/>
        <v>6</v>
      </c>
      <c r="AA51" s="79">
        <f t="shared" si="8"/>
        <v>6</v>
      </c>
      <c r="AB51" s="79">
        <f t="shared" si="8"/>
        <v>6</v>
      </c>
      <c r="AC51" s="79">
        <f>VLOOKUP(AC$46,$B$16:$H$44,5,TRUE)</f>
        <v>6</v>
      </c>
      <c r="AD51" s="79">
        <f t="shared" si="8"/>
        <v>6</v>
      </c>
      <c r="AE51" s="79">
        <f t="shared" si="8"/>
        <v>6</v>
      </c>
    </row>
    <row r="52" spans="2:31" ht="15" thickBot="1" x14ac:dyDescent="0.35">
      <c r="B52" s="137" t="s">
        <v>94</v>
      </c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9"/>
    </row>
    <row r="53" spans="2:31" x14ac:dyDescent="0.3">
      <c r="B53" s="100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9">ROUNDUP(E49/E48,1)</f>
        <v>1.5</v>
      </c>
      <c r="F53" s="81">
        <f t="shared" si="9"/>
        <v>1.6</v>
      </c>
      <c r="G53" s="81">
        <f t="shared" si="9"/>
        <v>1.2000000000000002</v>
      </c>
      <c r="H53" s="81">
        <f t="shared" si="9"/>
        <v>1.4000000000000001</v>
      </c>
      <c r="I53" s="81">
        <f t="shared" si="9"/>
        <v>1.1000000000000001</v>
      </c>
      <c r="J53" s="81">
        <f t="shared" si="9"/>
        <v>1.3</v>
      </c>
      <c r="K53" s="81">
        <f t="shared" si="9"/>
        <v>1.3</v>
      </c>
      <c r="L53" s="81">
        <f t="shared" si="9"/>
        <v>2.3000000000000003</v>
      </c>
      <c r="M53" s="81">
        <f t="shared" si="9"/>
        <v>1.6</v>
      </c>
      <c r="N53" s="81">
        <f t="shared" si="9"/>
        <v>1.6</v>
      </c>
      <c r="O53" s="81">
        <f t="shared" si="9"/>
        <v>1.3</v>
      </c>
      <c r="P53" s="81">
        <f t="shared" si="9"/>
        <v>1.3</v>
      </c>
      <c r="Q53" s="81">
        <f t="shared" si="9"/>
        <v>1.6</v>
      </c>
      <c r="R53" s="81">
        <f t="shared" si="9"/>
        <v>2.4</v>
      </c>
      <c r="S53" s="81">
        <f t="shared" ref="S53:AC53" si="10">ROUNDUP(S49/S48,1)</f>
        <v>3</v>
      </c>
      <c r="T53" s="81">
        <f t="shared" si="10"/>
        <v>1.6</v>
      </c>
      <c r="U53" s="81">
        <f t="shared" si="10"/>
        <v>8</v>
      </c>
      <c r="V53" s="81">
        <f t="shared" si="10"/>
        <v>2</v>
      </c>
      <c r="W53" s="81">
        <f t="shared" si="10"/>
        <v>2.2000000000000002</v>
      </c>
      <c r="X53" s="81">
        <f t="shared" si="10"/>
        <v>1.5</v>
      </c>
      <c r="Y53" s="81">
        <f t="shared" si="10"/>
        <v>1.2000000000000002</v>
      </c>
      <c r="Z53" s="81">
        <f t="shared" si="10"/>
        <v>2.3000000000000003</v>
      </c>
      <c r="AA53" s="81">
        <f t="shared" si="10"/>
        <v>1.7000000000000002</v>
      </c>
      <c r="AB53" s="81">
        <f t="shared" si="10"/>
        <v>1.5</v>
      </c>
      <c r="AC53" s="81">
        <f t="shared" si="10"/>
        <v>1.5</v>
      </c>
      <c r="AD53" s="81">
        <f t="shared" ref="AD53:AE53" si="11">ROUNDUP(AD49/AD48,1)</f>
        <v>2.9</v>
      </c>
      <c r="AE53" s="81">
        <f t="shared" si="11"/>
        <v>1.9000000000000001</v>
      </c>
    </row>
    <row r="54" spans="2:31" x14ac:dyDescent="0.3">
      <c r="B54" s="100" t="s">
        <v>11</v>
      </c>
      <c r="C54" s="76">
        <f>IF(C53&gt;1.5,VLOOKUP(C51&amp;1.5,tablas!$L$3:$O$56,4,FALSE),VLOOKUP(C51&amp;C53,tablas!$L$3:$O$56,4,FALSE))</f>
        <v>0.55000000000000004</v>
      </c>
      <c r="D54" s="77">
        <f>IF(D53&gt;1.5,VLOOKUP(D51&amp;1.5,tablas!$L$3:$O$56,4,FALSE),VLOOKUP(D51&amp;D53,tablas!$L$3:$O$56,4,FALSE))</f>
        <v>0.57999999999999996</v>
      </c>
      <c r="E54" s="77">
        <f>IF(E53&gt;1.5,VLOOKUP(E51&amp;1.5,tablas!$L$3:$O$56,4,FALSE),VLOOKUP(E51&amp;E53,tablas!$L$3:$O$56,4,FALSE))</f>
        <v>0.57999999999999996</v>
      </c>
      <c r="F54" s="77">
        <f>IF(F53&gt;1.5,VLOOKUP(F51&amp;1.5,tablas!$L$3:$O$56,4,FALSE),VLOOKUP(F51&amp;F53,tablas!$L$3:$O$56,4,FALSE))</f>
        <v>0.57999999999999996</v>
      </c>
      <c r="G54" s="77">
        <f>IF(G53&gt;1.5,VLOOKUP(G51&amp;1.5,tablas!$L$3:$O$56,4,FALSE),VLOOKUP(G51&amp;G53,tablas!$L$3:$O$56,4,FALSE))</f>
        <v>0.56000000000000005</v>
      </c>
      <c r="H54" s="77">
        <f>IF(H53&gt;1.5,VLOOKUP(H51&amp;1.5,tablas!$L$3:$O$56,4,FALSE),VLOOKUP(H51&amp;H53,tablas!$L$3:$O$56,4,FALSE))</f>
        <v>0.56999999999999995</v>
      </c>
      <c r="I54" s="77">
        <f>IF(I53&gt;1.5,VLOOKUP(I51&amp;1.5,tablas!$L$3:$O$56,4,FALSE),VLOOKUP(I51&amp;I53,tablas!$L$3:$O$56,4,FALSE))</f>
        <v>0.55000000000000004</v>
      </c>
      <c r="J54" s="77">
        <f>IF(J53&gt;1.5,VLOOKUP(J51&amp;1.5,tablas!$L$3:$O$56,4,FALSE),VLOOKUP(J51&amp;J53,tablas!$L$3:$O$56,4,FALSE))</f>
        <v>0.56000000000000005</v>
      </c>
      <c r="K54" s="77">
        <f>IF(K53&gt;1.5,VLOOKUP(K51&amp;1.5,tablas!$L$3:$O$56,4,FALSE),VLOOKUP(K51&amp;K53,tablas!$L$3:$O$56,4,FALSE))</f>
        <v>0.56000000000000005</v>
      </c>
      <c r="L54" s="77">
        <f>IF(L53&gt;1.5,VLOOKUP(L51&amp;1.5,tablas!$L$3:$O$56,4,FALSE),VLOOKUP(L51&amp;L53,tablas!$L$3:$O$56,4,FALSE))</f>
        <v>0.57999999999999996</v>
      </c>
      <c r="M54" s="77">
        <f>IF(M53&gt;1.5,VLOOKUP(M51&amp;1.5,tablas!$L$3:$O$56,4,FALSE),VLOOKUP(M51&amp;M53,tablas!$L$3:$O$56,4,FALSE))</f>
        <v>0.57999999999999996</v>
      </c>
      <c r="N54" s="77">
        <f>IF(N53&gt;1.5,VLOOKUP(N51&amp;1.5,tablas!$L$3:$O$56,4,FALSE),VLOOKUP(N51&amp;N53,tablas!$L$3:$O$56,4,FALSE))</f>
        <v>0.57999999999999996</v>
      </c>
      <c r="O54" s="77">
        <f>IF(O53&gt;1.5,VLOOKUP(O51&amp;1.5,tablas!$L$3:$O$56,4,FALSE),VLOOKUP(O51&amp;O53,tablas!$L$3:$O$56,4,FALSE))</f>
        <v>0.56000000000000005</v>
      </c>
      <c r="P54" s="77">
        <f>IF(P53&gt;1.5,VLOOKUP(P51&amp;1.5,tablas!$L$3:$O$56,4,FALSE),VLOOKUP(P51&amp;P53,tablas!$L$3:$O$56,4,FALSE))</f>
        <v>0.56000000000000005</v>
      </c>
      <c r="Q54" s="77">
        <f>IF(Q53&gt;1.5,VLOOKUP(Q51&amp;1.5,tablas!$L$3:$O$56,4,FALSE),VLOOKUP(Q51&amp;Q53,tablas!$L$3:$O$56,4,FALSE))</f>
        <v>0.57999999999999996</v>
      </c>
      <c r="R54" s="77">
        <f>IF(R53&gt;1.5,VLOOKUP(R51&amp;1.5,tablas!$L$3:$O$56,4,FALSE),VLOOKUP(R51&amp;R53,tablas!$L$3:$O$56,4,FALSE))</f>
        <v>0.57999999999999996</v>
      </c>
      <c r="S54" s="77">
        <f>IF(S53&gt;1.5,VLOOKUP(S51&amp;1.5,tablas!$L$3:$O$56,4,FALSE),VLOOKUP(S51&amp;S53,tablas!$L$3:$O$56,4,FALSE))</f>
        <v>0.57999999999999996</v>
      </c>
      <c r="T54" s="77">
        <f>IF(T53&gt;1.5,VLOOKUP(T51&amp;1.5,tablas!$L$3:$O$56,4,FALSE),VLOOKUP(T51&amp;T53,tablas!$L$3:$O$56,4,FALSE))</f>
        <v>0.57999999999999996</v>
      </c>
      <c r="U54" s="77">
        <f>IF(U53&gt;1.5,VLOOKUP(U51&amp;1.5,tablas!$L$3:$O$56,4,FALSE),VLOOKUP(U51&amp;U53,tablas!$L$3:$O$56,4,FALSE))</f>
        <v>0.57999999999999996</v>
      </c>
      <c r="V54" s="77">
        <f>IF(V53&gt;1.5,VLOOKUP(V51&amp;1.5,tablas!$L$3:$O$56,4,FALSE),VLOOKUP(V51&amp;V53,tablas!$L$3:$O$56,4,FALSE))</f>
        <v>0.75</v>
      </c>
      <c r="W54" s="77">
        <f>IF(W53&gt;1.5,VLOOKUP(W51&amp;1.5,tablas!$L$3:$O$56,4,FALSE),VLOOKUP(W51&amp;W53,tablas!$L$3:$O$56,4,FALSE))</f>
        <v>0.57999999999999996</v>
      </c>
      <c r="X54" s="77">
        <f>IF(X53&gt;1.5,VLOOKUP(X51&amp;1.5,tablas!$L$3:$O$56,4,FALSE),VLOOKUP(X51&amp;X53,tablas!$L$3:$O$56,4,FALSE))</f>
        <v>0.57999999999999996</v>
      </c>
      <c r="Y54" s="77">
        <f>IF(Y53&gt;1.5,VLOOKUP(Y51&amp;1.5,tablas!$L$3:$O$56,4,FALSE),VLOOKUP(Y51&amp;Y53,tablas!$L$3:$O$56,4,FALSE))</f>
        <v>0.56000000000000005</v>
      </c>
      <c r="Z54" s="77">
        <f>IF(Z53&gt;1.5,VLOOKUP(Z51&amp;1.5,tablas!$L$3:$O$56,4,FALSE),VLOOKUP(Z51&amp;Z53,tablas!$L$3:$O$56,4,FALSE))</f>
        <v>0.57999999999999996</v>
      </c>
      <c r="AA54" s="77">
        <f>IF(AA53&gt;1.5,VLOOKUP(AA51&amp;1.5,tablas!$L$3:$O$56,4,FALSE),VLOOKUP(AA51&amp;AA53,tablas!$L$3:$O$56,4,FALSE))</f>
        <v>0.57999999999999996</v>
      </c>
      <c r="AB54" s="77">
        <f>IF(AB53&gt;1.5,VLOOKUP(AB51&amp;1.5,tablas!$L$3:$O$56,4,FALSE),VLOOKUP(AB51&amp;AB53,tablas!$L$3:$O$56,4,FALSE))</f>
        <v>0.57999999999999996</v>
      </c>
      <c r="AC54" s="77">
        <f>IF(AC53&gt;1.5,VLOOKUP(AC51&amp;1.5,tablas!$L$3:$O$56,4,FALSE),VLOOKUP(AC51&amp;AC53,tablas!$L$3:$O$56,4,FALSE))</f>
        <v>0.57999999999999996</v>
      </c>
      <c r="AD54" s="77">
        <f>IF(AD53&gt;1.5,VLOOKUP(AD51&amp;1.5,tablas!$L$3:$O$56,4,FALSE),VLOOKUP(AD51&amp;AD53,tablas!$L$3:$O$56,4,FALSE))</f>
        <v>0.57999999999999996</v>
      </c>
      <c r="AE54" s="77">
        <f>IF(AE53&gt;1.5,VLOOKUP(AE51&amp;1.5,tablas!$L$3:$O$56,4,FALSE),VLOOKUP(AE51&amp;AE53,tablas!$L$3:$O$56,4,FALSE))</f>
        <v>0.57999999999999996</v>
      </c>
    </row>
    <row r="55" spans="2:31" x14ac:dyDescent="0.3">
      <c r="B55" s="100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77">
        <v>55</v>
      </c>
      <c r="Y55" s="77">
        <v>56</v>
      </c>
      <c r="Z55" s="77">
        <v>57</v>
      </c>
      <c r="AA55" s="77">
        <v>58</v>
      </c>
      <c r="AB55" s="77">
        <v>59</v>
      </c>
      <c r="AC55" s="77">
        <v>60</v>
      </c>
      <c r="AD55" s="77">
        <v>61</v>
      </c>
      <c r="AE55" s="77">
        <v>62</v>
      </c>
    </row>
    <row r="56" spans="2:31" x14ac:dyDescent="0.3">
      <c r="B56" s="97" t="s">
        <v>4</v>
      </c>
      <c r="C56" s="76">
        <f>IF(C53&lt;2,VLOOKUP(C51&amp;C53,tablas!$B$3:$J$92,6,FALSE),"Franja de losa")</f>
        <v>50.7</v>
      </c>
      <c r="D56" s="77">
        <f>IF(D53&lt;2,VLOOKUP(D51&amp;D53,tablas!$B$3:$J$92,6,FALSE),"Franja de losa")</f>
        <v>44.4</v>
      </c>
      <c r="E56" s="77">
        <f>IF(E53&lt;2,VLOOKUP(E51&amp;E53,tablas!$B$3:$J$92,6,FALSE),"Franja de losa")</f>
        <v>44.4</v>
      </c>
      <c r="F56" s="77">
        <f>IF(F53&lt;2,VLOOKUP(F51&amp;F53,tablas!$B$3:$J$92,6,FALSE),"Franja de losa")</f>
        <v>46.1</v>
      </c>
      <c r="G56" s="77">
        <f>IF(G53&lt;2,VLOOKUP(G51&amp;G53,tablas!$B$3:$J$92,6,FALSE),"Franja de losa")</f>
        <v>47.2</v>
      </c>
      <c r="H56" s="77">
        <f>IF(H53&lt;2,VLOOKUP(H51&amp;H53,tablas!$B$3:$J$92,6,FALSE),"Franja de losa")</f>
        <v>44.6</v>
      </c>
      <c r="I56" s="77">
        <f>IF(I53&lt;2,VLOOKUP(I51&amp;I53,tablas!$B$3:$J$92,6,FALSE),"Franja de losa")</f>
        <v>50.7</v>
      </c>
      <c r="J56" s="77">
        <f>IF(J53&lt;2,VLOOKUP(J51&amp;J53,tablas!$B$3:$J$92,6,FALSE),"Franja de losa")</f>
        <v>45.2</v>
      </c>
      <c r="K56" s="77">
        <f>IF(K53&lt;2,VLOOKUP(K51&amp;K53,tablas!$B$3:$J$92,6,FALSE),"Franja de losa")</f>
        <v>45.2</v>
      </c>
      <c r="L56" s="77" t="str">
        <f>IF(L53&lt;=2,VLOOKUP(L51&amp;L53,tablas!$B$3:$J$92,6,FALSE),"Franja de losa")</f>
        <v>Franja de losa</v>
      </c>
      <c r="M56" s="77">
        <f>IF(M53&lt;=2,VLOOKUP(M51&amp;M53,tablas!$B$3:$J$92,6,FALSE),"Franja de losa")</f>
        <v>46.1</v>
      </c>
      <c r="N56" s="77">
        <f>IF(N53&lt;=2,VLOOKUP(N51&amp;N53,tablas!$B$3:$J$92,6,FALSE),"Franja de losa")</f>
        <v>46.1</v>
      </c>
      <c r="O56" s="77">
        <f>IF(O53&lt;=2,VLOOKUP(O51&amp;O53,tablas!$B$3:$J$92,6,FALSE),"Franja de losa")</f>
        <v>45.2</v>
      </c>
      <c r="P56" s="77">
        <f>IF(P53&lt;=2,VLOOKUP(P51&amp;P53,tablas!$B$3:$J$92,6,FALSE),"Franja de losa")</f>
        <v>45.2</v>
      </c>
      <c r="Q56" s="77">
        <f>IF(Q53&lt;=2,VLOOKUP(Q51&amp;Q53,tablas!$B$3:$J$92,6,FALSE),"Franja de losa")</f>
        <v>46.1</v>
      </c>
      <c r="R56" s="77" t="str">
        <f>IF(R53&lt;=2,VLOOKUP(R51&amp;R53,tablas!$B$3:$J$92,6,FALSE),"Franja de losa")</f>
        <v>Franja de losa</v>
      </c>
      <c r="S56" s="77" t="str">
        <f>IF(S53&lt;=2,VLOOKUP(S51&amp;S53,tablas!$B$3:$J$92,6,FALSE),"Franja de losa")</f>
        <v>Franja de losa</v>
      </c>
      <c r="T56" s="77">
        <f>IF(T53&lt;=2,VLOOKUP(T51&amp;T53,tablas!$B$3:$J$92,6,FALSE),"Franja de losa")</f>
        <v>46.1</v>
      </c>
      <c r="U56" s="77" t="str">
        <f>IF(U53&lt;=2,VLOOKUP(U51&amp;U53,tablas!$B$3:$J$92,6,FALSE),"Franja de losa")</f>
        <v>Franja de losa</v>
      </c>
      <c r="V56" s="77">
        <f>IF(V53&lt;=2,VLOOKUP(V51&amp;V53,tablas!$B$3:$J$92,6,FALSE),"Franja de losa")</f>
        <v>37.5</v>
      </c>
      <c r="W56" s="77" t="str">
        <f>IF(W53&lt;=2,VLOOKUP(W51&amp;W53,tablas!$B$3:$J$92,6,FALSE),"Franja de losa")</f>
        <v>Franja de losa</v>
      </c>
      <c r="X56" s="77">
        <f>IF(X53&lt;=2,VLOOKUP(X51&amp;X53,tablas!$B$3:$J$92,6,FALSE),"Franja de losa")</f>
        <v>44.4</v>
      </c>
      <c r="Y56" s="77">
        <f>IF(Y53&lt;=2,VLOOKUP(Y51&amp;Y53,tablas!$B$3:$J$92,6,FALSE),"Franja de losa")</f>
        <v>47.2</v>
      </c>
      <c r="Z56" s="77" t="str">
        <f>IF(Z53&lt;=2,VLOOKUP(Z51&amp;Z53,tablas!$B$3:$J$92,6,FALSE),"Franja de losa")</f>
        <v>Franja de losa</v>
      </c>
      <c r="AA56" s="77">
        <f>IF(AA53&lt;=2,VLOOKUP(AA51&amp;AA53-0.1,tablas!$B$3:$J$92,6,FALSE),"Franja de losa")</f>
        <v>46.1</v>
      </c>
      <c r="AB56" s="77">
        <f>IF(AB53&lt;=2,VLOOKUP(AB51&amp;AB53,tablas!$B$3:$J$92,6,FALSE),"Franja de losa")</f>
        <v>44.4</v>
      </c>
      <c r="AC56" s="77">
        <f>IF(AC53&lt;=2,VLOOKUP(AC51&amp;AC53,tablas!$B$3:$J$92,6,FALSE),"Franja de losa")</f>
        <v>44.4</v>
      </c>
      <c r="AD56" s="77" t="str">
        <f>IF(AD53&lt;=2,VLOOKUP(AD51&amp;AD53,tablas!$B$3:$J$92,6,FALSE),"Franja de losa")</f>
        <v>Franja de losa</v>
      </c>
      <c r="AE56" s="77">
        <f>IF(AE53&lt;=2,VLOOKUP(AE51&amp;AE53-0.1,tablas!$B$3:$J$92,6,FALSE),"Franja de losa")</f>
        <v>48.8</v>
      </c>
    </row>
    <row r="57" spans="2:31" x14ac:dyDescent="0.3">
      <c r="B57" s="97" t="s">
        <v>5</v>
      </c>
      <c r="C57" s="76">
        <f>IF(C53&lt;2,VLOOKUP(C51&amp;C53,tablas!$B$3:$J$92,7,FALSE),"Franja de losa")</f>
        <v>66.3</v>
      </c>
      <c r="D57" s="77">
        <f>IF(D53&lt;2,VLOOKUP(D51&amp;D53,tablas!$B$3:$J$92,7,FALSE),"Franja de losa")</f>
        <v>140.5</v>
      </c>
      <c r="E57" s="77">
        <f>IF(E53&lt;2,VLOOKUP(E51&amp;E53,tablas!$B$3:$J$92,7,FALSE),"Franja de losa")</f>
        <v>140.5</v>
      </c>
      <c r="F57" s="77">
        <f>IF(F53&lt;2,VLOOKUP(F51&amp;F53,tablas!$B$3:$J$92,7,FALSE),"Franja de losa")</f>
        <v>163</v>
      </c>
      <c r="G57" s="77">
        <f>IF(G53&lt;2,VLOOKUP(G51&amp;G53,tablas!$B$3:$J$92,7,FALSE),"Franja de losa")</f>
        <v>78.900000000000006</v>
      </c>
      <c r="H57" s="77">
        <f>IF(H53&lt;2,VLOOKUP(H51&amp;H53,tablas!$B$3:$J$92,7,FALSE),"Franja de losa")</f>
        <v>116.6</v>
      </c>
      <c r="I57" s="77">
        <f>IF(I53&lt;2,VLOOKUP(I51&amp;I53,tablas!$B$3:$J$92,7,FALSE),"Franja de losa")</f>
        <v>66.3</v>
      </c>
      <c r="J57" s="77">
        <f>IF(J53&lt;2,VLOOKUP(J51&amp;J53,tablas!$B$3:$J$92,7,FALSE),"Franja de losa")</f>
        <v>95.6</v>
      </c>
      <c r="K57" s="77">
        <f>IF(K53&lt;2,VLOOKUP(K51&amp;K53,tablas!$B$3:$J$92,7,FALSE),"Franja de losa")</f>
        <v>95.6</v>
      </c>
      <c r="L57" s="77" t="str">
        <f>IF(L53&lt;=2,VLOOKUP(L51&amp;L53,tablas!$B$3:$J$92,7,FALSE),"Franja de losa")</f>
        <v>Franja de losa</v>
      </c>
      <c r="M57" s="77">
        <f>IF(M53&lt;=2,VLOOKUP(M51&amp;M53,tablas!$B$3:$J$92,7,FALSE),"Franja de losa")</f>
        <v>163</v>
      </c>
      <c r="N57" s="77">
        <f>IF(N53&lt;=2,VLOOKUP(N51&amp;N53,tablas!$B$3:$J$92,7,FALSE),"Franja de losa")</f>
        <v>163</v>
      </c>
      <c r="O57" s="77">
        <f>IF(O53&lt;=2,VLOOKUP(O51&amp;O53,tablas!$B$3:$J$92,7,FALSE),"Franja de losa")</f>
        <v>95.6</v>
      </c>
      <c r="P57" s="77">
        <f>IF(P53&lt;=2,VLOOKUP(P51&amp;P53,tablas!$B$3:$J$92,7,FALSE),"Franja de losa")</f>
        <v>95.6</v>
      </c>
      <c r="Q57" s="77">
        <f>IF(Q53&lt;=2,VLOOKUP(Q51&amp;Q53,tablas!$B$3:$J$92,7,FALSE),"Franja de losa")</f>
        <v>163</v>
      </c>
      <c r="R57" s="77" t="str">
        <f>IF(R53&lt;=2,VLOOKUP(R51&amp;R53,tablas!$B$3:$J$92,7,FALSE),"Franja de losa")</f>
        <v>Franja de losa</v>
      </c>
      <c r="S57" s="77" t="str">
        <f>IF(S53&lt;=2,VLOOKUP(S51&amp;S53,tablas!$B$3:$J$92,7,FALSE),"Franja de losa")</f>
        <v>Franja de losa</v>
      </c>
      <c r="T57" s="77">
        <f>IF(T53&lt;=2,VLOOKUP(T51&amp;T53,tablas!$B$3:$J$92,7,FALSE),"Franja de losa")</f>
        <v>163</v>
      </c>
      <c r="U57" s="77" t="str">
        <f>IF(U53&lt;=2,VLOOKUP(U51&amp;U53,tablas!$B$3:$J$92,7,FALSE),"Franja de losa")</f>
        <v>Franja de losa</v>
      </c>
      <c r="V57" s="77">
        <f>IF(V53&lt;=2,VLOOKUP(V51&amp;V53,tablas!$B$3:$J$92,7,FALSE),"Franja de losa")</f>
        <v>202</v>
      </c>
      <c r="W57" s="77" t="str">
        <f>IF(W53&lt;=2,VLOOKUP(W51&amp;W53,tablas!$B$3:$J$92,7,FALSE),"Franja de losa")</f>
        <v>Franja de losa</v>
      </c>
      <c r="X57" s="77">
        <f>IF(X53&lt;=2,VLOOKUP(X51&amp;X53,tablas!$B$3:$J$92,7,FALSE),"Franja de losa")</f>
        <v>140.5</v>
      </c>
      <c r="Y57" s="77">
        <f>IF(Y53&lt;=2,VLOOKUP(Y51&amp;Y53,tablas!$B$3:$J$92,7,FALSE),"Franja de losa")</f>
        <v>78.900000000000006</v>
      </c>
      <c r="Z57" s="77" t="str">
        <f>IF(Z53&lt;=2,VLOOKUP(Z51&amp;Z53,tablas!$B$3:$J$92,7,FALSE),"Franja de losa")</f>
        <v>Franja de losa</v>
      </c>
      <c r="AA57" s="77">
        <f>IF(AA53&lt;=2,VLOOKUP(AA51&amp;AA53-0.1,tablas!$B$3:$J$92,7,FALSE),"Franja de losa")</f>
        <v>163</v>
      </c>
      <c r="AB57" s="77">
        <f>IF(AB53&lt;=2,VLOOKUP(AB51&amp;AB53,tablas!$B$3:$J$92,7,FALSE),"Franja de losa")</f>
        <v>140.5</v>
      </c>
      <c r="AC57" s="77">
        <f>IF(AC53&lt;=2,VLOOKUP(AC51&amp;AC53,tablas!$B$3:$J$92,7,FALSE),"Franja de losa")</f>
        <v>140.5</v>
      </c>
      <c r="AD57" s="77" t="str">
        <f>IF(AD53&lt;=2,VLOOKUP(AD51&amp;AD53,tablas!$B$3:$J$92,7,FALSE),"Franja de losa")</f>
        <v>Franja de losa</v>
      </c>
      <c r="AE57" s="77">
        <f>IF(AE53&lt;=2,VLOOKUP(AE51&amp;AE53-0.1,tablas!$B$3:$J$92,7,FALSE),"Franja de losa")</f>
        <v>190</v>
      </c>
    </row>
    <row r="58" spans="2:31" x14ac:dyDescent="0.3">
      <c r="B58" s="97" t="s">
        <v>6</v>
      </c>
      <c r="C58" s="76">
        <f>IF(C53&lt;2,VLOOKUP(C51&amp;C53,tablas!$B$3:$J$92,8,FALSE),"Franja de losa")</f>
        <v>18.8</v>
      </c>
      <c r="D58" s="77">
        <f>IF(D53&lt;2,VLOOKUP(D51&amp;D53,tablas!$B$3:$J$92,8,FALSE),"Franja de losa")</f>
        <v>19.8</v>
      </c>
      <c r="E58" s="77">
        <f>IF(E53&lt;2,VLOOKUP(E51&amp;E53,tablas!$B$3:$J$92,8,FALSE),"Franja de losa")</f>
        <v>19.8</v>
      </c>
      <c r="F58" s="77">
        <f>IF(F53&lt;2,VLOOKUP(F51&amp;F53,tablas!$B$3:$J$92,8,FALSE),"Franja de losa")</f>
        <v>20.5</v>
      </c>
      <c r="G58" s="77">
        <f>IF(G53&lt;2,VLOOKUP(G51&amp;G53,tablas!$B$3:$J$92,8,FALSE),"Franja de losa")</f>
        <v>18.600000000000001</v>
      </c>
      <c r="H58" s="77">
        <f>IF(H53&lt;2,VLOOKUP(H51&amp;H53,tablas!$B$3:$J$92,8,FALSE),"Franja de losa")</f>
        <v>19.2</v>
      </c>
      <c r="I58" s="77">
        <f>IF(I53&lt;2,VLOOKUP(I51&amp;I53,tablas!$B$3:$J$92,8,FALSE),"Franja de losa")</f>
        <v>18.8</v>
      </c>
      <c r="J58" s="77">
        <f>IF(J53&lt;2,VLOOKUP(J51&amp;J53,tablas!$B$3:$J$92,8,FALSE),"Franja de losa")</f>
        <v>18.8</v>
      </c>
      <c r="K58" s="77">
        <f>IF(K53&lt;2,VLOOKUP(K51&amp;K53,tablas!$B$3:$J$92,8,FALSE),"Franja de losa")</f>
        <v>18.8</v>
      </c>
      <c r="L58" s="77" t="str">
        <f>IF(L53&lt;=2,VLOOKUP(L51&amp;L53,tablas!$B$3:$J$92,8,FALSE),"Franja de losa")</f>
        <v>Franja de losa</v>
      </c>
      <c r="M58" s="77">
        <f>IF(M53&lt;=2,VLOOKUP(M51&amp;M53,tablas!$B$3:$J$92,8,FALSE),"Franja de losa")</f>
        <v>20.5</v>
      </c>
      <c r="N58" s="77">
        <f>IF(N53&lt;=2,VLOOKUP(N51&amp;N53,tablas!$B$3:$J$92,8,FALSE),"Franja de losa")</f>
        <v>20.5</v>
      </c>
      <c r="O58" s="77">
        <f>IF(O53&lt;=2,VLOOKUP(O51&amp;O53,tablas!$B$3:$J$92,8,FALSE),"Franja de losa")</f>
        <v>18.8</v>
      </c>
      <c r="P58" s="77">
        <f>IF(P53&lt;=2,VLOOKUP(P51&amp;P53,tablas!$B$3:$J$92,8,FALSE),"Franja de losa")</f>
        <v>18.8</v>
      </c>
      <c r="Q58" s="77">
        <f>IF(Q53&lt;=2,VLOOKUP(Q51&amp;Q53,tablas!$B$3:$J$92,8,FALSE),"Franja de losa")</f>
        <v>20.5</v>
      </c>
      <c r="R58" s="77" t="str">
        <f>IF(R53&lt;=2,VLOOKUP(R51&amp;R53,tablas!$B$3:$J$92,8,FALSE),"Franja de losa")</f>
        <v>Franja de losa</v>
      </c>
      <c r="S58" s="77" t="str">
        <f>IF(S53&lt;=2,VLOOKUP(S51&amp;S53,tablas!$B$3:$J$92,8,FALSE),"Franja de losa")</f>
        <v>Franja de losa</v>
      </c>
      <c r="T58" s="77">
        <f>IF(T53&lt;=2,VLOOKUP(T51&amp;T53,tablas!$B$3:$J$92,8,FALSE),"Franja de losa")</f>
        <v>20.5</v>
      </c>
      <c r="U58" s="77" t="str">
        <f>IF(U53&lt;=2,VLOOKUP(U51&amp;U53,tablas!$B$3:$J$92,8,FALSE),"Franja de losa")</f>
        <v>Franja de losa</v>
      </c>
      <c r="V58" s="77">
        <f>IF(V53&lt;=2,VLOOKUP(V51&amp;V53,tablas!$B$3:$J$92,8,FALSE),"Franja de losa")</f>
        <v>17.600000000000001</v>
      </c>
      <c r="W58" s="77" t="str">
        <f>IF(W53&lt;=2,VLOOKUP(W51&amp;W53,tablas!$B$3:$J$92,8,FALSE),"Franja de losa")</f>
        <v>Franja de losa</v>
      </c>
      <c r="X58" s="77">
        <f>IF(X53&lt;=2,VLOOKUP(X51&amp;X53,tablas!$B$3:$J$92,8,FALSE),"Franja de losa")</f>
        <v>19.8</v>
      </c>
      <c r="Y58" s="77">
        <f>IF(Y53&lt;=2,VLOOKUP(Y51&amp;Y53,tablas!$B$3:$J$92,8,FALSE),"Franja de losa")</f>
        <v>18.600000000000001</v>
      </c>
      <c r="Z58" s="77" t="str">
        <f>IF(Z53&lt;=2,VLOOKUP(Z51&amp;Z53,tablas!$B$3:$J$92,8,FALSE),"Franja de losa")</f>
        <v>Franja de losa</v>
      </c>
      <c r="AA58" s="77">
        <f>IF(AA53&lt;=2,VLOOKUP(AA51&amp;AA53-0.1,tablas!$B$3:$J$92,8,FALSE),"Franja de losa")</f>
        <v>20.5</v>
      </c>
      <c r="AB58" s="77">
        <f>IF(AB53&lt;=2,VLOOKUP(AB51&amp;AB53,tablas!$B$3:$J$92,8,FALSE),"Franja de losa")</f>
        <v>19.8</v>
      </c>
      <c r="AC58" s="77">
        <f>IF(AC53&lt;=2,VLOOKUP(AC51&amp;AC53,tablas!$B$3:$J$92,8,FALSE),"Franja de losa")</f>
        <v>19.8</v>
      </c>
      <c r="AD58" s="77" t="str">
        <f>IF(AD53&lt;=2,VLOOKUP(AD51&amp;AD53,tablas!$B$3:$J$92,8,FALSE),"Franja de losa")</f>
        <v>Franja de losa</v>
      </c>
      <c r="AE58" s="77">
        <f>IF(AE53&lt;=2,VLOOKUP(AE51&amp;AE53-0.1,tablas!$B$3:$J$92,8,FALSE),"Franja de losa")</f>
        <v>22</v>
      </c>
    </row>
    <row r="59" spans="2:31" x14ac:dyDescent="0.3">
      <c r="B59" s="97" t="s">
        <v>7</v>
      </c>
      <c r="C59" s="76">
        <f>IF(C53&lt;2,VLOOKUP(C51&amp;C53,tablas!$B$3:$J$92,9,FALSE),"Franja de losa")</f>
        <v>20.3</v>
      </c>
      <c r="D59" s="77">
        <f>IF(D53&lt;2,VLOOKUP(D51&amp;D53,tablas!$B$3:$J$92,9,FALSE),"Franja de losa")</f>
        <v>26.2</v>
      </c>
      <c r="E59" s="77">
        <f>IF(E53&lt;2,VLOOKUP(E51&amp;E53,tablas!$B$3:$J$92,9,FALSE),"Franja de losa")</f>
        <v>26.2</v>
      </c>
      <c r="F59" s="77">
        <f>IF(F53&lt;2,VLOOKUP(F51&amp;F53,tablas!$B$3:$J$92,9,FALSE),"Franja de losa")</f>
        <v>27.9</v>
      </c>
      <c r="G59" s="77">
        <f>IF(G53&lt;2,VLOOKUP(G51&amp;G53,tablas!$B$3:$J$92,9,FALSE),"Franja de losa")</f>
        <v>21.5</v>
      </c>
      <c r="H59" s="77">
        <f>IF(H53&lt;2,VLOOKUP(H51&amp;H53,tablas!$B$3:$J$92,9,FALSE),"Franja de losa")</f>
        <v>24.5</v>
      </c>
      <c r="I59" s="77">
        <f>IF(I53&lt;2,VLOOKUP(I51&amp;I53,tablas!$B$3:$J$92,9,FALSE),"Franja de losa")</f>
        <v>20.3</v>
      </c>
      <c r="J59" s="77">
        <f>IF(J53&lt;2,VLOOKUP(J51&amp;J53,tablas!$B$3:$J$92,9,FALSE),"Franja de losa")</f>
        <v>22.9</v>
      </c>
      <c r="K59" s="77">
        <f>IF(K53&lt;2,VLOOKUP(K51&amp;K53,tablas!$B$3:$J$92,9,FALSE),"Franja de losa")</f>
        <v>22.9</v>
      </c>
      <c r="L59" s="77" t="str">
        <f>IF(L53&lt;=2,VLOOKUP(L51&amp;L53,tablas!$B$3:$J$92,9,FALSE),"Franja de losa")</f>
        <v>Franja de losa</v>
      </c>
      <c r="M59" s="77">
        <f>IF(M53&lt;=2,VLOOKUP(M51&amp;M53,tablas!$B$3:$J$92,9,FALSE),"Franja de losa")</f>
        <v>27.9</v>
      </c>
      <c r="N59" s="77">
        <f>IF(N53&lt;=2,VLOOKUP(N51&amp;N53,tablas!$B$3:$J$92,9,FALSE),"Franja de losa")</f>
        <v>27.9</v>
      </c>
      <c r="O59" s="77">
        <f>IF(O53&lt;=2,VLOOKUP(O51&amp;O53,tablas!$B$3:$J$92,9,FALSE),"Franja de losa")</f>
        <v>22.9</v>
      </c>
      <c r="P59" s="77">
        <f>IF(P53&lt;=2,VLOOKUP(P51&amp;P53,tablas!$B$3:$J$92,9,FALSE),"Franja de losa")</f>
        <v>22.9</v>
      </c>
      <c r="Q59" s="77">
        <f>IF(Q53&lt;=2,VLOOKUP(Q51&amp;Q53,tablas!$B$3:$J$92,9,FALSE),"Franja de losa")</f>
        <v>27.9</v>
      </c>
      <c r="R59" s="77" t="str">
        <f>IF(R53&lt;=2,VLOOKUP(R51&amp;R53,tablas!$B$3:$J$92,9,FALSE),"Franja de losa")</f>
        <v>Franja de losa</v>
      </c>
      <c r="S59" s="77" t="str">
        <f>IF(S53&lt;=2,VLOOKUP(S51&amp;S53,tablas!$B$3:$J$92,9,FALSE),"Franja de losa")</f>
        <v>Franja de losa</v>
      </c>
      <c r="T59" s="77">
        <f>IF(T53&lt;=2,VLOOKUP(T51&amp;T53,tablas!$B$3:$J$92,9,FALSE),"Franja de losa")</f>
        <v>27.9</v>
      </c>
      <c r="U59" s="77" t="str">
        <f>IF(U53&lt;=2,VLOOKUP(U51&amp;U53,tablas!$B$3:$J$92,9,FALSE),"Franja de losa")</f>
        <v>Franja de losa</v>
      </c>
      <c r="V59" s="77">
        <f>IF(V53&lt;=2,VLOOKUP(V51&amp;V53,tablas!$B$3:$J$92,9,FALSE),"Franja de losa")</f>
        <v>24.6</v>
      </c>
      <c r="W59" s="77" t="str">
        <f>IF(W53&lt;=2,VLOOKUP(W51&amp;W53,tablas!$B$3:$J$92,9,FALSE),"Franja de losa")</f>
        <v>Franja de losa</v>
      </c>
      <c r="X59" s="77">
        <f>IF(X53&lt;=2,VLOOKUP(X51&amp;X53,tablas!$B$3:$J$92,9,FALSE),"Franja de losa")</f>
        <v>26.2</v>
      </c>
      <c r="Y59" s="77">
        <f>IF(Y53&lt;=2,VLOOKUP(Y51&amp;Y53,tablas!$B$3:$J$92,9,FALSE),"Franja de losa")</f>
        <v>21.5</v>
      </c>
      <c r="Z59" s="77" t="str">
        <f>IF(Z53&lt;=2,VLOOKUP(Z51&amp;Z53,tablas!$B$3:$J$92,9,FALSE),"Franja de losa")</f>
        <v>Franja de losa</v>
      </c>
      <c r="AA59" s="77">
        <f>IF(AA53&lt;=2,VLOOKUP(AA51&amp;AA53-0.1,tablas!$B$3:$J$92,9,FALSE),"Franja de losa")</f>
        <v>27.9</v>
      </c>
      <c r="AB59" s="77">
        <f>IF(AB53&lt;=2,VLOOKUP(AB51&amp;AB53,tablas!$B$3:$J$92,9,FALSE),"Franja de losa")</f>
        <v>26.2</v>
      </c>
      <c r="AC59" s="77">
        <f>IF(AC53&lt;=2,VLOOKUP(AC51&amp;AC53,tablas!$B$3:$J$92,9,FALSE),"Franja de losa")</f>
        <v>26.2</v>
      </c>
      <c r="AD59" s="77" t="str">
        <f>IF(AD53&lt;=2,VLOOKUP(AD51&amp;AD53,tablas!$B$3:$J$92,9,FALSE),"Franja de losa")</f>
        <v>Franja de losa</v>
      </c>
      <c r="AE59" s="77">
        <f>IF(AE53&lt;=2,VLOOKUP(AE51&amp;AE53-0.1,tablas!$B$3:$J$92,9,FALSE),"Franja de losa")</f>
        <v>31.4</v>
      </c>
    </row>
    <row r="60" spans="2:31" x14ac:dyDescent="0.3">
      <c r="B60" s="100" t="s">
        <v>2</v>
      </c>
      <c r="C60" s="76">
        <f>IF(C53&lt;2,VLOOKUP(C51&amp;C53,tablas!$B$3:$J$92,4,FALSE),"Franja de losa")</f>
        <v>1.05</v>
      </c>
      <c r="D60" s="77">
        <f>IF(D53&lt;2,VLOOKUP(D51&amp;D53,tablas!$B$3:$J$92,4,FALSE),"Franja de losa")</f>
        <v>1.31</v>
      </c>
      <c r="E60" s="77">
        <f>IF(E53&lt;2,VLOOKUP(E51&amp;E53,tablas!$B$3:$J$92,4,FALSE),"Franja de losa")</f>
        <v>1.31</v>
      </c>
      <c r="F60" s="77">
        <f>IF(F53&lt;2,VLOOKUP(F51&amp;F53,tablas!$B$3:$J$92,4,FALSE),"Franja de losa")</f>
        <v>1.39</v>
      </c>
      <c r="G60" s="77">
        <f>IF(G53&lt;2,VLOOKUP(G51&amp;G53,tablas!$B$3:$J$92,4,FALSE),"Franja de losa")</f>
        <v>1.1000000000000001</v>
      </c>
      <c r="H60" s="77">
        <f>IF(H53&lt;2,VLOOKUP(H51&amp;H53,tablas!$B$3:$J$92,4,FALSE),"Franja de losa")</f>
        <v>1.24</v>
      </c>
      <c r="I60" s="77">
        <f>IF(I53&lt;2,VLOOKUP(I51&amp;I53,tablas!$B$3:$J$92,4,FALSE),"Franja de losa")</f>
        <v>1.05</v>
      </c>
      <c r="J60" s="77">
        <f>IF(J53&lt;2,VLOOKUP(J51&amp;J53,tablas!$B$3:$J$92,4,FALSE),"Franja de losa")</f>
        <v>1.17</v>
      </c>
      <c r="K60" s="77">
        <f>IF(K53&lt;2,VLOOKUP(K51&amp;K53,tablas!$B$3:$J$92,4,FALSE),"Franja de losa")</f>
        <v>1.17</v>
      </c>
      <c r="L60" s="77" t="str">
        <f>IF(L53&lt;=2,VLOOKUP(L51&amp;L53,tablas!$B$3:$J$92,4,FALSE),"Franja de losa")</f>
        <v>Franja de losa</v>
      </c>
      <c r="M60" s="77">
        <f>IF(M53&lt;=2,VLOOKUP(M51&amp;M53,tablas!$B$3:$J$92,4,FALSE),"Franja de losa")</f>
        <v>1.39</v>
      </c>
      <c r="N60" s="77">
        <f>IF(N53&lt;=2,VLOOKUP(N51&amp;N53,tablas!$B$3:$J$92,4,FALSE),"Franja de losa")</f>
        <v>1.39</v>
      </c>
      <c r="O60" s="77">
        <f>IF(O53&lt;=2,VLOOKUP(O51&amp;O53,tablas!$B$3:$J$92,4,FALSE),"Franja de losa")</f>
        <v>1.17</v>
      </c>
      <c r="P60" s="77">
        <f>IF(P53&lt;=2,VLOOKUP(P51&amp;P53,tablas!$B$3:$J$92,4,FALSE),"Franja de losa")</f>
        <v>1.17</v>
      </c>
      <c r="Q60" s="77">
        <f>IF(Q53&lt;=2,VLOOKUP(Q51&amp;Q53,tablas!$B$3:$J$92,4,FALSE),"Franja de losa")</f>
        <v>1.39</v>
      </c>
      <c r="R60" s="77" t="str">
        <f>IF(R53&lt;=2,VLOOKUP(R51&amp;R53,tablas!$B$3:$J$92,4,FALSE),"Franja de losa")</f>
        <v>Franja de losa</v>
      </c>
      <c r="S60" s="77" t="str">
        <f>IF(S53&lt;=2,VLOOKUP(S51&amp;S53,tablas!$B$3:$J$92,4,FALSE),"Franja de losa")</f>
        <v>Franja de losa</v>
      </c>
      <c r="T60" s="77">
        <f>IF(T53&lt;=2,VLOOKUP(T51&amp;T53,tablas!$B$3:$J$92,4,FALSE),"Franja de losa")</f>
        <v>1.39</v>
      </c>
      <c r="U60" s="77" t="str">
        <f>IF(U53&lt;=2,VLOOKUP(U51&amp;U53,tablas!$B$3:$J$92,4,FALSE),"Franja de losa")</f>
        <v>Franja de losa</v>
      </c>
      <c r="V60" s="77">
        <f>IF(V53&lt;=2,VLOOKUP(V51&amp;V53,tablas!$B$3:$J$92,4,FALSE),"Franja de losa")</f>
        <v>0.68</v>
      </c>
      <c r="W60" s="77" t="str">
        <f>IF(W53&lt;=2,VLOOKUP(W51&amp;W53,tablas!$B$3:$J$92,4,FALSE),"Franja de losa")</f>
        <v>Franja de losa</v>
      </c>
      <c r="X60" s="77">
        <f>IF(X53&lt;=2,VLOOKUP(X51&amp;X53,tablas!$B$3:$J$92,4,FALSE),"Franja de losa")</f>
        <v>1.31</v>
      </c>
      <c r="Y60" s="77">
        <f>IF(Y53&lt;=2,VLOOKUP(Y51&amp;Y53,tablas!$B$3:$J$92,4,FALSE),"Franja de losa")</f>
        <v>1.1000000000000001</v>
      </c>
      <c r="Z60" s="77" t="str">
        <f>IF(Z53&lt;=2,VLOOKUP(Z51&amp;Z53,tablas!$B$3:$J$92,4,FALSE),"Franja de losa")</f>
        <v>Franja de losa</v>
      </c>
      <c r="AA60" s="77">
        <f>IF(AA53&lt;=2,VLOOKUP(AA51&amp;AA53-0.1,tablas!$B$3:$J$92,4,FALSE),"Franja de losa")</f>
        <v>1.39</v>
      </c>
      <c r="AB60" s="77">
        <f>IF(AB53&lt;=2,VLOOKUP(AB51&amp;AB53,tablas!$B$3:$J$92,4,FALSE),"Franja de losa")</f>
        <v>1.31</v>
      </c>
      <c r="AC60" s="77">
        <f>IF(AC53&lt;=2,VLOOKUP(AC51&amp;AC53,tablas!$B$3:$J$92,4,FALSE),"Franja de losa")</f>
        <v>1.31</v>
      </c>
      <c r="AD60" s="77" t="str">
        <f>IF(AD53&lt;=2,VLOOKUP(AD51&amp;AD53,tablas!$B$3:$J$92,4,FALSE),"Franja de losa")</f>
        <v>Franja de losa</v>
      </c>
      <c r="AE60" s="77">
        <f>IF(AE53&lt;=2,VLOOKUP(AE51&amp;AE53-0.1,tablas!$B$3:$J$92,4,FALSE),"Franja de losa")</f>
        <v>1.39</v>
      </c>
    </row>
    <row r="61" spans="2:31" ht="15" thickBot="1" x14ac:dyDescent="0.35">
      <c r="B61" s="101" t="s">
        <v>3</v>
      </c>
      <c r="C61" s="82">
        <f>IF(C53&lt;2,VLOOKUP(C51&amp;C53,tablas!$B$3:$J$92,5,FALSE),"Franja de losa")</f>
        <v>1.05</v>
      </c>
      <c r="D61" s="83">
        <f>IF(D53&lt;2,VLOOKUP(D51&amp;D53,tablas!$B$3:$J$92,5,FALSE),"Franja de losa")</f>
        <v>1.31</v>
      </c>
      <c r="E61" s="83">
        <f>IF(E53&lt;2,VLOOKUP(E51&amp;E53,tablas!$B$3:$J$92,5,FALSE),"Franja de losa")</f>
        <v>1.31</v>
      </c>
      <c r="F61" s="83">
        <f>IF(F53&lt;2,VLOOKUP(F51&amp;F53,tablas!$B$3:$J$92,5,FALSE),"Franja de losa")</f>
        <v>1.39</v>
      </c>
      <c r="G61" s="83">
        <f>IF(G53&lt;2,VLOOKUP(G51&amp;G53,tablas!$B$3:$J$92,5,FALSE),"Franja de losa")</f>
        <v>1.1000000000000001</v>
      </c>
      <c r="H61" s="83">
        <f>IF(H53&lt;2,VLOOKUP(H51&amp;H53,tablas!$B$3:$J$92,5,FALSE),"Franja de losa")</f>
        <v>1.24</v>
      </c>
      <c r="I61" s="83">
        <f>IF(I53&lt;2,VLOOKUP(I51&amp;I53,tablas!$B$3:$J$92,5,FALSE),"Franja de losa")</f>
        <v>1.05</v>
      </c>
      <c r="J61" s="83">
        <f>IF(J53&lt;2,VLOOKUP(J51&amp;J53,tablas!$B$3:$J$92,5,FALSE),"Franja de losa")</f>
        <v>1.17</v>
      </c>
      <c r="K61" s="83">
        <f>IF(K53&lt;2,VLOOKUP(K51&amp;K53,tablas!$B$3:$J$92,5,FALSE),"Franja de losa")</f>
        <v>1.17</v>
      </c>
      <c r="L61" s="83" t="str">
        <f>IF(L53&lt;=2,VLOOKUP(L51&amp;L53,tablas!$B$3:$J$92,5,FALSE),"Franja de losa")</f>
        <v>Franja de losa</v>
      </c>
      <c r="M61" s="83">
        <f>IF(M53&lt;=2,VLOOKUP(M51&amp;M53,tablas!$B$3:$J$92,5,FALSE),"Franja de losa")</f>
        <v>1.39</v>
      </c>
      <c r="N61" s="83">
        <f>IF(N53&lt;=2,VLOOKUP(N51&amp;N53,tablas!$B$3:$J$92,5,FALSE),"Franja de losa")</f>
        <v>1.39</v>
      </c>
      <c r="O61" s="83">
        <f>IF(O53&lt;=2,VLOOKUP(O51&amp;O53,tablas!$B$3:$J$92,5,FALSE),"Franja de losa")</f>
        <v>1.17</v>
      </c>
      <c r="P61" s="83">
        <f>IF(P53&lt;=2,VLOOKUP(P51&amp;P53,tablas!$B$3:$J$92,5,FALSE),"Franja de losa")</f>
        <v>1.17</v>
      </c>
      <c r="Q61" s="83">
        <f>IF(Q53&lt;=2,VLOOKUP(Q51&amp;Q53,tablas!$B$3:$J$92,5,FALSE),"Franja de losa")</f>
        <v>1.39</v>
      </c>
      <c r="R61" s="83" t="str">
        <f>IF(R53&lt;=2,VLOOKUP(R51&amp;R53,tablas!$B$3:$J$92,5,FALSE),"Franja de losa")</f>
        <v>Franja de losa</v>
      </c>
      <c r="S61" s="83" t="str">
        <f>IF(S53&lt;=2,VLOOKUP(S51&amp;S53,tablas!$B$3:$J$92,5,FALSE),"Franja de losa")</f>
        <v>Franja de losa</v>
      </c>
      <c r="T61" s="83">
        <f>IF(T53&lt;=2,VLOOKUP(T51&amp;T53,tablas!$B$3:$J$92,5,FALSE),"Franja de losa")</f>
        <v>1.39</v>
      </c>
      <c r="U61" s="83" t="str">
        <f>IF(U53&lt;=2,VLOOKUP(U51&amp;U53,tablas!$B$3:$J$92,5,FALSE),"Franja de losa")</f>
        <v>Franja de losa</v>
      </c>
      <c r="V61" s="83">
        <f>IF(V53&lt;=2,VLOOKUP(V51&amp;V53,tablas!$B$3:$J$92,5,FALSE),"Franja de losa")</f>
        <v>0.46</v>
      </c>
      <c r="W61" s="83" t="str">
        <f>IF(W53&lt;=2,VLOOKUP(W51&amp;W53,tablas!$B$3:$J$92,5,FALSE),"Franja de losa")</f>
        <v>Franja de losa</v>
      </c>
      <c r="X61" s="83">
        <f>IF(X53&lt;=2,VLOOKUP(X51&amp;X53,tablas!$B$3:$J$92,5,FALSE),"Franja de losa")</f>
        <v>1.31</v>
      </c>
      <c r="Y61" s="83">
        <f>IF(Y53&lt;=2,VLOOKUP(Y51&amp;Y53,tablas!$B$3:$J$92,5,FALSE),"Franja de losa")</f>
        <v>1.1000000000000001</v>
      </c>
      <c r="Z61" s="83" t="str">
        <f>IF(Z53&lt;=2,VLOOKUP(Z51&amp;Z53,tablas!$B$3:$J$92,5,FALSE),"Franja de losa")</f>
        <v>Franja de losa</v>
      </c>
      <c r="AA61" s="83">
        <f>IF(AA53&lt;=2,VLOOKUP(AA51&amp;AA53-0.1,tablas!$B$3:$J$92,5,FALSE),"Franja de losa")</f>
        <v>1.39</v>
      </c>
      <c r="AB61" s="83">
        <f>IF(AB53&lt;=2,VLOOKUP(AB51&amp;AB53,tablas!$B$3:$J$92,5,FALSE),"Franja de losa")</f>
        <v>1.31</v>
      </c>
      <c r="AC61" s="83">
        <f>IF(AC53&lt;=2,VLOOKUP(AC51&amp;AC53,tablas!$B$3:$J$92,5,FALSE),"Franja de losa")</f>
        <v>1.31</v>
      </c>
      <c r="AD61" s="83" t="str">
        <f>IF(AD53&lt;=2,VLOOKUP(AD51&amp;AD53,tablas!$B$3:$J$92,5,FALSE),"Franja de losa")</f>
        <v>Franja de losa</v>
      </c>
      <c r="AE61" s="83">
        <f>IF(AE53&lt;=2,VLOOKUP(AE51&amp;AE53-0.1,tablas!$B$3:$J$92,5,FALSE),"Franja de losa")</f>
        <v>1.39</v>
      </c>
    </row>
    <row r="62" spans="2:31" ht="15" thickBot="1" x14ac:dyDescent="0.35">
      <c r="B62" s="137" t="s">
        <v>87</v>
      </c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9"/>
    </row>
    <row r="63" spans="2:31" x14ac:dyDescent="0.3">
      <c r="B63" s="97" t="s">
        <v>83</v>
      </c>
      <c r="C63" s="84">
        <f>VLOOKUP(C$46,$B$16:$H$44,6)</f>
        <v>500</v>
      </c>
      <c r="D63" s="84">
        <f t="shared" ref="D63:AE63" si="12">VLOOKUP(D$46,$B$16:$H$44,6)</f>
        <v>500</v>
      </c>
      <c r="E63" s="84">
        <f t="shared" si="12"/>
        <v>500</v>
      </c>
      <c r="F63" s="84">
        <f t="shared" si="12"/>
        <v>500</v>
      </c>
      <c r="G63" s="84">
        <f t="shared" si="12"/>
        <v>500</v>
      </c>
      <c r="H63" s="84">
        <f t="shared" si="12"/>
        <v>500</v>
      </c>
      <c r="I63" s="84">
        <f t="shared" si="12"/>
        <v>500</v>
      </c>
      <c r="J63" s="84">
        <f t="shared" si="12"/>
        <v>500</v>
      </c>
      <c r="K63" s="84">
        <f t="shared" si="12"/>
        <v>500</v>
      </c>
      <c r="L63" s="84">
        <f t="shared" si="12"/>
        <v>500</v>
      </c>
      <c r="M63" s="84">
        <f t="shared" si="12"/>
        <v>500</v>
      </c>
      <c r="N63" s="84">
        <f t="shared" si="12"/>
        <v>400</v>
      </c>
      <c r="O63" s="84">
        <f t="shared" si="12"/>
        <v>400</v>
      </c>
      <c r="P63" s="84">
        <f t="shared" si="12"/>
        <v>500</v>
      </c>
      <c r="Q63" s="84">
        <f t="shared" si="12"/>
        <v>500</v>
      </c>
      <c r="R63" s="84">
        <f t="shared" si="12"/>
        <v>500</v>
      </c>
      <c r="S63" s="84">
        <f t="shared" si="12"/>
        <v>500</v>
      </c>
      <c r="T63" s="84">
        <f t="shared" si="12"/>
        <v>400</v>
      </c>
      <c r="U63" s="84">
        <f t="shared" si="12"/>
        <v>400</v>
      </c>
      <c r="V63" s="84">
        <f t="shared" si="12"/>
        <v>400</v>
      </c>
      <c r="W63" s="84">
        <f t="shared" si="12"/>
        <v>400</v>
      </c>
      <c r="X63" s="84">
        <f t="shared" si="12"/>
        <v>500</v>
      </c>
      <c r="Y63" s="84">
        <f t="shared" si="12"/>
        <v>500</v>
      </c>
      <c r="Z63" s="84">
        <f t="shared" si="12"/>
        <v>500</v>
      </c>
      <c r="AA63" s="84">
        <f t="shared" si="12"/>
        <v>500</v>
      </c>
      <c r="AB63" s="84">
        <f t="shared" si="12"/>
        <v>500</v>
      </c>
      <c r="AC63" s="84">
        <f t="shared" si="12"/>
        <v>500</v>
      </c>
      <c r="AD63" s="84">
        <f t="shared" si="12"/>
        <v>500</v>
      </c>
      <c r="AE63" s="84">
        <f t="shared" si="12"/>
        <v>400</v>
      </c>
    </row>
    <row r="64" spans="2:31" x14ac:dyDescent="0.3">
      <c r="B64" s="97" t="s">
        <v>89</v>
      </c>
      <c r="C64" s="76">
        <f>$L$7*($C$4/100)</f>
        <v>425.00000000000006</v>
      </c>
      <c r="D64" s="77">
        <f>$L$7*($C$4/100)</f>
        <v>425.00000000000006</v>
      </c>
      <c r="E64" s="77">
        <f t="shared" ref="E64:AE64" si="13">$L$7*($C$4/100)</f>
        <v>425.00000000000006</v>
      </c>
      <c r="F64" s="77">
        <f t="shared" si="13"/>
        <v>425.00000000000006</v>
      </c>
      <c r="G64" s="77">
        <f t="shared" si="13"/>
        <v>425.00000000000006</v>
      </c>
      <c r="H64" s="77">
        <f t="shared" si="13"/>
        <v>425.00000000000006</v>
      </c>
      <c r="I64" s="77">
        <f t="shared" si="13"/>
        <v>425.00000000000006</v>
      </c>
      <c r="J64" s="77">
        <f t="shared" si="13"/>
        <v>425.00000000000006</v>
      </c>
      <c r="K64" s="77">
        <f t="shared" si="13"/>
        <v>425.00000000000006</v>
      </c>
      <c r="L64" s="77">
        <f t="shared" si="13"/>
        <v>425.00000000000006</v>
      </c>
      <c r="M64" s="77">
        <f t="shared" si="13"/>
        <v>425.00000000000006</v>
      </c>
      <c r="N64" s="77">
        <f t="shared" si="13"/>
        <v>425.00000000000006</v>
      </c>
      <c r="O64" s="77">
        <f t="shared" si="13"/>
        <v>425.00000000000006</v>
      </c>
      <c r="P64" s="77">
        <f t="shared" si="13"/>
        <v>425.00000000000006</v>
      </c>
      <c r="Q64" s="77">
        <f t="shared" si="13"/>
        <v>425.00000000000006</v>
      </c>
      <c r="R64" s="77">
        <f t="shared" si="13"/>
        <v>425.00000000000006</v>
      </c>
      <c r="S64" s="77">
        <f t="shared" si="13"/>
        <v>425.00000000000006</v>
      </c>
      <c r="T64" s="77">
        <f t="shared" si="13"/>
        <v>425.00000000000006</v>
      </c>
      <c r="U64" s="77">
        <f t="shared" si="13"/>
        <v>425.00000000000006</v>
      </c>
      <c r="V64" s="77">
        <f t="shared" si="13"/>
        <v>425.00000000000006</v>
      </c>
      <c r="W64" s="77">
        <f t="shared" si="13"/>
        <v>425.00000000000006</v>
      </c>
      <c r="X64" s="77">
        <f t="shared" si="13"/>
        <v>425.00000000000006</v>
      </c>
      <c r="Y64" s="77">
        <f t="shared" si="13"/>
        <v>425.00000000000006</v>
      </c>
      <c r="Z64" s="77">
        <f t="shared" si="13"/>
        <v>425.00000000000006</v>
      </c>
      <c r="AA64" s="77">
        <f t="shared" si="13"/>
        <v>425.00000000000006</v>
      </c>
      <c r="AB64" s="77">
        <f t="shared" si="13"/>
        <v>425.00000000000006</v>
      </c>
      <c r="AC64" s="77">
        <f t="shared" si="13"/>
        <v>425.00000000000006</v>
      </c>
      <c r="AD64" s="77">
        <f t="shared" si="13"/>
        <v>425.00000000000006</v>
      </c>
      <c r="AE64" s="77">
        <f t="shared" si="13"/>
        <v>425.00000000000006</v>
      </c>
    </row>
    <row r="65" spans="2:31" x14ac:dyDescent="0.3">
      <c r="B65" s="97" t="s">
        <v>90</v>
      </c>
      <c r="C65" s="76">
        <f>C64+$I$8</f>
        <v>650</v>
      </c>
      <c r="D65" s="77">
        <f>D64+$I$8</f>
        <v>650</v>
      </c>
      <c r="E65" s="77">
        <f t="shared" ref="E65:R65" si="14">E64+$I$8</f>
        <v>650</v>
      </c>
      <c r="F65" s="77">
        <f t="shared" si="14"/>
        <v>650</v>
      </c>
      <c r="G65" s="77">
        <f t="shared" si="14"/>
        <v>650</v>
      </c>
      <c r="H65" s="77">
        <f t="shared" si="14"/>
        <v>650</v>
      </c>
      <c r="I65" s="77">
        <f t="shared" si="14"/>
        <v>650</v>
      </c>
      <c r="J65" s="77">
        <f t="shared" si="14"/>
        <v>650</v>
      </c>
      <c r="K65" s="77">
        <f t="shared" si="14"/>
        <v>650</v>
      </c>
      <c r="L65" s="77">
        <f t="shared" si="14"/>
        <v>650</v>
      </c>
      <c r="M65" s="77">
        <f t="shared" si="14"/>
        <v>650</v>
      </c>
      <c r="N65" s="77">
        <f t="shared" si="14"/>
        <v>650</v>
      </c>
      <c r="O65" s="77">
        <f t="shared" si="14"/>
        <v>650</v>
      </c>
      <c r="P65" s="77">
        <f t="shared" si="14"/>
        <v>650</v>
      </c>
      <c r="Q65" s="77">
        <f t="shared" si="14"/>
        <v>650</v>
      </c>
      <c r="R65" s="77">
        <f t="shared" si="14"/>
        <v>650</v>
      </c>
      <c r="S65" s="77">
        <f t="shared" ref="S65" si="15">S64+$I$8</f>
        <v>650</v>
      </c>
      <c r="T65" s="77">
        <f t="shared" ref="T65" si="16">T64+$I$8</f>
        <v>650</v>
      </c>
      <c r="U65" s="77">
        <f t="shared" ref="U65" si="17">U64+$I$8</f>
        <v>650</v>
      </c>
      <c r="V65" s="77">
        <f t="shared" ref="V65" si="18">V64+$I$8</f>
        <v>650</v>
      </c>
      <c r="W65" s="77">
        <f t="shared" ref="W65" si="19">W64+$I$8</f>
        <v>650</v>
      </c>
      <c r="X65" s="77">
        <f t="shared" ref="X65" si="20">X64+$I$8</f>
        <v>650</v>
      </c>
      <c r="Y65" s="77">
        <f t="shared" ref="Y65" si="21">Y64+$I$8</f>
        <v>650</v>
      </c>
      <c r="Z65" s="77">
        <f t="shared" ref="Z65" si="22">Z64+$I$8</f>
        <v>650</v>
      </c>
      <c r="AA65" s="77">
        <f t="shared" ref="AA65" si="23">AA64+$I$8</f>
        <v>650</v>
      </c>
      <c r="AB65" s="77">
        <f t="shared" ref="AB65" si="24">AB64+$I$8</f>
        <v>650</v>
      </c>
      <c r="AC65" s="77">
        <f t="shared" ref="AC65" si="25">AC64+$I$8</f>
        <v>650</v>
      </c>
      <c r="AD65" s="77">
        <f t="shared" ref="AD65" si="26">AD64+$I$8</f>
        <v>650</v>
      </c>
      <c r="AE65" s="77">
        <f t="shared" ref="AE65" si="27">AE64+$I$8</f>
        <v>650</v>
      </c>
    </row>
    <row r="66" spans="2:31" x14ac:dyDescent="0.3">
      <c r="B66" s="97" t="s">
        <v>91</v>
      </c>
      <c r="C66" s="76">
        <f>1.2*C65+1.6*C63</f>
        <v>1580</v>
      </c>
      <c r="D66" s="77">
        <f>1.2*D65+1.6*D63</f>
        <v>1580</v>
      </c>
      <c r="E66" s="77">
        <f t="shared" ref="E66:R66" si="28">1.2*E65+1.6*E63</f>
        <v>1580</v>
      </c>
      <c r="F66" s="77">
        <f t="shared" si="28"/>
        <v>1580</v>
      </c>
      <c r="G66" s="77">
        <f t="shared" si="28"/>
        <v>1580</v>
      </c>
      <c r="H66" s="77">
        <f t="shared" si="28"/>
        <v>1580</v>
      </c>
      <c r="I66" s="77">
        <f t="shared" si="28"/>
        <v>1580</v>
      </c>
      <c r="J66" s="77">
        <f t="shared" si="28"/>
        <v>1580</v>
      </c>
      <c r="K66" s="77">
        <f t="shared" si="28"/>
        <v>1580</v>
      </c>
      <c r="L66" s="77">
        <f t="shared" si="28"/>
        <v>1580</v>
      </c>
      <c r="M66" s="77">
        <f t="shared" si="28"/>
        <v>1580</v>
      </c>
      <c r="N66" s="77">
        <f t="shared" si="28"/>
        <v>1420</v>
      </c>
      <c r="O66" s="77">
        <f t="shared" si="28"/>
        <v>1420</v>
      </c>
      <c r="P66" s="77">
        <f t="shared" si="28"/>
        <v>1580</v>
      </c>
      <c r="Q66" s="77">
        <f t="shared" si="28"/>
        <v>1580</v>
      </c>
      <c r="R66" s="77">
        <f t="shared" si="28"/>
        <v>1580</v>
      </c>
      <c r="S66" s="77">
        <f t="shared" ref="S66" si="29">1.2*S65+1.6*S63</f>
        <v>1580</v>
      </c>
      <c r="T66" s="77">
        <f t="shared" ref="T66" si="30">1.2*T65+1.6*T63</f>
        <v>1420</v>
      </c>
      <c r="U66" s="77">
        <f t="shared" ref="U66" si="31">1.2*U65+1.6*U63</f>
        <v>1420</v>
      </c>
      <c r="V66" s="77">
        <f t="shared" ref="V66" si="32">1.2*V65+1.6*V63</f>
        <v>1420</v>
      </c>
      <c r="W66" s="77">
        <f t="shared" ref="W66" si="33">1.2*W65+1.6*W63</f>
        <v>1420</v>
      </c>
      <c r="X66" s="77">
        <f t="shared" ref="X66" si="34">1.2*X65+1.6*X63</f>
        <v>1580</v>
      </c>
      <c r="Y66" s="77">
        <f t="shared" ref="Y66" si="35">1.2*Y65+1.6*Y63</f>
        <v>1580</v>
      </c>
      <c r="Z66" s="77">
        <f t="shared" ref="Z66" si="36">1.2*Z65+1.6*Z63</f>
        <v>1580</v>
      </c>
      <c r="AA66" s="77">
        <f t="shared" ref="AA66" si="37">1.2*AA65+1.6*AA63</f>
        <v>1580</v>
      </c>
      <c r="AB66" s="77">
        <f t="shared" ref="AB66" si="38">1.2*AB65+1.6*AB63</f>
        <v>1580</v>
      </c>
      <c r="AC66" s="77">
        <f t="shared" ref="AC66" si="39">1.2*AC65+1.6*AC63</f>
        <v>1580</v>
      </c>
      <c r="AD66" s="77">
        <f t="shared" ref="AD66" si="40">1.2*AD65+1.6*AD63</f>
        <v>1580</v>
      </c>
      <c r="AE66" s="77">
        <f t="shared" ref="AE66" si="41">1.2*AE65+1.6*AE63</f>
        <v>1420</v>
      </c>
    </row>
    <row r="67" spans="2:31" s="60" customFormat="1" x14ac:dyDescent="0.3">
      <c r="B67" s="98" t="s">
        <v>92</v>
      </c>
      <c r="C67" s="85">
        <f>C66*C48*C49</f>
        <v>42107</v>
      </c>
      <c r="D67" s="86">
        <f>D66*D48*D49</f>
        <v>56880</v>
      </c>
      <c r="E67" s="86">
        <f t="shared" ref="E67:R67" si="42">E66*E48*E49</f>
        <v>56880</v>
      </c>
      <c r="F67" s="86">
        <f t="shared" si="42"/>
        <v>62331</v>
      </c>
      <c r="G67" s="86">
        <f t="shared" si="42"/>
        <v>35155</v>
      </c>
      <c r="H67" s="86">
        <f t="shared" si="42"/>
        <v>28440</v>
      </c>
      <c r="I67" s="86">
        <f t="shared" si="42"/>
        <v>46654.555999999997</v>
      </c>
      <c r="J67" s="86">
        <f t="shared" si="42"/>
        <v>63023.040000000008</v>
      </c>
      <c r="K67" s="86">
        <f t="shared" si="42"/>
        <v>63023.040000000008</v>
      </c>
      <c r="L67" s="86">
        <f>L66*L48*L49</f>
        <v>108014.48800000001</v>
      </c>
      <c r="M67" s="86">
        <f t="shared" si="42"/>
        <v>31511.52</v>
      </c>
      <c r="N67" s="86">
        <f t="shared" si="42"/>
        <v>80239.94</v>
      </c>
      <c r="O67" s="86">
        <f t="shared" si="42"/>
        <v>36976.800000000003</v>
      </c>
      <c r="P67" s="86">
        <f t="shared" si="42"/>
        <v>41143.200000000004</v>
      </c>
      <c r="Q67" s="86">
        <f t="shared" si="42"/>
        <v>90714.91</v>
      </c>
      <c r="R67" s="86">
        <f t="shared" si="42"/>
        <v>73825.5</v>
      </c>
      <c r="S67" s="86">
        <f t="shared" ref="S67" si="43">S66*S48*S49</f>
        <v>59724</v>
      </c>
      <c r="T67" s="86">
        <f t="shared" ref="T67" si="44">T66*T48*T49</f>
        <v>115296.04800000001</v>
      </c>
      <c r="U67" s="86">
        <f t="shared" ref="U67" si="45">U66*U48*U49</f>
        <v>22265.599999999995</v>
      </c>
      <c r="V67" s="86">
        <f t="shared" ref="V67" si="46">V66*V48*V49</f>
        <v>12047.28</v>
      </c>
      <c r="W67" s="86">
        <f t="shared" ref="W67" si="47">W66*W48*W49</f>
        <v>26190.48</v>
      </c>
      <c r="X67" s="86">
        <f t="shared" ref="X67" si="48">X66*X48*X49</f>
        <v>42707.4</v>
      </c>
      <c r="Y67" s="86">
        <f t="shared" ref="Y67" si="49">Y66*Y48*Y49</f>
        <v>73420.072</v>
      </c>
      <c r="Z67" s="86">
        <f t="shared" ref="Z67" si="50">Z66*Z48*Z49</f>
        <v>241375.96799999999</v>
      </c>
      <c r="AA67" s="86">
        <f t="shared" ref="AA67" si="51">AA66*AA48*AA49</f>
        <v>65096</v>
      </c>
      <c r="AB67" s="86">
        <f t="shared" ref="AB67" si="52">AB66*AB48*AB49</f>
        <v>71865.983999999997</v>
      </c>
      <c r="AC67" s="86">
        <f t="shared" ref="AC67" si="53">AC66*AC48*AC49</f>
        <v>113702.32999999999</v>
      </c>
      <c r="AD67" s="86">
        <f t="shared" ref="AD67" si="54">AD66*AD48*AD49</f>
        <v>57733.200000000004</v>
      </c>
      <c r="AE67" s="86">
        <f t="shared" ref="AE67" si="55">AE66*AE48*AE49</f>
        <v>14165.919999999998</v>
      </c>
    </row>
    <row r="68" spans="2:31" ht="15" thickBot="1" x14ac:dyDescent="0.35">
      <c r="B68" s="99" t="s">
        <v>93</v>
      </c>
      <c r="C68" s="87">
        <f>C63/(2*C66)</f>
        <v>0.15822784810126583</v>
      </c>
      <c r="D68" s="88">
        <f>D63/(2*D66)</f>
        <v>0.15822784810126583</v>
      </c>
      <c r="E68" s="88">
        <f t="shared" ref="E68:R68" si="56">E63/(2*E66)</f>
        <v>0.15822784810126583</v>
      </c>
      <c r="F68" s="88">
        <f t="shared" si="56"/>
        <v>0.15822784810126583</v>
      </c>
      <c r="G68" s="88">
        <f t="shared" si="56"/>
        <v>0.15822784810126583</v>
      </c>
      <c r="H68" s="88">
        <f t="shared" si="56"/>
        <v>0.15822784810126583</v>
      </c>
      <c r="I68" s="88">
        <f t="shared" si="56"/>
        <v>0.15822784810126583</v>
      </c>
      <c r="J68" s="88">
        <f t="shared" si="56"/>
        <v>0.15822784810126583</v>
      </c>
      <c r="K68" s="88">
        <f t="shared" si="56"/>
        <v>0.15822784810126583</v>
      </c>
      <c r="L68" s="88">
        <f t="shared" si="56"/>
        <v>0.15822784810126583</v>
      </c>
      <c r="M68" s="88">
        <f t="shared" si="56"/>
        <v>0.15822784810126583</v>
      </c>
      <c r="N68" s="88">
        <f t="shared" si="56"/>
        <v>0.14084507042253522</v>
      </c>
      <c r="O68" s="88">
        <f t="shared" si="56"/>
        <v>0.14084507042253522</v>
      </c>
      <c r="P68" s="88">
        <f t="shared" si="56"/>
        <v>0.15822784810126583</v>
      </c>
      <c r="Q68" s="88">
        <f t="shared" si="56"/>
        <v>0.15822784810126583</v>
      </c>
      <c r="R68" s="88">
        <f t="shared" si="56"/>
        <v>0.15822784810126583</v>
      </c>
      <c r="S68" s="88">
        <f t="shared" ref="S68:AC68" si="57">S63/(2*S66)</f>
        <v>0.15822784810126583</v>
      </c>
      <c r="T68" s="88">
        <f t="shared" si="57"/>
        <v>0.14084507042253522</v>
      </c>
      <c r="U68" s="88">
        <f t="shared" si="57"/>
        <v>0.14084507042253522</v>
      </c>
      <c r="V68" s="88">
        <f t="shared" si="57"/>
        <v>0.14084507042253522</v>
      </c>
      <c r="W68" s="88">
        <f t="shared" si="57"/>
        <v>0.14084507042253522</v>
      </c>
      <c r="X68" s="88">
        <f t="shared" si="57"/>
        <v>0.15822784810126583</v>
      </c>
      <c r="Y68" s="88">
        <f t="shared" si="57"/>
        <v>0.15822784810126583</v>
      </c>
      <c r="Z68" s="88">
        <f t="shared" si="57"/>
        <v>0.15822784810126583</v>
      </c>
      <c r="AA68" s="88">
        <f t="shared" si="57"/>
        <v>0.15822784810126583</v>
      </c>
      <c r="AB68" s="88">
        <f t="shared" si="57"/>
        <v>0.15822784810126583</v>
      </c>
      <c r="AC68" s="88">
        <f t="shared" si="57"/>
        <v>0.15822784810126583</v>
      </c>
      <c r="AD68" s="88">
        <f t="shared" ref="AD68:AE68" si="58">AD63/(2*AD66)</f>
        <v>0.15822784810126583</v>
      </c>
      <c r="AE68" s="88">
        <f t="shared" si="58"/>
        <v>0.14084507042253522</v>
      </c>
    </row>
    <row r="69" spans="2:31" ht="15" thickBot="1" x14ac:dyDescent="0.35">
      <c r="B69" s="137" t="s">
        <v>96</v>
      </c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9"/>
    </row>
    <row r="70" spans="2:31" x14ac:dyDescent="0.3">
      <c r="B70" s="96" t="s">
        <v>97</v>
      </c>
      <c r="C70" s="89">
        <f t="shared" ref="C70:U70" si="59">IF(C53&lt;=2,C67/C56*(1+C68*C60)*C54,IF(OR(C51=6,C51="5a",C51="3a"),C66*C48^2/17,(IF(OR(C51="2a",C51=4,C51="5b"),C66*C48^2/12,IF(OR(C51=1,C51="2b",C51="3b"),C66*C48^2/8)))))</f>
        <v>532.67147435897436</v>
      </c>
      <c r="D70" s="89">
        <f t="shared" si="59"/>
        <v>897.04054054054052</v>
      </c>
      <c r="E70" s="89">
        <f t="shared" si="59"/>
        <v>897.04054054054052</v>
      </c>
      <c r="F70" s="89">
        <f t="shared" si="59"/>
        <v>956.68389370932744</v>
      </c>
      <c r="G70" s="89">
        <f t="shared" si="59"/>
        <v>489.68855932203394</v>
      </c>
      <c r="H70" s="89">
        <f t="shared" si="59"/>
        <v>434.78475336322867</v>
      </c>
      <c r="I70" s="89">
        <f t="shared" si="59"/>
        <v>590.19999358974349</v>
      </c>
      <c r="J70" s="89">
        <f t="shared" si="59"/>
        <v>925.36630088495588</v>
      </c>
      <c r="K70" s="89">
        <f t="shared" si="59"/>
        <v>925.36630088495588</v>
      </c>
      <c r="L70" s="89">
        <f t="shared" si="59"/>
        <v>2852.5134117647062</v>
      </c>
      <c r="M70" s="89">
        <f t="shared" si="59"/>
        <v>483.65281561822127</v>
      </c>
      <c r="N70" s="89">
        <f t="shared" si="59"/>
        <v>1207.1660277657265</v>
      </c>
      <c r="O70" s="89">
        <f t="shared" si="59"/>
        <v>533.61260176991152</v>
      </c>
      <c r="P70" s="89">
        <f t="shared" si="59"/>
        <v>604.1049557522125</v>
      </c>
      <c r="Q70" s="89">
        <f t="shared" si="59"/>
        <v>1392.332760845987</v>
      </c>
      <c r="R70" s="89">
        <f t="shared" si="59"/>
        <v>1840.4676470588238</v>
      </c>
      <c r="S70" s="89">
        <f t="shared" si="59"/>
        <v>1204.5176470588237</v>
      </c>
      <c r="T70" s="89">
        <f t="shared" si="59"/>
        <v>1734.5660064208241</v>
      </c>
      <c r="U70" s="89">
        <f t="shared" si="59"/>
        <v>163.71764705882353</v>
      </c>
      <c r="V70" s="89">
        <f>IF(V53&lt;=2,V67/V56*(1+V68*V60)*V54,IF(OR(V51=6,V51="5a",V51="3a"),V66*V48^2/17,(IF(OR(V51="2a",V51=4,V51="5b"),V66*V48^2/12,IF(OR(V51=1,V51="2b",V51="3b"),V66*V48^2/8)))))</f>
        <v>264.02208000000002</v>
      </c>
      <c r="W70" s="89">
        <f t="shared" ref="W70:AE70" si="60">IF(W53&lt;=2,W67/W56*(1+W68*W60)*W54,IF(OR(W51=6,W51="5a",W51="3a"),W66*W48^2/17,(IF(OR(W51="2a",W51=4,W51="5b"),W66*W48^2/12,IF(OR(W51=1,W51="2b",W51="3b"),W66*W48^2/8)))))</f>
        <v>702.48235294117649</v>
      </c>
      <c r="X70" s="89">
        <f t="shared" si="60"/>
        <v>673.52793918918928</v>
      </c>
      <c r="Y70" s="89">
        <f t="shared" si="60"/>
        <v>1022.6986000000001</v>
      </c>
      <c r="Z70" s="89">
        <f t="shared" si="60"/>
        <v>6310.4828235294117</v>
      </c>
      <c r="AA70" s="89">
        <f t="shared" si="60"/>
        <v>999.1223427331887</v>
      </c>
      <c r="AB70" s="89">
        <f t="shared" si="60"/>
        <v>1133.3808216216214</v>
      </c>
      <c r="AC70" s="89">
        <f t="shared" si="60"/>
        <v>1793.1715816441438</v>
      </c>
      <c r="AD70" s="89">
        <f t="shared" si="60"/>
        <v>1204.5176470588237</v>
      </c>
      <c r="AE70" s="89">
        <f t="shared" si="60"/>
        <v>201.32712786885241</v>
      </c>
    </row>
    <row r="71" spans="2:31" x14ac:dyDescent="0.3">
      <c r="B71" s="97" t="s">
        <v>15</v>
      </c>
      <c r="C71" s="90">
        <f>C70/(0.9*(0.9*($C$7/100))*($L$9*1000))</f>
        <v>1.0243288226586944</v>
      </c>
      <c r="D71" s="91">
        <f>D70/(0.9*(0.9*($C$7/100))*($L$9*1000))</f>
        <v>1.7250116159773476</v>
      </c>
      <c r="E71" s="91">
        <f t="shared" ref="E71:R71" si="61">E70/(0.9*(0.9*($C$7/100))*($L$9*1000))</f>
        <v>1.7250116159773476</v>
      </c>
      <c r="F71" s="91">
        <f t="shared" si="61"/>
        <v>1.839705960750216</v>
      </c>
      <c r="G71" s="91">
        <f t="shared" si="61"/>
        <v>0.94167254975199766</v>
      </c>
      <c r="H71" s="91">
        <f t="shared" si="61"/>
        <v>0.83609236829973577</v>
      </c>
      <c r="I71" s="91">
        <f t="shared" si="61"/>
        <v>1.1349563355058332</v>
      </c>
      <c r="J71" s="91">
        <f t="shared" si="61"/>
        <v>1.7794821370042608</v>
      </c>
      <c r="K71" s="91">
        <f t="shared" si="61"/>
        <v>1.7794821370042608</v>
      </c>
      <c r="L71" s="91">
        <f t="shared" si="61"/>
        <v>5.4853917383268058</v>
      </c>
      <c r="M71" s="91">
        <f t="shared" si="61"/>
        <v>0.93006579673516632</v>
      </c>
      <c r="N71" s="91">
        <f t="shared" si="61"/>
        <v>2.3213838463246153</v>
      </c>
      <c r="O71" s="91">
        <f t="shared" si="61"/>
        <v>1.0261386134570043</v>
      </c>
      <c r="P71" s="91">
        <f t="shared" si="61"/>
        <v>1.1616956189227576</v>
      </c>
      <c r="Q71" s="91">
        <f t="shared" si="61"/>
        <v>2.6774600223952669</v>
      </c>
      <c r="R71" s="91">
        <f t="shared" si="61"/>
        <v>3.5392247357002105</v>
      </c>
      <c r="S71" s="91">
        <f t="shared" ref="S71" si="62">S70/(0.9*(0.9*($C$7/100))*($L$9*1000))</f>
        <v>2.3162910023822612</v>
      </c>
      <c r="T71" s="91">
        <f t="shared" ref="T71" si="63">T70/(0.9*(0.9*($C$7/100))*($L$9*1000))</f>
        <v>3.3355755671336174</v>
      </c>
      <c r="U71" s="91">
        <f t="shared" ref="U71" si="64">U70/(0.9*(0.9*($C$7/100))*($L$9*1000))</f>
        <v>0.31482952013157861</v>
      </c>
      <c r="V71" s="91">
        <f t="shared" ref="V71" si="65">V70/(0.9*(0.9*($C$7/100))*($L$9*1000))</f>
        <v>0.5077152417214722</v>
      </c>
      <c r="W71" s="91">
        <f t="shared" ref="W71" si="66">W70/(0.9*(0.9*($C$7/100))*($L$9*1000))</f>
        <v>1.3508756450543755</v>
      </c>
      <c r="X71" s="91">
        <f t="shared" ref="X71" si="67">X70/(0.9*(0.9*($C$7/100))*($L$9*1000))</f>
        <v>1.2951962216629922</v>
      </c>
      <c r="Y71" s="91">
        <f t="shared" ref="Y71" si="68">Y70/(0.9*(0.9*($C$7/100))*($L$9*1000))</f>
        <v>1.966652436444752</v>
      </c>
      <c r="Z71" s="91">
        <f t="shared" ref="Z71" si="69">Z70/(0.9*(0.9*($C$7/100))*($L$9*1000))</f>
        <v>12.135077157665879</v>
      </c>
      <c r="AA71" s="91">
        <f t="shared" ref="AA71" si="70">AA70/(0.9*(0.9*($C$7/100))*($L$9*1000))</f>
        <v>1.9213152239013662</v>
      </c>
      <c r="AB71" s="91">
        <f t="shared" ref="AB71" si="71">AB70/(0.9*(0.9*($C$7/100))*($L$9*1000))</f>
        <v>2.179494676400179</v>
      </c>
      <c r="AC71" s="91">
        <f t="shared" ref="AC71" si="72">AC70/(0.9*(0.9*($C$7/100))*($L$9*1000))</f>
        <v>3.4482742618440509</v>
      </c>
      <c r="AD71" s="91">
        <f t="shared" ref="AD71" si="73">AD70/(0.9*(0.9*($C$7/100))*($L$9*1000))</f>
        <v>2.3162910023822612</v>
      </c>
      <c r="AE71" s="91">
        <f t="shared" ref="AE71" si="74">AE70/(0.9*(0.9*($C$7/100))*($L$9*1000))</f>
        <v>0.38715266310690433</v>
      </c>
    </row>
    <row r="72" spans="2:31" x14ac:dyDescent="0.3">
      <c r="B72" s="97" t="s">
        <v>98</v>
      </c>
      <c r="C72" s="92">
        <f>(C71*($L$9))/(0.85*$L$6*100)</f>
        <v>1.4447610350895411E-2</v>
      </c>
      <c r="D72" s="93">
        <f>(D71*($L$9))/(0.85*$L$6*100)</f>
        <v>2.4330366506452625E-2</v>
      </c>
      <c r="E72" s="93">
        <f t="shared" ref="E72:R72" si="75">(E71*($L$9))/(0.85*$L$6*100)</f>
        <v>2.4330366506452625E-2</v>
      </c>
      <c r="F72" s="93">
        <f t="shared" si="75"/>
        <v>2.5948068914189899E-2</v>
      </c>
      <c r="G72" s="93">
        <f t="shared" si="75"/>
        <v>1.3281787816571263E-2</v>
      </c>
      <c r="H72" s="93">
        <f t="shared" si="75"/>
        <v>1.179263580926963E-2</v>
      </c>
      <c r="I72" s="93">
        <f t="shared" si="75"/>
        <v>1.6007952268792112E-2</v>
      </c>
      <c r="J72" s="93">
        <f t="shared" si="75"/>
        <v>2.5098644080996005E-2</v>
      </c>
      <c r="K72" s="93">
        <f t="shared" si="75"/>
        <v>2.5098644080996005E-2</v>
      </c>
      <c r="L72" s="93">
        <f t="shared" si="75"/>
        <v>7.7368517515369023E-2</v>
      </c>
      <c r="M72" s="93">
        <f t="shared" si="75"/>
        <v>1.3118080771219351E-2</v>
      </c>
      <c r="N72" s="93">
        <f t="shared" si="75"/>
        <v>3.2741877944535688E-2</v>
      </c>
      <c r="O72" s="93">
        <f t="shared" si="75"/>
        <v>1.4473136482438552E-2</v>
      </c>
      <c r="P72" s="93">
        <f t="shared" si="75"/>
        <v>1.6385095564308463E-2</v>
      </c>
      <c r="Q72" s="93">
        <f t="shared" si="75"/>
        <v>3.7764142019613589E-2</v>
      </c>
      <c r="R72" s="93">
        <f t="shared" si="75"/>
        <v>4.9918872528577699E-2</v>
      </c>
      <c r="S72" s="93">
        <f t="shared" ref="S72" si="76">(S71*($L$9))/(0.85*$L$6*100)</f>
        <v>3.2670046103793308E-2</v>
      </c>
      <c r="T72" s="93">
        <f t="shared" ref="T72" si="77">(T71*($L$9))/(0.85*$L$6*100)</f>
        <v>4.704650989399204E-2</v>
      </c>
      <c r="U72" s="93">
        <f t="shared" ref="U72" si="78">(U71*($L$9))/(0.85*$L$6*100)</f>
        <v>4.4405020470033169E-3</v>
      </c>
      <c r="V72" s="93">
        <f t="shared" ref="V72" si="79">(V71*($L$9))/(0.85*$L$6*100)</f>
        <v>7.1610520170304866E-3</v>
      </c>
      <c r="W72" s="93">
        <f t="shared" ref="W72" si="80">(W71*($L$9))/(0.85*$L$6*100)</f>
        <v>1.9053378681274435E-2</v>
      </c>
      <c r="X72" s="93">
        <f t="shared" ref="X72" si="81">(X71*($L$9))/(0.85*$L$6*100)</f>
        <v>1.8268050185261515E-2</v>
      </c>
      <c r="Y72" s="93">
        <f t="shared" ref="Y72" si="82">(Y71*($L$9))/(0.85*$L$6*100)</f>
        <v>2.7738581077553268E-2</v>
      </c>
      <c r="Z72" s="93">
        <f t="shared" ref="Z72" si="83">(Z71*($L$9))/(0.85*$L$6*100)</f>
        <v>0.17115877487167563</v>
      </c>
      <c r="AA72" s="93">
        <f t="shared" ref="AA72" si="84">(AA71*($L$9))/(0.85*$L$6*100)</f>
        <v>2.7099123935731908E-2</v>
      </c>
      <c r="AB72" s="93">
        <f t="shared" ref="AB72" si="85">(AB71*($L$9))/(0.85*$L$6*100)</f>
        <v>3.0740607068686001E-2</v>
      </c>
      <c r="AC72" s="93">
        <f t="shared" ref="AC72" si="86">(AC71*($L$9))/(0.85*$L$6*100)</f>
        <v>4.8636064724641749E-2</v>
      </c>
      <c r="AD72" s="93">
        <f t="shared" ref="AD72" si="87">(AD71*($L$9))/(0.85*$L$6*100)</f>
        <v>3.2670046103793308E-2</v>
      </c>
      <c r="AE72" s="93">
        <f t="shared" ref="AE72" si="88">(AE71*($L$9))/(0.85*$L$6*100)</f>
        <v>5.4605813086094929E-3</v>
      </c>
    </row>
    <row r="73" spans="2:31" ht="15" thickBot="1" x14ac:dyDescent="0.35">
      <c r="B73" s="97" t="s">
        <v>15</v>
      </c>
      <c r="C73" s="76">
        <f>ROUNDUP(C70/(0.9*(($C$7-C72/2)/100)*($L$9*1000)),2)</f>
        <v>0.93</v>
      </c>
      <c r="D73" s="77">
        <f>ROUNDUP(D70/(0.9*(($C$7-D72/2)/100)*($L$9*1000)),2)</f>
        <v>1.56</v>
      </c>
      <c r="E73" s="77">
        <f t="shared" ref="E73:R73" si="89">ROUNDUP(E70/(0.9*(($C$7-E72/2)/100)*($L$9*1000)),2)</f>
        <v>1.56</v>
      </c>
      <c r="F73" s="77">
        <f t="shared" si="89"/>
        <v>1.66</v>
      </c>
      <c r="G73" s="77">
        <f t="shared" si="89"/>
        <v>0.85</v>
      </c>
      <c r="H73" s="77">
        <f t="shared" si="89"/>
        <v>0.76</v>
      </c>
      <c r="I73" s="77">
        <f t="shared" si="89"/>
        <v>1.03</v>
      </c>
      <c r="J73" s="77">
        <f t="shared" si="89"/>
        <v>1.61</v>
      </c>
      <c r="K73" s="77">
        <f t="shared" si="89"/>
        <v>1.61</v>
      </c>
      <c r="L73" s="77">
        <f t="shared" si="89"/>
        <v>4.95</v>
      </c>
      <c r="M73" s="77">
        <f t="shared" si="89"/>
        <v>0.84</v>
      </c>
      <c r="N73" s="77">
        <f t="shared" si="89"/>
        <v>2.0999999999999996</v>
      </c>
      <c r="O73" s="77">
        <f t="shared" si="89"/>
        <v>0.93</v>
      </c>
      <c r="P73" s="77">
        <f t="shared" si="89"/>
        <v>1.05</v>
      </c>
      <c r="Q73" s="77">
        <f t="shared" si="89"/>
        <v>2.42</v>
      </c>
      <c r="R73" s="77">
        <f t="shared" si="89"/>
        <v>3.1999999999999997</v>
      </c>
      <c r="S73" s="77">
        <f t="shared" ref="S73" si="90">ROUNDUP(S70/(0.9*(($C$7-S72/2)/100)*($L$9*1000)),2)</f>
        <v>2.09</v>
      </c>
      <c r="T73" s="77">
        <f t="shared" ref="T73" si="91">ROUNDUP(T70/(0.9*(($C$7-T72/2)/100)*($L$9*1000)),2)</f>
        <v>3.01</v>
      </c>
      <c r="U73" s="77">
        <f t="shared" ref="U73" si="92">ROUNDUP(U70/(0.9*(($C$7-U72/2)/100)*($L$9*1000)),2)</f>
        <v>0.29000000000000004</v>
      </c>
      <c r="V73" s="77">
        <f t="shared" ref="V73" si="93">ROUNDUP(V70/(0.9*(($C$7-V72/2)/100)*($L$9*1000)),2)</f>
        <v>0.46</v>
      </c>
      <c r="W73" s="77">
        <f t="shared" ref="W73" si="94">ROUNDUP(W70/(0.9*(($C$7-W72/2)/100)*($L$9*1000)),2)</f>
        <v>1.22</v>
      </c>
      <c r="X73" s="77">
        <f t="shared" ref="X73" si="95">ROUNDUP(X70/(0.9*(($C$7-X72/2)/100)*($L$9*1000)),2)</f>
        <v>1.17</v>
      </c>
      <c r="Y73" s="77">
        <f t="shared" ref="Y73" si="96">ROUNDUP(Y70/(0.9*(($C$7-Y72/2)/100)*($L$9*1000)),2)</f>
        <v>1.78</v>
      </c>
      <c r="Z73" s="77">
        <f t="shared" ref="Z73" si="97">ROUNDUP(Z70/(0.9*(($C$7-Z72/2)/100)*($L$9*1000)),2)</f>
        <v>10.99</v>
      </c>
      <c r="AA73" s="77">
        <f t="shared" ref="AA73" si="98">ROUNDUP(AA70/(0.9*(($C$7-AA72/2)/100)*($L$9*1000)),2)</f>
        <v>1.74</v>
      </c>
      <c r="AB73" s="77">
        <f t="shared" ref="AB73" si="99">ROUNDUP(AB70/(0.9*(($C$7-AB72/2)/100)*($L$9*1000)),2)</f>
        <v>1.97</v>
      </c>
      <c r="AC73" s="77">
        <f t="shared" ref="AC73" si="100">ROUNDUP(AC70/(0.9*(($C$7-AC72/2)/100)*($L$9*1000)),2)</f>
        <v>3.11</v>
      </c>
      <c r="AD73" s="77">
        <f t="shared" ref="AD73" si="101">ROUNDUP(AD70/(0.9*(($C$7-AD72/2)/100)*($L$9*1000)),2)</f>
        <v>2.09</v>
      </c>
      <c r="AE73" s="77">
        <f t="shared" ref="AE73" si="102">ROUNDUP(AE70/(0.9*(($C$7-AE72/2)/100)*($L$9*1000)),2)</f>
        <v>0.35000000000000003</v>
      </c>
    </row>
    <row r="74" spans="2:31" ht="16.2" thickBot="1" x14ac:dyDescent="0.35">
      <c r="B74" s="61" t="s">
        <v>100</v>
      </c>
      <c r="C74" s="94" t="str">
        <f>IF(C73&gt;$C$12,"φ"&amp;IF(VLOOKUP(VLOOKUP(C73,tablas!$R$3:$T$66,2,TRUE)&amp;VLOOKUP(C73,tablas!$R$3:$T$66,3,TRUE),tablas!$Q$3:$R$66,2,FALSE)&lt;C73,VLOOKUP(C73+0.1,tablas!$R$3:$T$66,2,TRUE),VLOOKUP(C73,tablas!$R$3:$T$66,2,TRUE))&amp;"@"&amp;IF(VLOOKUP(VLOOKUP(C73,tablas!$R$3:$T$66,2,TRUE)&amp;VLOOKUP(C73,tablas!$R$3:$T$66,3,TRUE),tablas!$Q$3:$R$66,2,FALSE)&lt;C73,VLOOKUP(C73+0.1,tablas!$R$3:$T$66,3,TRUE),VLOOKUP(C73,tablas!$R$3:$T$66,3,TRUE)),$C$13)</f>
        <v>φ8@16</v>
      </c>
      <c r="D74" s="95" t="str">
        <f>IF(D73&gt;$C$12,"φ"&amp;IF(VLOOKUP(VLOOKUP(D73,tablas!$R$3:$T$66,2,TRUE)&amp;VLOOKUP(D73,tablas!$R$3:$T$66,3,TRUE),tablas!$Q$3:$R$66,2,FALSE)&lt;D73,VLOOKUP(D73+0.1,tablas!$R$3:$T$66,2,TRUE),VLOOKUP(D73,tablas!$R$3:$T$66,2,TRUE))&amp;"@"&amp;IF(VLOOKUP(VLOOKUP(D73,tablas!$R$3:$T$66,2,TRUE)&amp;VLOOKUP(D73,tablas!$R$3:$T$66,3,TRUE),tablas!$Q$3:$R$66,2,FALSE)&lt;D73,VLOOKUP(D73+0.1,tablas!$R$3:$T$66,3,TRUE),VLOOKUP(D73,tablas!$R$3:$T$66,3,TRUE)),$C$13)</f>
        <v>φ8@16</v>
      </c>
      <c r="E74" s="95" t="str">
        <f>IF(E73&gt;$C$12,"φ"&amp;IF(VLOOKUP(VLOOKUP(E73,tablas!$R$3:$T$66,2,TRUE)&amp;VLOOKUP(E73,tablas!$R$3:$T$66,3,TRUE),tablas!$Q$3:$R$66,2,FALSE)&lt;E73,VLOOKUP(E73+0.1,tablas!$R$3:$T$66,2,TRUE),VLOOKUP(E73,tablas!$R$3:$T$66,2,TRUE))&amp;"@"&amp;IF(VLOOKUP(VLOOKUP(E73,tablas!$R$3:$T$66,2,TRUE)&amp;VLOOKUP(E73,tablas!$R$3:$T$66,3,TRUE),tablas!$Q$3:$R$66,2,FALSE)&lt;E73,VLOOKUP(E73+0.1,tablas!$R$3:$T$66,3,TRUE),VLOOKUP(E73,tablas!$R$3:$T$66,3,TRUE)),$C$13)</f>
        <v>φ8@16</v>
      </c>
      <c r="F74" s="95" t="str">
        <f>IF(F73&gt;$C$12,"φ"&amp;IF(VLOOKUP(VLOOKUP(F73,tablas!$R$3:$T$66,2,TRUE)&amp;VLOOKUP(F73,tablas!$R$3:$T$66,3,TRUE),tablas!$Q$3:$R$66,2,FALSE)&lt;F73,VLOOKUP(F73+0.1,tablas!$R$3:$T$66,2,TRUE),VLOOKUP(F73,tablas!$R$3:$T$66,2,TRUE))&amp;"@"&amp;IF(VLOOKUP(VLOOKUP(F73,tablas!$R$3:$T$66,2,TRUE)&amp;VLOOKUP(F73,tablas!$R$3:$T$66,3,TRUE),tablas!$Q$3:$R$66,2,FALSE)&lt;F73,VLOOKUP(F73+0.1,tablas!$R$3:$T$66,3,TRUE),VLOOKUP(F73,tablas!$R$3:$T$66,3,TRUE)),$C$13)</f>
        <v>φ8@16</v>
      </c>
      <c r="G74" s="95" t="str">
        <f>IF(G73&gt;$C$12,"φ"&amp;IF(VLOOKUP(VLOOKUP(G73,tablas!$R$3:$T$66,2,TRUE)&amp;VLOOKUP(G73,tablas!$R$3:$T$66,3,TRUE),tablas!$Q$3:$R$66,2,FALSE)&lt;G73,VLOOKUP(G73+0.1,tablas!$R$3:$T$66,2,TRUE),VLOOKUP(G73,tablas!$R$3:$T$66,2,TRUE))&amp;"@"&amp;IF(VLOOKUP(VLOOKUP(G73,tablas!$R$3:$T$66,2,TRUE)&amp;VLOOKUP(G73,tablas!$R$3:$T$66,3,TRUE),tablas!$Q$3:$R$66,2,FALSE)&lt;G73,VLOOKUP(G73+0.1,tablas!$R$3:$T$66,3,TRUE),VLOOKUP(G73,tablas!$R$3:$T$66,3,TRUE)),$C$13)</f>
        <v>φ8@16</v>
      </c>
      <c r="H74" s="95" t="str">
        <f>IF(H73&gt;$C$12,"φ"&amp;IF(VLOOKUP(VLOOKUP(H73,tablas!$R$3:$T$66,2,TRUE)&amp;VLOOKUP(H73,tablas!$R$3:$T$66,3,TRUE),tablas!$Q$3:$R$66,2,FALSE)&lt;H73,VLOOKUP(H73+0.1,tablas!$R$3:$T$66,2,TRUE),VLOOKUP(H73,tablas!$R$3:$T$66,2,TRUE))&amp;"@"&amp;IF(VLOOKUP(VLOOKUP(H73,tablas!$R$3:$T$66,2,TRUE)&amp;VLOOKUP(H73,tablas!$R$3:$T$66,3,TRUE),tablas!$Q$3:$R$66,2,FALSE)&lt;H73,VLOOKUP(H73+0.1,tablas!$R$3:$T$66,3,TRUE),VLOOKUP(H73,tablas!$R$3:$T$66,3,TRUE)),$C$13)</f>
        <v>φ8@16</v>
      </c>
      <c r="I74" s="95" t="str">
        <f>IF(I73&gt;$C$12,"φ"&amp;IF(VLOOKUP(VLOOKUP(I73,tablas!$R$3:$T$66,2,TRUE)&amp;VLOOKUP(I73,tablas!$R$3:$T$66,3,TRUE),tablas!$Q$3:$R$66,2,FALSE)&lt;I73,VLOOKUP(I73+0.1,tablas!$R$3:$T$66,2,TRUE),VLOOKUP(I73,tablas!$R$3:$T$66,2,TRUE))&amp;"@"&amp;IF(VLOOKUP(VLOOKUP(I73,tablas!$R$3:$T$66,2,TRUE)&amp;VLOOKUP(I73,tablas!$R$3:$T$66,3,TRUE),tablas!$Q$3:$R$66,2,FALSE)&lt;I73,VLOOKUP(I73+0.1,tablas!$R$3:$T$66,3,TRUE),VLOOKUP(I73,tablas!$R$3:$T$66,3,TRUE)),$C$13)</f>
        <v>φ8@16</v>
      </c>
      <c r="J74" s="95" t="str">
        <f>IF(J73&gt;$C$12,"φ"&amp;IF(VLOOKUP(VLOOKUP(J73,tablas!$R$3:$T$66,2,TRUE)&amp;VLOOKUP(J73,tablas!$R$3:$T$66,3,TRUE),tablas!$Q$3:$R$66,2,FALSE)&lt;J73,VLOOKUP(J73+0.1,tablas!$R$3:$T$66,2,TRUE),VLOOKUP(J73,tablas!$R$3:$T$66,2,TRUE))&amp;"@"&amp;IF(VLOOKUP(VLOOKUP(J73,tablas!$R$3:$T$66,2,TRUE)&amp;VLOOKUP(J73,tablas!$R$3:$T$66,3,TRUE),tablas!$Q$3:$R$66,2,FALSE)&lt;J73,VLOOKUP(J73+0.1,tablas!$R$3:$T$66,3,TRUE),VLOOKUP(J73,tablas!$R$3:$T$66,3,TRUE)),$C$13)</f>
        <v>φ8@16</v>
      </c>
      <c r="K74" s="95" t="str">
        <f>IF(K73&gt;$C$12,"φ"&amp;IF(VLOOKUP(VLOOKUP(K73,tablas!$R$3:$T$66,2,TRUE)&amp;VLOOKUP(K73,tablas!$R$3:$T$66,3,TRUE),tablas!$Q$3:$R$66,2,FALSE)&lt;K73,VLOOKUP(K73+0.1,tablas!$R$3:$T$66,2,TRUE),VLOOKUP(K73,tablas!$R$3:$T$66,2,TRUE))&amp;"@"&amp;IF(VLOOKUP(VLOOKUP(K73,tablas!$R$3:$T$66,2,TRUE)&amp;VLOOKUP(K73,tablas!$R$3:$T$66,3,TRUE),tablas!$Q$3:$R$66,2,FALSE)&lt;K73,VLOOKUP(K73+0.1,tablas!$R$3:$T$66,3,TRUE),VLOOKUP(K73,tablas!$R$3:$T$66,3,TRUE)),$C$13)</f>
        <v>φ8@16</v>
      </c>
      <c r="L74" s="95" t="str">
        <f>IF(L73&gt;$C$12,"φ"&amp;IF(VLOOKUP(VLOOKUP(L73,tablas!$R$3:$T$66,2,TRUE)&amp;VLOOKUP(L73,tablas!$R$3:$T$66,3,TRUE),tablas!$Q$3:$R$66,2,FALSE)&lt;L73,VLOOKUP(L73+0.1,tablas!$R$3:$T$66,2,TRUE),VLOOKUP(L73,tablas!$R$3:$T$66,2,TRUE))&amp;"@"&amp;IF(VLOOKUP(VLOOKUP(L73,tablas!$R$3:$T$66,2,TRUE)&amp;VLOOKUP(L73,tablas!$R$3:$T$66,3,TRUE),tablas!$Q$3:$R$66,2,FALSE)&lt;L73,VLOOKUP(L73+0.1,tablas!$R$3:$T$66,3,TRUE),VLOOKUP(L73,tablas!$R$3:$T$66,3,TRUE)),$C$13)</f>
        <v>φ8@10</v>
      </c>
      <c r="M74" s="95" t="str">
        <f>IF(M73&gt;$C$12,"φ"&amp;IF(VLOOKUP(VLOOKUP(M73,tablas!$R$3:$T$66,2,TRUE)&amp;VLOOKUP(M73,tablas!$R$3:$T$66,3,TRUE),tablas!$Q$3:$R$66,2,FALSE)&lt;M73,VLOOKUP(M73+0.1,tablas!$R$3:$T$66,2,TRUE),VLOOKUP(M73,tablas!$R$3:$T$66,2,TRUE))&amp;"@"&amp;IF(VLOOKUP(VLOOKUP(M73,tablas!$R$3:$T$66,2,TRUE)&amp;VLOOKUP(M73,tablas!$R$3:$T$66,3,TRUE),tablas!$Q$3:$R$66,2,FALSE)&lt;M73,VLOOKUP(M73+0.1,tablas!$R$3:$T$66,3,TRUE),VLOOKUP(M73,tablas!$R$3:$T$66,3,TRUE)),$C$13)</f>
        <v>φ8@16</v>
      </c>
      <c r="N74" s="95" t="str">
        <f>IF(N73&gt;$C$12,"φ"&amp;IF(VLOOKUP(VLOOKUP(N73,tablas!$R$3:$T$66,2,TRUE)&amp;VLOOKUP(N73,tablas!$R$3:$T$66,3,TRUE),tablas!$Q$3:$R$66,2,FALSE)&lt;N73,VLOOKUP(N73+0.1,tablas!$R$3:$T$66,2,TRUE),VLOOKUP(N73,tablas!$R$3:$T$66,2,TRUE))&amp;"@"&amp;IF(VLOOKUP(VLOOKUP(N73,tablas!$R$3:$T$66,2,TRUE)&amp;VLOOKUP(N73,tablas!$R$3:$T$66,3,TRUE),tablas!$Q$3:$R$66,2,FALSE)&lt;N73,VLOOKUP(N73+0.1,tablas!$R$3:$T$66,3,TRUE),VLOOKUP(N73,tablas!$R$3:$T$66,3,TRUE)),$C$13)</f>
        <v>φ8@16</v>
      </c>
      <c r="O74" s="95" t="str">
        <f>IF(O73&gt;$C$12,"φ"&amp;IF(VLOOKUP(VLOOKUP(O73,tablas!$R$3:$T$66,2,TRUE)&amp;VLOOKUP(O73,tablas!$R$3:$T$66,3,TRUE),tablas!$Q$3:$R$66,2,FALSE)&lt;O73,VLOOKUP(O73+0.1,tablas!$R$3:$T$66,2,TRUE),VLOOKUP(O73,tablas!$R$3:$T$66,2,TRUE))&amp;"@"&amp;IF(VLOOKUP(VLOOKUP(O73,tablas!$R$3:$T$66,2,TRUE)&amp;VLOOKUP(O73,tablas!$R$3:$T$66,3,TRUE),tablas!$Q$3:$R$66,2,FALSE)&lt;O73,VLOOKUP(O73+0.1,tablas!$R$3:$T$66,3,TRUE),VLOOKUP(O73,tablas!$R$3:$T$66,3,TRUE)),$C$13)</f>
        <v>φ8@16</v>
      </c>
      <c r="P74" s="95" t="str">
        <f>IF(P73&gt;$C$12,"φ"&amp;IF(VLOOKUP(VLOOKUP(P73,tablas!$R$3:$T$66,2,TRUE)&amp;VLOOKUP(P73,tablas!$R$3:$T$66,3,TRUE),tablas!$Q$3:$R$66,2,FALSE)&lt;P73,VLOOKUP(P73+0.1,tablas!$R$3:$T$66,2,TRUE),VLOOKUP(P73,tablas!$R$3:$T$66,2,TRUE))&amp;"@"&amp;IF(VLOOKUP(VLOOKUP(P73,tablas!$R$3:$T$66,2,TRUE)&amp;VLOOKUP(P73,tablas!$R$3:$T$66,3,TRUE),tablas!$Q$3:$R$66,2,FALSE)&lt;P73,VLOOKUP(P73+0.1,tablas!$R$3:$T$66,3,TRUE),VLOOKUP(P73,tablas!$R$3:$T$66,3,TRUE)),$C$13)</f>
        <v>φ8@16</v>
      </c>
      <c r="Q74" s="95" t="str">
        <f>IF(Q73&gt;$C$12,"φ"&amp;IF(VLOOKUP(VLOOKUP(Q73,tablas!$R$3:$T$66,2,TRUE)&amp;VLOOKUP(Q73,tablas!$R$3:$T$66,3,TRUE),tablas!$Q$3:$R$66,2,FALSE)&lt;Q73,VLOOKUP(Q73+0.1,tablas!$R$3:$T$66,2,TRUE),VLOOKUP(Q73,tablas!$R$3:$T$66,2,TRUE))&amp;"@"&amp;IF(VLOOKUP(VLOOKUP(Q73,tablas!$R$3:$T$66,2,TRUE)&amp;VLOOKUP(Q73,tablas!$R$3:$T$66,3,TRUE),tablas!$Q$3:$R$66,2,FALSE)&lt;Q73,VLOOKUP(Q73+0.1,tablas!$R$3:$T$66,3,TRUE),VLOOKUP(Q73,tablas!$R$3:$T$66,3,TRUE)),$C$13)</f>
        <v>φ8@16</v>
      </c>
      <c r="R74" s="95" t="str">
        <f>IF(R73&gt;$C$12,"φ"&amp;IF(VLOOKUP(VLOOKUP(R73,tablas!$R$3:$T$66,2,TRUE)&amp;VLOOKUP(R73,tablas!$R$3:$T$66,3,TRUE),tablas!$Q$3:$R$66,2,FALSE)&lt;R73,VLOOKUP(R73+0.1,tablas!$R$3:$T$66,2,TRUE),VLOOKUP(R73,tablas!$R$3:$T$66,2,TRUE))&amp;"@"&amp;IF(VLOOKUP(VLOOKUP(R73,tablas!$R$3:$T$66,2,TRUE)&amp;VLOOKUP(R73,tablas!$R$3:$T$66,3,TRUE),tablas!$Q$3:$R$66,2,FALSE)&lt;R73,VLOOKUP(R73+0.1,tablas!$R$3:$T$66,3,TRUE),VLOOKUP(R73,tablas!$R$3:$T$66,3,TRUE)),$C$13)</f>
        <v>φ10@24</v>
      </c>
      <c r="S74" s="95" t="str">
        <f>IF(S73&gt;$C$12,"φ"&amp;IF(VLOOKUP(VLOOKUP(S73,tablas!$R$3:$T$66,2,TRUE)&amp;VLOOKUP(S73,tablas!$R$3:$T$66,3,TRUE),tablas!$Q$3:$R$66,2,FALSE)&lt;S73,VLOOKUP(S73+0.1,tablas!$R$3:$T$66,2,TRUE),VLOOKUP(S73,tablas!$R$3:$T$66,2,TRUE))&amp;"@"&amp;IF(VLOOKUP(VLOOKUP(S73,tablas!$R$3:$T$66,2,TRUE)&amp;VLOOKUP(S73,tablas!$R$3:$T$66,3,TRUE),tablas!$Q$3:$R$66,2,FALSE)&lt;S73,VLOOKUP(S73+0.1,tablas!$R$3:$T$66,3,TRUE),VLOOKUP(S73,tablas!$R$3:$T$66,3,TRUE)),$C$13)</f>
        <v>φ8@16</v>
      </c>
      <c r="T74" s="95" t="str">
        <f>IF(T73&gt;$C$12,"φ"&amp;IF(VLOOKUP(VLOOKUP(T73,tablas!$R$3:$T$66,2,TRUE)&amp;VLOOKUP(T73,tablas!$R$3:$T$66,3,TRUE),tablas!$Q$3:$R$66,2,FALSE)&lt;T73,VLOOKUP(T73+0.1,tablas!$R$3:$T$66,2,TRUE),VLOOKUP(T73,tablas!$R$3:$T$66,2,TRUE))&amp;"@"&amp;IF(VLOOKUP(VLOOKUP(T73,tablas!$R$3:$T$66,2,TRUE)&amp;VLOOKUP(T73,tablas!$R$3:$T$66,3,TRUE),tablas!$Q$3:$R$66,2,FALSE)&lt;T73,VLOOKUP(T73+0.1,tablas!$R$3:$T$66,3,TRUE),VLOOKUP(T73,tablas!$R$3:$T$66,3,TRUE)),$C$13)</f>
        <v>φ8@16</v>
      </c>
      <c r="U74" s="95" t="str">
        <f>IF(U73&gt;$C$12,"φ"&amp;IF(VLOOKUP(VLOOKUP(U73,tablas!$R$3:$T$66,2,TRUE)&amp;VLOOKUP(U73,tablas!$R$3:$T$66,3,TRUE),tablas!$Q$3:$R$66,2,FALSE)&lt;U73,VLOOKUP(U73+0.1,tablas!$R$3:$T$66,2,TRUE),VLOOKUP(U73,tablas!$R$3:$T$66,2,TRUE))&amp;"@"&amp;IF(VLOOKUP(VLOOKUP(U73,tablas!$R$3:$T$66,2,TRUE)&amp;VLOOKUP(U73,tablas!$R$3:$T$66,3,TRUE),tablas!$Q$3:$R$66,2,FALSE)&lt;U73,VLOOKUP(U73+0.1,tablas!$R$3:$T$66,3,TRUE),VLOOKUP(U73,tablas!$R$3:$T$66,3,TRUE)),$C$13)</f>
        <v>φ8@16</v>
      </c>
      <c r="V74" s="95" t="str">
        <f>IF(V73&gt;$C$12,"φ"&amp;IF(VLOOKUP(VLOOKUP(V73,tablas!$R$3:$T$66,2,TRUE)&amp;VLOOKUP(V73,tablas!$R$3:$T$66,3,TRUE),tablas!$Q$3:$R$66,2,FALSE)&lt;V73,VLOOKUP(V73+0.1,tablas!$R$3:$T$66,2,TRUE),VLOOKUP(V73,tablas!$R$3:$T$66,2,TRUE))&amp;"@"&amp;IF(VLOOKUP(VLOOKUP(V73,tablas!$R$3:$T$66,2,TRUE)&amp;VLOOKUP(V73,tablas!$R$3:$T$66,3,TRUE),tablas!$Q$3:$R$66,2,FALSE)&lt;V73,VLOOKUP(V73+0.1,tablas!$R$3:$T$66,3,TRUE),VLOOKUP(V73,tablas!$R$3:$T$66,3,TRUE)),$C$13)</f>
        <v>φ8@16</v>
      </c>
      <c r="W74" s="95" t="str">
        <f>IF(W73&gt;$C$12,"φ"&amp;IF(VLOOKUP(VLOOKUP(W73,tablas!$R$3:$T$66,2,TRUE)&amp;VLOOKUP(W73,tablas!$R$3:$T$66,3,TRUE),tablas!$Q$3:$R$66,2,FALSE)&lt;W73,VLOOKUP(W73+0.1,tablas!$R$3:$T$66,2,TRUE),VLOOKUP(W73,tablas!$R$3:$T$66,2,TRUE))&amp;"@"&amp;IF(VLOOKUP(VLOOKUP(W73,tablas!$R$3:$T$66,2,TRUE)&amp;VLOOKUP(W73,tablas!$R$3:$T$66,3,TRUE),tablas!$Q$3:$R$66,2,FALSE)&lt;W73,VLOOKUP(W73+0.1,tablas!$R$3:$T$66,3,TRUE),VLOOKUP(W73,tablas!$R$3:$T$66,3,TRUE)),$C$13)</f>
        <v>φ8@16</v>
      </c>
      <c r="X74" s="95" t="str">
        <f>IF(X73&gt;$C$12,"φ"&amp;IF(VLOOKUP(VLOOKUP(X73,tablas!$R$3:$T$66,2,TRUE)&amp;VLOOKUP(X73,tablas!$R$3:$T$66,3,TRUE),tablas!$Q$3:$R$66,2,FALSE)&lt;X73,VLOOKUP(X73+0.1,tablas!$R$3:$T$66,2,TRUE),VLOOKUP(X73,tablas!$R$3:$T$66,2,TRUE))&amp;"@"&amp;IF(VLOOKUP(VLOOKUP(X73,tablas!$R$3:$T$66,2,TRUE)&amp;VLOOKUP(X73,tablas!$R$3:$T$66,3,TRUE),tablas!$Q$3:$R$66,2,FALSE)&lt;X73,VLOOKUP(X73+0.1,tablas!$R$3:$T$66,3,TRUE),VLOOKUP(X73,tablas!$R$3:$T$66,3,TRUE)),$C$13)</f>
        <v>φ8@16</v>
      </c>
      <c r="Y74" s="95" t="str">
        <f>IF(Y73&gt;$C$12,"φ"&amp;IF(VLOOKUP(VLOOKUP(Y73,tablas!$R$3:$T$66,2,TRUE)&amp;VLOOKUP(Y73,tablas!$R$3:$T$66,3,TRUE),tablas!$Q$3:$R$66,2,FALSE)&lt;Y73,VLOOKUP(Y73+0.1,tablas!$R$3:$T$66,2,TRUE),VLOOKUP(Y73,tablas!$R$3:$T$66,2,TRUE))&amp;"@"&amp;IF(VLOOKUP(VLOOKUP(Y73,tablas!$R$3:$T$66,2,TRUE)&amp;VLOOKUP(Y73,tablas!$R$3:$T$66,3,TRUE),tablas!$Q$3:$R$66,2,FALSE)&lt;Y73,VLOOKUP(Y73+0.1,tablas!$R$3:$T$66,3,TRUE),VLOOKUP(Y73,tablas!$R$3:$T$66,3,TRUE)),$C$13)</f>
        <v>φ8@16</v>
      </c>
      <c r="Z74" s="95" t="str">
        <f>IF(Z73&gt;$C$12,"φ"&amp;IF(VLOOKUP(VLOOKUP(Z73,tablas!$R$3:$T$66,2,TRUE)&amp;VLOOKUP(Z73,tablas!$R$3:$T$66,3,TRUE),tablas!$Q$3:$R$66,2,FALSE)&lt;Z73,VLOOKUP(Z73+0.1,tablas!$R$3:$T$66,2,TRUE),VLOOKUP(Z73,tablas!$R$3:$T$66,2,TRUE))&amp;"@"&amp;IF(VLOOKUP(VLOOKUP(Z73,tablas!$R$3:$T$66,2,TRUE)&amp;VLOOKUP(Z73,tablas!$R$3:$T$66,3,TRUE),tablas!$Q$3:$R$66,2,FALSE)&lt;Z73,VLOOKUP(Z73+0.1,tablas!$R$3:$T$66,3,TRUE),VLOOKUP(Z73,tablas!$R$3:$T$66,3,TRUE)),$C$13)</f>
        <v>φ16@19</v>
      </c>
      <c r="AA74" s="95" t="str">
        <f>IF(AA73&gt;$C$12,"φ"&amp;IF(VLOOKUP(VLOOKUP(AA73,tablas!$R$3:$T$66,2,TRUE)&amp;VLOOKUP(AA73,tablas!$R$3:$T$66,3,TRUE),tablas!$Q$3:$R$66,2,FALSE)&lt;AA73,VLOOKUP(AA73+0.1,tablas!$R$3:$T$66,2,TRUE),VLOOKUP(AA73,tablas!$R$3:$T$66,2,TRUE))&amp;"@"&amp;IF(VLOOKUP(VLOOKUP(AA73,tablas!$R$3:$T$66,2,TRUE)&amp;VLOOKUP(AA73,tablas!$R$3:$T$66,3,TRUE),tablas!$Q$3:$R$66,2,FALSE)&lt;AA73,VLOOKUP(AA73+0.1,tablas!$R$3:$T$66,3,TRUE),VLOOKUP(AA73,tablas!$R$3:$T$66,3,TRUE)),$C$13)</f>
        <v>φ8@16</v>
      </c>
      <c r="AB74" s="95" t="str">
        <f>IF(AB73&gt;$C$12,"φ"&amp;IF(VLOOKUP(VLOOKUP(AB73,tablas!$R$3:$T$66,2,TRUE)&amp;VLOOKUP(AB73,tablas!$R$3:$T$66,3,TRUE),tablas!$Q$3:$R$66,2,FALSE)&lt;AB73,VLOOKUP(AB73+0.1,tablas!$R$3:$T$66,2,TRUE),VLOOKUP(AB73,tablas!$R$3:$T$66,2,TRUE))&amp;"@"&amp;IF(VLOOKUP(VLOOKUP(AB73,tablas!$R$3:$T$66,2,TRUE)&amp;VLOOKUP(AB73,tablas!$R$3:$T$66,3,TRUE),tablas!$Q$3:$R$66,2,FALSE)&lt;AB73,VLOOKUP(AB73+0.1,tablas!$R$3:$T$66,3,TRUE),VLOOKUP(AB73,tablas!$R$3:$T$66,3,TRUE)),$C$13)</f>
        <v>φ8@16</v>
      </c>
      <c r="AC74" s="95" t="str">
        <f>IF(AC73&gt;$C$12,"φ"&amp;IF(VLOOKUP(VLOOKUP(AC73,tablas!$R$3:$T$66,2,TRUE)&amp;VLOOKUP(AC73,tablas!$R$3:$T$66,3,TRUE),tablas!$Q$3:$R$66,2,FALSE)&lt;AC73,VLOOKUP(AC73+0.1,tablas!$R$3:$T$66,2,TRUE),VLOOKUP(AC73,tablas!$R$3:$T$66,2,TRUE))&amp;"@"&amp;IF(VLOOKUP(VLOOKUP(AC73,tablas!$R$3:$T$66,2,TRUE)&amp;VLOOKUP(AC73,tablas!$R$3:$T$66,3,TRUE),tablas!$Q$3:$R$66,2,FALSE)&lt;AC73,VLOOKUP(AC73+0.1,tablas!$R$3:$T$66,3,TRUE),VLOOKUP(AC73,tablas!$R$3:$T$66,3,TRUE)),$C$13)</f>
        <v>φ10@25</v>
      </c>
      <c r="AD74" s="95" t="str">
        <f>IF(AD73&gt;$C$12,"φ"&amp;IF(VLOOKUP(VLOOKUP(AD73,tablas!$R$3:$T$66,2,TRUE)&amp;VLOOKUP(AD73,tablas!$R$3:$T$66,3,TRUE),tablas!$Q$3:$R$66,2,FALSE)&lt;AD73,VLOOKUP(AD73+0.1,tablas!$R$3:$T$66,2,TRUE),VLOOKUP(AD73,tablas!$R$3:$T$66,2,TRUE))&amp;"@"&amp;IF(VLOOKUP(VLOOKUP(AD73,tablas!$R$3:$T$66,2,TRUE)&amp;VLOOKUP(AD73,tablas!$R$3:$T$66,3,TRUE),tablas!$Q$3:$R$66,2,FALSE)&lt;AD73,VLOOKUP(AD73+0.1,tablas!$R$3:$T$66,3,TRUE),VLOOKUP(AD73,tablas!$R$3:$T$66,3,TRUE)),$C$13)</f>
        <v>φ8@16</v>
      </c>
      <c r="AE74" s="95" t="str">
        <f>IF(AE73&gt;$C$12,"φ"&amp;IF(VLOOKUP(VLOOKUP(AE73,tablas!$R$3:$T$66,2,TRUE)&amp;VLOOKUP(AE73,tablas!$R$3:$T$66,3,TRUE),tablas!$Q$3:$R$66,2,FALSE)&lt;AE73,VLOOKUP(AE73+0.1,tablas!$R$3:$T$66,2,TRUE),VLOOKUP(AE73,tablas!$R$3:$T$66,2,TRUE))&amp;"@"&amp;IF(VLOOKUP(VLOOKUP(AE73,tablas!$R$3:$T$66,2,TRUE)&amp;VLOOKUP(AE73,tablas!$R$3:$T$66,3,TRUE),tablas!$Q$3:$R$66,2,FALSE)&lt;AE73,VLOOKUP(AE73+0.1,tablas!$R$3:$T$66,3,TRUE),VLOOKUP(AE73,tablas!$R$3:$T$66,3,TRUE)),$C$13)</f>
        <v>φ8@16</v>
      </c>
    </row>
    <row r="75" spans="2:31" x14ac:dyDescent="0.3">
      <c r="B75" s="96" t="s">
        <v>102</v>
      </c>
      <c r="C75" s="89">
        <f>IF(C53&lt;=2,C67/C56*(1+C68*C60)*C54,"-")</f>
        <v>532.67147435897436</v>
      </c>
      <c r="D75" s="89">
        <f t="shared" ref="D75:AE75" si="103">IF(D53&lt;=2,D67/D56*(1+D68*D60)*D54,"-")</f>
        <v>897.04054054054052</v>
      </c>
      <c r="E75" s="89">
        <f t="shared" si="103"/>
        <v>897.04054054054052</v>
      </c>
      <c r="F75" s="89">
        <f t="shared" si="103"/>
        <v>956.68389370932744</v>
      </c>
      <c r="G75" s="89">
        <f t="shared" si="103"/>
        <v>489.68855932203394</v>
      </c>
      <c r="H75" s="89">
        <f t="shared" si="103"/>
        <v>434.78475336322867</v>
      </c>
      <c r="I75" s="89">
        <f t="shared" si="103"/>
        <v>590.19999358974349</v>
      </c>
      <c r="J75" s="89">
        <f t="shared" si="103"/>
        <v>925.36630088495588</v>
      </c>
      <c r="K75" s="89">
        <f t="shared" si="103"/>
        <v>925.36630088495588</v>
      </c>
      <c r="L75" s="89" t="str">
        <f t="shared" si="103"/>
        <v>-</v>
      </c>
      <c r="M75" s="89">
        <f t="shared" si="103"/>
        <v>483.65281561822127</v>
      </c>
      <c r="N75" s="89">
        <f t="shared" si="103"/>
        <v>1207.1660277657265</v>
      </c>
      <c r="O75" s="89">
        <f t="shared" si="103"/>
        <v>533.61260176991152</v>
      </c>
      <c r="P75" s="89">
        <f t="shared" si="103"/>
        <v>604.1049557522125</v>
      </c>
      <c r="Q75" s="89">
        <f t="shared" si="103"/>
        <v>1392.332760845987</v>
      </c>
      <c r="R75" s="89" t="str">
        <f t="shared" si="103"/>
        <v>-</v>
      </c>
      <c r="S75" s="89" t="str">
        <f t="shared" si="103"/>
        <v>-</v>
      </c>
      <c r="T75" s="89">
        <f t="shared" si="103"/>
        <v>1734.5660064208241</v>
      </c>
      <c r="U75" s="89" t="str">
        <f t="shared" si="103"/>
        <v>-</v>
      </c>
      <c r="V75" s="89">
        <f t="shared" si="103"/>
        <v>264.02208000000002</v>
      </c>
      <c r="W75" s="89" t="str">
        <f t="shared" si="103"/>
        <v>-</v>
      </c>
      <c r="X75" s="89">
        <f t="shared" si="103"/>
        <v>673.52793918918928</v>
      </c>
      <c r="Y75" s="89">
        <f t="shared" si="103"/>
        <v>1022.6986000000001</v>
      </c>
      <c r="Z75" s="89" t="str">
        <f t="shared" si="103"/>
        <v>-</v>
      </c>
      <c r="AA75" s="89">
        <f t="shared" si="103"/>
        <v>999.1223427331887</v>
      </c>
      <c r="AB75" s="89">
        <f t="shared" si="103"/>
        <v>1133.3808216216214</v>
      </c>
      <c r="AC75" s="89">
        <f t="shared" si="103"/>
        <v>1793.1715816441438</v>
      </c>
      <c r="AD75" s="89" t="str">
        <f t="shared" si="103"/>
        <v>-</v>
      </c>
      <c r="AE75" s="89">
        <f t="shared" si="103"/>
        <v>201.32712786885241</v>
      </c>
    </row>
    <row r="76" spans="2:31" x14ac:dyDescent="0.3">
      <c r="B76" s="97" t="s">
        <v>15</v>
      </c>
      <c r="C76" s="90">
        <f>C70/(0.9*(0.9*($C$7/100))*($L$9*1000))</f>
        <v>1.0243288226586944</v>
      </c>
      <c r="D76" s="91">
        <f>D70/(0.9*(0.9*($C$7/100))*($L$9*1000))</f>
        <v>1.7250116159773476</v>
      </c>
      <c r="E76" s="91">
        <f t="shared" ref="E76:R76" si="104">E70/(0.9*(0.9*($C$7/100))*($L$9*1000))</f>
        <v>1.7250116159773476</v>
      </c>
      <c r="F76" s="91">
        <f t="shared" si="104"/>
        <v>1.839705960750216</v>
      </c>
      <c r="G76" s="91">
        <f t="shared" si="104"/>
        <v>0.94167254975199766</v>
      </c>
      <c r="H76" s="91">
        <f t="shared" si="104"/>
        <v>0.83609236829973577</v>
      </c>
      <c r="I76" s="91">
        <f t="shared" si="104"/>
        <v>1.1349563355058332</v>
      </c>
      <c r="J76" s="91">
        <f t="shared" si="104"/>
        <v>1.7794821370042608</v>
      </c>
      <c r="K76" s="91">
        <f t="shared" si="104"/>
        <v>1.7794821370042608</v>
      </c>
      <c r="L76" s="91">
        <f t="shared" si="104"/>
        <v>5.4853917383268058</v>
      </c>
      <c r="M76" s="91">
        <f t="shared" si="104"/>
        <v>0.93006579673516632</v>
      </c>
      <c r="N76" s="91">
        <f t="shared" si="104"/>
        <v>2.3213838463246153</v>
      </c>
      <c r="O76" s="91">
        <f t="shared" si="104"/>
        <v>1.0261386134570043</v>
      </c>
      <c r="P76" s="91">
        <f t="shared" si="104"/>
        <v>1.1616956189227576</v>
      </c>
      <c r="Q76" s="91">
        <f t="shared" si="104"/>
        <v>2.6774600223952669</v>
      </c>
      <c r="R76" s="91">
        <f t="shared" si="104"/>
        <v>3.5392247357002105</v>
      </c>
      <c r="S76" s="91">
        <f t="shared" ref="S76:AC76" si="105">S70/(0.9*(0.9*($C$7/100))*($L$9*1000))</f>
        <v>2.3162910023822612</v>
      </c>
      <c r="T76" s="91">
        <f t="shared" si="105"/>
        <v>3.3355755671336174</v>
      </c>
      <c r="U76" s="91">
        <f t="shared" si="105"/>
        <v>0.31482952013157861</v>
      </c>
      <c r="V76" s="91">
        <f t="shared" si="105"/>
        <v>0.5077152417214722</v>
      </c>
      <c r="W76" s="91">
        <f t="shared" si="105"/>
        <v>1.3508756450543755</v>
      </c>
      <c r="X76" s="91">
        <f t="shared" si="105"/>
        <v>1.2951962216629922</v>
      </c>
      <c r="Y76" s="91">
        <f t="shared" si="105"/>
        <v>1.966652436444752</v>
      </c>
      <c r="Z76" s="91">
        <f t="shared" si="105"/>
        <v>12.135077157665879</v>
      </c>
      <c r="AA76" s="91">
        <f t="shared" si="105"/>
        <v>1.9213152239013662</v>
      </c>
      <c r="AB76" s="91">
        <f t="shared" si="105"/>
        <v>2.179494676400179</v>
      </c>
      <c r="AC76" s="91">
        <f t="shared" si="105"/>
        <v>3.4482742618440509</v>
      </c>
      <c r="AD76" s="91">
        <f t="shared" ref="AD76:AE76" si="106">AD70/(0.9*(0.9*($C$7/100))*($L$9*1000))</f>
        <v>2.3162910023822612</v>
      </c>
      <c r="AE76" s="91">
        <f t="shared" si="106"/>
        <v>0.38715266310690433</v>
      </c>
    </row>
    <row r="77" spans="2:31" x14ac:dyDescent="0.3">
      <c r="B77" s="97" t="s">
        <v>98</v>
      </c>
      <c r="C77" s="92">
        <f>(C76*($L$9))/(0.85*$L$6*100)</f>
        <v>1.4447610350895411E-2</v>
      </c>
      <c r="D77" s="93">
        <f>(D76*($L$9))/(0.85*$L$6*100)</f>
        <v>2.4330366506452625E-2</v>
      </c>
      <c r="E77" s="93">
        <f t="shared" ref="E77:R77" si="107">(E76*($L$9))/(0.85*$L$6*100)</f>
        <v>2.4330366506452625E-2</v>
      </c>
      <c r="F77" s="93">
        <f t="shared" si="107"/>
        <v>2.5948068914189899E-2</v>
      </c>
      <c r="G77" s="93">
        <f t="shared" si="107"/>
        <v>1.3281787816571263E-2</v>
      </c>
      <c r="H77" s="93">
        <f t="shared" si="107"/>
        <v>1.179263580926963E-2</v>
      </c>
      <c r="I77" s="93">
        <f t="shared" si="107"/>
        <v>1.6007952268792112E-2</v>
      </c>
      <c r="J77" s="93">
        <f t="shared" si="107"/>
        <v>2.5098644080996005E-2</v>
      </c>
      <c r="K77" s="93">
        <f t="shared" si="107"/>
        <v>2.5098644080996005E-2</v>
      </c>
      <c r="L77" s="93">
        <f t="shared" si="107"/>
        <v>7.7368517515369023E-2</v>
      </c>
      <c r="M77" s="93">
        <f t="shared" si="107"/>
        <v>1.3118080771219351E-2</v>
      </c>
      <c r="N77" s="93">
        <f t="shared" si="107"/>
        <v>3.2741877944535688E-2</v>
      </c>
      <c r="O77" s="93">
        <f t="shared" si="107"/>
        <v>1.4473136482438552E-2</v>
      </c>
      <c r="P77" s="93">
        <f t="shared" si="107"/>
        <v>1.6385095564308463E-2</v>
      </c>
      <c r="Q77" s="93">
        <f t="shared" si="107"/>
        <v>3.7764142019613589E-2</v>
      </c>
      <c r="R77" s="93">
        <f t="shared" si="107"/>
        <v>4.9918872528577699E-2</v>
      </c>
      <c r="S77" s="93">
        <f t="shared" ref="S77" si="108">(S76*($L$9))/(0.85*$L$6*100)</f>
        <v>3.2670046103793308E-2</v>
      </c>
      <c r="T77" s="93">
        <f t="shared" ref="T77" si="109">(T76*($L$9))/(0.85*$L$6*100)</f>
        <v>4.704650989399204E-2</v>
      </c>
      <c r="U77" s="93">
        <f t="shared" ref="U77" si="110">(U76*($L$9))/(0.85*$L$6*100)</f>
        <v>4.4405020470033169E-3</v>
      </c>
      <c r="V77" s="93">
        <f t="shared" ref="V77" si="111">(V76*($L$9))/(0.85*$L$6*100)</f>
        <v>7.1610520170304866E-3</v>
      </c>
      <c r="W77" s="93">
        <f t="shared" ref="W77" si="112">(W76*($L$9))/(0.85*$L$6*100)</f>
        <v>1.9053378681274435E-2</v>
      </c>
      <c r="X77" s="93">
        <f t="shared" ref="X77" si="113">(X76*($L$9))/(0.85*$L$6*100)</f>
        <v>1.8268050185261515E-2</v>
      </c>
      <c r="Y77" s="93">
        <f t="shared" ref="Y77" si="114">(Y76*($L$9))/(0.85*$L$6*100)</f>
        <v>2.7738581077553268E-2</v>
      </c>
      <c r="Z77" s="93">
        <f t="shared" ref="Z77" si="115">(Z76*($L$9))/(0.85*$L$6*100)</f>
        <v>0.17115877487167563</v>
      </c>
      <c r="AA77" s="93">
        <f t="shared" ref="AA77" si="116">(AA76*($L$9))/(0.85*$L$6*100)</f>
        <v>2.7099123935731908E-2</v>
      </c>
      <c r="AB77" s="93">
        <f t="shared" ref="AB77" si="117">(AB76*($L$9))/(0.85*$L$6*100)</f>
        <v>3.0740607068686001E-2</v>
      </c>
      <c r="AC77" s="93">
        <f t="shared" ref="AC77" si="118">(AC76*($L$9))/(0.85*$L$6*100)</f>
        <v>4.8636064724641749E-2</v>
      </c>
      <c r="AD77" s="93">
        <f t="shared" ref="AD77" si="119">(AD76*($L$9))/(0.85*$L$6*100)</f>
        <v>3.2670046103793308E-2</v>
      </c>
      <c r="AE77" s="93">
        <f t="shared" ref="AE77" si="120">(AE76*($L$9))/(0.85*$L$6*100)</f>
        <v>5.4605813086094929E-3</v>
      </c>
    </row>
    <row r="78" spans="2:31" ht="15" thickBot="1" x14ac:dyDescent="0.35">
      <c r="B78" s="97" t="s">
        <v>15</v>
      </c>
      <c r="C78" s="76">
        <f>ROUNDUP(C70/(0.9*(($C$7-C72/2)/100)*($L$9*1000)),2)</f>
        <v>0.93</v>
      </c>
      <c r="D78" s="77">
        <f>ROUNDUP(D70/(0.9*(($C$7-D72/2)/100)*($L$9*1000)),2)</f>
        <v>1.56</v>
      </c>
      <c r="E78" s="77">
        <f>ROUNDUP(E70/(0.9*(($C$7-E72/2)/100)*($L$9*1000)),2)</f>
        <v>1.56</v>
      </c>
      <c r="F78" s="77">
        <f t="shared" ref="E78:R78" si="121">ROUNDUP(F70/(0.9*(($C$7-F72/2)/100)*($L$9*1000)),2)</f>
        <v>1.66</v>
      </c>
      <c r="G78" s="77">
        <f t="shared" si="121"/>
        <v>0.85</v>
      </c>
      <c r="H78" s="77">
        <f t="shared" si="121"/>
        <v>0.76</v>
      </c>
      <c r="I78" s="77">
        <f t="shared" si="121"/>
        <v>1.03</v>
      </c>
      <c r="J78" s="77">
        <f t="shared" si="121"/>
        <v>1.61</v>
      </c>
      <c r="K78" s="77">
        <f t="shared" si="121"/>
        <v>1.61</v>
      </c>
      <c r="L78" s="77">
        <f t="shared" si="121"/>
        <v>4.95</v>
      </c>
      <c r="M78" s="77">
        <f t="shared" si="121"/>
        <v>0.84</v>
      </c>
      <c r="N78" s="77">
        <f t="shared" si="121"/>
        <v>2.0999999999999996</v>
      </c>
      <c r="O78" s="77">
        <f t="shared" si="121"/>
        <v>0.93</v>
      </c>
      <c r="P78" s="77">
        <f t="shared" si="121"/>
        <v>1.05</v>
      </c>
      <c r="Q78" s="77">
        <f t="shared" si="121"/>
        <v>2.42</v>
      </c>
      <c r="R78" s="77">
        <f t="shared" si="121"/>
        <v>3.1999999999999997</v>
      </c>
      <c r="S78" s="77">
        <f t="shared" ref="S78:AC78" si="122">ROUNDUP(S70/(0.9*(($C$7-S72/2)/100)*($L$9*1000)),2)</f>
        <v>2.09</v>
      </c>
      <c r="T78" s="77">
        <f t="shared" si="122"/>
        <v>3.01</v>
      </c>
      <c r="U78" s="77">
        <f t="shared" si="122"/>
        <v>0.29000000000000004</v>
      </c>
      <c r="V78" s="77">
        <f t="shared" si="122"/>
        <v>0.46</v>
      </c>
      <c r="W78" s="77">
        <f t="shared" si="122"/>
        <v>1.22</v>
      </c>
      <c r="X78" s="77">
        <f t="shared" si="122"/>
        <v>1.17</v>
      </c>
      <c r="Y78" s="77">
        <f t="shared" si="122"/>
        <v>1.78</v>
      </c>
      <c r="Z78" s="77">
        <f t="shared" si="122"/>
        <v>10.99</v>
      </c>
      <c r="AA78" s="77">
        <f t="shared" si="122"/>
        <v>1.74</v>
      </c>
      <c r="AB78" s="77">
        <f t="shared" si="122"/>
        <v>1.97</v>
      </c>
      <c r="AC78" s="77">
        <f t="shared" si="122"/>
        <v>3.11</v>
      </c>
      <c r="AD78" s="77">
        <f t="shared" ref="AD78:AE78" si="123">ROUNDUP(AD70/(0.9*(($C$7-AD72/2)/100)*($L$9*1000)),2)</f>
        <v>2.09</v>
      </c>
      <c r="AE78" s="77">
        <f t="shared" si="123"/>
        <v>0.35000000000000003</v>
      </c>
    </row>
    <row r="79" spans="2:31" ht="16.2" thickBot="1" x14ac:dyDescent="0.35">
      <c r="B79" s="61" t="s">
        <v>101</v>
      </c>
      <c r="C79" s="94" t="str">
        <f>IF(C78&gt;$C$12,"φ"&amp;IF(VLOOKUP(VLOOKUP(C78,tablas!$R$3:$T$66,2,TRUE)&amp;VLOOKUP(C78,tablas!$R$3:$T$66,3,TRUE),tablas!$Q$3:$R$66,2,FALSE)&lt;C78,VLOOKUP(C78+0.1,tablas!$R$3:$T$66,2,TRUE),VLOOKUP(C78,tablas!$R$3:$T$66,2,TRUE))&amp;"@"&amp;IF(VLOOKUP(VLOOKUP(C78,tablas!$R$3:$T$66,2,TRUE)&amp;VLOOKUP(C78,tablas!$R$3:$T$66,3,TRUE),tablas!$Q$3:$R$66,2,FALSE)&lt;C78,VLOOKUP(C78+0.1,tablas!$R$3:$T$66,3,TRUE),VLOOKUP(C78,tablas!$R$3:$T$66,3,TRUE)),$C$13)</f>
        <v>φ8@16</v>
      </c>
      <c r="D79" s="95" t="str">
        <f>IF(D78&gt;$C$12,"φ"&amp;IF(VLOOKUP(VLOOKUP(D78,tablas!$R$3:$T$66,2,TRUE)&amp;VLOOKUP(D78,tablas!$R$3:$T$66,3,TRUE),tablas!$Q$3:$R$66,2,FALSE)&lt;D78,VLOOKUP(D78+0.1,tablas!$R$3:$T$66,2,TRUE),VLOOKUP(D78,tablas!$R$3:$T$66,2,TRUE))&amp;"@"&amp;IF(VLOOKUP(VLOOKUP(D78,tablas!$R$3:$T$66,2,TRUE)&amp;VLOOKUP(D78,tablas!$R$3:$T$66,3,TRUE),tablas!$Q$3:$R$66,2,FALSE)&lt;D78,VLOOKUP(D78+0.1,tablas!$R$3:$T$66,3,TRUE),VLOOKUP(D78,tablas!$R$3:$T$66,3,TRUE)),$C$13)</f>
        <v>φ8@16</v>
      </c>
      <c r="E79" s="95" t="str">
        <f>IF(E78&gt;$C$12,"φ"&amp;IF(VLOOKUP(VLOOKUP(E78,tablas!$R$3:$T$66,2,TRUE)&amp;VLOOKUP(E78,tablas!$R$3:$T$66,3,TRUE),tablas!$Q$3:$R$66,2,FALSE)&lt;E78,VLOOKUP(E78+0.1,tablas!$R$3:$T$66,2,TRUE),VLOOKUP(E78,tablas!$R$3:$T$66,2,TRUE))&amp;"@"&amp;IF(VLOOKUP(VLOOKUP(E78,tablas!$R$3:$T$66,2,TRUE)&amp;VLOOKUP(E78,tablas!$R$3:$T$66,3,TRUE),tablas!$Q$3:$R$66,2,FALSE)&lt;E78,VLOOKUP(E78+0.1,tablas!$R$3:$T$66,3,TRUE),VLOOKUP(E78,tablas!$R$3:$T$66,3,TRUE)),$C$13)</f>
        <v>φ8@16</v>
      </c>
      <c r="F79" s="95" t="str">
        <f>IF(F78&gt;$C$12,"φ"&amp;IF(VLOOKUP(VLOOKUP(F78,tablas!$R$3:$T$66,2,TRUE)&amp;VLOOKUP(F78,tablas!$R$3:$T$66,3,TRUE),tablas!$Q$3:$R$66,2,FALSE)&lt;F78,VLOOKUP(F78+0.1,tablas!$R$3:$T$66,2,TRUE),VLOOKUP(F78,tablas!$R$3:$T$66,2,TRUE))&amp;"@"&amp;IF(VLOOKUP(VLOOKUP(F78,tablas!$R$3:$T$66,2,TRUE)&amp;VLOOKUP(F78,tablas!$R$3:$T$66,3,TRUE),tablas!$Q$3:$R$66,2,FALSE)&lt;F78,VLOOKUP(F78+0.1,tablas!$R$3:$T$66,3,TRUE),VLOOKUP(F78,tablas!$R$3:$T$66,3,TRUE)),$C$13)</f>
        <v>φ8@16</v>
      </c>
      <c r="G79" s="95" t="str">
        <f>IF(G78&gt;$C$12,"φ"&amp;IF(VLOOKUP(VLOOKUP(G78,tablas!$R$3:$T$66,2,TRUE)&amp;VLOOKUP(G78,tablas!$R$3:$T$66,3,TRUE),tablas!$Q$3:$R$66,2,FALSE)&lt;G78,VLOOKUP(G78+0.1,tablas!$R$3:$T$66,2,TRUE),VLOOKUP(G78,tablas!$R$3:$T$66,2,TRUE))&amp;"@"&amp;IF(VLOOKUP(VLOOKUP(G78,tablas!$R$3:$T$66,2,TRUE)&amp;VLOOKUP(G78,tablas!$R$3:$T$66,3,TRUE),tablas!$Q$3:$R$66,2,FALSE)&lt;G78,VLOOKUP(G78+0.1,tablas!$R$3:$T$66,3,TRUE),VLOOKUP(G78,tablas!$R$3:$T$66,3,TRUE)),$C$13)</f>
        <v>φ8@16</v>
      </c>
      <c r="H79" s="95" t="str">
        <f>IF(H78&gt;$C$12,"φ"&amp;IF(VLOOKUP(VLOOKUP(H78,tablas!$R$3:$T$66,2,TRUE)&amp;VLOOKUP(H78,tablas!$R$3:$T$66,3,TRUE),tablas!$Q$3:$R$66,2,FALSE)&lt;H78,VLOOKUP(H78+0.1,tablas!$R$3:$T$66,2,TRUE),VLOOKUP(H78,tablas!$R$3:$T$66,2,TRUE))&amp;"@"&amp;IF(VLOOKUP(VLOOKUP(H78,tablas!$R$3:$T$66,2,TRUE)&amp;VLOOKUP(H78,tablas!$R$3:$T$66,3,TRUE),tablas!$Q$3:$R$66,2,FALSE)&lt;H78,VLOOKUP(H78+0.1,tablas!$R$3:$T$66,3,TRUE),VLOOKUP(H78,tablas!$R$3:$T$66,3,TRUE)),$C$13)</f>
        <v>φ8@16</v>
      </c>
      <c r="I79" s="95" t="str">
        <f>IF(I78&gt;$C$12,"φ"&amp;IF(VLOOKUP(VLOOKUP(I78,tablas!$R$3:$T$66,2,TRUE)&amp;VLOOKUP(I78,tablas!$R$3:$T$66,3,TRUE),tablas!$Q$3:$R$66,2,FALSE)&lt;I78,VLOOKUP(I78+0.1,tablas!$R$3:$T$66,2,TRUE),VLOOKUP(I78,tablas!$R$3:$T$66,2,TRUE))&amp;"@"&amp;IF(VLOOKUP(VLOOKUP(I78,tablas!$R$3:$T$66,2,TRUE)&amp;VLOOKUP(I78,tablas!$R$3:$T$66,3,TRUE),tablas!$Q$3:$R$66,2,FALSE)&lt;I78,VLOOKUP(I78+0.1,tablas!$R$3:$T$66,3,TRUE),VLOOKUP(I78,tablas!$R$3:$T$66,3,TRUE)),$C$13)</f>
        <v>φ8@16</v>
      </c>
      <c r="J79" s="95" t="str">
        <f>IF(J78&gt;$C$12,"φ"&amp;IF(VLOOKUP(VLOOKUP(J78,tablas!$R$3:$T$66,2,TRUE)&amp;VLOOKUP(J78,tablas!$R$3:$T$66,3,TRUE),tablas!$Q$3:$R$66,2,FALSE)&lt;J78,VLOOKUP(J78+0.1,tablas!$R$3:$T$66,2,TRUE),VLOOKUP(J78,tablas!$R$3:$T$66,2,TRUE))&amp;"@"&amp;IF(VLOOKUP(VLOOKUP(J78,tablas!$R$3:$T$66,2,TRUE)&amp;VLOOKUP(J78,tablas!$R$3:$T$66,3,TRUE),tablas!$Q$3:$R$66,2,FALSE)&lt;J78,VLOOKUP(J78+0.1,tablas!$R$3:$T$66,3,TRUE),VLOOKUP(J78,tablas!$R$3:$T$66,3,TRUE)),$C$13)</f>
        <v>φ8@16</v>
      </c>
      <c r="K79" s="95" t="str">
        <f>IF(K78&gt;$C$12,"φ"&amp;IF(VLOOKUP(VLOOKUP(K78,tablas!$R$3:$T$66,2,TRUE)&amp;VLOOKUP(K78,tablas!$R$3:$T$66,3,TRUE),tablas!$Q$3:$R$66,2,FALSE)&lt;K78,VLOOKUP(K78+0.1,tablas!$R$3:$T$66,2,TRUE),VLOOKUP(K78,tablas!$R$3:$T$66,2,TRUE))&amp;"@"&amp;IF(VLOOKUP(VLOOKUP(K78,tablas!$R$3:$T$66,2,TRUE)&amp;VLOOKUP(K78,tablas!$R$3:$T$66,3,TRUE),tablas!$Q$3:$R$66,2,FALSE)&lt;K78,VLOOKUP(K78+0.1,tablas!$R$3:$T$66,3,TRUE),VLOOKUP(K78,tablas!$R$3:$T$66,3,TRUE)),$C$13)</f>
        <v>φ8@16</v>
      </c>
      <c r="L79" s="95" t="str">
        <f>IF(L78&gt;$C$12,"φ"&amp;IF(VLOOKUP(VLOOKUP(L78,tablas!$R$3:$T$66,2,TRUE)&amp;VLOOKUP(L78,tablas!$R$3:$T$66,3,TRUE),tablas!$Q$3:$R$66,2,FALSE)&lt;L78,VLOOKUP(L78+0.1,tablas!$R$3:$T$66,2,TRUE),VLOOKUP(L78,tablas!$R$3:$T$66,2,TRUE))&amp;"@"&amp;IF(VLOOKUP(VLOOKUP(L78,tablas!$R$3:$T$66,2,TRUE)&amp;VLOOKUP(L78,tablas!$R$3:$T$66,3,TRUE),tablas!$Q$3:$R$66,2,FALSE)&lt;L78,VLOOKUP(L78+0.1,tablas!$R$3:$T$66,3,TRUE),VLOOKUP(L78,tablas!$R$3:$T$66,3,TRUE)),$C$13)</f>
        <v>φ8@10</v>
      </c>
      <c r="M79" s="95" t="str">
        <f>IF(M78&gt;$C$12,"φ"&amp;IF(VLOOKUP(VLOOKUP(M78,tablas!$R$3:$T$66,2,TRUE)&amp;VLOOKUP(M78,tablas!$R$3:$T$66,3,TRUE),tablas!$Q$3:$R$66,2,FALSE)&lt;M78,VLOOKUP(M78+0.1,tablas!$R$3:$T$66,2,TRUE),VLOOKUP(M78,tablas!$R$3:$T$66,2,TRUE))&amp;"@"&amp;IF(VLOOKUP(VLOOKUP(M78,tablas!$R$3:$T$66,2,TRUE)&amp;VLOOKUP(M78,tablas!$R$3:$T$66,3,TRUE),tablas!$Q$3:$R$66,2,FALSE)&lt;M78,VLOOKUP(M78+0.1,tablas!$R$3:$T$66,3,TRUE),VLOOKUP(M78,tablas!$R$3:$T$66,3,TRUE)),$C$13)</f>
        <v>φ8@16</v>
      </c>
      <c r="N79" s="95" t="str">
        <f>IF(N78&gt;$C$12,"φ"&amp;IF(VLOOKUP(VLOOKUP(N78,tablas!$R$3:$T$66,2,TRUE)&amp;VLOOKUP(N78,tablas!$R$3:$T$66,3,TRUE),tablas!$Q$3:$R$66,2,FALSE)&lt;N78,VLOOKUP(N78+0.1,tablas!$R$3:$T$66,2,TRUE),VLOOKUP(N78,tablas!$R$3:$T$66,2,TRUE))&amp;"@"&amp;IF(VLOOKUP(VLOOKUP(N78,tablas!$R$3:$T$66,2,TRUE)&amp;VLOOKUP(N78,tablas!$R$3:$T$66,3,TRUE),tablas!$Q$3:$R$66,2,FALSE)&lt;N78,VLOOKUP(N78+0.1,tablas!$R$3:$T$66,3,TRUE),VLOOKUP(N78,tablas!$R$3:$T$66,3,TRUE)),$C$13)</f>
        <v>φ8@16</v>
      </c>
      <c r="O79" s="95" t="str">
        <f>IF(O78&gt;$C$12,"φ"&amp;IF(VLOOKUP(VLOOKUP(O78,tablas!$R$3:$T$66,2,TRUE)&amp;VLOOKUP(O78,tablas!$R$3:$T$66,3,TRUE),tablas!$Q$3:$R$66,2,FALSE)&lt;O78,VLOOKUP(O78+0.1,tablas!$R$3:$T$66,2,TRUE),VLOOKUP(O78,tablas!$R$3:$T$66,2,TRUE))&amp;"@"&amp;IF(VLOOKUP(VLOOKUP(O78,tablas!$R$3:$T$66,2,TRUE)&amp;VLOOKUP(O78,tablas!$R$3:$T$66,3,TRUE),tablas!$Q$3:$R$66,2,FALSE)&lt;O78,VLOOKUP(O78+0.1,tablas!$R$3:$T$66,3,TRUE),VLOOKUP(O78,tablas!$R$3:$T$66,3,TRUE)),$C$13)</f>
        <v>φ8@16</v>
      </c>
      <c r="P79" s="95" t="str">
        <f>IF(P78&gt;$C$12,"φ"&amp;IF(VLOOKUP(VLOOKUP(P78,tablas!$R$3:$T$66,2,TRUE)&amp;VLOOKUP(P78,tablas!$R$3:$T$66,3,TRUE),tablas!$Q$3:$R$66,2,FALSE)&lt;P78,VLOOKUP(P78+0.1,tablas!$R$3:$T$66,2,TRUE),VLOOKUP(P78,tablas!$R$3:$T$66,2,TRUE))&amp;"@"&amp;IF(VLOOKUP(VLOOKUP(P78,tablas!$R$3:$T$66,2,TRUE)&amp;VLOOKUP(P78,tablas!$R$3:$T$66,3,TRUE),tablas!$Q$3:$R$66,2,FALSE)&lt;P78,VLOOKUP(P78+0.1,tablas!$R$3:$T$66,3,TRUE),VLOOKUP(P78,tablas!$R$3:$T$66,3,TRUE)),$C$13)</f>
        <v>φ8@16</v>
      </c>
      <c r="Q79" s="95" t="str">
        <f>IF(Q78&gt;$C$12,"φ"&amp;IF(VLOOKUP(VLOOKUP(Q78,tablas!$R$3:$T$66,2,TRUE)&amp;VLOOKUP(Q78,tablas!$R$3:$T$66,3,TRUE),tablas!$Q$3:$R$66,2,FALSE)&lt;Q78,VLOOKUP(Q78+0.1,tablas!$R$3:$T$66,2,TRUE),VLOOKUP(Q78,tablas!$R$3:$T$66,2,TRUE))&amp;"@"&amp;IF(VLOOKUP(VLOOKUP(Q78,tablas!$R$3:$T$66,2,TRUE)&amp;VLOOKUP(Q78,tablas!$R$3:$T$66,3,TRUE),tablas!$Q$3:$R$66,2,FALSE)&lt;Q78,VLOOKUP(Q78+0.1,tablas!$R$3:$T$66,3,TRUE),VLOOKUP(Q78,tablas!$R$3:$T$66,3,TRUE)),$C$13)</f>
        <v>φ8@16</v>
      </c>
      <c r="R79" s="95" t="str">
        <f>IF(R78&gt;$C$12,"φ"&amp;IF(VLOOKUP(VLOOKUP(R78,tablas!$R$3:$T$66,2,TRUE)&amp;VLOOKUP(R78,tablas!$R$3:$T$66,3,TRUE),tablas!$Q$3:$R$66,2,FALSE)&lt;R78,VLOOKUP(R78+0.1,tablas!$R$3:$T$66,2,TRUE),VLOOKUP(R78,tablas!$R$3:$T$66,2,TRUE))&amp;"@"&amp;IF(VLOOKUP(VLOOKUP(R78,tablas!$R$3:$T$66,2,TRUE)&amp;VLOOKUP(R78,tablas!$R$3:$T$66,3,TRUE),tablas!$Q$3:$R$66,2,FALSE)&lt;R78,VLOOKUP(R78+0.1,tablas!$R$3:$T$66,3,TRUE),VLOOKUP(R78,tablas!$R$3:$T$66,3,TRUE)),$C$13)</f>
        <v>φ10@24</v>
      </c>
      <c r="S79" s="95" t="str">
        <f>IF(S78&gt;$C$12,"φ"&amp;IF(VLOOKUP(VLOOKUP(S78,tablas!$R$3:$T$66,2,TRUE)&amp;VLOOKUP(S78,tablas!$R$3:$T$66,3,TRUE),tablas!$Q$3:$R$66,2,FALSE)&lt;S78,VLOOKUP(S78+0.1,tablas!$R$3:$T$66,2,TRUE),VLOOKUP(S78,tablas!$R$3:$T$66,2,TRUE))&amp;"@"&amp;IF(VLOOKUP(VLOOKUP(S78,tablas!$R$3:$T$66,2,TRUE)&amp;VLOOKUP(S78,tablas!$R$3:$T$66,3,TRUE),tablas!$Q$3:$R$66,2,FALSE)&lt;S78,VLOOKUP(S78+0.1,tablas!$R$3:$T$66,3,TRUE),VLOOKUP(S78,tablas!$R$3:$T$66,3,TRUE)),$C$13)</f>
        <v>φ8@16</v>
      </c>
      <c r="T79" s="95" t="str">
        <f>IF(T78&gt;$C$12,"φ"&amp;IF(VLOOKUP(VLOOKUP(T78,tablas!$R$3:$T$66,2,TRUE)&amp;VLOOKUP(T78,tablas!$R$3:$T$66,3,TRUE),tablas!$Q$3:$R$66,2,FALSE)&lt;T78,VLOOKUP(T78+0.1,tablas!$R$3:$T$66,2,TRUE),VLOOKUP(T78,tablas!$R$3:$T$66,2,TRUE))&amp;"@"&amp;IF(VLOOKUP(VLOOKUP(T78,tablas!$R$3:$T$66,2,TRUE)&amp;VLOOKUP(T78,tablas!$R$3:$T$66,3,TRUE),tablas!$Q$3:$R$66,2,FALSE)&lt;T78,VLOOKUP(T78+0.1,tablas!$R$3:$T$66,3,TRUE),VLOOKUP(T78,tablas!$R$3:$T$66,3,TRUE)),$C$13)</f>
        <v>φ8@16</v>
      </c>
      <c r="U79" s="95" t="str">
        <f>IF(U78&gt;$C$12,"φ"&amp;IF(VLOOKUP(VLOOKUP(U78,tablas!$R$3:$T$66,2,TRUE)&amp;VLOOKUP(U78,tablas!$R$3:$T$66,3,TRUE),tablas!$Q$3:$R$66,2,FALSE)&lt;U78,VLOOKUP(U78+0.1,tablas!$R$3:$T$66,2,TRUE),VLOOKUP(U78,tablas!$R$3:$T$66,2,TRUE))&amp;"@"&amp;IF(VLOOKUP(VLOOKUP(U78,tablas!$R$3:$T$66,2,TRUE)&amp;VLOOKUP(U78,tablas!$R$3:$T$66,3,TRUE),tablas!$Q$3:$R$66,2,FALSE)&lt;U78,VLOOKUP(U78+0.1,tablas!$R$3:$T$66,3,TRUE),VLOOKUP(U78,tablas!$R$3:$T$66,3,TRUE)),$C$13)</f>
        <v>φ8@16</v>
      </c>
      <c r="V79" s="95" t="str">
        <f>IF(V78&gt;$C$12,"φ"&amp;IF(VLOOKUP(VLOOKUP(V78,tablas!$R$3:$T$66,2,TRUE)&amp;VLOOKUP(V78,tablas!$R$3:$T$66,3,TRUE),tablas!$Q$3:$R$66,2,FALSE)&lt;V78,VLOOKUP(V78+0.1,tablas!$R$3:$T$66,2,TRUE),VLOOKUP(V78,tablas!$R$3:$T$66,2,TRUE))&amp;"@"&amp;IF(VLOOKUP(VLOOKUP(V78,tablas!$R$3:$T$66,2,TRUE)&amp;VLOOKUP(V78,tablas!$R$3:$T$66,3,TRUE),tablas!$Q$3:$R$66,2,FALSE)&lt;V78,VLOOKUP(V78+0.1,tablas!$R$3:$T$66,3,TRUE),VLOOKUP(V78,tablas!$R$3:$T$66,3,TRUE)),$C$13)</f>
        <v>φ8@16</v>
      </c>
      <c r="W79" s="95" t="str">
        <f>IF(W78&gt;$C$12,"φ"&amp;IF(VLOOKUP(VLOOKUP(W78,tablas!$R$3:$T$66,2,TRUE)&amp;VLOOKUP(W78,tablas!$R$3:$T$66,3,TRUE),tablas!$Q$3:$R$66,2,FALSE)&lt;W78,VLOOKUP(W78+0.1,tablas!$R$3:$T$66,2,TRUE),VLOOKUP(W78,tablas!$R$3:$T$66,2,TRUE))&amp;"@"&amp;IF(VLOOKUP(VLOOKUP(W78,tablas!$R$3:$T$66,2,TRUE)&amp;VLOOKUP(W78,tablas!$R$3:$T$66,3,TRUE),tablas!$Q$3:$R$66,2,FALSE)&lt;W78,VLOOKUP(W78+0.1,tablas!$R$3:$T$66,3,TRUE),VLOOKUP(W78,tablas!$R$3:$T$66,3,TRUE)),$C$13)</f>
        <v>φ8@16</v>
      </c>
      <c r="X79" s="95" t="str">
        <f>IF(X78&gt;$C$12,"φ"&amp;IF(VLOOKUP(VLOOKUP(X78,tablas!$R$3:$T$66,2,TRUE)&amp;VLOOKUP(X78,tablas!$R$3:$T$66,3,TRUE),tablas!$Q$3:$R$66,2,FALSE)&lt;X78,VLOOKUP(X78+0.1,tablas!$R$3:$T$66,2,TRUE),VLOOKUP(X78,tablas!$R$3:$T$66,2,TRUE))&amp;"@"&amp;IF(VLOOKUP(VLOOKUP(X78,tablas!$R$3:$T$66,2,TRUE)&amp;VLOOKUP(X78,tablas!$R$3:$T$66,3,TRUE),tablas!$Q$3:$R$66,2,FALSE)&lt;X78,VLOOKUP(X78+0.1,tablas!$R$3:$T$66,3,TRUE),VLOOKUP(X78,tablas!$R$3:$T$66,3,TRUE)),$C$13)</f>
        <v>φ8@16</v>
      </c>
      <c r="Y79" s="95" t="str">
        <f>IF(Y78&gt;$C$12,"φ"&amp;IF(VLOOKUP(VLOOKUP(Y78,tablas!$R$3:$T$66,2,TRUE)&amp;VLOOKUP(Y78,tablas!$R$3:$T$66,3,TRUE),tablas!$Q$3:$R$66,2,FALSE)&lt;Y78,VLOOKUP(Y78+0.1,tablas!$R$3:$T$66,2,TRUE),VLOOKUP(Y78,tablas!$R$3:$T$66,2,TRUE))&amp;"@"&amp;IF(VLOOKUP(VLOOKUP(Y78,tablas!$R$3:$T$66,2,TRUE)&amp;VLOOKUP(Y78,tablas!$R$3:$T$66,3,TRUE),tablas!$Q$3:$R$66,2,FALSE)&lt;Y78,VLOOKUP(Y78+0.1,tablas!$R$3:$T$66,3,TRUE),VLOOKUP(Y78,tablas!$R$3:$T$66,3,TRUE)),$C$13)</f>
        <v>φ8@16</v>
      </c>
      <c r="Z79" s="95" t="str">
        <f>IF(Z78&gt;$C$12,"φ"&amp;IF(VLOOKUP(VLOOKUP(Z78,tablas!$R$3:$T$66,2,TRUE)&amp;VLOOKUP(Z78,tablas!$R$3:$T$66,3,TRUE),tablas!$Q$3:$R$66,2,FALSE)&lt;Z78,VLOOKUP(Z78+0.1,tablas!$R$3:$T$66,2,TRUE),VLOOKUP(Z78,tablas!$R$3:$T$66,2,TRUE))&amp;"@"&amp;IF(VLOOKUP(VLOOKUP(Z78,tablas!$R$3:$T$66,2,TRUE)&amp;VLOOKUP(Z78,tablas!$R$3:$T$66,3,TRUE),tablas!$Q$3:$R$66,2,FALSE)&lt;Z78,VLOOKUP(Z78+0.1,tablas!$R$3:$T$66,3,TRUE),VLOOKUP(Z78,tablas!$R$3:$T$66,3,TRUE)),$C$13)</f>
        <v>φ16@19</v>
      </c>
      <c r="AA79" s="95" t="str">
        <f>IF(AA78&gt;$C$12,"φ"&amp;IF(VLOOKUP(VLOOKUP(AA78,tablas!$R$3:$T$66,2,TRUE)&amp;VLOOKUP(AA78,tablas!$R$3:$T$66,3,TRUE),tablas!$Q$3:$R$66,2,FALSE)&lt;AA78,VLOOKUP(AA78+0.1,tablas!$R$3:$T$66,2,TRUE),VLOOKUP(AA78,tablas!$R$3:$T$66,2,TRUE))&amp;"@"&amp;IF(VLOOKUP(VLOOKUP(AA78,tablas!$R$3:$T$66,2,TRUE)&amp;VLOOKUP(AA78,tablas!$R$3:$T$66,3,TRUE),tablas!$Q$3:$R$66,2,FALSE)&lt;AA78,VLOOKUP(AA78+0.1,tablas!$R$3:$T$66,3,TRUE),VLOOKUP(AA78,tablas!$R$3:$T$66,3,TRUE)),$C$13)</f>
        <v>φ8@16</v>
      </c>
      <c r="AB79" s="95" t="str">
        <f>IF(AB78&gt;$C$12,"φ"&amp;IF(VLOOKUP(VLOOKUP(AB78,tablas!$R$3:$T$66,2,TRUE)&amp;VLOOKUP(AB78,tablas!$R$3:$T$66,3,TRUE),tablas!$Q$3:$R$66,2,FALSE)&lt;AB78,VLOOKUP(AB78+0.1,tablas!$R$3:$T$66,2,TRUE),VLOOKUP(AB78,tablas!$R$3:$T$66,2,TRUE))&amp;"@"&amp;IF(VLOOKUP(VLOOKUP(AB78,tablas!$R$3:$T$66,2,TRUE)&amp;VLOOKUP(AB78,tablas!$R$3:$T$66,3,TRUE),tablas!$Q$3:$R$66,2,FALSE)&lt;AB78,VLOOKUP(AB78+0.1,tablas!$R$3:$T$66,3,TRUE),VLOOKUP(AB78,tablas!$R$3:$T$66,3,TRUE)),$C$13)</f>
        <v>φ8@16</v>
      </c>
      <c r="AC79" s="95" t="str">
        <f>IF(AC78&gt;$C$12,"φ"&amp;IF(VLOOKUP(VLOOKUP(AC78,tablas!$R$3:$T$66,2,TRUE)&amp;VLOOKUP(AC78,tablas!$R$3:$T$66,3,TRUE),tablas!$Q$3:$R$66,2,FALSE)&lt;AC78,VLOOKUP(AC78+0.1,tablas!$R$3:$T$66,2,TRUE),VLOOKUP(AC78,tablas!$R$3:$T$66,2,TRUE))&amp;"@"&amp;IF(VLOOKUP(VLOOKUP(AC78,tablas!$R$3:$T$66,2,TRUE)&amp;VLOOKUP(AC78,tablas!$R$3:$T$66,3,TRUE),tablas!$Q$3:$R$66,2,FALSE)&lt;AC78,VLOOKUP(AC78+0.1,tablas!$R$3:$T$66,3,TRUE),VLOOKUP(AC78,tablas!$R$3:$T$66,3,TRUE)),$C$13)</f>
        <v>φ10@25</v>
      </c>
      <c r="AD79" s="95" t="str">
        <f>IF(AD78&gt;$C$12,"φ"&amp;IF(VLOOKUP(VLOOKUP(AD78,tablas!$R$3:$T$66,2,TRUE)&amp;VLOOKUP(AD78,tablas!$R$3:$T$66,3,TRUE),tablas!$Q$3:$R$66,2,FALSE)&lt;AD78,VLOOKUP(AD78+0.1,tablas!$R$3:$T$66,2,TRUE),VLOOKUP(AD78,tablas!$R$3:$T$66,2,TRUE))&amp;"@"&amp;IF(VLOOKUP(VLOOKUP(AD78,tablas!$R$3:$T$66,2,TRUE)&amp;VLOOKUP(AD78,tablas!$R$3:$T$66,3,TRUE),tablas!$Q$3:$R$66,2,FALSE)&lt;AD78,VLOOKUP(AD78+0.1,tablas!$R$3:$T$66,3,TRUE),VLOOKUP(AD78,tablas!$R$3:$T$66,3,TRUE)),$C$13)</f>
        <v>φ8@16</v>
      </c>
      <c r="AE79" s="95" t="str">
        <f>IF(AE78&gt;$C$12,"φ"&amp;IF(VLOOKUP(VLOOKUP(AE78,tablas!$R$3:$T$66,2,TRUE)&amp;VLOOKUP(AE78,tablas!$R$3:$T$66,3,TRUE),tablas!$Q$3:$R$66,2,FALSE)&lt;AE78,VLOOKUP(AE78+0.1,tablas!$R$3:$T$66,2,TRUE),VLOOKUP(AE78,tablas!$R$3:$T$66,2,TRUE))&amp;"@"&amp;IF(VLOOKUP(VLOOKUP(AE78,tablas!$R$3:$T$66,2,TRUE)&amp;VLOOKUP(AE78,tablas!$R$3:$T$66,3,TRUE),tablas!$Q$3:$R$66,2,FALSE)&lt;AE78,VLOOKUP(AE78+0.1,tablas!$R$3:$T$66,3,TRUE),VLOOKUP(AE78,tablas!$R$3:$T$66,3,TRUE)),$C$13)</f>
        <v>φ8@16</v>
      </c>
    </row>
    <row r="80" spans="2:31" x14ac:dyDescent="0.3">
      <c r="B80" s="96" t="s">
        <v>103</v>
      </c>
      <c r="C80" s="89">
        <f>IF(C53&lt;=2,C67/C58,IF(OR(C51=6,C51="5a",C51="3a"),C66*C48^2/12,(IF(OR(C51="2a",C51=4,C51="5b"),C66*C48^2/8,"-"))))</f>
        <v>2239.7340425531916</v>
      </c>
      <c r="D80" s="89">
        <f t="shared" ref="D80:AE80" si="124">IF(D53&lt;=2,D67/D58,IF(OR(D51=6,D51="5a",D51="3a"),D66*D48^2/12,(IF(OR(D51="2a",D51=4,D51="5b"),D66*D48^2/8,"-"))))</f>
        <v>2872.7272727272725</v>
      </c>
      <c r="E80" s="89">
        <f t="shared" si="124"/>
        <v>2872.7272727272725</v>
      </c>
      <c r="F80" s="89">
        <f t="shared" si="124"/>
        <v>3040.5365853658536</v>
      </c>
      <c r="G80" s="89">
        <f t="shared" si="124"/>
        <v>1890.0537634408602</v>
      </c>
      <c r="H80" s="89">
        <f t="shared" si="124"/>
        <v>1481.25</v>
      </c>
      <c r="I80" s="89">
        <f t="shared" si="124"/>
        <v>2481.6253191489359</v>
      </c>
      <c r="J80" s="89">
        <f t="shared" si="124"/>
        <v>3352.2893617021282</v>
      </c>
      <c r="K80" s="89">
        <f t="shared" si="124"/>
        <v>3352.2893617021282</v>
      </c>
      <c r="L80" s="89">
        <f t="shared" si="124"/>
        <v>4041.0606666666667</v>
      </c>
      <c r="M80" s="89">
        <f t="shared" si="124"/>
        <v>1537.1473170731708</v>
      </c>
      <c r="N80" s="89">
        <f t="shared" si="124"/>
        <v>3914.1434146341467</v>
      </c>
      <c r="O80" s="89">
        <f t="shared" si="124"/>
        <v>1966.8510638297873</v>
      </c>
      <c r="P80" s="89">
        <f t="shared" si="124"/>
        <v>2188.4680851063831</v>
      </c>
      <c r="Q80" s="89">
        <f t="shared" si="124"/>
        <v>4425.1175609756101</v>
      </c>
      <c r="R80" s="89">
        <f t="shared" si="124"/>
        <v>2607.3291666666669</v>
      </c>
      <c r="S80" s="89">
        <f t="shared" si="124"/>
        <v>1706.4000000000003</v>
      </c>
      <c r="T80" s="89">
        <f t="shared" si="124"/>
        <v>5624.1974634146345</v>
      </c>
      <c r="U80" s="89">
        <f t="shared" si="124"/>
        <v>231.93333333333331</v>
      </c>
      <c r="V80" s="89">
        <f t="shared" si="124"/>
        <v>684.50454545454545</v>
      </c>
      <c r="W80" s="89">
        <f t="shared" si="124"/>
        <v>995.18333333333339</v>
      </c>
      <c r="X80" s="89">
        <f t="shared" si="124"/>
        <v>2156.939393939394</v>
      </c>
      <c r="Y80" s="89">
        <f t="shared" si="124"/>
        <v>3947.3156989247309</v>
      </c>
      <c r="Z80" s="89">
        <f t="shared" si="124"/>
        <v>8939.8506666666672</v>
      </c>
      <c r="AA80" s="89">
        <f t="shared" si="124"/>
        <v>3175.4146341463415</v>
      </c>
      <c r="AB80" s="89">
        <f t="shared" si="124"/>
        <v>3629.5951515151514</v>
      </c>
      <c r="AC80" s="89">
        <f t="shared" si="124"/>
        <v>5742.5419191919182</v>
      </c>
      <c r="AD80" s="89">
        <f t="shared" si="124"/>
        <v>1706.4000000000003</v>
      </c>
      <c r="AE80" s="89">
        <f t="shared" si="124"/>
        <v>643.90545454545452</v>
      </c>
    </row>
    <row r="81" spans="2:32" x14ac:dyDescent="0.3">
      <c r="B81" s="97" t="s">
        <v>15</v>
      </c>
      <c r="C81" s="90">
        <f>C80/(0.9*(0.9*($C$7/100))*($L$9*1000))</f>
        <v>4.3070151966331895</v>
      </c>
      <c r="D81" s="91">
        <f>D80/(0.9*(0.9*($C$7/100))*($L$9*1000))</f>
        <v>5.524263052819645</v>
      </c>
      <c r="E81" s="91">
        <f t="shared" ref="E81:R81" si="125">E80/(0.9*(0.9*($C$7/100))*($L$9*1000))</f>
        <v>5.524263052819645</v>
      </c>
      <c r="F81" s="91">
        <f t="shared" si="125"/>
        <v>5.8469608579782566</v>
      </c>
      <c r="G81" s="91">
        <f t="shared" si="125"/>
        <v>3.6345789843484093</v>
      </c>
      <c r="H81" s="91">
        <f t="shared" si="125"/>
        <v>2.8484481366101297</v>
      </c>
      <c r="I81" s="91">
        <f t="shared" si="125"/>
        <v>4.7721728378695731</v>
      </c>
      <c r="J81" s="91">
        <f t="shared" si="125"/>
        <v>6.446462370105241</v>
      </c>
      <c r="K81" s="91">
        <f t="shared" si="125"/>
        <v>6.446462370105241</v>
      </c>
      <c r="L81" s="91">
        <f t="shared" si="125"/>
        <v>7.7709716292963078</v>
      </c>
      <c r="M81" s="91">
        <f t="shared" si="125"/>
        <v>2.9559388428775248</v>
      </c>
      <c r="N81" s="91">
        <f t="shared" si="125"/>
        <v>7.5269093777819043</v>
      </c>
      <c r="O81" s="91">
        <f t="shared" si="125"/>
        <v>3.782260420425728</v>
      </c>
      <c r="P81" s="91">
        <f t="shared" si="125"/>
        <v>4.2084306086427112</v>
      </c>
      <c r="Q81" s="91">
        <f t="shared" si="125"/>
        <v>8.5095141744079257</v>
      </c>
      <c r="R81" s="91">
        <f t="shared" si="125"/>
        <v>5.0139017089086311</v>
      </c>
      <c r="S81" s="91">
        <f t="shared" ref="S81" si="126">S80/(0.9*(0.9*($C$7/100))*($L$9*1000))</f>
        <v>3.2814122533748704</v>
      </c>
      <c r="T81" s="91">
        <f t="shared" ref="T81" si="127">T80/(0.9*(0.9*($C$7/100))*($L$9*1000))</f>
        <v>10.815348377782842</v>
      </c>
      <c r="U81" s="91">
        <f t="shared" ref="U81" si="128">U80/(0.9*(0.9*($C$7/100))*($L$9*1000))</f>
        <v>0.4460084868530696</v>
      </c>
      <c r="V81" s="91">
        <f t="shared" ref="V81" si="129">V80/(0.9*(0.9*($C$7/100))*($L$9*1000))</f>
        <v>1.3163042680176633</v>
      </c>
      <c r="W81" s="91">
        <f t="shared" ref="W81" si="130">W80/(0.9*(0.9*($C$7/100))*($L$9*1000))</f>
        <v>1.9137404971603653</v>
      </c>
      <c r="X81" s="91">
        <f t="shared" ref="X81" si="131">X80/(0.9*(0.9*($C$7/100))*($L$9*1000))</f>
        <v>4.1478008421587509</v>
      </c>
      <c r="Y81" s="91">
        <f t="shared" ref="Y81" si="132">Y80/(0.9*(0.9*($C$7/100))*($L$9*1000))</f>
        <v>7.5906997787099151</v>
      </c>
      <c r="Z81" s="91">
        <f t="shared" ref="Z81" si="133">Z80/(0.9*(0.9*($C$7/100))*($L$9*1000))</f>
        <v>17.191359306693329</v>
      </c>
      <c r="AA81" s="91">
        <f t="shared" ref="AA81" si="134">AA80/(0.9*(0.9*($C$7/100))*($L$9*1000))</f>
        <v>6.1063317452143009</v>
      </c>
      <c r="AB81" s="91">
        <f t="shared" ref="AB81" si="135">AB80/(0.9*(0.9*($C$7/100))*($L$9*1000))</f>
        <v>6.9797222251358617</v>
      </c>
      <c r="AC81" s="91">
        <f t="shared" ref="AC81" si="136">AC80/(0.9*(0.9*($C$7/100))*($L$9*1000))</f>
        <v>11.042925116710736</v>
      </c>
      <c r="AD81" s="91">
        <f t="shared" ref="AD81" si="137">AD80/(0.9*(0.9*($C$7/100))*($L$9*1000))</f>
        <v>3.2814122533748704</v>
      </c>
      <c r="AE81" s="91">
        <f t="shared" ref="AE81" si="138">AE80/(0.9*(0.9*($C$7/100))*($L$9*1000))</f>
        <v>1.2382320959683366</v>
      </c>
    </row>
    <row r="82" spans="2:32" x14ac:dyDescent="0.3">
      <c r="B82" s="97" t="s">
        <v>98</v>
      </c>
      <c r="C82" s="92">
        <f>(C81*($L$9))/(0.85*$L$6*100)</f>
        <v>6.0748146454407813E-2</v>
      </c>
      <c r="D82" s="93">
        <f>(D81*($L$9))/(0.85*$L$6*100)</f>
        <v>7.791677662240265E-2</v>
      </c>
      <c r="E82" s="93">
        <f t="shared" ref="E82:R82" si="139">(E81*($L$9))/(0.85*$L$6*100)</f>
        <v>7.791677662240265E-2</v>
      </c>
      <c r="F82" s="93">
        <f t="shared" si="139"/>
        <v>8.2468256622662522E-2</v>
      </c>
      <c r="G82" s="93">
        <f t="shared" si="139"/>
        <v>5.1263793221325404E-2</v>
      </c>
      <c r="H82" s="93">
        <f t="shared" si="139"/>
        <v>4.0175837945926371E-2</v>
      </c>
      <c r="I82" s="93">
        <f t="shared" si="139"/>
        <v>6.7308946271483858E-2</v>
      </c>
      <c r="J82" s="93">
        <f t="shared" si="139"/>
        <v>9.0923904907070141E-2</v>
      </c>
      <c r="K82" s="93">
        <f t="shared" si="139"/>
        <v>9.0923904907070141E-2</v>
      </c>
      <c r="L82" s="93">
        <f t="shared" si="139"/>
        <v>0.10960539981343945</v>
      </c>
      <c r="M82" s="93">
        <f t="shared" si="139"/>
        <v>4.1691936884217524E-2</v>
      </c>
      <c r="N82" s="93">
        <f t="shared" si="139"/>
        <v>0.10616303225212244</v>
      </c>
      <c r="O82" s="93">
        <f t="shared" si="139"/>
        <v>5.3346760914226778E-2</v>
      </c>
      <c r="P82" s="93">
        <f t="shared" si="139"/>
        <v>5.9357663552449522E-2</v>
      </c>
      <c r="Q82" s="93">
        <f t="shared" si="139"/>
        <v>0.12002214752501542</v>
      </c>
      <c r="R82" s="93">
        <f t="shared" si="139"/>
        <v>7.0718402748818396E-2</v>
      </c>
      <c r="S82" s="93">
        <f t="shared" ref="S82" si="140">(S81*($L$9))/(0.85*$L$6*100)</f>
        <v>4.628256531370719E-2</v>
      </c>
      <c r="T82" s="93">
        <f t="shared" ref="T82" si="141">(T81*($L$9))/(0.85*$L$6*100)</f>
        <v>0.15254470606989806</v>
      </c>
      <c r="U82" s="93">
        <f t="shared" ref="U82" si="142">(U81*($L$9))/(0.85*$L$6*100)</f>
        <v>6.2907112332546977E-3</v>
      </c>
      <c r="V82" s="93">
        <f t="shared" ref="V82" si="143">(V81*($L$9))/(0.85*$L$6*100)</f>
        <v>1.8565767892949742E-2</v>
      </c>
      <c r="W82" s="93">
        <f t="shared" ref="W82" si="144">(W81*($L$9))/(0.85*$L$6*100)</f>
        <v>2.6992286465138782E-2</v>
      </c>
      <c r="X82" s="93">
        <f t="shared" ref="X82" si="145">(X81*($L$9))/(0.85*$L$6*100)</f>
        <v>5.8502513113987333E-2</v>
      </c>
      <c r="Y82" s="93">
        <f t="shared" ref="Y82" si="146">(Y81*($L$9))/(0.85*$L$6*100)</f>
        <v>0.10706276174947582</v>
      </c>
      <c r="Z82" s="93">
        <f t="shared" ref="Z82" si="147">(Z81*($L$9))/(0.85*$L$6*100)</f>
        <v>0.24247493106820714</v>
      </c>
      <c r="AA82" s="93">
        <f t="shared" ref="AA82" si="148">(AA81*($L$9))/(0.85*$L$6*100)</f>
        <v>8.6126544305543618E-2</v>
      </c>
      <c r="AB82" s="93">
        <f t="shared" ref="AB82" si="149">(AB81*($L$9))/(0.85*$L$6*100)</f>
        <v>9.8445250036518342E-2</v>
      </c>
      <c r="AC82" s="93">
        <f t="shared" ref="AC82" si="150">(AC81*($L$9))/(0.85*$L$6*100)</f>
        <v>0.15575455429072979</v>
      </c>
      <c r="AD82" s="93">
        <f t="shared" ref="AD82" si="151">(AD81*($L$9))/(0.85*$L$6*100)</f>
        <v>4.628256531370719E-2</v>
      </c>
      <c r="AE82" s="93">
        <f t="shared" ref="AE82" si="152">(AE81*($L$9))/(0.85*$L$6*100)</f>
        <v>1.7464601650171302E-2</v>
      </c>
    </row>
    <row r="83" spans="2:32" ht="15" thickBot="1" x14ac:dyDescent="0.35">
      <c r="B83" s="97" t="s">
        <v>15</v>
      </c>
      <c r="C83" s="76">
        <f>ROUNDUP(C80/(0.9*(($C$7-C82/2)/100)*($L$9*1000)),2)</f>
        <v>3.8899999999999997</v>
      </c>
      <c r="D83" s="77">
        <f>ROUNDUP(D80/(0.9*(($C$7-D82/2)/100)*($L$9*1000)),2)</f>
        <v>4.99</v>
      </c>
      <c r="E83" s="77">
        <f t="shared" ref="E83:R83" si="153">ROUNDUP(E80/(0.9*(($C$7-E82/2)/100)*($L$9*1000)),2)</f>
        <v>4.99</v>
      </c>
      <c r="F83" s="77">
        <f t="shared" si="153"/>
        <v>5.2799999999999994</v>
      </c>
      <c r="G83" s="77">
        <f t="shared" si="153"/>
        <v>3.28</v>
      </c>
      <c r="H83" s="77">
        <f t="shared" si="153"/>
        <v>2.57</v>
      </c>
      <c r="I83" s="77">
        <f t="shared" si="153"/>
        <v>4.3099999999999996</v>
      </c>
      <c r="J83" s="77">
        <f t="shared" si="153"/>
        <v>5.8199999999999994</v>
      </c>
      <c r="K83" s="77">
        <f t="shared" si="153"/>
        <v>5.8199999999999994</v>
      </c>
      <c r="L83" s="77">
        <f t="shared" si="153"/>
        <v>7.02</v>
      </c>
      <c r="M83" s="77">
        <f t="shared" si="153"/>
        <v>2.67</v>
      </c>
      <c r="N83" s="77">
        <f t="shared" si="153"/>
        <v>6.8</v>
      </c>
      <c r="O83" s="77">
        <f t="shared" si="153"/>
        <v>3.42</v>
      </c>
      <c r="P83" s="77">
        <f t="shared" si="153"/>
        <v>3.8</v>
      </c>
      <c r="Q83" s="77">
        <f t="shared" si="153"/>
        <v>7.6899999999999995</v>
      </c>
      <c r="R83" s="77">
        <f t="shared" si="153"/>
        <v>4.5299999999999994</v>
      </c>
      <c r="S83" s="77">
        <f t="shared" ref="S83" si="154">ROUNDUP(S80/(0.9*(($C$7-S82/2)/100)*($L$9*1000)),2)</f>
        <v>2.96</v>
      </c>
      <c r="T83" s="77">
        <f t="shared" ref="T83" si="155">ROUNDUP(T80/(0.9*(($C$7-T82/2)/100)*($L$9*1000)),2)</f>
        <v>9.7899999999999991</v>
      </c>
      <c r="U83" s="77">
        <f t="shared" ref="U83" si="156">ROUNDUP(U80/(0.9*(($C$7-U82/2)/100)*($L$9*1000)),2)</f>
        <v>0.41000000000000003</v>
      </c>
      <c r="V83" s="77">
        <f t="shared" ref="V83" si="157">ROUNDUP(V80/(0.9*(($C$7-V82/2)/100)*($L$9*1000)),2)</f>
        <v>1.19</v>
      </c>
      <c r="W83" s="77">
        <f t="shared" ref="W83" si="158">ROUNDUP(W80/(0.9*(($C$7-W82/2)/100)*($L$9*1000)),2)</f>
        <v>1.73</v>
      </c>
      <c r="X83" s="77">
        <f t="shared" ref="X83" si="159">ROUNDUP(X80/(0.9*(($C$7-X82/2)/100)*($L$9*1000)),2)</f>
        <v>3.75</v>
      </c>
      <c r="Y83" s="77">
        <f t="shared" ref="Y83" si="160">ROUNDUP(Y80/(0.9*(($C$7-Y82/2)/100)*($L$9*1000)),2)</f>
        <v>6.8599999999999994</v>
      </c>
      <c r="Z83" s="77">
        <f t="shared" ref="Z83" si="161">ROUNDUP(Z80/(0.9*(($C$7-Z82/2)/100)*($L$9*1000)),2)</f>
        <v>15.6</v>
      </c>
      <c r="AA83" s="77">
        <f t="shared" ref="AA83" si="162">ROUNDUP(AA80/(0.9*(($C$7-AA82/2)/100)*($L$9*1000)),2)</f>
        <v>5.52</v>
      </c>
      <c r="AB83" s="77">
        <f t="shared" ref="AB83" si="163">ROUNDUP(AB80/(0.9*(($C$7-AB82/2)/100)*($L$9*1000)),2)</f>
        <v>6.31</v>
      </c>
      <c r="AC83" s="77">
        <f t="shared" ref="AC83" si="164">ROUNDUP(AC80/(0.9*(($C$7-AC82/2)/100)*($L$9*1000)),2)</f>
        <v>10</v>
      </c>
      <c r="AD83" s="77">
        <f t="shared" ref="AD83" si="165">ROUNDUP(AD80/(0.9*(($C$7-AD82/2)/100)*($L$9*1000)),2)</f>
        <v>2.96</v>
      </c>
      <c r="AE83" s="77">
        <f t="shared" ref="AE83" si="166">ROUNDUP(AE80/(0.9*(($C$7-AE82/2)/100)*($L$9*1000)),2)</f>
        <v>1.1200000000000001</v>
      </c>
    </row>
    <row r="84" spans="2:32" ht="16.2" thickBot="1" x14ac:dyDescent="0.35">
      <c r="B84" s="61" t="s">
        <v>105</v>
      </c>
      <c r="C84" s="94" t="str">
        <f>IF(C83&gt;$C$12,"φ"&amp;IF(VLOOKUP(VLOOKUP(C83,tablas!$R$3:$T$66,2,TRUE)&amp;VLOOKUP(C83,tablas!$R$3:$T$66,3,TRUE),tablas!$Q$3:$R$66,2,FALSE)&lt;C83,VLOOKUP(C83+0.1,tablas!$R$3:$T$66,2,TRUE),VLOOKUP(C83,tablas!$R$3:$T$66,2,TRUE))&amp;"@"&amp;IF(VLOOKUP(VLOOKUP(C83,tablas!$R$3:$T$66,2,TRUE)&amp;VLOOKUP(C83,tablas!$R$3:$T$66,3,TRUE),tablas!$Q$3:$R$66,2,FALSE)&lt;C83,VLOOKUP(C83+0.1,tablas!$R$3:$T$66,3,TRUE),VLOOKUP(C83,tablas!$R$3:$T$66,3,TRUE)),$C$13)</f>
        <v>φ10@20</v>
      </c>
      <c r="D84" s="95" t="str">
        <f>IF(D83&gt;$C$12,"φ"&amp;IF(VLOOKUP(VLOOKUP(D83,tablas!$R$3:$T$66,2,TRUE)&amp;VLOOKUP(D83,tablas!$R$3:$T$66,3,TRUE),tablas!$Q$3:$R$66,2,FALSE)&lt;D83,VLOOKUP(D83+0.1,tablas!$R$3:$T$66,2,TRUE),VLOOKUP(D83,tablas!$R$3:$T$66,2,TRUE))&amp;"@"&amp;IF(VLOOKUP(VLOOKUP(D83,tablas!$R$3:$T$66,2,TRUE)&amp;VLOOKUP(D83,tablas!$R$3:$T$66,3,TRUE),tablas!$Q$3:$R$66,2,FALSE)&lt;D83,VLOOKUP(D83+0.1,tablas!$R$3:$T$66,3,TRUE),VLOOKUP(D83,tablas!$R$3:$T$66,3,TRUE)),$C$13)</f>
        <v>φ8@10</v>
      </c>
      <c r="E84" s="95" t="str">
        <f>IF(E83&gt;$C$12,"φ"&amp;IF(VLOOKUP(VLOOKUP(E83,tablas!$R$3:$T$66,2,TRUE)&amp;VLOOKUP(E83,tablas!$R$3:$T$66,3,TRUE),tablas!$Q$3:$R$66,2,FALSE)&lt;E83,VLOOKUP(E83+0.1,tablas!$R$3:$T$66,2,TRUE),VLOOKUP(E83,tablas!$R$3:$T$66,2,TRUE))&amp;"@"&amp;IF(VLOOKUP(VLOOKUP(E83,tablas!$R$3:$T$66,2,TRUE)&amp;VLOOKUP(E83,tablas!$R$3:$T$66,3,TRUE),tablas!$Q$3:$R$66,2,FALSE)&lt;E83,VLOOKUP(E83+0.1,tablas!$R$3:$T$66,3,TRUE),VLOOKUP(E83,tablas!$R$3:$T$66,3,TRUE)),$C$13)</f>
        <v>φ8@10</v>
      </c>
      <c r="F84" s="95" t="str">
        <f>IF(F83&gt;$C$12,"φ"&amp;IF(VLOOKUP(VLOOKUP(F83,tablas!$R$3:$T$66,2,TRUE)&amp;VLOOKUP(F83,tablas!$R$3:$T$66,3,TRUE),tablas!$Q$3:$R$66,2,FALSE)&lt;F83,VLOOKUP(F83+0.1,tablas!$R$3:$T$66,2,TRUE),VLOOKUP(F83,tablas!$R$3:$T$66,2,TRUE))&amp;"@"&amp;IF(VLOOKUP(VLOOKUP(F83,tablas!$R$3:$T$66,2,TRUE)&amp;VLOOKUP(F83,tablas!$R$3:$T$66,3,TRUE),tablas!$Q$3:$R$66,2,FALSE)&lt;F83,VLOOKUP(F83+0.1,tablas!$R$3:$T$66,3,TRUE),VLOOKUP(F83,tablas!$R$3:$T$66,3,TRUE)),$C$13)</f>
        <v>φ10@15</v>
      </c>
      <c r="G84" s="95" t="str">
        <f>IF(G83&gt;$C$12,"φ"&amp;IF(VLOOKUP(VLOOKUP(G83,tablas!$R$3:$T$66,2,TRUE)&amp;VLOOKUP(G83,tablas!$R$3:$T$66,3,TRUE),tablas!$Q$3:$R$66,2,FALSE)&lt;G83,VLOOKUP(G83+0.1,tablas!$R$3:$T$66,2,TRUE),VLOOKUP(G83,tablas!$R$3:$T$66,2,TRUE))&amp;"@"&amp;IF(VLOOKUP(VLOOKUP(G83,tablas!$R$3:$T$66,2,TRUE)&amp;VLOOKUP(G83,tablas!$R$3:$T$66,3,TRUE),tablas!$Q$3:$R$66,2,FALSE)&lt;G83,VLOOKUP(G83+0.1,tablas!$R$3:$T$66,3,TRUE),VLOOKUP(G83,tablas!$R$3:$T$66,3,TRUE)),$C$13)</f>
        <v>φ8@15</v>
      </c>
      <c r="H84" s="95" t="str">
        <f>IF(H83&gt;$C$12,"φ"&amp;IF(VLOOKUP(VLOOKUP(H83,tablas!$R$3:$T$66,2,TRUE)&amp;VLOOKUP(H83,tablas!$R$3:$T$66,3,TRUE),tablas!$Q$3:$R$66,2,FALSE)&lt;H83,VLOOKUP(H83+0.1,tablas!$R$3:$T$66,2,TRUE),VLOOKUP(H83,tablas!$R$3:$T$66,2,TRUE))&amp;"@"&amp;IF(VLOOKUP(VLOOKUP(H83,tablas!$R$3:$T$66,2,TRUE)&amp;VLOOKUP(H83,tablas!$R$3:$T$66,3,TRUE),tablas!$Q$3:$R$66,2,FALSE)&lt;H83,VLOOKUP(H83+0.1,tablas!$R$3:$T$66,3,TRUE),VLOOKUP(H83,tablas!$R$3:$T$66,3,TRUE)),$C$13)</f>
        <v>φ8@16</v>
      </c>
      <c r="I84" s="95" t="str">
        <f>IF(I83&gt;$C$12,"φ"&amp;IF(VLOOKUP(VLOOKUP(I83,tablas!$R$3:$T$66,2,TRUE)&amp;VLOOKUP(I83,tablas!$R$3:$T$66,3,TRUE),tablas!$Q$3:$R$66,2,FALSE)&lt;I83,VLOOKUP(I83+0.1,tablas!$R$3:$T$66,2,TRUE),VLOOKUP(I83,tablas!$R$3:$T$66,2,TRUE))&amp;"@"&amp;IF(VLOOKUP(VLOOKUP(I83,tablas!$R$3:$T$66,2,TRUE)&amp;VLOOKUP(I83,tablas!$R$3:$T$66,3,TRUE),tablas!$Q$3:$R$66,2,FALSE)&lt;I83,VLOOKUP(I83+0.1,tablas!$R$3:$T$66,3,TRUE),VLOOKUP(I83,tablas!$R$3:$T$66,3,TRUE)),$C$13)</f>
        <v>φ10@18</v>
      </c>
      <c r="J84" s="95" t="str">
        <f>IF(J83&gt;$C$12,"φ"&amp;IF(VLOOKUP(VLOOKUP(J83,tablas!$R$3:$T$66,2,TRUE)&amp;VLOOKUP(J83,tablas!$R$3:$T$66,3,TRUE),tablas!$Q$3:$R$66,2,FALSE)&lt;J83,VLOOKUP(J83+0.1,tablas!$R$3:$T$66,2,TRUE),VLOOKUP(J83,tablas!$R$3:$T$66,2,TRUE))&amp;"@"&amp;IF(VLOOKUP(VLOOKUP(J83,tablas!$R$3:$T$66,2,TRUE)&amp;VLOOKUP(J83,tablas!$R$3:$T$66,3,TRUE),tablas!$Q$3:$R$66,2,FALSE)&lt;J83,VLOOKUP(J83+0.1,tablas!$R$3:$T$66,3,TRUE),VLOOKUP(J83,tablas!$R$3:$T$66,3,TRUE)),$C$13)</f>
        <v>φ12@20</v>
      </c>
      <c r="K84" s="95" t="str">
        <f>IF(K83&gt;$C$12,"φ"&amp;IF(VLOOKUP(VLOOKUP(K83,tablas!$R$3:$T$66,2,TRUE)&amp;VLOOKUP(K83,tablas!$R$3:$T$66,3,TRUE),tablas!$Q$3:$R$66,2,FALSE)&lt;K83,VLOOKUP(K83+0.1,tablas!$R$3:$T$66,2,TRUE),VLOOKUP(K83,tablas!$R$3:$T$66,2,TRUE))&amp;"@"&amp;IF(VLOOKUP(VLOOKUP(K83,tablas!$R$3:$T$66,2,TRUE)&amp;VLOOKUP(K83,tablas!$R$3:$T$66,3,TRUE),tablas!$Q$3:$R$66,2,FALSE)&lt;K83,VLOOKUP(K83+0.1,tablas!$R$3:$T$66,3,TRUE),VLOOKUP(K83,tablas!$R$3:$T$66,3,TRUE)),$C$13)</f>
        <v>φ12@20</v>
      </c>
      <c r="L84" s="95" t="str">
        <f>IF(L83&gt;$C$12,"φ"&amp;IF(VLOOKUP(VLOOKUP(L83,tablas!$R$3:$T$66,2,TRUE)&amp;VLOOKUP(L83,tablas!$R$3:$T$66,3,TRUE),tablas!$Q$3:$R$66,2,FALSE)&lt;L83,VLOOKUP(L83+0.1,tablas!$R$3:$T$66,2,TRUE),VLOOKUP(L83,tablas!$R$3:$T$66,2,TRUE))&amp;"@"&amp;IF(VLOOKUP(VLOOKUP(L83,tablas!$R$3:$T$66,2,TRUE)&amp;VLOOKUP(L83,tablas!$R$3:$T$66,3,TRUE),tablas!$Q$3:$R$66,2,FALSE)&lt;L83,VLOOKUP(L83+0.1,tablas!$R$3:$T$66,3,TRUE),VLOOKUP(L83,tablas!$R$3:$T$66,3,TRUE)),$C$13)</f>
        <v>φ12@16</v>
      </c>
      <c r="M84" s="95" t="str">
        <f>IF(M83&gt;$C$12,"φ"&amp;IF(VLOOKUP(VLOOKUP(M83,tablas!$R$3:$T$66,2,TRUE)&amp;VLOOKUP(M83,tablas!$R$3:$T$66,3,TRUE),tablas!$Q$3:$R$66,2,FALSE)&lt;M83,VLOOKUP(M83+0.1,tablas!$R$3:$T$66,2,TRUE),VLOOKUP(M83,tablas!$R$3:$T$66,2,TRUE))&amp;"@"&amp;IF(VLOOKUP(VLOOKUP(M83,tablas!$R$3:$T$66,2,TRUE)&amp;VLOOKUP(M83,tablas!$R$3:$T$66,3,TRUE),tablas!$Q$3:$R$66,2,FALSE)&lt;M83,VLOOKUP(M83+0.1,tablas!$R$3:$T$66,3,TRUE),VLOOKUP(M83,tablas!$R$3:$T$66,3,TRUE)),$C$13)</f>
        <v>φ8@16</v>
      </c>
      <c r="N84" s="95" t="str">
        <f>IF(N83&gt;$C$12,"φ"&amp;IF(VLOOKUP(VLOOKUP(N83,tablas!$R$3:$T$66,2,TRUE)&amp;VLOOKUP(N83,tablas!$R$3:$T$66,3,TRUE),tablas!$Q$3:$R$66,2,FALSE)&lt;N83,VLOOKUP(N83+0.1,tablas!$R$3:$T$66,2,TRUE),VLOOKUP(N83,tablas!$R$3:$T$66,2,TRUE))&amp;"@"&amp;IF(VLOOKUP(VLOOKUP(N83,tablas!$R$3:$T$66,2,TRUE)&amp;VLOOKUP(N83,tablas!$R$3:$T$66,3,TRUE),tablas!$Q$3:$R$66,2,FALSE)&lt;N83,VLOOKUP(N83+0.1,tablas!$R$3:$T$66,3,TRUE),VLOOKUP(N83,tablas!$R$3:$T$66,3,TRUE)),$C$13)</f>
        <v>φ12@17</v>
      </c>
      <c r="O84" s="95" t="str">
        <f>IF(O83&gt;$C$12,"φ"&amp;IF(VLOOKUP(VLOOKUP(O83,tablas!$R$3:$T$66,2,TRUE)&amp;VLOOKUP(O83,tablas!$R$3:$T$66,3,TRUE),tablas!$Q$3:$R$66,2,FALSE)&lt;O83,VLOOKUP(O83+0.1,tablas!$R$3:$T$66,2,TRUE),VLOOKUP(O83,tablas!$R$3:$T$66,2,TRUE))&amp;"@"&amp;IF(VLOOKUP(VLOOKUP(O83,tablas!$R$3:$T$66,2,TRUE)&amp;VLOOKUP(O83,tablas!$R$3:$T$66,3,TRUE),tablas!$Q$3:$R$66,2,FALSE)&lt;O83,VLOOKUP(O83+0.1,tablas!$R$3:$T$66,3,TRUE),VLOOKUP(O83,tablas!$R$3:$T$66,3,TRUE)),$C$13)</f>
        <v>φ10@23</v>
      </c>
      <c r="P84" s="95" t="str">
        <f>IF(P83&gt;$C$12,"φ"&amp;IF(VLOOKUP(VLOOKUP(P83,tablas!$R$3:$T$66,2,TRUE)&amp;VLOOKUP(P83,tablas!$R$3:$T$66,3,TRUE),tablas!$Q$3:$R$66,2,FALSE)&lt;P83,VLOOKUP(P83+0.1,tablas!$R$3:$T$66,2,TRUE),VLOOKUP(P83,tablas!$R$3:$T$66,2,TRUE))&amp;"@"&amp;IF(VLOOKUP(VLOOKUP(P83,tablas!$R$3:$T$66,2,TRUE)&amp;VLOOKUP(P83,tablas!$R$3:$T$66,3,TRUE),tablas!$Q$3:$R$66,2,FALSE)&lt;P83,VLOOKUP(P83+0.1,tablas!$R$3:$T$66,3,TRUE),VLOOKUP(P83,tablas!$R$3:$T$66,3,TRUE)),$C$13)</f>
        <v>φ8@13</v>
      </c>
      <c r="Q84" s="95" t="str">
        <f>IF(Q83&gt;$C$12,"φ"&amp;IF(VLOOKUP(VLOOKUP(Q83,tablas!$R$3:$T$66,2,TRUE)&amp;VLOOKUP(Q83,tablas!$R$3:$T$66,3,TRUE),tablas!$Q$3:$R$66,2,FALSE)&lt;Q83,VLOOKUP(Q83+0.1,tablas!$R$3:$T$66,2,TRUE),VLOOKUP(Q83,tablas!$R$3:$T$66,2,TRUE))&amp;"@"&amp;IF(VLOOKUP(VLOOKUP(Q83,tablas!$R$3:$T$66,2,TRUE)&amp;VLOOKUP(Q83,tablas!$R$3:$T$66,3,TRUE),tablas!$Q$3:$R$66,2,FALSE)&lt;Q83,VLOOKUP(Q83+0.1,tablas!$R$3:$T$66,3,TRUE),VLOOKUP(Q83,tablas!$R$3:$T$66,3,TRUE)),$C$13)</f>
        <v>φ12@15</v>
      </c>
      <c r="R84" s="95" t="str">
        <f>IF(R83&gt;$C$12,"φ"&amp;IF(VLOOKUP(VLOOKUP(R83,tablas!$R$3:$T$66,2,TRUE)&amp;VLOOKUP(R83,tablas!$R$3:$T$66,3,TRUE),tablas!$Q$3:$R$66,2,FALSE)&lt;R83,VLOOKUP(R83+0.1,tablas!$R$3:$T$66,2,TRUE),VLOOKUP(R83,tablas!$R$3:$T$66,2,TRUE))&amp;"@"&amp;IF(VLOOKUP(VLOOKUP(R83,tablas!$R$3:$T$66,2,TRUE)&amp;VLOOKUP(R83,tablas!$R$3:$T$66,3,TRUE),tablas!$Q$3:$R$66,2,FALSE)&lt;R83,VLOOKUP(R83+0.1,tablas!$R$3:$T$66,3,TRUE),VLOOKUP(R83,tablas!$R$3:$T$66,3,TRUE)),$C$13)</f>
        <v>φ10@17</v>
      </c>
      <c r="S84" s="95" t="str">
        <f>IF(S83&gt;$C$12,"φ"&amp;IF(VLOOKUP(VLOOKUP(S83,tablas!$R$3:$T$66,2,TRUE)&amp;VLOOKUP(S83,tablas!$R$3:$T$66,3,TRUE),tablas!$Q$3:$R$66,2,FALSE)&lt;S83,VLOOKUP(S83+0.1,tablas!$R$3:$T$66,2,TRUE),VLOOKUP(S83,tablas!$R$3:$T$66,2,TRUE))&amp;"@"&amp;IF(VLOOKUP(VLOOKUP(S83,tablas!$R$3:$T$66,2,TRUE)&amp;VLOOKUP(S83,tablas!$R$3:$T$66,3,TRUE),tablas!$Q$3:$R$66,2,FALSE)&lt;S83,VLOOKUP(S83+0.1,tablas!$R$3:$T$66,3,TRUE),VLOOKUP(S83,tablas!$R$3:$T$66,3,TRUE)),$C$13)</f>
        <v>φ8@16</v>
      </c>
      <c r="T84" s="95" t="str">
        <f>IF(T83&gt;$C$12,"φ"&amp;IF(VLOOKUP(VLOOKUP(T83,tablas!$R$3:$T$66,2,TRUE)&amp;VLOOKUP(T83,tablas!$R$3:$T$66,3,TRUE),tablas!$Q$3:$R$66,2,FALSE)&lt;T83,VLOOKUP(T83+0.1,tablas!$R$3:$T$66,2,TRUE),VLOOKUP(T83,tablas!$R$3:$T$66,2,TRUE))&amp;"@"&amp;IF(VLOOKUP(VLOOKUP(T83,tablas!$R$3:$T$66,2,TRUE)&amp;VLOOKUP(T83,tablas!$R$3:$T$66,3,TRUE),tablas!$Q$3:$R$66,2,FALSE)&lt;T83,VLOOKUP(T83+0.1,tablas!$R$3:$T$66,3,TRUE),VLOOKUP(T83,tablas!$R$3:$T$66,3,TRUE)),$C$13)</f>
        <v>φ16@21</v>
      </c>
      <c r="U84" s="95" t="str">
        <f>IF(U83&gt;$C$12,"φ"&amp;IF(VLOOKUP(VLOOKUP(U83,tablas!$R$3:$T$66,2,TRUE)&amp;VLOOKUP(U83,tablas!$R$3:$T$66,3,TRUE),tablas!$Q$3:$R$66,2,FALSE)&lt;U83,VLOOKUP(U83+0.1,tablas!$R$3:$T$66,2,TRUE),VLOOKUP(U83,tablas!$R$3:$T$66,2,TRUE))&amp;"@"&amp;IF(VLOOKUP(VLOOKUP(U83,tablas!$R$3:$T$66,2,TRUE)&amp;VLOOKUP(U83,tablas!$R$3:$T$66,3,TRUE),tablas!$Q$3:$R$66,2,FALSE)&lt;U83,VLOOKUP(U83+0.1,tablas!$R$3:$T$66,3,TRUE),VLOOKUP(U83,tablas!$R$3:$T$66,3,TRUE)),$C$13)</f>
        <v>φ8@16</v>
      </c>
      <c r="V84" s="95" t="str">
        <f>IF(V83&gt;$C$12,"φ"&amp;IF(VLOOKUP(VLOOKUP(V83,tablas!$R$3:$T$66,2,TRUE)&amp;VLOOKUP(V83,tablas!$R$3:$T$66,3,TRUE),tablas!$Q$3:$R$66,2,FALSE)&lt;V83,VLOOKUP(V83+0.1,tablas!$R$3:$T$66,2,TRUE),VLOOKUP(V83,tablas!$R$3:$T$66,2,TRUE))&amp;"@"&amp;IF(VLOOKUP(VLOOKUP(V83,tablas!$R$3:$T$66,2,TRUE)&amp;VLOOKUP(V83,tablas!$R$3:$T$66,3,TRUE),tablas!$Q$3:$R$66,2,FALSE)&lt;V83,VLOOKUP(V83+0.1,tablas!$R$3:$T$66,3,TRUE),VLOOKUP(V83,tablas!$R$3:$T$66,3,TRUE)),$C$13)</f>
        <v>φ8@16</v>
      </c>
      <c r="W84" s="95" t="str">
        <f>IF(W83&gt;$C$12,"φ"&amp;IF(VLOOKUP(VLOOKUP(W83,tablas!$R$3:$T$66,2,TRUE)&amp;VLOOKUP(W83,tablas!$R$3:$T$66,3,TRUE),tablas!$Q$3:$R$66,2,FALSE)&lt;W83,VLOOKUP(W83+0.1,tablas!$R$3:$T$66,2,TRUE),VLOOKUP(W83,tablas!$R$3:$T$66,2,TRUE))&amp;"@"&amp;IF(VLOOKUP(VLOOKUP(W83,tablas!$R$3:$T$66,2,TRUE)&amp;VLOOKUP(W83,tablas!$R$3:$T$66,3,TRUE),tablas!$Q$3:$R$66,2,FALSE)&lt;W83,VLOOKUP(W83+0.1,tablas!$R$3:$T$66,3,TRUE),VLOOKUP(W83,tablas!$R$3:$T$66,3,TRUE)),$C$13)</f>
        <v>φ8@16</v>
      </c>
      <c r="X84" s="95" t="str">
        <f>IF(X83&gt;$C$12,"φ"&amp;IF(VLOOKUP(VLOOKUP(X83,tablas!$R$3:$T$66,2,TRUE)&amp;VLOOKUP(X83,tablas!$R$3:$T$66,3,TRUE),tablas!$Q$3:$R$66,2,FALSE)&lt;X83,VLOOKUP(X83+0.1,tablas!$R$3:$T$66,2,TRUE),VLOOKUP(X83,tablas!$R$3:$T$66,2,TRUE))&amp;"@"&amp;IF(VLOOKUP(VLOOKUP(X83,tablas!$R$3:$T$66,2,TRUE)&amp;VLOOKUP(X83,tablas!$R$3:$T$66,3,TRUE),tablas!$Q$3:$R$66,2,FALSE)&lt;X83,VLOOKUP(X83+0.1,tablas!$R$3:$T$66,3,TRUE),VLOOKUP(X83,tablas!$R$3:$T$66,3,TRUE)),$C$13)</f>
        <v>φ10@21</v>
      </c>
      <c r="Y84" s="95" t="str">
        <f>IF(Y83&gt;$C$12,"φ"&amp;IF(VLOOKUP(VLOOKUP(Y83,tablas!$R$3:$T$66,2,TRUE)&amp;VLOOKUP(Y83,tablas!$R$3:$T$66,3,TRUE),tablas!$Q$3:$R$66,2,FALSE)&lt;Y83,VLOOKUP(Y83+0.1,tablas!$R$3:$T$66,2,TRUE),VLOOKUP(Y83,tablas!$R$3:$T$66,2,TRUE))&amp;"@"&amp;IF(VLOOKUP(VLOOKUP(Y83,tablas!$R$3:$T$66,2,TRUE)&amp;VLOOKUP(Y83,tablas!$R$3:$T$66,3,TRUE),tablas!$Q$3:$R$66,2,FALSE)&lt;Y83,VLOOKUP(Y83+0.1,tablas!$R$3:$T$66,3,TRUE),VLOOKUP(Y83,tablas!$R$3:$T$66,3,TRUE)),$C$13)</f>
        <v>φ12@17</v>
      </c>
      <c r="Z84" s="95" t="str">
        <f>IF(Z83&gt;$C$12,"φ"&amp;IF(VLOOKUP(VLOOKUP(Z83,tablas!$R$3:$T$66,2,TRUE)&amp;VLOOKUP(Z83,tablas!$R$3:$T$66,3,TRUE),tablas!$Q$3:$R$66,2,FALSE)&lt;Z83,VLOOKUP(Z83+0.1,tablas!$R$3:$T$66,2,TRUE),VLOOKUP(Z83,tablas!$R$3:$T$66,2,TRUE))&amp;"@"&amp;IF(VLOOKUP(VLOOKUP(Z83,tablas!$R$3:$T$66,2,TRUE)&amp;VLOOKUP(Z83,tablas!$R$3:$T$66,3,TRUE),tablas!$Q$3:$R$66,2,FALSE)&lt;Z83,VLOOKUP(Z83+0.1,tablas!$R$3:$T$66,3,TRUE),VLOOKUP(Z83,tablas!$R$3:$T$66,3,TRUE)),$C$13)</f>
        <v>φ16@13</v>
      </c>
      <c r="AA84" s="95" t="str">
        <f>IF(AA83&gt;$C$12,"φ"&amp;IF(VLOOKUP(VLOOKUP(AA83,tablas!$R$3:$T$66,2,TRUE)&amp;VLOOKUP(AA83,tablas!$R$3:$T$66,3,TRUE),tablas!$Q$3:$R$66,2,FALSE)&lt;AA83,VLOOKUP(AA83+0.1,tablas!$R$3:$T$66,2,TRUE),VLOOKUP(AA83,tablas!$R$3:$T$66,2,TRUE))&amp;"@"&amp;IF(VLOOKUP(VLOOKUP(AA83,tablas!$R$3:$T$66,2,TRUE)&amp;VLOOKUP(AA83,tablas!$R$3:$T$66,3,TRUE),tablas!$Q$3:$R$66,2,FALSE)&lt;AA83,VLOOKUP(AA83+0.1,tablas!$R$3:$T$66,3,TRUE),VLOOKUP(AA83,tablas!$R$3:$T$66,3,TRUE)),$C$13)</f>
        <v>φ10@14</v>
      </c>
      <c r="AB84" s="95" t="str">
        <f>IF(AB83&gt;$C$12,"φ"&amp;IF(VLOOKUP(VLOOKUP(AB83,tablas!$R$3:$T$66,2,TRUE)&amp;VLOOKUP(AB83,tablas!$R$3:$T$66,3,TRUE),tablas!$Q$3:$R$66,2,FALSE)&lt;AB83,VLOOKUP(AB83+0.1,tablas!$R$3:$T$66,2,TRUE),VLOOKUP(AB83,tablas!$R$3:$T$66,2,TRUE))&amp;"@"&amp;IF(VLOOKUP(VLOOKUP(AB83,tablas!$R$3:$T$66,2,TRUE)&amp;VLOOKUP(AB83,tablas!$R$3:$T$66,3,TRUE),tablas!$Q$3:$R$66,2,FALSE)&lt;AB83,VLOOKUP(AB83+0.1,tablas!$R$3:$T$66,3,TRUE),VLOOKUP(AB83,tablas!$R$3:$T$66,3,TRUE)),$C$13)</f>
        <v>φ12@18</v>
      </c>
      <c r="AC84" s="95" t="str">
        <f>IF(AC83&gt;$C$12,"φ"&amp;IF(VLOOKUP(VLOOKUP(AC83,tablas!$R$3:$T$66,2,TRUE)&amp;VLOOKUP(AC83,tablas!$R$3:$T$66,3,TRUE),tablas!$Q$3:$R$66,2,FALSE)&lt;AC83,VLOOKUP(AC83+0.1,tablas!$R$3:$T$66,2,TRUE),VLOOKUP(AC83,tablas!$R$3:$T$66,2,TRUE))&amp;"@"&amp;IF(VLOOKUP(VLOOKUP(AC83,tablas!$R$3:$T$66,2,TRUE)&amp;VLOOKUP(AC83,tablas!$R$3:$T$66,3,TRUE),tablas!$Q$3:$R$66,2,FALSE)&lt;AC83,VLOOKUP(AC83+0.1,tablas!$R$3:$T$66,3,TRUE),VLOOKUP(AC83,tablas!$R$3:$T$66,3,TRUE)),$C$13)</f>
        <v>φ16@20</v>
      </c>
      <c r="AD84" s="95" t="str">
        <f>IF(AD83&gt;$C$12,"φ"&amp;IF(VLOOKUP(VLOOKUP(AD83,tablas!$R$3:$T$66,2,TRUE)&amp;VLOOKUP(AD83,tablas!$R$3:$T$66,3,TRUE),tablas!$Q$3:$R$66,2,FALSE)&lt;AD83,VLOOKUP(AD83+0.1,tablas!$R$3:$T$66,2,TRUE),VLOOKUP(AD83,tablas!$R$3:$T$66,2,TRUE))&amp;"@"&amp;IF(VLOOKUP(VLOOKUP(AD83,tablas!$R$3:$T$66,2,TRUE)&amp;VLOOKUP(AD83,tablas!$R$3:$T$66,3,TRUE),tablas!$Q$3:$R$66,2,FALSE)&lt;AD83,VLOOKUP(AD83+0.1,tablas!$R$3:$T$66,3,TRUE),VLOOKUP(AD83,tablas!$R$3:$T$66,3,TRUE)),$C$13)</f>
        <v>φ8@16</v>
      </c>
      <c r="AE84" s="95" t="str">
        <f>IF(AE83&gt;$C$12,"φ"&amp;IF(VLOOKUP(VLOOKUP(AE83,tablas!$R$3:$T$66,2,TRUE)&amp;VLOOKUP(AE83,tablas!$R$3:$T$66,3,TRUE),tablas!$Q$3:$R$66,2,FALSE)&lt;AE83,VLOOKUP(AE83+0.1,tablas!$R$3:$T$66,2,TRUE),VLOOKUP(AE83,tablas!$R$3:$T$66,2,TRUE))&amp;"@"&amp;IF(VLOOKUP(VLOOKUP(AE83,tablas!$R$3:$T$66,2,TRUE)&amp;VLOOKUP(AE83,tablas!$R$3:$T$66,3,TRUE),tablas!$Q$3:$R$66,2,FALSE)&lt;AE83,VLOOKUP(AE83+0.1,tablas!$R$3:$T$66,3,TRUE),VLOOKUP(AE83,tablas!$R$3:$T$66,3,TRUE)),$C$13)</f>
        <v>φ8@16</v>
      </c>
    </row>
    <row r="85" spans="2:32" x14ac:dyDescent="0.3">
      <c r="B85" s="96" t="s">
        <v>104</v>
      </c>
      <c r="C85" s="89">
        <f>IF(C53&lt;=2,C67/C59,IF(OR(C51=6,C51="5a",C51="3a"),C66*C48^2/17.5,(IF(OR(C51="2a",C51=4,C51="5b"),C66*C48^2/11.25,IF(OR(C51=1,C51="2b",C51="3b"),C66*C48^2/8)))))</f>
        <v>2074.2364532019706</v>
      </c>
      <c r="D85" s="89">
        <f t="shared" ref="D85:AE85" si="167">IF(D53&lt;=2,D67/D59,IF(OR(D51=6,D51="5a",D51="3a"),D66*D48^2/17.5,(IF(OR(D51="2a",D51=4,D51="5b"),D66*D48^2/11.25,IF(OR(D51=1,D51="2b",D51="3b"),D66*D48^2/8)))))</f>
        <v>2170.9923664122139</v>
      </c>
      <c r="E85" s="89">
        <f t="shared" si="167"/>
        <v>2170.9923664122139</v>
      </c>
      <c r="F85" s="89">
        <f t="shared" si="167"/>
        <v>2234.0860215053763</v>
      </c>
      <c r="G85" s="89">
        <f t="shared" si="167"/>
        <v>1635.1162790697674</v>
      </c>
      <c r="H85" s="89">
        <f t="shared" si="167"/>
        <v>1160.8163265306123</v>
      </c>
      <c r="I85" s="89">
        <f t="shared" si="167"/>
        <v>2298.253990147783</v>
      </c>
      <c r="J85" s="89">
        <f t="shared" si="167"/>
        <v>2752.0978165938868</v>
      </c>
      <c r="K85" s="89">
        <f t="shared" si="167"/>
        <v>2752.0978165938868</v>
      </c>
      <c r="L85" s="89">
        <f t="shared" si="167"/>
        <v>2771.0130285714285</v>
      </c>
      <c r="M85" s="89">
        <f t="shared" si="167"/>
        <v>1129.4451612903226</v>
      </c>
      <c r="N85" s="89">
        <f t="shared" si="167"/>
        <v>2875.983512544803</v>
      </c>
      <c r="O85" s="89">
        <f t="shared" si="167"/>
        <v>1614.7074235807863</v>
      </c>
      <c r="P85" s="89">
        <f t="shared" si="167"/>
        <v>1796.6462882096073</v>
      </c>
      <c r="Q85" s="89">
        <f t="shared" si="167"/>
        <v>3251.4304659498212</v>
      </c>
      <c r="R85" s="89">
        <f t="shared" si="167"/>
        <v>1787.8828571428573</v>
      </c>
      <c r="S85" s="89">
        <f t="shared" si="167"/>
        <v>1170.1028571428574</v>
      </c>
      <c r="T85" s="89">
        <f t="shared" si="167"/>
        <v>4132.4748387096779</v>
      </c>
      <c r="U85" s="89">
        <f t="shared" si="167"/>
        <v>159.04</v>
      </c>
      <c r="V85" s="89">
        <f t="shared" si="167"/>
        <v>489.7268292682927</v>
      </c>
      <c r="W85" s="89">
        <f t="shared" si="167"/>
        <v>682.41142857142859</v>
      </c>
      <c r="X85" s="89">
        <f t="shared" si="167"/>
        <v>1630.0534351145038</v>
      </c>
      <c r="Y85" s="89">
        <f t="shared" si="167"/>
        <v>3414.887069767442</v>
      </c>
      <c r="Z85" s="89">
        <f t="shared" si="167"/>
        <v>6130.183314285714</v>
      </c>
      <c r="AA85" s="89">
        <f t="shared" si="167"/>
        <v>2333.1899641577061</v>
      </c>
      <c r="AB85" s="89">
        <f t="shared" si="167"/>
        <v>2742.9764885496184</v>
      </c>
      <c r="AC85" s="89">
        <f t="shared" si="167"/>
        <v>4339.783587786259</v>
      </c>
      <c r="AD85" s="89">
        <f t="shared" si="167"/>
        <v>1170.1028571428574</v>
      </c>
      <c r="AE85" s="89">
        <f t="shared" si="167"/>
        <v>451.14394904458595</v>
      </c>
    </row>
    <row r="86" spans="2:32" x14ac:dyDescent="0.3">
      <c r="B86" s="97" t="s">
        <v>15</v>
      </c>
      <c r="C86" s="90">
        <f>C85/(0.9*(0.9*($C$7/100))*($L$9*1000))</f>
        <v>3.9887628422021657</v>
      </c>
      <c r="D86" s="91">
        <f>D85/(0.9*(0.9*($C$7/100))*($L$9*1000))</f>
        <v>4.1748247498408011</v>
      </c>
      <c r="E86" s="91">
        <f t="shared" ref="E86:R86" si="168">E85/(0.9*(0.9*($C$7/100))*($L$9*1000))</f>
        <v>4.1748247498408011</v>
      </c>
      <c r="F86" s="91">
        <f t="shared" si="168"/>
        <v>4.2961540354320524</v>
      </c>
      <c r="G86" s="91">
        <f t="shared" si="168"/>
        <v>3.1443334469246702</v>
      </c>
      <c r="H86" s="91">
        <f t="shared" si="168"/>
        <v>2.2322532335883469</v>
      </c>
      <c r="I86" s="91">
        <f t="shared" si="168"/>
        <v>4.4195492291599985</v>
      </c>
      <c r="J86" s="91">
        <f t="shared" si="168"/>
        <v>5.2922922514401103</v>
      </c>
      <c r="K86" s="91">
        <f t="shared" si="168"/>
        <v>5.2922922514401103</v>
      </c>
      <c r="L86" s="91">
        <f t="shared" si="168"/>
        <v>5.3286662600888963</v>
      </c>
      <c r="M86" s="91">
        <f t="shared" si="168"/>
        <v>2.1719263899279304</v>
      </c>
      <c r="N86" s="91">
        <f t="shared" si="168"/>
        <v>5.5305248116318655</v>
      </c>
      <c r="O86" s="91">
        <f t="shared" si="168"/>
        <v>3.105087157380074</v>
      </c>
      <c r="P86" s="91">
        <f t="shared" si="168"/>
        <v>3.4549561328595186</v>
      </c>
      <c r="Q86" s="91">
        <f t="shared" si="168"/>
        <v>6.2525104148875439</v>
      </c>
      <c r="R86" s="91">
        <f t="shared" si="168"/>
        <v>3.4381040289659186</v>
      </c>
      <c r="S86" s="91">
        <f t="shared" ref="S86" si="169">S85/(0.9*(0.9*($C$7/100))*($L$9*1000))</f>
        <v>2.250111259457054</v>
      </c>
      <c r="T86" s="91">
        <f t="shared" ref="T86" si="170">T85/(0.9*(0.9*($C$7/100))*($L$9*1000))</f>
        <v>7.9467613528511922</v>
      </c>
      <c r="U86" s="91">
        <f t="shared" ref="U86" si="171">U85/(0.9*(0.9*($C$7/100))*($L$9*1000))</f>
        <v>0.30583439098496207</v>
      </c>
      <c r="V86" s="91">
        <f t="shared" ref="V86" si="172">V85/(0.9*(0.9*($C$7/100))*($L$9*1000))</f>
        <v>0.94174614297198689</v>
      </c>
      <c r="W86" s="91">
        <f t="shared" ref="W86" si="173">W85/(0.9*(0.9*($C$7/100))*($L$9*1000))</f>
        <v>1.3122791980528219</v>
      </c>
      <c r="X86" s="91">
        <f t="shared" ref="X86" si="174">X85/(0.9*(0.9*($C$7/100))*($L$9*1000))</f>
        <v>3.1345975830054682</v>
      </c>
      <c r="Y86" s="91">
        <f t="shared" ref="Y86" si="175">Y85/(0.9*(0.9*($C$7/100))*($L$9*1000))</f>
        <v>6.5668379480932302</v>
      </c>
      <c r="Z86" s="91">
        <f t="shared" ref="Z86" si="176">Z85/(0.9*(0.9*($C$7/100))*($L$9*1000))</f>
        <v>11.788360667446854</v>
      </c>
      <c r="AA86" s="91">
        <f t="shared" ref="AA86" si="177">AA85/(0.9*(0.9*($C$7/100))*($L$9*1000))</f>
        <v>4.4867312106413326</v>
      </c>
      <c r="AB86" s="91">
        <f t="shared" ref="AB86" si="178">AB85/(0.9*(0.9*($C$7/100))*($L$9*1000))</f>
        <v>5.2747519105988578</v>
      </c>
      <c r="AC86" s="91">
        <f t="shared" ref="AC86" si="179">AC85/(0.9*(0.9*($C$7/100))*($L$9*1000))</f>
        <v>8.3454166912546786</v>
      </c>
      <c r="AD86" s="91">
        <f t="shared" ref="AD86" si="180">AD85/(0.9*(0.9*($C$7/100))*($L$9*1000))</f>
        <v>2.250111259457054</v>
      </c>
      <c r="AE86" s="91">
        <f t="shared" ref="AE86" si="181">AE85/(0.9*(0.9*($C$7/100))*($L$9*1000))</f>
        <v>0.86755115004150973</v>
      </c>
    </row>
    <row r="87" spans="2:32" x14ac:dyDescent="0.3">
      <c r="B87" s="97" t="s">
        <v>98</v>
      </c>
      <c r="C87" s="92">
        <f>(C86*($L$9))/(0.85*$L$6*100)</f>
        <v>5.6259367159747137E-2</v>
      </c>
      <c r="D87" s="93">
        <f>(D86*($L$9))/(0.85*$L$6*100)</f>
        <v>5.8883670882579106E-2</v>
      </c>
      <c r="E87" s="93">
        <f t="shared" ref="E87:R87" si="182">(E86*($L$9))/(0.85*$L$6*100)</f>
        <v>5.8883670882579106E-2</v>
      </c>
      <c r="F87" s="93">
        <f t="shared" si="182"/>
        <v>6.0594955582959915E-2</v>
      </c>
      <c r="G87" s="93">
        <f t="shared" si="182"/>
        <v>4.4349142042634994E-2</v>
      </c>
      <c r="H87" s="93">
        <f t="shared" si="182"/>
        <v>3.1484738308644344E-2</v>
      </c>
      <c r="I87" s="93">
        <f t="shared" si="182"/>
        <v>6.2335378812999824E-2</v>
      </c>
      <c r="J87" s="93">
        <f t="shared" si="182"/>
        <v>7.4644952500127454E-2</v>
      </c>
      <c r="K87" s="93">
        <f t="shared" si="182"/>
        <v>7.4644952500127454E-2</v>
      </c>
      <c r="L87" s="93">
        <f t="shared" si="182"/>
        <v>7.5157988443501328E-2</v>
      </c>
      <c r="M87" s="93">
        <f t="shared" si="182"/>
        <v>3.0633860434640114E-2</v>
      </c>
      <c r="N87" s="93">
        <f t="shared" si="182"/>
        <v>7.8005095382383871E-2</v>
      </c>
      <c r="O87" s="93">
        <f t="shared" si="182"/>
        <v>4.379559411298968E-2</v>
      </c>
      <c r="P87" s="93">
        <f t="shared" si="182"/>
        <v>4.8730308942622313E-2</v>
      </c>
      <c r="Q87" s="93">
        <f t="shared" si="182"/>
        <v>8.8188316281821361E-2</v>
      </c>
      <c r="R87" s="93">
        <f t="shared" si="182"/>
        <v>4.849261902776119E-2</v>
      </c>
      <c r="S87" s="93">
        <f t="shared" ref="S87" si="183">(S86*($L$9))/(0.85*$L$6*100)</f>
        <v>3.1736616215113499E-2</v>
      </c>
      <c r="T87" s="93">
        <f t="shared" ref="T87" si="184">(T86*($L$9))/(0.85*$L$6*100)</f>
        <v>0.11208481987214734</v>
      </c>
      <c r="U87" s="93">
        <f t="shared" ref="U87" si="185">(U86*($L$9))/(0.85*$L$6*100)</f>
        <v>4.3136305599460797E-3</v>
      </c>
      <c r="V87" s="93">
        <f t="shared" ref="V87" si="186">(V86*($L$9))/(0.85*$L$6*100)</f>
        <v>1.3282825809590061E-2</v>
      </c>
      <c r="W87" s="93">
        <f t="shared" ref="W87" si="187">(W86*($L$9))/(0.85*$L$6*100)</f>
        <v>1.8508996433238022E-2</v>
      </c>
      <c r="X87" s="93">
        <f t="shared" ref="X87" si="188">(X86*($L$9))/(0.85*$L$6*100)</f>
        <v>4.4211822887669811E-2</v>
      </c>
      <c r="Y87" s="93">
        <f t="shared" ref="Y87" si="189">(Y86*($L$9))/(0.85*$L$6*100)</f>
        <v>9.2621738071639578E-2</v>
      </c>
      <c r="Z87" s="93">
        <f t="shared" ref="Z87" si="190">(Z86*($L$9))/(0.85*$L$6*100)</f>
        <v>0.16626852416105634</v>
      </c>
      <c r="AA87" s="93">
        <f t="shared" ref="AA87" si="191">(AA86*($L$9))/(0.85*$L$6*100)</f>
        <v>6.328294474063241E-2</v>
      </c>
      <c r="AB87" s="93">
        <f t="shared" ref="AB87" si="192">(AB86*($L$9))/(0.85*$L$6*100)</f>
        <v>7.4397555371109286E-2</v>
      </c>
      <c r="AC87" s="93">
        <f t="shared" ref="AC87" si="193">(AC86*($L$9))/(0.85*$L$6*100)</f>
        <v>0.11770764026551336</v>
      </c>
      <c r="AD87" s="93">
        <f t="shared" ref="AD87" si="194">(AD86*($L$9))/(0.85*$L$6*100)</f>
        <v>3.1736616215113499E-2</v>
      </c>
      <c r="AE87" s="93">
        <f t="shared" ref="AE87" si="195">(AE86*($L$9))/(0.85*$L$6*100)</f>
        <v>1.2236345105215561E-2</v>
      </c>
    </row>
    <row r="88" spans="2:32" ht="15" thickBot="1" x14ac:dyDescent="0.35">
      <c r="B88" s="97" t="s">
        <v>15</v>
      </c>
      <c r="C88" s="76">
        <f>ROUNDUP(C85/(0.9*(($C$7-C87/2)/100)*($L$9*1000)),2)</f>
        <v>3.5999999999999996</v>
      </c>
      <c r="D88" s="77">
        <f>ROUNDUP(D85/(0.9*(($C$7-D87/2)/100)*($L$9*1000)),2)</f>
        <v>3.7699999999999996</v>
      </c>
      <c r="E88" s="77">
        <f t="shared" ref="E88:R88" si="196">ROUNDUP(E85/(0.9*(($C$7-E87/2)/100)*($L$9*1000)),2)</f>
        <v>3.7699999999999996</v>
      </c>
      <c r="F88" s="77">
        <f t="shared" si="196"/>
        <v>3.88</v>
      </c>
      <c r="G88" s="77">
        <f t="shared" si="196"/>
        <v>2.84</v>
      </c>
      <c r="H88" s="77">
        <f t="shared" si="196"/>
        <v>2.0199999999999996</v>
      </c>
      <c r="I88" s="77">
        <f t="shared" si="196"/>
        <v>3.9899999999999998</v>
      </c>
      <c r="J88" s="77">
        <f t="shared" si="196"/>
        <v>4.7799999999999994</v>
      </c>
      <c r="K88" s="77">
        <f t="shared" si="196"/>
        <v>4.7799999999999994</v>
      </c>
      <c r="L88" s="77">
        <f t="shared" si="196"/>
        <v>4.8099999999999996</v>
      </c>
      <c r="M88" s="77">
        <f t="shared" si="196"/>
        <v>1.96</v>
      </c>
      <c r="N88" s="77">
        <f t="shared" si="196"/>
        <v>5</v>
      </c>
      <c r="O88" s="77">
        <f t="shared" si="196"/>
        <v>2.8</v>
      </c>
      <c r="P88" s="77">
        <f t="shared" si="196"/>
        <v>3.1199999999999997</v>
      </c>
      <c r="Q88" s="77">
        <f t="shared" si="196"/>
        <v>5.6499999999999995</v>
      </c>
      <c r="R88" s="77">
        <f t="shared" si="196"/>
        <v>3.0999999999999996</v>
      </c>
      <c r="S88" s="77">
        <f t="shared" ref="S88" si="197">ROUNDUP(S85/(0.9*(($C$7-S87/2)/100)*($L$9*1000)),2)</f>
        <v>2.0299999999999998</v>
      </c>
      <c r="T88" s="77">
        <f t="shared" ref="T88" si="198">ROUNDUP(T85/(0.9*(($C$7-T87/2)/100)*($L$9*1000)),2)</f>
        <v>7.18</v>
      </c>
      <c r="U88" s="77">
        <f t="shared" ref="U88" si="199">ROUNDUP(U85/(0.9*(($C$7-U87/2)/100)*($L$9*1000)),2)</f>
        <v>0.28000000000000003</v>
      </c>
      <c r="V88" s="77">
        <f t="shared" ref="V88" si="200">ROUNDUP(V85/(0.9*(($C$7-V87/2)/100)*($L$9*1000)),2)</f>
        <v>0.85</v>
      </c>
      <c r="W88" s="77">
        <f t="shared" ref="W88" si="201">ROUNDUP(W85/(0.9*(($C$7-W87/2)/100)*($L$9*1000)),2)</f>
        <v>1.19</v>
      </c>
      <c r="X88" s="77">
        <f t="shared" ref="X88" si="202">ROUNDUP(X85/(0.9*(($C$7-X87/2)/100)*($L$9*1000)),2)</f>
        <v>2.8299999999999996</v>
      </c>
      <c r="Y88" s="77">
        <f t="shared" ref="Y88" si="203">ROUNDUP(Y85/(0.9*(($C$7-Y87/2)/100)*($L$9*1000)),2)</f>
        <v>5.93</v>
      </c>
      <c r="Z88" s="77">
        <f t="shared" ref="Z88" si="204">ROUNDUP(Z85/(0.9*(($C$7-Z87/2)/100)*($L$9*1000)),2)</f>
        <v>10.67</v>
      </c>
      <c r="AA88" s="77">
        <f t="shared" ref="AA88" si="205">ROUNDUP(AA85/(0.9*(($C$7-AA87/2)/100)*($L$9*1000)),2)</f>
        <v>4.05</v>
      </c>
      <c r="AB88" s="77">
        <f t="shared" ref="AB88" si="206">ROUNDUP(AB85/(0.9*(($C$7-AB87/2)/100)*($L$9*1000)),2)</f>
        <v>4.76</v>
      </c>
      <c r="AC88" s="77">
        <f t="shared" ref="AC88" si="207">ROUNDUP(AC85/(0.9*(($C$7-AC87/2)/100)*($L$9*1000)),2)</f>
        <v>7.55</v>
      </c>
      <c r="AD88" s="77">
        <f t="shared" ref="AD88" si="208">ROUNDUP(AD85/(0.9*(($C$7-AD87/2)/100)*($L$9*1000)),2)</f>
        <v>2.0299999999999998</v>
      </c>
      <c r="AE88" s="77">
        <f t="shared" ref="AE88" si="209">ROUNDUP(AE85/(0.9*(($C$7-AE87/2)/100)*($L$9*1000)),2)</f>
        <v>0.79</v>
      </c>
    </row>
    <row r="89" spans="2:32" ht="16.2" thickBot="1" x14ac:dyDescent="0.35">
      <c r="B89" s="61" t="s">
        <v>106</v>
      </c>
      <c r="C89" s="94" t="str">
        <f>IF(C88&gt;$C$12,"φ"&amp;IF(VLOOKUP(VLOOKUP(C88,tablas!$R$3:$T$66,2,TRUE)&amp;VLOOKUP(C88,tablas!$R$3:$T$66,3,TRUE),tablas!$Q$3:$R$66,2,FALSE)&lt;C88,VLOOKUP(C88+0.1,tablas!$R$3:$T$66,2,TRUE),VLOOKUP(C88,tablas!$R$3:$T$66,2,TRUE))&amp;"@"&amp;IF(VLOOKUP(VLOOKUP(C88,tablas!$R$3:$T$66,2,TRUE)&amp;VLOOKUP(C88,tablas!$R$3:$T$66,3,TRUE),tablas!$Q$3:$R$66,2,FALSE)&lt;C88,VLOOKUP(C88+0.1,tablas!$R$3:$T$66,3,TRUE),VLOOKUP(C88,tablas!$R$3:$T$66,3,TRUE)),$C$13)</f>
        <v>φ8@14</v>
      </c>
      <c r="D89" s="95" t="str">
        <f>IF(D88&gt;$C$12,"φ"&amp;IF(VLOOKUP(VLOOKUP(D88,tablas!$R$3:$T$66,2,TRUE)&amp;VLOOKUP(D88,tablas!$R$3:$T$66,3,TRUE),tablas!$Q$3:$R$66,2,FALSE)&lt;D88,VLOOKUP(D88+0.1,tablas!$R$3:$T$66,2,TRUE),VLOOKUP(D88,tablas!$R$3:$T$66,2,TRUE))&amp;"@"&amp;IF(VLOOKUP(VLOOKUP(D88,tablas!$R$3:$T$66,2,TRUE)&amp;VLOOKUP(D88,tablas!$R$3:$T$66,3,TRUE),tablas!$Q$3:$R$66,2,FALSE)&lt;D88,VLOOKUP(D88+0.1,tablas!$R$3:$T$66,3,TRUE),VLOOKUP(D88,tablas!$R$3:$T$66,3,TRUE)),$C$13)</f>
        <v>φ10@21</v>
      </c>
      <c r="E89" s="95" t="str">
        <f>IF(E88&gt;$C$12,"φ"&amp;IF(VLOOKUP(VLOOKUP(E88,tablas!$R$3:$T$66,2,TRUE)&amp;VLOOKUP(E88,tablas!$R$3:$T$66,3,TRUE),tablas!$Q$3:$R$66,2,FALSE)&lt;E88,VLOOKUP(E88+0.1,tablas!$R$3:$T$66,2,TRUE),VLOOKUP(E88,tablas!$R$3:$T$66,2,TRUE))&amp;"@"&amp;IF(VLOOKUP(VLOOKUP(E88,tablas!$R$3:$T$66,2,TRUE)&amp;VLOOKUP(E88,tablas!$R$3:$T$66,3,TRUE),tablas!$Q$3:$R$66,2,FALSE)&lt;E88,VLOOKUP(E88+0.1,tablas!$R$3:$T$66,3,TRUE),VLOOKUP(E88,tablas!$R$3:$T$66,3,TRUE)),$C$13)</f>
        <v>φ10@21</v>
      </c>
      <c r="F89" s="95" t="str">
        <f>IF(F88&gt;$C$12,"φ"&amp;IF(VLOOKUP(VLOOKUP(F88,tablas!$R$3:$T$66,2,TRUE)&amp;VLOOKUP(F88,tablas!$R$3:$T$66,3,TRUE),tablas!$Q$3:$R$66,2,FALSE)&lt;F88,VLOOKUP(F88+0.1,tablas!$R$3:$T$66,2,TRUE),VLOOKUP(F88,tablas!$R$3:$T$66,2,TRUE))&amp;"@"&amp;IF(VLOOKUP(VLOOKUP(F88,tablas!$R$3:$T$66,2,TRUE)&amp;VLOOKUP(F88,tablas!$R$3:$T$66,3,TRUE),tablas!$Q$3:$R$66,2,FALSE)&lt;F88,VLOOKUP(F88+0.1,tablas!$R$3:$T$66,3,TRUE),VLOOKUP(F88,tablas!$R$3:$T$66,3,TRUE)),$C$13)</f>
        <v>φ10@20</v>
      </c>
      <c r="G89" s="95" t="str">
        <f>IF(G88&gt;$C$12,"φ"&amp;IF(VLOOKUP(VLOOKUP(G88,tablas!$R$3:$T$66,2,TRUE)&amp;VLOOKUP(G88,tablas!$R$3:$T$66,3,TRUE),tablas!$Q$3:$R$66,2,FALSE)&lt;G88,VLOOKUP(G88+0.1,tablas!$R$3:$T$66,2,TRUE),VLOOKUP(G88,tablas!$R$3:$T$66,2,TRUE))&amp;"@"&amp;IF(VLOOKUP(VLOOKUP(G88,tablas!$R$3:$T$66,2,TRUE)&amp;VLOOKUP(G88,tablas!$R$3:$T$66,3,TRUE),tablas!$Q$3:$R$66,2,FALSE)&lt;G88,VLOOKUP(G88+0.1,tablas!$R$3:$T$66,3,TRUE),VLOOKUP(G88,tablas!$R$3:$T$66,3,TRUE)),$C$13)</f>
        <v>φ8@16</v>
      </c>
      <c r="H89" s="95" t="str">
        <f>IF(H88&gt;$C$12,"φ"&amp;IF(VLOOKUP(VLOOKUP(H88,tablas!$R$3:$T$66,2,TRUE)&amp;VLOOKUP(H88,tablas!$R$3:$T$66,3,TRUE),tablas!$Q$3:$R$66,2,FALSE)&lt;H88,VLOOKUP(H88+0.1,tablas!$R$3:$T$66,2,TRUE),VLOOKUP(H88,tablas!$R$3:$T$66,2,TRUE))&amp;"@"&amp;IF(VLOOKUP(VLOOKUP(H88,tablas!$R$3:$T$66,2,TRUE)&amp;VLOOKUP(H88,tablas!$R$3:$T$66,3,TRUE),tablas!$Q$3:$R$66,2,FALSE)&lt;H88,VLOOKUP(H88+0.1,tablas!$R$3:$T$66,3,TRUE),VLOOKUP(H88,tablas!$R$3:$T$66,3,TRUE)),$C$13)</f>
        <v>φ8@16</v>
      </c>
      <c r="I89" s="95" t="str">
        <f>IF(I88&gt;$C$12,"φ"&amp;IF(VLOOKUP(VLOOKUP(I88,tablas!$R$3:$T$66,2,TRUE)&amp;VLOOKUP(I88,tablas!$R$3:$T$66,3,TRUE),tablas!$Q$3:$R$66,2,FALSE)&lt;I88,VLOOKUP(I88+0.1,tablas!$R$3:$T$66,2,TRUE),VLOOKUP(I88,tablas!$R$3:$T$66,2,TRUE))&amp;"@"&amp;IF(VLOOKUP(VLOOKUP(I88,tablas!$R$3:$T$66,2,TRUE)&amp;VLOOKUP(I88,tablas!$R$3:$T$66,3,TRUE),tablas!$Q$3:$R$66,2,FALSE)&lt;I88,VLOOKUP(I88+0.1,tablas!$R$3:$T$66,3,TRUE),VLOOKUP(I88,tablas!$R$3:$T$66,3,TRUE)),$C$13)</f>
        <v>φ10@20</v>
      </c>
      <c r="J89" s="95" t="str">
        <f>IF(J88&gt;$C$12,"φ"&amp;IF(VLOOKUP(VLOOKUP(J88,tablas!$R$3:$T$66,2,TRUE)&amp;VLOOKUP(J88,tablas!$R$3:$T$66,3,TRUE),tablas!$Q$3:$R$66,2,FALSE)&lt;J88,VLOOKUP(J88+0.1,tablas!$R$3:$T$66,2,TRUE),VLOOKUP(J88,tablas!$R$3:$T$66,2,TRUE))&amp;"@"&amp;IF(VLOOKUP(VLOOKUP(J88,tablas!$R$3:$T$66,2,TRUE)&amp;VLOOKUP(J88,tablas!$R$3:$T$66,3,TRUE),tablas!$Q$3:$R$66,2,FALSE)&lt;J88,VLOOKUP(J88+0.1,tablas!$R$3:$T$66,3,TRUE),VLOOKUP(J88,tablas!$R$3:$T$66,3,TRUE)),$C$13)</f>
        <v>φ12@24</v>
      </c>
      <c r="K89" s="95" t="str">
        <f>IF(K88&gt;$C$12,"φ"&amp;IF(VLOOKUP(VLOOKUP(K88,tablas!$R$3:$T$66,2,TRUE)&amp;VLOOKUP(K88,tablas!$R$3:$T$66,3,TRUE),tablas!$Q$3:$R$66,2,FALSE)&lt;K88,VLOOKUP(K88+0.1,tablas!$R$3:$T$66,2,TRUE),VLOOKUP(K88,tablas!$R$3:$T$66,2,TRUE))&amp;"@"&amp;IF(VLOOKUP(VLOOKUP(K88,tablas!$R$3:$T$66,2,TRUE)&amp;VLOOKUP(K88,tablas!$R$3:$T$66,3,TRUE),tablas!$Q$3:$R$66,2,FALSE)&lt;K88,VLOOKUP(K88+0.1,tablas!$R$3:$T$66,3,TRUE),VLOOKUP(K88,tablas!$R$3:$T$66,3,TRUE)),$C$13)</f>
        <v>φ12@24</v>
      </c>
      <c r="L89" s="95" t="str">
        <f>IF(L88&gt;$C$12,"φ"&amp;IF(VLOOKUP(VLOOKUP(L88,tablas!$R$3:$T$66,2,TRUE)&amp;VLOOKUP(L88,tablas!$R$3:$T$66,3,TRUE),tablas!$Q$3:$R$66,2,FALSE)&lt;L88,VLOOKUP(L88+0.1,tablas!$R$3:$T$66,2,TRUE),VLOOKUP(L88,tablas!$R$3:$T$66,2,TRUE))&amp;"@"&amp;IF(VLOOKUP(VLOOKUP(L88,tablas!$R$3:$T$66,2,TRUE)&amp;VLOOKUP(L88,tablas!$R$3:$T$66,3,TRUE),tablas!$Q$3:$R$66,2,FALSE)&lt;L88,VLOOKUP(L88+0.1,tablas!$R$3:$T$66,3,TRUE),VLOOKUP(L88,tablas!$R$3:$T$66,3,TRUE)),$C$13)</f>
        <v>φ12@24</v>
      </c>
      <c r="M89" s="95" t="str">
        <f>IF(M88&gt;$C$12,"φ"&amp;IF(VLOOKUP(VLOOKUP(M88,tablas!$R$3:$T$66,2,TRUE)&amp;VLOOKUP(M88,tablas!$R$3:$T$66,3,TRUE),tablas!$Q$3:$R$66,2,FALSE)&lt;M88,VLOOKUP(M88+0.1,tablas!$R$3:$T$66,2,TRUE),VLOOKUP(M88,tablas!$R$3:$T$66,2,TRUE))&amp;"@"&amp;IF(VLOOKUP(VLOOKUP(M88,tablas!$R$3:$T$66,2,TRUE)&amp;VLOOKUP(M88,tablas!$R$3:$T$66,3,TRUE),tablas!$Q$3:$R$66,2,FALSE)&lt;M88,VLOOKUP(M88+0.1,tablas!$R$3:$T$66,3,TRUE),VLOOKUP(M88,tablas!$R$3:$T$66,3,TRUE)),$C$13)</f>
        <v>φ8@16</v>
      </c>
      <c r="N89" s="95" t="str">
        <f>IF(N88&gt;$C$12,"φ"&amp;IF(VLOOKUP(VLOOKUP(N88,tablas!$R$3:$T$66,2,TRUE)&amp;VLOOKUP(N88,tablas!$R$3:$T$66,3,TRUE),tablas!$Q$3:$R$66,2,FALSE)&lt;N88,VLOOKUP(N88+0.1,tablas!$R$3:$T$66,2,TRUE),VLOOKUP(N88,tablas!$R$3:$T$66,2,TRUE))&amp;"@"&amp;IF(VLOOKUP(VLOOKUP(N88,tablas!$R$3:$T$66,2,TRUE)&amp;VLOOKUP(N88,tablas!$R$3:$T$66,3,TRUE),tablas!$Q$3:$R$66,2,FALSE)&lt;N88,VLOOKUP(N88+0.1,tablas!$R$3:$T$66,3,TRUE),VLOOKUP(N88,tablas!$R$3:$T$66,3,TRUE)),$C$13)</f>
        <v>φ8@10</v>
      </c>
      <c r="O89" s="95" t="str">
        <f>IF(O88&gt;$C$12,"φ"&amp;IF(VLOOKUP(VLOOKUP(O88,tablas!$R$3:$T$66,2,TRUE)&amp;VLOOKUP(O88,tablas!$R$3:$T$66,3,TRUE),tablas!$Q$3:$R$66,2,FALSE)&lt;O88,VLOOKUP(O88+0.1,tablas!$R$3:$T$66,2,TRUE),VLOOKUP(O88,tablas!$R$3:$T$66,2,TRUE))&amp;"@"&amp;IF(VLOOKUP(VLOOKUP(O88,tablas!$R$3:$T$66,2,TRUE)&amp;VLOOKUP(O88,tablas!$R$3:$T$66,3,TRUE),tablas!$Q$3:$R$66,2,FALSE)&lt;O88,VLOOKUP(O88+0.1,tablas!$R$3:$T$66,3,TRUE),VLOOKUP(O88,tablas!$R$3:$T$66,3,TRUE)),$C$13)</f>
        <v>φ8@16</v>
      </c>
      <c r="P89" s="95" t="str">
        <f>IF(P88&gt;$C$12,"φ"&amp;IF(VLOOKUP(VLOOKUP(P88,tablas!$R$3:$T$66,2,TRUE)&amp;VLOOKUP(P88,tablas!$R$3:$T$66,3,TRUE),tablas!$Q$3:$R$66,2,FALSE)&lt;P88,VLOOKUP(P88+0.1,tablas!$R$3:$T$66,2,TRUE),VLOOKUP(P88,tablas!$R$3:$T$66,2,TRUE))&amp;"@"&amp;IF(VLOOKUP(VLOOKUP(P88,tablas!$R$3:$T$66,2,TRUE)&amp;VLOOKUP(P88,tablas!$R$3:$T$66,3,TRUE),tablas!$Q$3:$R$66,2,FALSE)&lt;P88,VLOOKUP(P88+0.1,tablas!$R$3:$T$66,3,TRUE),VLOOKUP(P88,tablas!$R$3:$T$66,3,TRUE)),$C$13)</f>
        <v>φ10@25</v>
      </c>
      <c r="Q89" s="95" t="str">
        <f>IF(Q88&gt;$C$12,"φ"&amp;IF(VLOOKUP(VLOOKUP(Q88,tablas!$R$3:$T$66,2,TRUE)&amp;VLOOKUP(Q88,tablas!$R$3:$T$66,3,TRUE),tablas!$Q$3:$R$66,2,FALSE)&lt;Q88,VLOOKUP(Q88+0.1,tablas!$R$3:$T$66,2,TRUE),VLOOKUP(Q88,tablas!$R$3:$T$66,2,TRUE))&amp;"@"&amp;IF(VLOOKUP(VLOOKUP(Q88,tablas!$R$3:$T$66,2,TRUE)&amp;VLOOKUP(Q88,tablas!$R$3:$T$66,3,TRUE),tablas!$Q$3:$R$66,2,FALSE)&lt;Q88,VLOOKUP(Q88+0.1,tablas!$R$3:$T$66,3,TRUE),VLOOKUP(Q88,tablas!$R$3:$T$66,3,TRUE)),$C$13)</f>
        <v>φ12@20</v>
      </c>
      <c r="R89" s="95" t="str">
        <f>IF(R88&gt;$C$12,"φ"&amp;IF(VLOOKUP(VLOOKUP(R88,tablas!$R$3:$T$66,2,TRUE)&amp;VLOOKUP(R88,tablas!$R$3:$T$66,3,TRUE),tablas!$Q$3:$R$66,2,FALSE)&lt;R88,VLOOKUP(R88+0.1,tablas!$R$3:$T$66,2,TRUE),VLOOKUP(R88,tablas!$R$3:$T$66,2,TRUE))&amp;"@"&amp;IF(VLOOKUP(VLOOKUP(R88,tablas!$R$3:$T$66,2,TRUE)&amp;VLOOKUP(R88,tablas!$R$3:$T$66,3,TRUE),tablas!$Q$3:$R$66,2,FALSE)&lt;R88,VLOOKUP(R88+0.1,tablas!$R$3:$T$66,3,TRUE),VLOOKUP(R88,tablas!$R$3:$T$66,3,TRUE)),$C$13)</f>
        <v>φ10@25</v>
      </c>
      <c r="S89" s="95" t="str">
        <f>IF(S88&gt;$C$12,"φ"&amp;IF(VLOOKUP(VLOOKUP(S88,tablas!$R$3:$T$66,2,TRUE)&amp;VLOOKUP(S88,tablas!$R$3:$T$66,3,TRUE),tablas!$Q$3:$R$66,2,FALSE)&lt;S88,VLOOKUP(S88+0.1,tablas!$R$3:$T$66,2,TRUE),VLOOKUP(S88,tablas!$R$3:$T$66,2,TRUE))&amp;"@"&amp;IF(VLOOKUP(VLOOKUP(S88,tablas!$R$3:$T$66,2,TRUE)&amp;VLOOKUP(S88,tablas!$R$3:$T$66,3,TRUE),tablas!$Q$3:$R$66,2,FALSE)&lt;S88,VLOOKUP(S88+0.1,tablas!$R$3:$T$66,3,TRUE),VLOOKUP(S88,tablas!$R$3:$T$66,3,TRUE)),$C$13)</f>
        <v>φ8@16</v>
      </c>
      <c r="T89" s="95" t="str">
        <f>IF(T88&gt;$C$12,"φ"&amp;IF(VLOOKUP(VLOOKUP(T88,tablas!$R$3:$T$66,2,TRUE)&amp;VLOOKUP(T88,tablas!$R$3:$T$66,3,TRUE),tablas!$Q$3:$R$66,2,FALSE)&lt;T88,VLOOKUP(T88+0.1,tablas!$R$3:$T$66,2,TRUE),VLOOKUP(T88,tablas!$R$3:$T$66,2,TRUE))&amp;"@"&amp;IF(VLOOKUP(VLOOKUP(T88,tablas!$R$3:$T$66,2,TRUE)&amp;VLOOKUP(T88,tablas!$R$3:$T$66,3,TRUE),tablas!$Q$3:$R$66,2,FALSE)&lt;T88,VLOOKUP(T88+0.1,tablas!$R$3:$T$66,3,TRUE),VLOOKUP(T88,tablas!$R$3:$T$66,3,TRUE)),$C$13)</f>
        <v>φ10@11</v>
      </c>
      <c r="U89" s="95" t="str">
        <f>IF(U88&gt;$C$12,"φ"&amp;IF(VLOOKUP(VLOOKUP(U88,tablas!$R$3:$T$66,2,TRUE)&amp;VLOOKUP(U88,tablas!$R$3:$T$66,3,TRUE),tablas!$Q$3:$R$66,2,FALSE)&lt;U88,VLOOKUP(U88+0.1,tablas!$R$3:$T$66,2,TRUE),VLOOKUP(U88,tablas!$R$3:$T$66,2,TRUE))&amp;"@"&amp;IF(VLOOKUP(VLOOKUP(U88,tablas!$R$3:$T$66,2,TRUE)&amp;VLOOKUP(U88,tablas!$R$3:$T$66,3,TRUE),tablas!$Q$3:$R$66,2,FALSE)&lt;U88,VLOOKUP(U88+0.1,tablas!$R$3:$T$66,3,TRUE),VLOOKUP(U88,tablas!$R$3:$T$66,3,TRUE)),$C$13)</f>
        <v>φ8@16</v>
      </c>
      <c r="V89" s="95" t="str">
        <f>IF(V88&gt;$C$12,"φ"&amp;IF(VLOOKUP(VLOOKUP(V88,tablas!$R$3:$T$66,2,TRUE)&amp;VLOOKUP(V88,tablas!$R$3:$T$66,3,TRUE),tablas!$Q$3:$R$66,2,FALSE)&lt;V88,VLOOKUP(V88+0.1,tablas!$R$3:$T$66,2,TRUE),VLOOKUP(V88,tablas!$R$3:$T$66,2,TRUE))&amp;"@"&amp;IF(VLOOKUP(VLOOKUP(V88,tablas!$R$3:$T$66,2,TRUE)&amp;VLOOKUP(V88,tablas!$R$3:$T$66,3,TRUE),tablas!$Q$3:$R$66,2,FALSE)&lt;V88,VLOOKUP(V88+0.1,tablas!$R$3:$T$66,3,TRUE),VLOOKUP(V88,tablas!$R$3:$T$66,3,TRUE)),$C$13)</f>
        <v>φ8@16</v>
      </c>
      <c r="W89" s="95" t="str">
        <f>IF(W88&gt;$C$12,"φ"&amp;IF(VLOOKUP(VLOOKUP(W88,tablas!$R$3:$T$66,2,TRUE)&amp;VLOOKUP(W88,tablas!$R$3:$T$66,3,TRUE),tablas!$Q$3:$R$66,2,FALSE)&lt;W88,VLOOKUP(W88+0.1,tablas!$R$3:$T$66,2,TRUE),VLOOKUP(W88,tablas!$R$3:$T$66,2,TRUE))&amp;"@"&amp;IF(VLOOKUP(VLOOKUP(W88,tablas!$R$3:$T$66,2,TRUE)&amp;VLOOKUP(W88,tablas!$R$3:$T$66,3,TRUE),tablas!$Q$3:$R$66,2,FALSE)&lt;W88,VLOOKUP(W88+0.1,tablas!$R$3:$T$66,3,TRUE),VLOOKUP(W88,tablas!$R$3:$T$66,3,TRUE)),$C$13)</f>
        <v>φ8@16</v>
      </c>
      <c r="X89" s="95" t="str">
        <f>IF(X88&gt;$C$12,"φ"&amp;IF(VLOOKUP(VLOOKUP(X88,tablas!$R$3:$T$66,2,TRUE)&amp;VLOOKUP(X88,tablas!$R$3:$T$66,3,TRUE),tablas!$Q$3:$R$66,2,FALSE)&lt;X88,VLOOKUP(X88+0.1,tablas!$R$3:$T$66,2,TRUE),VLOOKUP(X88,tablas!$R$3:$T$66,2,TRUE))&amp;"@"&amp;IF(VLOOKUP(VLOOKUP(X88,tablas!$R$3:$T$66,2,TRUE)&amp;VLOOKUP(X88,tablas!$R$3:$T$66,3,TRUE),tablas!$Q$3:$R$66,2,FALSE)&lt;X88,VLOOKUP(X88+0.1,tablas!$R$3:$T$66,3,TRUE),VLOOKUP(X88,tablas!$R$3:$T$66,3,TRUE)),$C$13)</f>
        <v>φ8@16</v>
      </c>
      <c r="Y89" s="95" t="str">
        <f>IF(Y88&gt;$C$12,"φ"&amp;IF(VLOOKUP(VLOOKUP(Y88,tablas!$R$3:$T$66,2,TRUE)&amp;VLOOKUP(Y88,tablas!$R$3:$T$66,3,TRUE),tablas!$Q$3:$R$66,2,FALSE)&lt;Y88,VLOOKUP(Y88+0.1,tablas!$R$3:$T$66,2,TRUE),VLOOKUP(Y88,tablas!$R$3:$T$66,2,TRUE))&amp;"@"&amp;IF(VLOOKUP(VLOOKUP(Y88,tablas!$R$3:$T$66,2,TRUE)&amp;VLOOKUP(Y88,tablas!$R$3:$T$66,3,TRUE),tablas!$Q$3:$R$66,2,FALSE)&lt;Y88,VLOOKUP(Y88+0.1,tablas!$R$3:$T$66,3,TRUE),VLOOKUP(Y88,tablas!$R$3:$T$66,3,TRUE)),$C$13)</f>
        <v>φ12@19</v>
      </c>
      <c r="Z89" s="95" t="str">
        <f>IF(Z88&gt;$C$12,"φ"&amp;IF(VLOOKUP(VLOOKUP(Z88,tablas!$R$3:$T$66,2,TRUE)&amp;VLOOKUP(Z88,tablas!$R$3:$T$66,3,TRUE),tablas!$Q$3:$R$66,2,FALSE)&lt;Z88,VLOOKUP(Z88+0.1,tablas!$R$3:$T$66,2,TRUE),VLOOKUP(Z88,tablas!$R$3:$T$66,2,TRUE))&amp;"@"&amp;IF(VLOOKUP(VLOOKUP(Z88,tablas!$R$3:$T$66,2,TRUE)&amp;VLOOKUP(Z88,tablas!$R$3:$T$66,3,TRUE),tablas!$Q$3:$R$66,2,FALSE)&lt;Z88,VLOOKUP(Z88+0.1,tablas!$R$3:$T$66,3,TRUE),VLOOKUP(Z88,tablas!$R$3:$T$66,3,TRUE)),$C$13)</f>
        <v>φ16@19</v>
      </c>
      <c r="AA89" s="95" t="str">
        <f>IF(AA88&gt;$C$12,"φ"&amp;IF(VLOOKUP(VLOOKUP(AA88,tablas!$R$3:$T$66,2,TRUE)&amp;VLOOKUP(AA88,tablas!$R$3:$T$66,3,TRUE),tablas!$Q$3:$R$66,2,FALSE)&lt;AA88,VLOOKUP(AA88+0.1,tablas!$R$3:$T$66,2,TRUE),VLOOKUP(AA88,tablas!$R$3:$T$66,2,TRUE))&amp;"@"&amp;IF(VLOOKUP(VLOOKUP(AA88,tablas!$R$3:$T$66,2,TRUE)&amp;VLOOKUP(AA88,tablas!$R$3:$T$66,3,TRUE),tablas!$Q$3:$R$66,2,FALSE)&lt;AA88,VLOOKUP(AA88+0.1,tablas!$R$3:$T$66,3,TRUE),VLOOKUP(AA88,tablas!$R$3:$T$66,3,TRUE)),$C$13)</f>
        <v>φ10@19</v>
      </c>
      <c r="AB89" s="95" t="str">
        <f>IF(AB88&gt;$C$12,"φ"&amp;IF(VLOOKUP(VLOOKUP(AB88,tablas!$R$3:$T$66,2,TRUE)&amp;VLOOKUP(AB88,tablas!$R$3:$T$66,3,TRUE),tablas!$Q$3:$R$66,2,FALSE)&lt;AB88,VLOOKUP(AB88+0.1,tablas!$R$3:$T$66,2,TRUE),VLOOKUP(AB88,tablas!$R$3:$T$66,2,TRUE))&amp;"@"&amp;IF(VLOOKUP(VLOOKUP(AB88,tablas!$R$3:$T$66,2,TRUE)&amp;VLOOKUP(AB88,tablas!$R$3:$T$66,3,TRUE),tablas!$Q$3:$R$66,2,FALSE)&lt;AB88,VLOOKUP(AB88+0.1,tablas!$R$3:$T$66,3,TRUE),VLOOKUP(AB88,tablas!$R$3:$T$66,3,TRUE)),$C$13)</f>
        <v>φ12@24</v>
      </c>
      <c r="AC89" s="95" t="str">
        <f>IF(AC88&gt;$C$12,"φ"&amp;IF(VLOOKUP(VLOOKUP(AC88,tablas!$R$3:$T$66,2,TRUE)&amp;VLOOKUP(AC88,tablas!$R$3:$T$66,3,TRUE),tablas!$Q$3:$R$66,2,FALSE)&lt;AC88,VLOOKUP(AC88+0.1,tablas!$R$3:$T$66,2,TRUE),VLOOKUP(AC88,tablas!$R$3:$T$66,2,TRUE))&amp;"@"&amp;IF(VLOOKUP(VLOOKUP(AC88,tablas!$R$3:$T$66,2,TRUE)&amp;VLOOKUP(AC88,tablas!$R$3:$T$66,3,TRUE),tablas!$Q$3:$R$66,2,FALSE)&lt;AC88,VLOOKUP(AC88+0.1,tablas!$R$3:$T$66,3,TRUE),VLOOKUP(AC88,tablas!$R$3:$T$66,3,TRUE)),$C$13)</f>
        <v>φ12@15</v>
      </c>
      <c r="AD89" s="95" t="str">
        <f>IF(AD88&gt;$C$12,"φ"&amp;IF(VLOOKUP(VLOOKUP(AD88,tablas!$R$3:$T$66,2,TRUE)&amp;VLOOKUP(AD88,tablas!$R$3:$T$66,3,TRUE),tablas!$Q$3:$R$66,2,FALSE)&lt;AD88,VLOOKUP(AD88+0.1,tablas!$R$3:$T$66,2,TRUE),VLOOKUP(AD88,tablas!$R$3:$T$66,2,TRUE))&amp;"@"&amp;IF(VLOOKUP(VLOOKUP(AD88,tablas!$R$3:$T$66,2,TRUE)&amp;VLOOKUP(AD88,tablas!$R$3:$T$66,3,TRUE),tablas!$Q$3:$R$66,2,FALSE)&lt;AD88,VLOOKUP(AD88+0.1,tablas!$R$3:$T$66,3,TRUE),VLOOKUP(AD88,tablas!$R$3:$T$66,3,TRUE)),$C$13)</f>
        <v>φ8@16</v>
      </c>
      <c r="AE89" s="95" t="str">
        <f>IF(AE88&gt;$C$12,"φ"&amp;IF(VLOOKUP(VLOOKUP(AE88,tablas!$R$3:$T$66,2,TRUE)&amp;VLOOKUP(AE88,tablas!$R$3:$T$66,3,TRUE),tablas!$Q$3:$R$66,2,FALSE)&lt;AE88,VLOOKUP(AE88+0.1,tablas!$R$3:$T$66,2,TRUE),VLOOKUP(AE88,tablas!$R$3:$T$66,2,TRUE))&amp;"@"&amp;IF(VLOOKUP(VLOOKUP(AE88,tablas!$R$3:$T$66,2,TRUE)&amp;VLOOKUP(AE88,tablas!$R$3:$T$66,3,TRUE),tablas!$Q$3:$R$66,2,FALSE)&lt;AE88,VLOOKUP(AE88+0.1,tablas!$R$3:$T$66,3,TRUE),VLOOKUP(AE88,tablas!$R$3:$T$66,3,TRUE)),$C$13)</f>
        <v>φ8@16</v>
      </c>
    </row>
    <row r="91" spans="2:32" ht="15" thickBot="1" x14ac:dyDescent="0.35">
      <c r="B91" s="126" t="s">
        <v>107</v>
      </c>
      <c r="C91" s="126"/>
    </row>
    <row r="92" spans="2:32" ht="15" thickBot="1" x14ac:dyDescent="0.35">
      <c r="B92" s="73" t="s">
        <v>43</v>
      </c>
      <c r="C92" s="74" t="s">
        <v>49</v>
      </c>
      <c r="D92" s="75" t="s">
        <v>50</v>
      </c>
      <c r="E92" s="74" t="s">
        <v>49</v>
      </c>
      <c r="F92" s="75" t="s">
        <v>55</v>
      </c>
      <c r="G92" s="74" t="s">
        <v>50</v>
      </c>
      <c r="H92" s="75" t="s">
        <v>51</v>
      </c>
      <c r="I92" s="74" t="s">
        <v>50</v>
      </c>
      <c r="J92" s="75" t="s">
        <v>56</v>
      </c>
      <c r="K92" s="74" t="s">
        <v>51</v>
      </c>
      <c r="L92" s="75" t="s">
        <v>52</v>
      </c>
      <c r="M92" s="74" t="s">
        <v>51</v>
      </c>
      <c r="N92" s="75" t="s">
        <v>57</v>
      </c>
      <c r="O92" s="74" t="s">
        <v>52</v>
      </c>
      <c r="P92" s="75" t="s">
        <v>58</v>
      </c>
      <c r="Q92" s="74" t="s">
        <v>52</v>
      </c>
      <c r="R92" s="75" t="s">
        <v>53</v>
      </c>
      <c r="S92" s="74" t="s">
        <v>53</v>
      </c>
      <c r="T92" s="75" t="s">
        <v>54</v>
      </c>
      <c r="U92" s="74" t="s">
        <v>53</v>
      </c>
      <c r="V92" s="75" t="s">
        <v>58</v>
      </c>
      <c r="W92" s="74" t="s">
        <v>54</v>
      </c>
      <c r="X92" s="75" t="s">
        <v>59</v>
      </c>
      <c r="Y92" s="74" t="s">
        <v>55</v>
      </c>
      <c r="Z92" s="75" t="s">
        <v>56</v>
      </c>
      <c r="AA92" s="74" t="s">
        <v>55</v>
      </c>
      <c r="AB92" s="75" t="s">
        <v>60</v>
      </c>
      <c r="AC92" s="74" t="s">
        <v>56</v>
      </c>
      <c r="AD92" s="75" t="s">
        <v>60</v>
      </c>
      <c r="AE92" s="74" t="s">
        <v>56</v>
      </c>
      <c r="AF92" s="75" t="s">
        <v>57</v>
      </c>
    </row>
    <row r="93" spans="2:32" x14ac:dyDescent="0.3">
      <c r="B93" s="105" t="s">
        <v>114</v>
      </c>
      <c r="C93" s="102" t="s">
        <v>109</v>
      </c>
      <c r="D93" s="103" t="s">
        <v>109</v>
      </c>
      <c r="E93" s="102" t="s">
        <v>108</v>
      </c>
      <c r="F93" s="103" t="s">
        <v>109</v>
      </c>
      <c r="G93" s="102" t="s">
        <v>109</v>
      </c>
      <c r="H93" s="103" t="s">
        <v>109</v>
      </c>
      <c r="I93" s="102" t="s">
        <v>108</v>
      </c>
      <c r="J93" s="103" t="s">
        <v>108</v>
      </c>
      <c r="K93" s="102" t="s">
        <v>109</v>
      </c>
      <c r="L93" s="103" t="s">
        <v>109</v>
      </c>
      <c r="M93" s="102" t="s">
        <v>108</v>
      </c>
      <c r="N93" s="103" t="s">
        <v>108</v>
      </c>
      <c r="O93" s="102" t="s">
        <v>108</v>
      </c>
      <c r="P93" s="103" t="s">
        <v>108</v>
      </c>
      <c r="Q93" s="102" t="s">
        <v>109</v>
      </c>
      <c r="R93" s="103" t="s">
        <v>108</v>
      </c>
      <c r="S93" s="102" t="s">
        <v>108</v>
      </c>
      <c r="T93" s="103" t="s">
        <v>108</v>
      </c>
      <c r="U93" s="102" t="s">
        <v>109</v>
      </c>
      <c r="V93" s="103" t="s">
        <v>108</v>
      </c>
      <c r="W93" s="102" t="s">
        <v>109</v>
      </c>
      <c r="X93" s="103" t="s">
        <v>109</v>
      </c>
      <c r="Y93" s="102" t="s">
        <v>108</v>
      </c>
      <c r="Z93" s="103" t="s">
        <v>109</v>
      </c>
      <c r="AA93" s="102" t="s">
        <v>109</v>
      </c>
      <c r="AB93" s="103" t="s">
        <v>108</v>
      </c>
      <c r="AC93" s="102" t="s">
        <v>108</v>
      </c>
      <c r="AD93" s="103" t="s">
        <v>108</v>
      </c>
      <c r="AE93" s="102" t="s">
        <v>109</v>
      </c>
      <c r="AF93" s="103" t="s">
        <v>109</v>
      </c>
    </row>
    <row r="94" spans="2:32" x14ac:dyDescent="0.3">
      <c r="B94" s="106" t="s">
        <v>110</v>
      </c>
      <c r="C94" s="104">
        <f t="shared" ref="C94:AF94" si="210">HLOOKUP(C92,$B$46:$AE$89,IF(C93="x",35,40),FALSE)</f>
        <v>2074.2364532019706</v>
      </c>
      <c r="D94" s="86">
        <f t="shared" si="210"/>
        <v>2170.9923664122139</v>
      </c>
      <c r="E94" s="104">
        <f t="shared" si="210"/>
        <v>2239.7340425531916</v>
      </c>
      <c r="F94" s="86">
        <f t="shared" si="210"/>
        <v>2298.253990147783</v>
      </c>
      <c r="G94" s="104">
        <f t="shared" si="210"/>
        <v>2170.9923664122139</v>
      </c>
      <c r="H94" s="86">
        <f t="shared" si="210"/>
        <v>2170.9923664122139</v>
      </c>
      <c r="I94" s="104">
        <f t="shared" si="210"/>
        <v>2872.7272727272725</v>
      </c>
      <c r="J94" s="86">
        <f t="shared" si="210"/>
        <v>3352.2893617021282</v>
      </c>
      <c r="K94" s="104">
        <f t="shared" si="210"/>
        <v>2170.9923664122139</v>
      </c>
      <c r="L94" s="86">
        <f t="shared" si="210"/>
        <v>2234.0860215053763</v>
      </c>
      <c r="M94" s="104">
        <f t="shared" si="210"/>
        <v>2872.7272727272725</v>
      </c>
      <c r="N94" s="86">
        <f t="shared" si="210"/>
        <v>3352.2893617021282</v>
      </c>
      <c r="O94" s="104">
        <f t="shared" si="210"/>
        <v>3040.5365853658536</v>
      </c>
      <c r="P94" s="86">
        <f t="shared" si="210"/>
        <v>4041.0606666666667</v>
      </c>
      <c r="Q94" s="104">
        <f t="shared" si="210"/>
        <v>2234.0860215053763</v>
      </c>
      <c r="R94" s="86">
        <f t="shared" si="210"/>
        <v>1890.0537634408602</v>
      </c>
      <c r="S94" s="104">
        <f t="shared" si="210"/>
        <v>1890.0537634408602</v>
      </c>
      <c r="T94" s="86">
        <f t="shared" si="210"/>
        <v>1481.25</v>
      </c>
      <c r="U94" s="104">
        <f t="shared" si="210"/>
        <v>1635.1162790697674</v>
      </c>
      <c r="V94" s="86">
        <f t="shared" si="210"/>
        <v>4041.0606666666667</v>
      </c>
      <c r="W94" s="104">
        <f t="shared" si="210"/>
        <v>1160.8163265306123</v>
      </c>
      <c r="X94" s="86">
        <f t="shared" si="210"/>
        <v>1129.4451612903226</v>
      </c>
      <c r="Y94" s="104">
        <f t="shared" si="210"/>
        <v>2481.6253191489359</v>
      </c>
      <c r="Z94" s="86">
        <f t="shared" si="210"/>
        <v>2752.0978165938868</v>
      </c>
      <c r="AA94" s="104">
        <f t="shared" si="210"/>
        <v>2298.253990147783</v>
      </c>
      <c r="AB94" s="86">
        <f t="shared" si="210"/>
        <v>3914.1434146341467</v>
      </c>
      <c r="AC94" s="104">
        <f t="shared" si="210"/>
        <v>3352.2893617021282</v>
      </c>
      <c r="AD94" s="86">
        <f t="shared" si="210"/>
        <v>3914.1434146341467</v>
      </c>
      <c r="AE94" s="104">
        <f t="shared" si="210"/>
        <v>2752.0978165938868</v>
      </c>
      <c r="AF94" s="86">
        <f t="shared" si="210"/>
        <v>2752.0978165938868</v>
      </c>
    </row>
    <row r="95" spans="2:32" x14ac:dyDescent="0.3">
      <c r="B95" s="106" t="s">
        <v>111</v>
      </c>
      <c r="C95" s="127">
        <f>(MAX(C94:D94)-MIN(C94:D94))/(MAX(C94:D94))</f>
        <v>4.4567597153804053E-2</v>
      </c>
      <c r="D95" s="128"/>
      <c r="E95" s="127">
        <f>(MAX(E94:F94)-MIN(E94:F94))/(MAX(E94:F94))</f>
        <v>2.5462785160150433E-2</v>
      </c>
      <c r="F95" s="128"/>
      <c r="G95" s="127">
        <f>(MAX(G94:H94)-MIN(G94:H94))/(MAX(G94:H94))</f>
        <v>0</v>
      </c>
      <c r="H95" s="128"/>
      <c r="I95" s="127">
        <f>(MAX(I94:J94)-MIN(I94:J94))/(MAX(I94:J94))</f>
        <v>0.14305509973380029</v>
      </c>
      <c r="J95" s="128"/>
      <c r="K95" s="127">
        <f>(MAX(K94:L94)-MIN(K94:L94))/(MAX(K94:L94))</f>
        <v>2.8241372304298518E-2</v>
      </c>
      <c r="L95" s="128"/>
      <c r="M95" s="127">
        <f>(MAX(M94:N94)-MIN(M94:N94))/(MAX(M94:N94))</f>
        <v>0.14305509973380029</v>
      </c>
      <c r="N95" s="128"/>
      <c r="O95" s="127">
        <f>(MAX(O94:P94)-MIN(O94:P94))/(MAX(O94:P94))</f>
        <v>0.24758947311872737</v>
      </c>
      <c r="P95" s="128"/>
      <c r="Q95" s="127">
        <f>(MAX(Q94:R94)-MIN(Q94:R94))/(MAX(Q94:R94))</f>
        <v>0.15399239543726234</v>
      </c>
      <c r="R95" s="128"/>
      <c r="S95" s="127">
        <f>(MAX(S94:T94)-MIN(S94:T94))/(MAX(S94:T94))</f>
        <v>0.21629213483146065</v>
      </c>
      <c r="T95" s="128"/>
      <c r="U95" s="127">
        <f>(MAX(U94:V94)-MIN(U94:V94))/(MAX(U94:V94))</f>
        <v>0.59537447864683524</v>
      </c>
      <c r="V95" s="128"/>
      <c r="W95" s="127">
        <f>(MAX(W94:X94)-MIN(W94:X94))/(MAX(W94:X94))</f>
        <v>2.702508960573476E-2</v>
      </c>
      <c r="X95" s="128"/>
      <c r="Y95" s="127">
        <f>(MAX(Y94:Z94)-MIN(Y94:Z94))/(MAX(Y94:Z94))</f>
        <v>9.8278664302600696E-2</v>
      </c>
      <c r="Z95" s="128"/>
      <c r="AA95" s="127">
        <f>(MAX(AA94:AB94)-MIN(AA94:AB94))/(MAX(AA94:AB94))</f>
        <v>0.41283347422705513</v>
      </c>
      <c r="AB95" s="128"/>
      <c r="AC95" s="127">
        <f>(MAX(AC94:AD94)-MIN(AC94:AD94))/(MAX(AC94:AD94))</f>
        <v>0.14354457499726916</v>
      </c>
      <c r="AD95" s="128"/>
      <c r="AE95" s="142">
        <f>(MAX(AE94:AF94)-MIN(AE94:AF94))/(MAX(AE94:AF94))</f>
        <v>0</v>
      </c>
      <c r="AF95" s="128"/>
    </row>
    <row r="96" spans="2:32" x14ac:dyDescent="0.3">
      <c r="B96" s="106" t="s">
        <v>112</v>
      </c>
      <c r="C96" s="129">
        <f>IF(C95&lt;25%,(C94*0.5+D94*0.5)*0.9,IF(C95&lt;50%,(MAX(C94:D94)*0.6+MIN(C94:D94)*0.4)*0.9,IF(C95&lt;70%,(MAX(C94:D94)*0.65+MIN(C94:D94)*0.35)*0.9,IF(C95&lt;100%,(MAX(C94:D94)*0.7+MIN(C94:D94)*0.3)*0.9,0.7*MAX(C94:D94)))))</f>
        <v>1910.3529688263829</v>
      </c>
      <c r="D96" s="130"/>
      <c r="E96" s="129">
        <f>IF(E95&lt;25%,(E94*0.5+F94*0.5)*0.9,IF(E95&lt;50%,(MAX(E94:F94)*0.6+MIN(E94:F94)*0.4)*0.9,IF(E95&lt;70%,(MAX(E94:F94)*0.65+MIN(E94:F94)*0.35)*0.9,IF(E95&lt;100%,(MAX(E94:F94)*0.7+MIN(E94:F94)*0.3)*0.9,0.7*MAX(E94:F94)))))</f>
        <v>2042.0946147154384</v>
      </c>
      <c r="F96" s="130"/>
      <c r="G96" s="129">
        <f>IF(G95&lt;25%,(G94*0.5+H94*0.5)*0.9,IF(G95&lt;50%,(MAX(G94:H94)*0.6+MIN(G94:H94)*0.4)*0.9,IF(G95&lt;70%,(MAX(G94:H94)*0.65+MIN(G94:H94)*0.35)*0.9,IF(G95&lt;100%,(MAX(G94:H94)*0.7+MIN(G94:H94)*0.3)*0.9,0.7*MAX(G94:H94)))))</f>
        <v>1953.8931297709926</v>
      </c>
      <c r="H96" s="130"/>
      <c r="I96" s="129">
        <f>IF(I95&lt;25%,(I94*0.5+J94*0.5)*0.9,IF(I95&lt;50%,(MAX(I94:J94)*0.6+MIN(I94:J94)*0.4)*0.9,IF(I95&lt;70%,(MAX(I94:J94)*0.65+MIN(I94:J94)*0.35)*0.9,IF(I95&lt;100%,(MAX(I94:J94)*0.7+MIN(I94:J94)*0.3)*0.9,0.7*MAX(I94:J94)))))</f>
        <v>2801.2574854932304</v>
      </c>
      <c r="J96" s="130"/>
      <c r="K96" s="129">
        <f>IF(K95&lt;25%,(K94*0.5+L94*0.5)*0.9,IF(K95&lt;50%,(MAX(K94:L94)*0.6+MIN(K94:L94)*0.4)*0.9,IF(K95&lt;70%,(MAX(K94:L94)*0.65+MIN(K94:L94)*0.35)*0.9,IF(K95&lt;100%,(MAX(K94:L94)*0.7+MIN(K94:L94)*0.3)*0.9,0.7*MAX(K94:L94)))))</f>
        <v>1982.2852745629159</v>
      </c>
      <c r="L96" s="130"/>
      <c r="M96" s="129">
        <f>IF(M95&lt;25%,(M94*0.5+N94*0.5)*0.9,IF(M95&lt;50%,(MAX(M94:N94)*0.6+MIN(M94:N94)*0.4)*0.9,IF(M95&lt;70%,(MAX(M94:N94)*0.65+MIN(M94:N94)*0.35)*0.9,IF(M95&lt;100%,(MAX(M94:N94)*0.7+MIN(M94:N94)*0.3)*0.9,0.7*MAX(M94:N94)))))</f>
        <v>2801.2574854932304</v>
      </c>
      <c r="N96" s="130"/>
      <c r="O96" s="129">
        <f>IF(O95&lt;25%,(O94*0.5+P94*0.5)*0.9,IF(O95&lt;50%,(MAX(O94:P94)*0.6+MIN(O94:P94)*0.4)*0.9,IF(O95&lt;70%,(MAX(O94:P94)*0.65+MIN(O94:P94)*0.35)*0.9,IF(O95&lt;100%,(MAX(O94:P94)*0.7+MIN(O94:P94)*0.3)*0.9,0.7*MAX(O94:P94)))))</f>
        <v>3186.7187634146344</v>
      </c>
      <c r="P96" s="130"/>
      <c r="Q96" s="129">
        <f>IF(Q95&lt;25%,(Q94*0.5+R94*0.5)*0.9,IF(Q95&lt;50%,(MAX(Q94:R94)*0.6+MIN(Q94:R94)*0.4)*0.9,IF(Q95&lt;70%,(MAX(Q94:R94)*0.65+MIN(Q94:R94)*0.35)*0.9,IF(Q95&lt;100%,(MAX(Q94:R94)*0.7+MIN(Q94:R94)*0.3)*0.9,0.7*MAX(Q94:R94)))))</f>
        <v>1855.8629032258063</v>
      </c>
      <c r="R96" s="130"/>
      <c r="S96" s="129">
        <f>IF(S95&lt;25%,(S94*0.5+T94*0.5)*0.9,IF(S95&lt;50%,(MAX(S94:T94)*0.6+MIN(S94:T94)*0.4)*0.9,IF(S95&lt;70%,(MAX(S94:T94)*0.65+MIN(S94:T94)*0.35)*0.9,IF(S95&lt;100%,(MAX(S94:T94)*0.7+MIN(S94:T94)*0.3)*0.9,0.7*MAX(S94:T94)))))</f>
        <v>1517.0866935483871</v>
      </c>
      <c r="T96" s="130"/>
      <c r="U96" s="129">
        <f>IF(U95&lt;25%,(U94*0.5+V94*0.5)*0.9,IF(U95&lt;50%,(MAX(U94:V94)*0.6+MIN(U94:V94)*0.4)*0.9,IF(U95&lt;70%,(MAX(U94:V94)*0.65+MIN(U94:V94)*0.35)*0.9,IF(U95&lt;100%,(MAX(U94:V94)*0.7+MIN(U94:V94)*0.3)*0.9,0.7*MAX(U94:V94)))))</f>
        <v>2879.0821179069767</v>
      </c>
      <c r="V96" s="130"/>
      <c r="W96" s="129">
        <f>IF(W95&lt;25%,(W94*0.5+X94*0.5)*0.9,IF(W95&lt;50%,(MAX(W94:X94)*0.6+MIN(W94:X94)*0.4)*0.9,IF(W95&lt;70%,(MAX(W94:X94)*0.65+MIN(W94:X94)*0.35)*0.9,IF(W95&lt;100%,(MAX(W94:X94)*0.7+MIN(W94:X94)*0.3)*0.9,0.7*MAX(W94:X94)))))</f>
        <v>1030.6176695194208</v>
      </c>
      <c r="X96" s="130"/>
      <c r="Y96" s="129">
        <f>IF(Y95&lt;25%,(Y94*0.5+Z94*0.5)*0.9,IF(Y95&lt;50%,(MAX(Y94:Z94)*0.6+MIN(Y94:Z94)*0.4)*0.9,IF(Y95&lt;70%,(MAX(Y94:Z94)*0.65+MIN(Y94:Z94)*0.35)*0.9,IF(Y95&lt;100%,(MAX(Y94:Z94)*0.7+MIN(Y94:Z94)*0.3)*0.9,0.7*MAX(Y94:Z94)))))</f>
        <v>2355.1754110842703</v>
      </c>
      <c r="Z96" s="130"/>
      <c r="AA96" s="129">
        <f>IF(AA95&lt;25%,(AA94*0.5+AB94*0.5)*0.9,IF(AA95&lt;50%,(MAX(AA94:AB94)*0.6+MIN(AA94:AB94)*0.4)*0.9,IF(AA95&lt;70%,(MAX(AA94:AB94)*0.65+MIN(AA94:AB94)*0.35)*0.9,IF(AA95&lt;100%,(MAX(AA94:AB94)*0.7+MIN(AA94:AB94)*0.3)*0.9,0.7*MAX(AA94:AB94)))))</f>
        <v>2941.0088803556414</v>
      </c>
      <c r="AB96" s="130"/>
      <c r="AC96" s="129">
        <f>IF(AC95&lt;25%,(AC94*0.5+AD94*0.5)*0.9,IF(AC95&lt;50%,(MAX(AC94:AD94)*0.6+MIN(AC94:AD94)*0.4)*0.9,IF(AC95&lt;70%,(MAX(AC94:AD94)*0.65+MIN(AC94:AD94)*0.35)*0.9,IF(AC95&lt;100%,(MAX(AC94:AD94)*0.7+MIN(AC94:AD94)*0.3)*0.9,0.7*MAX(AC94:AD94)))))</f>
        <v>3269.8947493513238</v>
      </c>
      <c r="AD96" s="130"/>
      <c r="AE96" s="143">
        <f>IF(AE95&lt;25%,(AE94*0.5+AF94*0.5)*0.9,IF(AE95&lt;50%,(MAX(AE94:AF94)*0.6+MIN(AE94:AF94)*0.4)*0.9,IF(AE95&lt;70%,(MAX(AE94:AF94)*0.65+MIN(AE94:AF94)*0.35)*0.9,IF(AE95&lt;100%,(MAX(AE94:AF94)*0.7+MIN(AE94:AF94)*0.3)*0.9,0.7*MAX(AE94:AF94)))))</f>
        <v>2476.8880349344981</v>
      </c>
      <c r="AF96" s="130"/>
    </row>
    <row r="97" spans="2:32" x14ac:dyDescent="0.3">
      <c r="B97" s="107" t="s">
        <v>15</v>
      </c>
      <c r="C97" s="131">
        <f>C96/(0.9*(0.9*($C$7/100))*($L$9*1000))</f>
        <v>3.6736144164193352</v>
      </c>
      <c r="D97" s="132"/>
      <c r="E97" s="131">
        <f>E96/(0.9*(0.9*($C$7/100))*($L$9*1000))</f>
        <v>3.9269539916069345</v>
      </c>
      <c r="F97" s="132"/>
      <c r="G97" s="131">
        <f>G96/(0.9*(0.9*($C$7/100))*($L$9*1000))</f>
        <v>3.7573422748567213</v>
      </c>
      <c r="H97" s="132"/>
      <c r="I97" s="131">
        <f>I96/(0.9*(0.9*($C$7/100))*($L$9*1000))</f>
        <v>5.3868264403161996</v>
      </c>
      <c r="J97" s="132"/>
      <c r="K97" s="131">
        <f>K96/(0.9*(0.9*($C$7/100))*($L$9*1000))</f>
        <v>3.811940453372785</v>
      </c>
      <c r="L97" s="132"/>
      <c r="M97" s="131">
        <f>M96/(0.9*(0.9*($C$7/100))*($L$9*1000))</f>
        <v>5.3868264403161996</v>
      </c>
      <c r="N97" s="132"/>
      <c r="O97" s="131">
        <f>O96/(0.9*(0.9*($C$7/100))*($L$9*1000))</f>
        <v>6.1280696192735542</v>
      </c>
      <c r="P97" s="132"/>
      <c r="Q97" s="131">
        <f>Q96/(0.9*(0.9*($C$7/100))*($L$9*1000))</f>
        <v>3.5688298589012075</v>
      </c>
      <c r="R97" s="132"/>
      <c r="S97" s="131">
        <f>S96/(0.9*(0.9*($C$7/100))*($L$9*1000))</f>
        <v>2.9173622044313428</v>
      </c>
      <c r="T97" s="132"/>
      <c r="U97" s="131">
        <f>U96/(0.9*(0.9*($C$7/100))*($L$9*1000))</f>
        <v>5.5364834389196114</v>
      </c>
      <c r="V97" s="132"/>
      <c r="W97" s="131">
        <f>W96/(0.9*(0.9*($C$7/100))*($L$9*1000))</f>
        <v>1.981880830582325</v>
      </c>
      <c r="X97" s="132"/>
      <c r="Y97" s="131">
        <f>Y96/(0.9*(0.9*($C$7/100))*($L$9*1000))</f>
        <v>4.5290092901893582</v>
      </c>
      <c r="Z97" s="132"/>
      <c r="AA97" s="131">
        <f>AA96/(0.9*(0.9*($C$7/100))*($L$9*1000))</f>
        <v>5.6555687864998285</v>
      </c>
      <c r="AB97" s="132"/>
      <c r="AC97" s="131">
        <f>AC96/(0.9*(0.9*($C$7/100))*($L$9*1000))</f>
        <v>6.2880172865492154</v>
      </c>
      <c r="AD97" s="132"/>
      <c r="AE97" s="144">
        <f>AE96/(0.9*(0.9*($C$7/100))*($L$9*1000))</f>
        <v>4.7630630262960993</v>
      </c>
      <c r="AF97" s="132"/>
    </row>
    <row r="98" spans="2:32" x14ac:dyDescent="0.3">
      <c r="B98" s="107" t="s">
        <v>98</v>
      </c>
      <c r="C98" s="133">
        <f>(C97*($L$9))/(0.85*$L$6*100)</f>
        <v>5.1814367119046821E-2</v>
      </c>
      <c r="D98" s="134"/>
      <c r="E98" s="133">
        <f>(E97*($L$9))/(0.85*$L$6*100)</f>
        <v>5.538758637033344E-2</v>
      </c>
      <c r="F98" s="134"/>
      <c r="G98" s="133">
        <f>(G97*($L$9))/(0.85*$L$6*100)</f>
        <v>5.29953037943212E-2</v>
      </c>
      <c r="H98" s="134"/>
      <c r="I98" s="133">
        <f>(I97*($L$9))/(0.85*$L$6*100)</f>
        <v>7.5978306688262762E-2</v>
      </c>
      <c r="J98" s="134"/>
      <c r="K98" s="133">
        <f>(K97*($L$9))/(0.85*$L$6*100)</f>
        <v>5.3765381909492573E-2</v>
      </c>
      <c r="L98" s="134"/>
      <c r="M98" s="133">
        <f>(M97*($L$9))/(0.85*$L$6*100)</f>
        <v>7.5978306688262762E-2</v>
      </c>
      <c r="N98" s="134"/>
      <c r="O98" s="133">
        <f>(O97*($L$9))/(0.85*$L$6*100)</f>
        <v>8.6433145396245886E-2</v>
      </c>
      <c r="P98" s="134"/>
      <c r="Q98" s="133">
        <f>(Q97*($L$9))/(0.85*$L$6*100)</f>
        <v>5.0336436961928389E-2</v>
      </c>
      <c r="R98" s="134"/>
      <c r="S98" s="133">
        <f>(S97*($L$9))/(0.85*$L$6*100)</f>
        <v>4.11478340252633E-2</v>
      </c>
      <c r="T98" s="134"/>
      <c r="U98" s="133">
        <f>(U97*($L$9))/(0.85*$L$6*100)</f>
        <v>7.8089138634292107E-2</v>
      </c>
      <c r="V98" s="134"/>
      <c r="W98" s="133">
        <f>(W97*($L$9))/(0.85*$L$6*100)</f>
        <v>2.7953369434478008E-2</v>
      </c>
      <c r="X98" s="134"/>
      <c r="Y98" s="133">
        <f>(Y97*($L$9))/(0.85*$L$6*100)</f>
        <v>6.3879254447225101E-2</v>
      </c>
      <c r="Z98" s="134"/>
      <c r="AA98" s="133">
        <f>(AA97*($L$9))/(0.85*$L$6*100)</f>
        <v>7.9768773788826061E-2</v>
      </c>
      <c r="AB98" s="134"/>
      <c r="AC98" s="133">
        <f>(AC97*($L$9))/(0.85*$L$6*100)</f>
        <v>8.8689121721636649E-2</v>
      </c>
      <c r="AD98" s="134"/>
      <c r="AE98" s="145">
        <f>(AE97*($L$9))/(0.85*$L$6*100)</f>
        <v>6.7180457250114706E-2</v>
      </c>
      <c r="AF98" s="134"/>
    </row>
    <row r="99" spans="2:32" ht="15" thickBot="1" x14ac:dyDescent="0.35">
      <c r="B99" s="108" t="s">
        <v>15</v>
      </c>
      <c r="C99" s="135">
        <f>ROUNDUP(C96/(0.9*(($C$7-C98/2)/100)*($L$9*1000)),2)</f>
        <v>3.32</v>
      </c>
      <c r="D99" s="136"/>
      <c r="E99" s="135">
        <f>ROUNDUP(E96/(0.9*(($C$7-E98/2)/100)*($L$9*1000)),2)</f>
        <v>3.55</v>
      </c>
      <c r="F99" s="136"/>
      <c r="G99" s="135">
        <f>ROUNDUP(G96/(0.9*(($C$7-G98/2)/100)*($L$9*1000)),2)</f>
        <v>3.3899999999999997</v>
      </c>
      <c r="H99" s="136"/>
      <c r="I99" s="135">
        <f>ROUNDUP(I96/(0.9*(($C$7-I98/2)/100)*($L$9*1000)),2)</f>
        <v>4.87</v>
      </c>
      <c r="J99" s="136"/>
      <c r="K99" s="135">
        <f>ROUNDUP(K96/(0.9*(($C$7-K98/2)/100)*($L$9*1000)),2)</f>
        <v>3.44</v>
      </c>
      <c r="L99" s="136"/>
      <c r="M99" s="135">
        <f>ROUNDUP(M96/(0.9*(($C$7-M98/2)/100)*($L$9*1000)),2)</f>
        <v>4.87</v>
      </c>
      <c r="N99" s="136"/>
      <c r="O99" s="135">
        <f>ROUNDUP(O96/(0.9*(($C$7-O98/2)/100)*($L$9*1000)),2)</f>
        <v>5.54</v>
      </c>
      <c r="P99" s="136"/>
      <c r="Q99" s="135">
        <f>ROUNDUP(Q96/(0.9*(($C$7-Q98/2)/100)*($L$9*1000)),2)</f>
        <v>3.2199999999999998</v>
      </c>
      <c r="R99" s="136"/>
      <c r="S99" s="135">
        <f>ROUNDUP(S96/(0.9*(($C$7-S98/2)/100)*($L$9*1000)),2)</f>
        <v>2.63</v>
      </c>
      <c r="T99" s="136"/>
      <c r="U99" s="135">
        <f>ROUNDUP(U96/(0.9*(($C$7-U98/2)/100)*($L$9*1000)),2)</f>
        <v>5</v>
      </c>
      <c r="V99" s="136"/>
      <c r="W99" s="135">
        <f>ROUNDUP(W96/(0.9*(($C$7-W98/2)/100)*($L$9*1000)),2)</f>
        <v>1.79</v>
      </c>
      <c r="X99" s="136"/>
      <c r="Y99" s="135">
        <f>ROUNDUP(Y96/(0.9*(($C$7-Y98/2)/100)*($L$9*1000)),2)</f>
        <v>4.09</v>
      </c>
      <c r="Z99" s="136"/>
      <c r="AA99" s="135">
        <f>ROUNDUP(AA96/(0.9*(($C$7-AA98/2)/100)*($L$9*1000)),2)</f>
        <v>5.1099999999999994</v>
      </c>
      <c r="AB99" s="136"/>
      <c r="AC99" s="135">
        <f>ROUNDUP(AC96/(0.9*(($C$7-AC98/2)/100)*($L$9*1000)),2)</f>
        <v>5.68</v>
      </c>
      <c r="AD99" s="136"/>
      <c r="AE99" s="146">
        <f>ROUNDUP(AE96/(0.9*(($C$7-AE98/2)/100)*($L$9*1000)),2)</f>
        <v>4.3</v>
      </c>
      <c r="AF99" s="147"/>
    </row>
    <row r="100" spans="2:32" ht="16.2" thickBot="1" x14ac:dyDescent="0.35">
      <c r="B100" s="61" t="s">
        <v>113</v>
      </c>
      <c r="C100" s="140" t="str">
        <f>IF(C99&gt;$C$12,"φ"&amp;IF(VLOOKUP(VLOOKUP(C99,tablas!$R$3:$T$66,2,TRUE)&amp;VLOOKUP(C99,tablas!$R$3:$T$66,3,TRUE),tablas!$Q$3:$R$66,2,FALSE)&lt;C99,VLOOKUP(C99+0.1,tablas!$R$3:$T$66,2,TRUE),VLOOKUP(C99,tablas!$R$3:$T$66,2,TRUE))&amp;"@"&amp;IF(VLOOKUP(VLOOKUP(C99,tablas!$R$3:$T$66,2,TRUE)&amp;VLOOKUP(C99,tablas!$R$3:$T$66,3,TRUE),tablas!$Q$3:$R$66,2,FALSE)&lt;C99,VLOOKUP(C99+0.1,tablas!$R$3:$T$66,3,TRUE),VLOOKUP(C99,tablas!$R$3:$T$66,3,TRUE)),$C$13)</f>
        <v>φ10@23</v>
      </c>
      <c r="D100" s="141"/>
      <c r="E100" s="140" t="str">
        <f>IF(E99&gt;$C$12,"φ"&amp;IF(VLOOKUP(VLOOKUP(E99,tablas!$R$3:$T$66,2,TRUE)&amp;VLOOKUP(E99,tablas!$R$3:$T$66,3,TRUE),tablas!$Q$3:$R$66,2,FALSE)&lt;E99,VLOOKUP(E99+0.1,tablas!$R$3:$T$66,2,TRUE),VLOOKUP(E99,tablas!$R$3:$T$66,2,TRUE))&amp;"@"&amp;IF(VLOOKUP(VLOOKUP(E99,tablas!$R$3:$T$66,2,TRUE)&amp;VLOOKUP(E99,tablas!$R$3:$T$66,3,TRUE),tablas!$Q$3:$R$66,2,FALSE)&lt;E99,VLOOKUP(E99+0.1,tablas!$R$3:$T$66,3,TRUE),VLOOKUP(E99,tablas!$R$3:$T$66,3,TRUE)),$C$13)</f>
        <v>φ8@14</v>
      </c>
      <c r="F100" s="141"/>
      <c r="G100" s="140" t="str">
        <f>IF(G99&gt;$C$12,"φ"&amp;IF(VLOOKUP(VLOOKUP(G99,tablas!$R$3:$T$66,2,TRUE)&amp;VLOOKUP(G99,tablas!$R$3:$T$66,3,TRUE),tablas!$Q$3:$R$66,2,FALSE)&lt;G99,VLOOKUP(G99+0.1,tablas!$R$3:$T$66,2,TRUE),VLOOKUP(G99,tablas!$R$3:$T$66,2,TRUE))&amp;"@"&amp;IF(VLOOKUP(VLOOKUP(G99,tablas!$R$3:$T$66,2,TRUE)&amp;VLOOKUP(G99,tablas!$R$3:$T$66,3,TRUE),tablas!$Q$3:$R$66,2,FALSE)&lt;G99,VLOOKUP(G99+0.1,tablas!$R$3:$T$66,3,TRUE),VLOOKUP(G99,tablas!$R$3:$T$66,3,TRUE)),$C$13)</f>
        <v>φ10@23</v>
      </c>
      <c r="H100" s="141"/>
      <c r="I100" s="140" t="str">
        <f>IF(I99&gt;$C$12,"φ"&amp;IF(VLOOKUP(VLOOKUP(I99,tablas!$R$3:$T$66,2,TRUE)&amp;VLOOKUP(I99,tablas!$R$3:$T$66,3,TRUE),tablas!$Q$3:$R$66,2,FALSE)&lt;I99,VLOOKUP(I99+0.1,tablas!$R$3:$T$66,2,TRUE),VLOOKUP(I99,tablas!$R$3:$T$66,2,TRUE))&amp;"@"&amp;IF(VLOOKUP(VLOOKUP(I99,tablas!$R$3:$T$66,2,TRUE)&amp;VLOOKUP(I99,tablas!$R$3:$T$66,3,TRUE),tablas!$Q$3:$R$66,2,FALSE)&lt;I99,VLOOKUP(I99+0.1,tablas!$R$3:$T$66,3,TRUE),VLOOKUP(I99,tablas!$R$3:$T$66,3,TRUE)),$C$13)</f>
        <v>φ12@23</v>
      </c>
      <c r="J100" s="141"/>
      <c r="K100" s="140" t="str">
        <f>IF(K99&gt;$C$12,"φ"&amp;IF(VLOOKUP(VLOOKUP(K99,tablas!$R$3:$T$66,2,TRUE)&amp;VLOOKUP(K99,tablas!$R$3:$T$66,3,TRUE),tablas!$Q$3:$R$66,2,FALSE)&lt;K99,VLOOKUP(K99+0.1,tablas!$R$3:$T$66,2,TRUE),VLOOKUP(K99,tablas!$R$3:$T$66,2,TRUE))&amp;"@"&amp;IF(VLOOKUP(VLOOKUP(K99,tablas!$R$3:$T$66,2,TRUE)&amp;VLOOKUP(K99,tablas!$R$3:$T$66,3,TRUE),tablas!$Q$3:$R$66,2,FALSE)&lt;K99,VLOOKUP(K99+0.1,tablas!$R$3:$T$66,3,TRUE),VLOOKUP(K99,tablas!$R$3:$T$66,3,TRUE)),$C$13)</f>
        <v>φ10@23</v>
      </c>
      <c r="L100" s="141"/>
      <c r="M100" s="140" t="str">
        <f>IF(M99&gt;$C$12,"φ"&amp;IF(VLOOKUP(VLOOKUP(M99,tablas!$R$3:$T$66,2,TRUE)&amp;VLOOKUP(M99,tablas!$R$3:$T$66,3,TRUE),tablas!$Q$3:$R$66,2,FALSE)&lt;M99,VLOOKUP(M99+0.1,tablas!$R$3:$T$66,2,TRUE),VLOOKUP(M99,tablas!$R$3:$T$66,2,TRUE))&amp;"@"&amp;IF(VLOOKUP(VLOOKUP(M99,tablas!$R$3:$T$66,2,TRUE)&amp;VLOOKUP(M99,tablas!$R$3:$T$66,3,TRUE),tablas!$Q$3:$R$66,2,FALSE)&lt;M99,VLOOKUP(M99+0.1,tablas!$R$3:$T$66,3,TRUE),VLOOKUP(M99,tablas!$R$3:$T$66,3,TRUE)),$C$13)</f>
        <v>φ12@23</v>
      </c>
      <c r="N100" s="141"/>
      <c r="O100" s="140" t="str">
        <f>IF(O99&gt;$C$12,"φ"&amp;IF(VLOOKUP(VLOOKUP(O99,tablas!$R$3:$T$66,2,TRUE)&amp;VLOOKUP(O99,tablas!$R$3:$T$66,3,TRUE),tablas!$Q$3:$R$66,2,FALSE)&lt;O99,VLOOKUP(O99+0.1,tablas!$R$3:$T$66,2,TRUE),VLOOKUP(O99,tablas!$R$3:$T$66,2,TRUE))&amp;"@"&amp;IF(VLOOKUP(VLOOKUP(O99,tablas!$R$3:$T$66,2,TRUE)&amp;VLOOKUP(O99,tablas!$R$3:$T$66,3,TRUE),tablas!$Q$3:$R$66,2,FALSE)&lt;O99,VLOOKUP(O99+0.1,tablas!$R$3:$T$66,3,TRUE),VLOOKUP(O99,tablas!$R$3:$T$66,3,TRUE)),$C$13)</f>
        <v>φ10@14</v>
      </c>
      <c r="P100" s="141"/>
      <c r="Q100" s="140" t="str">
        <f>IF(Q99&gt;$C$12,"φ"&amp;IF(VLOOKUP(VLOOKUP(Q99,tablas!$R$3:$T$66,2,TRUE)&amp;VLOOKUP(Q99,tablas!$R$3:$T$66,3,TRUE),tablas!$Q$3:$R$66,2,FALSE)&lt;Q99,VLOOKUP(Q99+0.1,tablas!$R$3:$T$66,2,TRUE),VLOOKUP(Q99,tablas!$R$3:$T$66,2,TRUE))&amp;"@"&amp;IF(VLOOKUP(VLOOKUP(Q99,tablas!$R$3:$T$66,2,TRUE)&amp;VLOOKUP(Q99,tablas!$R$3:$T$66,3,TRUE),tablas!$Q$3:$R$66,2,FALSE)&lt;Q99,VLOOKUP(Q99+0.1,tablas!$R$3:$T$66,3,TRUE),VLOOKUP(Q99,tablas!$R$3:$T$66,3,TRUE)),$C$13)</f>
        <v>φ10@24</v>
      </c>
      <c r="R100" s="141"/>
      <c r="S100" s="140" t="str">
        <f>IF(S99&gt;$C$12,"φ"&amp;IF(VLOOKUP(VLOOKUP(S99,tablas!$R$3:$T$66,2,TRUE)&amp;VLOOKUP(S99,tablas!$R$3:$T$66,3,TRUE),tablas!$Q$3:$R$66,2,FALSE)&lt;S99,VLOOKUP(S99+0.1,tablas!$R$3:$T$66,2,TRUE),VLOOKUP(S99,tablas!$R$3:$T$66,2,TRUE))&amp;"@"&amp;IF(VLOOKUP(VLOOKUP(S99,tablas!$R$3:$T$66,2,TRUE)&amp;VLOOKUP(S99,tablas!$R$3:$T$66,3,TRUE),tablas!$Q$3:$R$66,2,FALSE)&lt;S99,VLOOKUP(S99+0.1,tablas!$R$3:$T$66,3,TRUE),VLOOKUP(S99,tablas!$R$3:$T$66,3,TRUE)),$C$13)</f>
        <v>φ8@16</v>
      </c>
      <c r="T100" s="141"/>
      <c r="U100" s="140" t="str">
        <f>IF(U99&gt;$C$12,"φ"&amp;IF(VLOOKUP(VLOOKUP(U99,tablas!$R$3:$T$66,2,TRUE)&amp;VLOOKUP(U99,tablas!$R$3:$T$66,3,TRUE),tablas!$Q$3:$R$66,2,FALSE)&lt;U99,VLOOKUP(U99+0.1,tablas!$R$3:$T$66,2,TRUE),VLOOKUP(U99,tablas!$R$3:$T$66,2,TRUE))&amp;"@"&amp;IF(VLOOKUP(VLOOKUP(U99,tablas!$R$3:$T$66,2,TRUE)&amp;VLOOKUP(U99,tablas!$R$3:$T$66,3,TRUE),tablas!$Q$3:$R$66,2,FALSE)&lt;U99,VLOOKUP(U99+0.1,tablas!$R$3:$T$66,3,TRUE),VLOOKUP(U99,tablas!$R$3:$T$66,3,TRUE)),$C$13)</f>
        <v>φ8@10</v>
      </c>
      <c r="V100" s="141"/>
      <c r="W100" s="140" t="str">
        <f>IF(W99&gt;$C$12,"φ"&amp;IF(VLOOKUP(VLOOKUP(W99,tablas!$R$3:$T$66,2,TRUE)&amp;VLOOKUP(W99,tablas!$R$3:$T$66,3,TRUE),tablas!$Q$3:$R$66,2,FALSE)&lt;W99,VLOOKUP(W99+0.1,tablas!$R$3:$T$66,2,TRUE),VLOOKUP(W99,tablas!$R$3:$T$66,2,TRUE))&amp;"@"&amp;IF(VLOOKUP(VLOOKUP(W99,tablas!$R$3:$T$66,2,TRUE)&amp;VLOOKUP(W99,tablas!$R$3:$T$66,3,TRUE),tablas!$Q$3:$R$66,2,FALSE)&lt;W99,VLOOKUP(W99+0.1,tablas!$R$3:$T$66,3,TRUE),VLOOKUP(W99,tablas!$R$3:$T$66,3,TRUE)),$C$13)</f>
        <v>φ8@16</v>
      </c>
      <c r="X100" s="141"/>
      <c r="Y100" s="140" t="str">
        <f>IF(Y99&gt;$C$12,"φ"&amp;IF(VLOOKUP(VLOOKUP(Y99,tablas!$R$3:$T$66,2,TRUE)&amp;VLOOKUP(Y99,tablas!$R$3:$T$66,3,TRUE),tablas!$Q$3:$R$66,2,FALSE)&lt;Y99,VLOOKUP(Y99+0.1,tablas!$R$3:$T$66,2,TRUE),VLOOKUP(Y99,tablas!$R$3:$T$66,2,TRUE))&amp;"@"&amp;IF(VLOOKUP(VLOOKUP(Y99,tablas!$R$3:$T$66,2,TRUE)&amp;VLOOKUP(Y99,tablas!$R$3:$T$66,3,TRUE),tablas!$Q$3:$R$66,2,FALSE)&lt;Y99,VLOOKUP(Y99+0.1,tablas!$R$3:$T$66,3,TRUE),VLOOKUP(Y99,tablas!$R$3:$T$66,3,TRUE)),$C$13)</f>
        <v>φ10@19</v>
      </c>
      <c r="Z100" s="141"/>
      <c r="AA100" s="140" t="str">
        <f>IF(AA99&gt;$C$12,"φ"&amp;IF(VLOOKUP(VLOOKUP(AA99,tablas!$R$3:$T$66,2,TRUE)&amp;VLOOKUP(AA99,tablas!$R$3:$T$66,3,TRUE),tablas!$Q$3:$R$66,2,FALSE)&lt;AA99,VLOOKUP(AA99+0.1,tablas!$R$3:$T$66,2,TRUE),VLOOKUP(AA99,tablas!$R$3:$T$66,2,TRUE))&amp;"@"&amp;IF(VLOOKUP(VLOOKUP(AA99,tablas!$R$3:$T$66,2,TRUE)&amp;VLOOKUP(AA99,tablas!$R$3:$T$66,3,TRUE),tablas!$Q$3:$R$66,2,FALSE)&lt;AA99,VLOOKUP(AA99+0.1,tablas!$R$3:$T$66,3,TRUE),VLOOKUP(AA99,tablas!$R$3:$T$66,3,TRUE)),$C$13)</f>
        <v>φ12@22</v>
      </c>
      <c r="AB100" s="141"/>
      <c r="AC100" s="140" t="str">
        <f>IF(AC99&gt;$C$12,"φ"&amp;IF(VLOOKUP(VLOOKUP(AC99,tablas!$R$3:$T$66,2,TRUE)&amp;VLOOKUP(AC99,tablas!$R$3:$T$66,3,TRUE),tablas!$Q$3:$R$66,2,FALSE)&lt;AC99,VLOOKUP(AC99+0.1,tablas!$R$3:$T$66,2,TRUE),VLOOKUP(AC99,tablas!$R$3:$T$66,2,TRUE))&amp;"@"&amp;IF(VLOOKUP(VLOOKUP(AC99,tablas!$R$3:$T$66,2,TRUE)&amp;VLOOKUP(AC99,tablas!$R$3:$T$66,3,TRUE),tablas!$Q$3:$R$66,2,FALSE)&lt;AC99,VLOOKUP(AC99+0.1,tablas!$R$3:$T$66,3,TRUE),VLOOKUP(AC99,tablas!$R$3:$T$66,3,TRUE)),$C$13)</f>
        <v>φ12@20</v>
      </c>
      <c r="AD100" s="141"/>
      <c r="AE100" s="140" t="str">
        <f>IF(AE99&gt;$C$12,"φ"&amp;IF(VLOOKUP(VLOOKUP(AE99,tablas!$R$3:$T$66,2,TRUE)&amp;VLOOKUP(AE99,tablas!$R$3:$T$66,3,TRUE),tablas!$Q$3:$R$66,2,FALSE)&lt;AE99,VLOOKUP(AE99+0.1,tablas!$R$3:$T$66,2,TRUE),VLOOKUP(AE99,tablas!$R$3:$T$66,2,TRUE))&amp;"@"&amp;IF(VLOOKUP(VLOOKUP(AE99,tablas!$R$3:$T$66,2,TRUE)&amp;VLOOKUP(AE99,tablas!$R$3:$T$66,3,TRUE),tablas!$Q$3:$R$66,2,FALSE)&lt;AE99,VLOOKUP(AE99+0.1,tablas!$R$3:$T$66,3,TRUE),VLOOKUP(AE99,tablas!$R$3:$T$66,3,TRUE)),$C$13)</f>
        <v>φ10@18</v>
      </c>
      <c r="AF100" s="141"/>
    </row>
    <row r="101" spans="2:32" ht="15" thickBot="1" x14ac:dyDescent="0.35"/>
    <row r="102" spans="2:32" ht="15" thickBot="1" x14ac:dyDescent="0.35">
      <c r="B102" s="73" t="s">
        <v>43</v>
      </c>
      <c r="C102" s="74" t="s">
        <v>56</v>
      </c>
      <c r="D102" s="75" t="s">
        <v>61</v>
      </c>
      <c r="E102" s="74" t="s">
        <v>57</v>
      </c>
      <c r="F102" s="75" t="s">
        <v>58</v>
      </c>
      <c r="G102" s="74" t="s">
        <v>57</v>
      </c>
      <c r="H102" s="75" t="s">
        <v>62</v>
      </c>
      <c r="I102" s="74" t="s">
        <v>57</v>
      </c>
      <c r="J102" s="75" t="s">
        <v>63</v>
      </c>
      <c r="K102" s="74" t="s">
        <v>58</v>
      </c>
      <c r="L102" s="75" t="s">
        <v>59</v>
      </c>
      <c r="M102" s="74" t="s">
        <v>58</v>
      </c>
      <c r="N102" s="75" t="s">
        <v>63</v>
      </c>
      <c r="O102" s="74" t="s">
        <v>58</v>
      </c>
      <c r="P102" s="75" t="s">
        <v>64</v>
      </c>
      <c r="Q102" s="74" t="s">
        <v>59</v>
      </c>
      <c r="R102" s="75" t="s">
        <v>65</v>
      </c>
      <c r="S102" s="74" t="s">
        <v>60</v>
      </c>
      <c r="T102" s="75" t="s">
        <v>66</v>
      </c>
      <c r="U102" s="74" t="s">
        <v>60</v>
      </c>
      <c r="V102" s="75" t="s">
        <v>61</v>
      </c>
      <c r="W102" s="74" t="s">
        <v>60</v>
      </c>
      <c r="X102" s="75" t="s">
        <v>67</v>
      </c>
      <c r="Y102" s="74" t="s">
        <v>61</v>
      </c>
      <c r="Z102" s="75" t="s">
        <v>62</v>
      </c>
      <c r="AA102" s="74" t="s">
        <v>61</v>
      </c>
      <c r="AB102" s="75" t="s">
        <v>67</v>
      </c>
      <c r="AC102" s="74" t="s">
        <v>62</v>
      </c>
      <c r="AD102" s="75" t="s">
        <v>63</v>
      </c>
      <c r="AE102" s="74" t="s">
        <v>62</v>
      </c>
      <c r="AF102" s="75" t="s">
        <v>67</v>
      </c>
    </row>
    <row r="103" spans="2:32" x14ac:dyDescent="0.3">
      <c r="B103" s="105" t="s">
        <v>114</v>
      </c>
      <c r="C103" s="102" t="s">
        <v>108</v>
      </c>
      <c r="D103" s="103" t="s">
        <v>108</v>
      </c>
      <c r="E103" s="102" t="s">
        <v>109</v>
      </c>
      <c r="F103" s="103" t="s">
        <v>109</v>
      </c>
      <c r="G103" s="102" t="s">
        <v>108</v>
      </c>
      <c r="H103" s="103" t="s">
        <v>108</v>
      </c>
      <c r="I103" s="102" t="s">
        <v>108</v>
      </c>
      <c r="J103" s="103" t="s">
        <v>108</v>
      </c>
      <c r="K103" s="102" t="s">
        <v>109</v>
      </c>
      <c r="L103" s="103" t="s">
        <v>108</v>
      </c>
      <c r="M103" s="102" t="s">
        <v>108</v>
      </c>
      <c r="N103" s="103" t="s">
        <v>108</v>
      </c>
      <c r="O103" s="102" t="s">
        <v>108</v>
      </c>
      <c r="P103" s="103" t="s">
        <v>109</v>
      </c>
      <c r="Q103" s="102" t="s">
        <v>109</v>
      </c>
      <c r="R103" s="103" t="s">
        <v>109</v>
      </c>
      <c r="S103" s="102" t="s">
        <v>108</v>
      </c>
      <c r="T103" s="103" t="s">
        <v>108</v>
      </c>
      <c r="U103" s="102" t="s">
        <v>109</v>
      </c>
      <c r="V103" s="103" t="s">
        <v>109</v>
      </c>
      <c r="W103" s="102" t="s">
        <v>109</v>
      </c>
      <c r="X103" s="103" t="s">
        <v>109</v>
      </c>
      <c r="Y103" s="102" t="s">
        <v>109</v>
      </c>
      <c r="Z103" s="103" t="s">
        <v>109</v>
      </c>
      <c r="AA103" s="102" t="s">
        <v>108</v>
      </c>
      <c r="AB103" s="103" t="s">
        <v>108</v>
      </c>
      <c r="AC103" s="102" t="s">
        <v>109</v>
      </c>
      <c r="AD103" s="103" t="s">
        <v>109</v>
      </c>
      <c r="AE103" s="102" t="s">
        <v>108</v>
      </c>
      <c r="AF103" s="103" t="s">
        <v>108</v>
      </c>
    </row>
    <row r="104" spans="2:32" x14ac:dyDescent="0.3">
      <c r="B104" s="106" t="s">
        <v>110</v>
      </c>
      <c r="C104" s="104">
        <f t="shared" ref="C104:AF104" si="211">HLOOKUP(C102,$B$46:$AE$89,IF(C103="x",35,40),FALSE)</f>
        <v>3352.2893617021282</v>
      </c>
      <c r="D104" s="86">
        <f t="shared" si="211"/>
        <v>1966.8510638297873</v>
      </c>
      <c r="E104" s="104">
        <f t="shared" si="211"/>
        <v>2752.0978165938868</v>
      </c>
      <c r="F104" s="86">
        <f t="shared" si="211"/>
        <v>2771.0130285714285</v>
      </c>
      <c r="G104" s="104">
        <f t="shared" si="211"/>
        <v>3352.2893617021282</v>
      </c>
      <c r="H104" s="86">
        <f t="shared" si="211"/>
        <v>2188.4680851063831</v>
      </c>
      <c r="I104" s="104">
        <f t="shared" si="211"/>
        <v>3352.2893617021282</v>
      </c>
      <c r="J104" s="86">
        <f t="shared" si="211"/>
        <v>4425.1175609756101</v>
      </c>
      <c r="K104" s="104">
        <f t="shared" si="211"/>
        <v>2771.0130285714285</v>
      </c>
      <c r="L104" s="86">
        <f t="shared" si="211"/>
        <v>1537.1473170731708</v>
      </c>
      <c r="M104" s="104">
        <f t="shared" si="211"/>
        <v>4041.0606666666667</v>
      </c>
      <c r="N104" s="86">
        <f t="shared" si="211"/>
        <v>4425.1175609756101</v>
      </c>
      <c r="O104" s="104">
        <f t="shared" si="211"/>
        <v>4041.0606666666667</v>
      </c>
      <c r="P104" s="86">
        <f t="shared" si="211"/>
        <v>1787.8828571428573</v>
      </c>
      <c r="Q104" s="104">
        <f t="shared" si="211"/>
        <v>1129.4451612903226</v>
      </c>
      <c r="R104" s="86">
        <f t="shared" si="211"/>
        <v>1170.1028571428574</v>
      </c>
      <c r="S104" s="104">
        <f t="shared" si="211"/>
        <v>3914.1434146341467</v>
      </c>
      <c r="T104" s="86">
        <f t="shared" si="211"/>
        <v>5624.1974634146345</v>
      </c>
      <c r="U104" s="104">
        <f t="shared" si="211"/>
        <v>2875.983512544803</v>
      </c>
      <c r="V104" s="86">
        <f t="shared" si="211"/>
        <v>1614.7074235807863</v>
      </c>
      <c r="W104" s="104">
        <f t="shared" si="211"/>
        <v>2875.983512544803</v>
      </c>
      <c r="X104" s="86">
        <f t="shared" si="211"/>
        <v>159.04</v>
      </c>
      <c r="Y104" s="104">
        <f t="shared" si="211"/>
        <v>1614.7074235807863</v>
      </c>
      <c r="Z104" s="86">
        <f t="shared" si="211"/>
        <v>1796.6462882096073</v>
      </c>
      <c r="AA104" s="104">
        <f t="shared" si="211"/>
        <v>1966.8510638297873</v>
      </c>
      <c r="AB104" s="86">
        <f t="shared" si="211"/>
        <v>231.93333333333331</v>
      </c>
      <c r="AC104" s="104">
        <f t="shared" si="211"/>
        <v>1796.6462882096073</v>
      </c>
      <c r="AD104" s="86">
        <f t="shared" si="211"/>
        <v>3251.4304659498212</v>
      </c>
      <c r="AE104" s="104">
        <f t="shared" si="211"/>
        <v>2188.4680851063831</v>
      </c>
      <c r="AF104" s="86">
        <f t="shared" si="211"/>
        <v>231.93333333333331</v>
      </c>
    </row>
    <row r="105" spans="2:32" x14ac:dyDescent="0.3">
      <c r="B105" s="106" t="s">
        <v>111</v>
      </c>
      <c r="C105" s="127">
        <f>(MAX(C104:D104)-MIN(C104:D104))/(MAX(C104:D104))</f>
        <v>0.41328123809959033</v>
      </c>
      <c r="D105" s="128"/>
      <c r="E105" s="127">
        <f>(MAX(E104:F104)-MIN(E104:F104))/(MAX(E104:F104))</f>
        <v>6.8260999795057989E-3</v>
      </c>
      <c r="F105" s="128"/>
      <c r="G105" s="127">
        <f>(MAX(G104:H104)-MIN(G104:H104))/(MAX(G104:H104))</f>
        <v>0.34717208182912163</v>
      </c>
      <c r="H105" s="128"/>
      <c r="I105" s="127">
        <f>(MAX(I104:J104)-MIN(I104:J104))/(MAX(I104:J104))</f>
        <v>0.24244060965398498</v>
      </c>
      <c r="J105" s="128"/>
      <c r="K105" s="127">
        <f>(MAX(K104:L104)-MIN(K104:L104))/(MAX(K104:L104))</f>
        <v>0.44527604120806547</v>
      </c>
      <c r="L105" s="128"/>
      <c r="M105" s="127">
        <f>(MAX(M104:N104)-MIN(M104:N104))/(MAX(M104:N104))</f>
        <v>8.6790212693077004E-2</v>
      </c>
      <c r="N105" s="128"/>
      <c r="O105" s="127">
        <f>(MAX(O104:P104)-MIN(O104:P104))/(MAX(O104:P104))</f>
        <v>0.55757089422326822</v>
      </c>
      <c r="P105" s="128"/>
      <c r="Q105" s="127">
        <f>(MAX(Q104:R104)-MIN(Q104:R104))/(MAX(Q104:R104))</f>
        <v>3.47471127041021E-2</v>
      </c>
      <c r="R105" s="128"/>
      <c r="S105" s="127">
        <f>(MAX(S104:T104)-MIN(S104:T104))/(MAX(S104:T104))</f>
        <v>0.30405298887608012</v>
      </c>
      <c r="T105" s="128"/>
      <c r="U105" s="127">
        <f>(MAX(U104:V104)-MIN(U104:V104))/(MAX(U104:V104))</f>
        <v>0.43855470083970732</v>
      </c>
      <c r="V105" s="128"/>
      <c r="W105" s="127">
        <f>(MAX(W104:X104)-MIN(W104:X104))/(MAX(W104:X104))</f>
        <v>0.94470065655582491</v>
      </c>
      <c r="X105" s="128"/>
      <c r="Y105" s="127">
        <f>(MAX(Y104:Z104)-MIN(Y104:Z104))/(MAX(Y104:Z104))</f>
        <v>0.10126582278481011</v>
      </c>
      <c r="Z105" s="128"/>
      <c r="AA105" s="127">
        <f>(MAX(AA104:AB104)-MIN(AA104:AB104))/(MAX(AA104:AB104))</f>
        <v>0.88207885304659495</v>
      </c>
      <c r="AB105" s="128"/>
      <c r="AC105" s="127">
        <f>(MAX(AC104:AD104)-MIN(AC104:AD104))/(MAX(AC104:AD104))</f>
        <v>0.44742896794972253</v>
      </c>
      <c r="AD105" s="128"/>
      <c r="AE105" s="127">
        <f>(MAX(AE104:AF104)-MIN(AE104:AF104))/(MAX(AE104:AF104))</f>
        <v>0.89402023501656003</v>
      </c>
      <c r="AF105" s="128"/>
    </row>
    <row r="106" spans="2:32" x14ac:dyDescent="0.3">
      <c r="B106" s="106" t="s">
        <v>112</v>
      </c>
      <c r="C106" s="129">
        <f>IF(C105&lt;25%,(C104*0.5+D104*0.5)*0.9,IF(C105&lt;50%,(MAX(C104:D104)*0.6+MIN(C104:D104)*0.4)*0.9,IF(C105&lt;70%,(MAX(C104:D104)*0.65+MIN(C104:D104)*0.35)*0.9,IF(C105&lt;100%,(MAX(C104:D104)*0.7+MIN(C104:D104)*0.3)*0.9,0.7*MAX(C104:D104)))))</f>
        <v>2518.3026382978728</v>
      </c>
      <c r="D106" s="130"/>
      <c r="E106" s="129">
        <f>IF(E105&lt;25%,(E104*0.5+F104*0.5)*0.9,IF(E105&lt;50%,(MAX(E104:F104)*0.6+MIN(E104:F104)*0.4)*0.9,IF(E105&lt;70%,(MAX(E104:F104)*0.65+MIN(E104:F104)*0.35)*0.9,IF(E105&lt;100%,(MAX(E104:F104)*0.7+MIN(E104:F104)*0.3)*0.9,0.7*MAX(E104:F104)))))</f>
        <v>2485.3998803243921</v>
      </c>
      <c r="F106" s="130"/>
      <c r="G106" s="129">
        <f>IF(G105&lt;25%,(G104*0.5+H104*0.5)*0.9,IF(G105&lt;50%,(MAX(G104:H104)*0.6+MIN(G104:H104)*0.4)*0.9,IF(G105&lt;70%,(MAX(G104:H104)*0.65+MIN(G104:H104)*0.35)*0.9,IF(G105&lt;100%,(MAX(G104:H104)*0.7+MIN(G104:H104)*0.3)*0.9,0.7*MAX(G104:H104)))))</f>
        <v>2598.0847659574474</v>
      </c>
      <c r="H106" s="130"/>
      <c r="I106" s="129">
        <f>IF(I105&lt;25%,(I104*0.5+J104*0.5)*0.9,IF(I105&lt;50%,(MAX(I104:J104)*0.6+MIN(I104:J104)*0.4)*0.9,IF(I105&lt;70%,(MAX(I104:J104)*0.65+MIN(I104:J104)*0.35)*0.9,IF(I105&lt;100%,(MAX(I104:J104)*0.7+MIN(I104:J104)*0.3)*0.9,0.7*MAX(I104:J104)))))</f>
        <v>3499.8331152049823</v>
      </c>
      <c r="J106" s="130"/>
      <c r="K106" s="129">
        <f>IF(K105&lt;25%,(K104*0.5+L104*0.5)*0.9,IF(K105&lt;50%,(MAX(K104:L104)*0.6+MIN(K104:L104)*0.4)*0.9,IF(K105&lt;70%,(MAX(K104:L104)*0.65+MIN(K104:L104)*0.35)*0.9,IF(K105&lt;100%,(MAX(K104:L104)*0.7+MIN(K104:L104)*0.3)*0.9,0.7*MAX(K104:L104)))))</f>
        <v>2049.7200695749129</v>
      </c>
      <c r="L106" s="130"/>
      <c r="M106" s="129">
        <f>IF(M105&lt;25%,(M104*0.5+N104*0.5)*0.9,IF(M105&lt;50%,(MAX(M104:N104)*0.6+MIN(M104:N104)*0.4)*0.9,IF(M105&lt;70%,(MAX(M104:N104)*0.65+MIN(M104:N104)*0.35)*0.9,IF(M105&lt;100%,(MAX(M104:N104)*0.7+MIN(M104:N104)*0.3)*0.9,0.7*MAX(M104:N104)))))</f>
        <v>3809.7802024390244</v>
      </c>
      <c r="N106" s="130"/>
      <c r="O106" s="129">
        <f>IF(O105&lt;25%,(O104*0.5+P104*0.5)*0.9,IF(O105&lt;50%,(MAX(O104:P104)*0.6+MIN(O104:P104)*0.4)*0.9,IF(O105&lt;70%,(MAX(O104:P104)*0.65+MIN(O104:P104)*0.35)*0.9,IF(O105&lt;100%,(MAX(O104:P104)*0.7+MIN(O104:P104)*0.3)*0.9,0.7*MAX(O104:P104)))))</f>
        <v>2927.2035900000001</v>
      </c>
      <c r="P106" s="130"/>
      <c r="Q106" s="129">
        <f>IF(Q105&lt;25%,(Q104*0.5+R104*0.5)*0.9,IF(Q105&lt;50%,(MAX(Q104:R104)*0.6+MIN(Q104:R104)*0.4)*0.9,IF(Q105&lt;70%,(MAX(Q104:R104)*0.65+MIN(Q104:R104)*0.35)*0.9,IF(Q105&lt;100%,(MAX(Q104:R104)*0.7+MIN(Q104:R104)*0.3)*0.9,0.7*MAX(Q104:R104)))))</f>
        <v>1034.796608294931</v>
      </c>
      <c r="R106" s="130"/>
      <c r="S106" s="129">
        <f>IF(S105&lt;25%,(S104*0.5+T104*0.5)*0.9,IF(S105&lt;50%,(MAX(S104:T104)*0.6+MIN(S104:T104)*0.4)*0.9,IF(S105&lt;70%,(MAX(S104:T104)*0.65+MIN(S104:T104)*0.35)*0.9,IF(S105&lt;100%,(MAX(S104:T104)*0.7+MIN(S104:T104)*0.3)*0.9,0.7*MAX(S104:T104)))))</f>
        <v>4446.1582595121963</v>
      </c>
      <c r="T106" s="130"/>
      <c r="U106" s="129">
        <f>IF(U105&lt;25%,(U104*0.5+V104*0.5)*0.9,IF(U105&lt;50%,(MAX(U104:V104)*0.6+MIN(U104:V104)*0.4)*0.9,IF(U105&lt;70%,(MAX(U104:V104)*0.65+MIN(U104:V104)*0.35)*0.9,IF(U105&lt;100%,(MAX(U104:V104)*0.7+MIN(U104:V104)*0.3)*0.9,0.7*MAX(U104:V104)))))</f>
        <v>2134.3257692632769</v>
      </c>
      <c r="V106" s="130"/>
      <c r="W106" s="129">
        <f>IF(W105&lt;25%,(W104*0.5+X104*0.5)*0.9,IF(W105&lt;50%,(MAX(W104:X104)*0.6+MIN(W104:X104)*0.4)*0.9,IF(W105&lt;70%,(MAX(W104:X104)*0.65+MIN(W104:X104)*0.35)*0.9,IF(W105&lt;100%,(MAX(W104:X104)*0.7+MIN(W104:X104)*0.3)*0.9,0.7*MAX(W104:X104)))))</f>
        <v>1854.8104129032258</v>
      </c>
      <c r="X106" s="130"/>
      <c r="Y106" s="129">
        <f>IF(Y105&lt;25%,(Y104*0.5+Z104*0.5)*0.9,IF(Y105&lt;50%,(MAX(Y104:Z104)*0.6+MIN(Y104:Z104)*0.4)*0.9,IF(Y105&lt;70%,(MAX(Y104:Z104)*0.65+MIN(Y104:Z104)*0.35)*0.9,IF(Y105&lt;100%,(MAX(Y104:Z104)*0.7+MIN(Y104:Z104)*0.3)*0.9,0.7*MAX(Y104:Z104)))))</f>
        <v>1535.109170305677</v>
      </c>
      <c r="Z106" s="130"/>
      <c r="AA106" s="129">
        <f>IF(AA105&lt;25%,(AA104*0.5+AB104*0.5)*0.9,IF(AA105&lt;50%,(MAX(AA104:AB104)*0.6+MIN(AA104:AB104)*0.4)*0.9,IF(AA105&lt;70%,(MAX(AA104:AB104)*0.65+MIN(AA104:AB104)*0.35)*0.9,IF(AA105&lt;100%,(MAX(AA104:AB104)*0.7+MIN(AA104:AB104)*0.3)*0.9,0.7*MAX(AA104:AB104)))))</f>
        <v>1301.7381702127659</v>
      </c>
      <c r="AB106" s="130"/>
      <c r="AC106" s="129">
        <f>IF(AC105&lt;25%,(AC104*0.5+AD104*0.5)*0.9,IF(AC105&lt;50%,(MAX(AC104:AD104)*0.6+MIN(AC104:AD104)*0.4)*0.9,IF(AC105&lt;70%,(MAX(AC104:AD104)*0.65+MIN(AC104:AD104)*0.35)*0.9,IF(AC105&lt;100%,(MAX(AC104:AD104)*0.7+MIN(AC104:AD104)*0.3)*0.9,0.7*MAX(AC104:AD104)))))</f>
        <v>2402.5651153683621</v>
      </c>
      <c r="AD106" s="130"/>
      <c r="AE106" s="129">
        <f>IF(AE105&lt;25%,(AE104*0.5+AF104*0.5)*0.9,IF(AE105&lt;50%,(MAX(AE104:AF104)*0.6+MIN(AE104:AF104)*0.4)*0.9,IF(AE105&lt;70%,(MAX(AE104:AF104)*0.65+MIN(AE104:AF104)*0.35)*0.9,IF(AE105&lt;100%,(MAX(AE104:AF104)*0.7+MIN(AE104:AF104)*0.3)*0.9,0.7*MAX(AE104:AF104)))))</f>
        <v>1441.3568936170213</v>
      </c>
      <c r="AF106" s="130"/>
    </row>
    <row r="107" spans="2:32" x14ac:dyDescent="0.3">
      <c r="B107" s="107" t="s">
        <v>15</v>
      </c>
      <c r="C107" s="131">
        <f>C106/(0.9*(0.9*($C$7/100))*($L$9*1000))</f>
        <v>4.8427034312100927</v>
      </c>
      <c r="D107" s="132"/>
      <c r="E107" s="131">
        <f>E106/(0.9*(0.9*($C$7/100))*($L$9*1000))</f>
        <v>4.7794313301880536</v>
      </c>
      <c r="F107" s="132"/>
      <c r="G107" s="131">
        <f>G106/(0.9*(0.9*($C$7/100))*($L$9*1000))</f>
        <v>4.9961246989682069</v>
      </c>
      <c r="H107" s="132"/>
      <c r="I107" s="131">
        <f>I106/(0.9*(0.9*($C$7/100))*($L$9*1000))</f>
        <v>6.7301894450309252</v>
      </c>
      <c r="J107" s="132"/>
      <c r="K107" s="131">
        <f>K106/(0.9*(0.9*($C$7/100))*($L$9*1000))</f>
        <v>3.9416177638839134</v>
      </c>
      <c r="L107" s="132"/>
      <c r="M107" s="131">
        <f>M106/(0.9*(0.9*($C$7/100))*($L$9*1000))</f>
        <v>7.3262186116669046</v>
      </c>
      <c r="N107" s="132"/>
      <c r="O107" s="131">
        <f>O106/(0.9*(0.9*($C$7/100))*($L$9*1000))</f>
        <v>5.629021172262604</v>
      </c>
      <c r="P107" s="132"/>
      <c r="Q107" s="131">
        <f>Q106/(0.9*(0.9*($C$7/100))*($L$9*1000))</f>
        <v>1.989916942223243</v>
      </c>
      <c r="R107" s="132"/>
      <c r="S107" s="131">
        <f>S106/(0.9*(0.9*($C$7/100))*($L$9*1000))</f>
        <v>8.5499755000042228</v>
      </c>
      <c r="T107" s="132"/>
      <c r="U107" s="131">
        <f>U106/(0.9*(0.9*($C$7/100))*($L$9*1000))</f>
        <v>4.1043147749380342</v>
      </c>
      <c r="V107" s="132"/>
      <c r="W107" s="131">
        <f>W106/(0.9*(0.9*($C$7/100))*($L$9*1000))</f>
        <v>3.5668059168940145</v>
      </c>
      <c r="X107" s="132"/>
      <c r="Y107" s="131">
        <f>Y106/(0.9*(0.9*($C$7/100))*($L$9*1000))</f>
        <v>2.9520194806078166</v>
      </c>
      <c r="Z107" s="132"/>
      <c r="AA107" s="131">
        <f>AA106/(0.9*(0.9*($C$7/100))*($L$9*1000))</f>
        <v>2.5032463563185372</v>
      </c>
      <c r="AB107" s="132"/>
      <c r="AC107" s="131">
        <f>AC106/(0.9*(0.9*($C$7/100))*($L$9*1000))</f>
        <v>4.6201398318687001</v>
      </c>
      <c r="AD107" s="132"/>
      <c r="AE107" s="131">
        <f>AE106/(0.9*(0.9*($C$7/100))*($L$9*1000))</f>
        <v>2.771733574895237</v>
      </c>
      <c r="AF107" s="132"/>
    </row>
    <row r="108" spans="2:32" x14ac:dyDescent="0.3">
      <c r="B108" s="107" t="s">
        <v>98</v>
      </c>
      <c r="C108" s="133">
        <f>(C107*($L$9))/(0.85*$L$6*100)</f>
        <v>6.8303742578939522E-2</v>
      </c>
      <c r="D108" s="134"/>
      <c r="E108" s="133">
        <f>(E107*($L$9))/(0.85*$L$6*100)</f>
        <v>6.7411323424632963E-2</v>
      </c>
      <c r="F108" s="134"/>
      <c r="G108" s="133">
        <f>(G107*($L$9))/(0.85*$L$6*100)</f>
        <v>7.0467667528699707E-2</v>
      </c>
      <c r="H108" s="134"/>
      <c r="I108" s="133">
        <f>(I107*($L$9))/(0.85*$L$6*100)</f>
        <v>9.4925723594438502E-2</v>
      </c>
      <c r="J108" s="134"/>
      <c r="K108" s="133">
        <f>(K107*($L$9))/(0.85*$L$6*100)</f>
        <v>5.559441103780903E-2</v>
      </c>
      <c r="L108" s="134"/>
      <c r="M108" s="133">
        <f>(M107*($L$9))/(0.85*$L$6*100)</f>
        <v>0.10333239630230467</v>
      </c>
      <c r="N108" s="134"/>
      <c r="O108" s="133">
        <f>(O107*($L$9))/(0.85*$L$6*100)</f>
        <v>7.9394333884606844E-2</v>
      </c>
      <c r="P108" s="134"/>
      <c r="Q108" s="133">
        <f>(Q107*($L$9))/(0.85*$L$6*100)</f>
        <v>2.8066714492389126E-2</v>
      </c>
      <c r="R108" s="134"/>
      <c r="S108" s="133">
        <f>(S107*($L$9))/(0.85*$L$6*100)</f>
        <v>0.12059283288850907</v>
      </c>
      <c r="T108" s="134"/>
      <c r="U108" s="133">
        <f>(U107*($L$9))/(0.85*$L$6*100)</f>
        <v>5.7889165387163578E-2</v>
      </c>
      <c r="V108" s="134"/>
      <c r="W108" s="133">
        <f>(W107*($L$9))/(0.85*$L$6*100)</f>
        <v>5.0307890342087276E-2</v>
      </c>
      <c r="X108" s="134"/>
      <c r="Y108" s="133">
        <f>(Y107*($L$9))/(0.85*$L$6*100)</f>
        <v>4.1636656375025401E-2</v>
      </c>
      <c r="Z108" s="134"/>
      <c r="AA108" s="133">
        <f>(AA107*($L$9))/(0.85*$L$6*100)</f>
        <v>3.5306951408941634E-2</v>
      </c>
      <c r="AB108" s="134"/>
      <c r="AC108" s="133">
        <f>(AC107*($L$9))/(0.85*$L$6*100)</f>
        <v>6.5164602011527559E-2</v>
      </c>
      <c r="AD108" s="134"/>
      <c r="AE108" s="133">
        <f>(AE107*($L$9))/(0.85*$L$6*100)</f>
        <v>3.909382007102196E-2</v>
      </c>
      <c r="AF108" s="134"/>
    </row>
    <row r="109" spans="2:32" ht="15" thickBot="1" x14ac:dyDescent="0.35">
      <c r="B109" s="108" t="s">
        <v>15</v>
      </c>
      <c r="C109" s="135">
        <f>ROUNDUP(C106/(0.9*(($C$7-C108/2)/100)*($L$9*1000)),2)</f>
        <v>4.37</v>
      </c>
      <c r="D109" s="136"/>
      <c r="E109" s="135">
        <f>ROUNDUP(E106/(0.9*(($C$7-E108/2)/100)*($L$9*1000)),2)</f>
        <v>4.3199999999999994</v>
      </c>
      <c r="F109" s="136"/>
      <c r="G109" s="135">
        <f>ROUNDUP(G106/(0.9*(($C$7-G108/2)/100)*($L$9*1000)),2)</f>
        <v>4.51</v>
      </c>
      <c r="H109" s="136"/>
      <c r="I109" s="135">
        <f>ROUNDUP(I106/(0.9*(($C$7-I108/2)/100)*($L$9*1000)),2)</f>
        <v>6.08</v>
      </c>
      <c r="J109" s="136"/>
      <c r="K109" s="135">
        <f>ROUNDUP(K106/(0.9*(($C$7-K108/2)/100)*($L$9*1000)),2)</f>
        <v>3.5599999999999996</v>
      </c>
      <c r="L109" s="136"/>
      <c r="M109" s="135">
        <f>ROUNDUP(M106/(0.9*(($C$7-M108/2)/100)*($L$9*1000)),2)</f>
        <v>6.62</v>
      </c>
      <c r="N109" s="136"/>
      <c r="O109" s="135">
        <f>ROUNDUP(O106/(0.9*(($C$7-O108/2)/100)*($L$9*1000)),2)</f>
        <v>5.08</v>
      </c>
      <c r="P109" s="136"/>
      <c r="Q109" s="135">
        <f>ROUNDUP(Q106/(0.9*(($C$7-Q108/2)/100)*($L$9*1000)),2)</f>
        <v>1.8</v>
      </c>
      <c r="R109" s="136"/>
      <c r="S109" s="135">
        <f>ROUNDUP(S106/(0.9*(($C$7-S108/2)/100)*($L$9*1000)),2)</f>
        <v>7.7299999999999995</v>
      </c>
      <c r="T109" s="136"/>
      <c r="U109" s="135">
        <f>ROUNDUP(U106/(0.9*(($C$7-U108/2)/100)*($L$9*1000)),2)</f>
        <v>3.71</v>
      </c>
      <c r="V109" s="136"/>
      <c r="W109" s="135">
        <f>ROUNDUP(W106/(0.9*(($C$7-W108/2)/100)*($L$9*1000)),2)</f>
        <v>3.2199999999999998</v>
      </c>
      <c r="X109" s="136"/>
      <c r="Y109" s="135">
        <f>ROUNDUP(Y106/(0.9*(($C$7-Y108/2)/100)*($L$9*1000)),2)</f>
        <v>2.67</v>
      </c>
      <c r="Z109" s="136"/>
      <c r="AA109" s="135">
        <f>ROUNDUP(AA106/(0.9*(($C$7-AA108/2)/100)*($L$9*1000)),2)</f>
        <v>2.2599999999999998</v>
      </c>
      <c r="AB109" s="136"/>
      <c r="AC109" s="135">
        <f>ROUNDUP(AC106/(0.9*(($C$7-AC108/2)/100)*($L$9*1000)),2)</f>
        <v>4.17</v>
      </c>
      <c r="AD109" s="136"/>
      <c r="AE109" s="135">
        <f>ROUNDUP(AE106/(0.9*(($C$7-AE108/2)/100)*($L$9*1000)),2)</f>
        <v>2.5</v>
      </c>
      <c r="AF109" s="136"/>
    </row>
    <row r="110" spans="2:32" ht="16.2" thickBot="1" x14ac:dyDescent="0.35">
      <c r="B110" s="61" t="s">
        <v>113</v>
      </c>
      <c r="C110" s="140" t="str">
        <f>IF(C109&gt;$C$12,"φ"&amp;IF(VLOOKUP(VLOOKUP(C109,tablas!$R$3:$T$66,2,TRUE)&amp;VLOOKUP(C109,tablas!$R$3:$T$66,3,TRUE),tablas!$Q$3:$R$66,2,FALSE)&lt;C109,VLOOKUP(C109+0.1,tablas!$R$3:$T$66,2,TRUE),VLOOKUP(C109,tablas!$R$3:$T$66,2,TRUE))&amp;"@"&amp;IF(VLOOKUP(VLOOKUP(C109,tablas!$R$3:$T$66,2,TRUE)&amp;VLOOKUP(C109,tablas!$R$3:$T$66,3,TRUE),tablas!$Q$3:$R$66,2,FALSE)&lt;C109,VLOOKUP(C109+0.1,tablas!$R$3:$T$66,3,TRUE),VLOOKUP(C109,tablas!$R$3:$T$66,3,TRUE)),$C$13)</f>
        <v>φ10@18</v>
      </c>
      <c r="D110" s="141"/>
      <c r="E110" s="140" t="str">
        <f>IF(E109&gt;$C$12,"φ"&amp;IF(VLOOKUP(VLOOKUP(E109,tablas!$R$3:$T$66,2,TRUE)&amp;VLOOKUP(E109,tablas!$R$3:$T$66,3,TRUE),tablas!$Q$3:$R$66,2,FALSE)&lt;E109,VLOOKUP(E109+0.1,tablas!$R$3:$T$66,2,TRUE),VLOOKUP(E109,tablas!$R$3:$T$66,2,TRUE))&amp;"@"&amp;IF(VLOOKUP(VLOOKUP(E109,tablas!$R$3:$T$66,2,TRUE)&amp;VLOOKUP(E109,tablas!$R$3:$T$66,3,TRUE),tablas!$Q$3:$R$66,2,FALSE)&lt;E109,VLOOKUP(E109+0.1,tablas!$R$3:$T$66,3,TRUE),VLOOKUP(E109,tablas!$R$3:$T$66,3,TRUE)),$C$13)</f>
        <v>φ10@18</v>
      </c>
      <c r="F110" s="141"/>
      <c r="G110" s="140" t="str">
        <f>IF(G109&gt;$C$12,"φ"&amp;IF(VLOOKUP(VLOOKUP(G109,tablas!$R$3:$T$66,2,TRUE)&amp;VLOOKUP(G109,tablas!$R$3:$T$66,3,TRUE),tablas!$Q$3:$R$66,2,FALSE)&lt;G109,VLOOKUP(G109+0.1,tablas!$R$3:$T$66,2,TRUE),VLOOKUP(G109,tablas!$R$3:$T$66,2,TRUE))&amp;"@"&amp;IF(VLOOKUP(VLOOKUP(G109,tablas!$R$3:$T$66,2,TRUE)&amp;VLOOKUP(G109,tablas!$R$3:$T$66,3,TRUE),tablas!$Q$3:$R$66,2,FALSE)&lt;G109,VLOOKUP(G109+0.1,tablas!$R$3:$T$66,3,TRUE),VLOOKUP(G109,tablas!$R$3:$T$66,3,TRUE)),$C$13)</f>
        <v>φ8@11</v>
      </c>
      <c r="H110" s="141"/>
      <c r="I110" s="140" t="str">
        <f>IF(I109&gt;$C$12,"φ"&amp;IF(VLOOKUP(VLOOKUP(I109,tablas!$R$3:$T$66,2,TRUE)&amp;VLOOKUP(I109,tablas!$R$3:$T$66,3,TRUE),tablas!$Q$3:$R$66,2,FALSE)&lt;I109,VLOOKUP(I109+0.1,tablas!$R$3:$T$66,2,TRUE),VLOOKUP(I109,tablas!$R$3:$T$66,2,TRUE))&amp;"@"&amp;IF(VLOOKUP(VLOOKUP(I109,tablas!$R$3:$T$66,2,TRUE)&amp;VLOOKUP(I109,tablas!$R$3:$T$66,3,TRUE),tablas!$Q$3:$R$66,2,FALSE)&lt;I109,VLOOKUP(I109+0.1,tablas!$R$3:$T$66,3,TRUE),VLOOKUP(I109,tablas!$R$3:$T$66,3,TRUE)),$C$13)</f>
        <v>φ10@13</v>
      </c>
      <c r="J110" s="141"/>
      <c r="K110" s="140" t="str">
        <f>IF(K109&gt;$C$12,"φ"&amp;IF(VLOOKUP(VLOOKUP(K109,tablas!$R$3:$T$66,2,TRUE)&amp;VLOOKUP(K109,tablas!$R$3:$T$66,3,TRUE),tablas!$Q$3:$R$66,2,FALSE)&lt;K109,VLOOKUP(K109+0.1,tablas!$R$3:$T$66,2,TRUE),VLOOKUP(K109,tablas!$R$3:$T$66,2,TRUE))&amp;"@"&amp;IF(VLOOKUP(VLOOKUP(K109,tablas!$R$3:$T$66,2,TRUE)&amp;VLOOKUP(K109,tablas!$R$3:$T$66,3,TRUE),tablas!$Q$3:$R$66,2,FALSE)&lt;K109,VLOOKUP(K109+0.1,tablas!$R$3:$T$66,3,TRUE),VLOOKUP(K109,tablas!$R$3:$T$66,3,TRUE)),$C$13)</f>
        <v>φ8@14</v>
      </c>
      <c r="L110" s="141"/>
      <c r="M110" s="140" t="str">
        <f>IF(M109&gt;$C$12,"φ"&amp;IF(VLOOKUP(VLOOKUP(M109,tablas!$R$3:$T$66,2,TRUE)&amp;VLOOKUP(M109,tablas!$R$3:$T$66,3,TRUE),tablas!$Q$3:$R$66,2,FALSE)&lt;M109,VLOOKUP(M109+0.1,tablas!$R$3:$T$66,2,TRUE),VLOOKUP(M109,tablas!$R$3:$T$66,2,TRUE))&amp;"@"&amp;IF(VLOOKUP(VLOOKUP(M109,tablas!$R$3:$T$66,2,TRUE)&amp;VLOOKUP(M109,tablas!$R$3:$T$66,3,TRUE),tablas!$Q$3:$R$66,2,FALSE)&lt;M109,VLOOKUP(M109+0.1,tablas!$R$3:$T$66,3,TRUE),VLOOKUP(M109,tablas!$R$3:$T$66,3,TRUE)),$C$13)</f>
        <v>φ12@17</v>
      </c>
      <c r="N110" s="141"/>
      <c r="O110" s="140" t="str">
        <f>IF(O109&gt;$C$12,"φ"&amp;IF(VLOOKUP(VLOOKUP(O109,tablas!$R$3:$T$66,2,TRUE)&amp;VLOOKUP(O109,tablas!$R$3:$T$66,3,TRUE),tablas!$Q$3:$R$66,2,FALSE)&lt;O109,VLOOKUP(O109+0.1,tablas!$R$3:$T$66,2,TRUE),VLOOKUP(O109,tablas!$R$3:$T$66,2,TRUE))&amp;"@"&amp;IF(VLOOKUP(VLOOKUP(O109,tablas!$R$3:$T$66,2,TRUE)&amp;VLOOKUP(O109,tablas!$R$3:$T$66,3,TRUE),tablas!$Q$3:$R$66,2,FALSE)&lt;O109,VLOOKUP(O109+0.1,tablas!$R$3:$T$66,3,TRUE),VLOOKUP(O109,tablas!$R$3:$T$66,3,TRUE)),$C$13)</f>
        <v>φ12@22</v>
      </c>
      <c r="P110" s="141"/>
      <c r="Q110" s="140" t="str">
        <f>IF(Q109&gt;$C$12,"φ"&amp;IF(VLOOKUP(VLOOKUP(Q109,tablas!$R$3:$T$66,2,TRUE)&amp;VLOOKUP(Q109,tablas!$R$3:$T$66,3,TRUE),tablas!$Q$3:$R$66,2,FALSE)&lt;Q109,VLOOKUP(Q109+0.1,tablas!$R$3:$T$66,2,TRUE),VLOOKUP(Q109,tablas!$R$3:$T$66,2,TRUE))&amp;"@"&amp;IF(VLOOKUP(VLOOKUP(Q109,tablas!$R$3:$T$66,2,TRUE)&amp;VLOOKUP(Q109,tablas!$R$3:$T$66,3,TRUE),tablas!$Q$3:$R$66,2,FALSE)&lt;Q109,VLOOKUP(Q109+0.1,tablas!$R$3:$T$66,3,TRUE),VLOOKUP(Q109,tablas!$R$3:$T$66,3,TRUE)),$C$13)</f>
        <v>φ8@16</v>
      </c>
      <c r="R110" s="141"/>
      <c r="S110" s="140" t="str">
        <f>IF(S109&gt;$C$12,"φ"&amp;IF(VLOOKUP(VLOOKUP(S109,tablas!$R$3:$T$66,2,TRUE)&amp;VLOOKUP(S109,tablas!$R$3:$T$66,3,TRUE),tablas!$Q$3:$R$66,2,FALSE)&lt;S109,VLOOKUP(S109+0.1,tablas!$R$3:$T$66,2,TRUE),VLOOKUP(S109,tablas!$R$3:$T$66,2,TRUE))&amp;"@"&amp;IF(VLOOKUP(VLOOKUP(S109,tablas!$R$3:$T$66,2,TRUE)&amp;VLOOKUP(S109,tablas!$R$3:$T$66,3,TRUE),tablas!$Q$3:$R$66,2,FALSE)&lt;S109,VLOOKUP(S109+0.1,tablas!$R$3:$T$66,3,TRUE),VLOOKUP(S109,tablas!$R$3:$T$66,3,TRUE)),$C$13)</f>
        <v>φ12@15</v>
      </c>
      <c r="T110" s="141"/>
      <c r="U110" s="140" t="str">
        <f>IF(U109&gt;$C$12,"φ"&amp;IF(VLOOKUP(VLOOKUP(U109,tablas!$R$3:$T$66,2,TRUE)&amp;VLOOKUP(U109,tablas!$R$3:$T$66,3,TRUE),tablas!$Q$3:$R$66,2,FALSE)&lt;U109,VLOOKUP(U109+0.1,tablas!$R$3:$T$66,2,TRUE),VLOOKUP(U109,tablas!$R$3:$T$66,2,TRUE))&amp;"@"&amp;IF(VLOOKUP(VLOOKUP(U109,tablas!$R$3:$T$66,2,TRUE)&amp;VLOOKUP(U109,tablas!$R$3:$T$66,3,TRUE),tablas!$Q$3:$R$66,2,FALSE)&lt;U109,VLOOKUP(U109+0.1,tablas!$R$3:$T$66,3,TRUE),VLOOKUP(U109,tablas!$R$3:$T$66,3,TRUE)),$C$13)</f>
        <v>φ10@21</v>
      </c>
      <c r="V110" s="141"/>
      <c r="W110" s="140" t="str">
        <f>IF(W109&gt;$C$12,"φ"&amp;IF(VLOOKUP(VLOOKUP(W109,tablas!$R$3:$T$66,2,TRUE)&amp;VLOOKUP(W109,tablas!$R$3:$T$66,3,TRUE),tablas!$Q$3:$R$66,2,FALSE)&lt;W109,VLOOKUP(W109+0.1,tablas!$R$3:$T$66,2,TRUE),VLOOKUP(W109,tablas!$R$3:$T$66,2,TRUE))&amp;"@"&amp;IF(VLOOKUP(VLOOKUP(W109,tablas!$R$3:$T$66,2,TRUE)&amp;VLOOKUP(W109,tablas!$R$3:$T$66,3,TRUE),tablas!$Q$3:$R$66,2,FALSE)&lt;W109,VLOOKUP(W109+0.1,tablas!$R$3:$T$66,3,TRUE),VLOOKUP(W109,tablas!$R$3:$T$66,3,TRUE)),$C$13)</f>
        <v>φ10@24</v>
      </c>
      <c r="X110" s="141"/>
      <c r="Y110" s="140" t="str">
        <f>IF(Y109&gt;$C$12,"φ"&amp;IF(VLOOKUP(VLOOKUP(Y109,tablas!$R$3:$T$66,2,TRUE)&amp;VLOOKUP(Y109,tablas!$R$3:$T$66,3,TRUE),tablas!$Q$3:$R$66,2,FALSE)&lt;Y109,VLOOKUP(Y109+0.1,tablas!$R$3:$T$66,2,TRUE),VLOOKUP(Y109,tablas!$R$3:$T$66,2,TRUE))&amp;"@"&amp;IF(VLOOKUP(VLOOKUP(Y109,tablas!$R$3:$T$66,2,TRUE)&amp;VLOOKUP(Y109,tablas!$R$3:$T$66,3,TRUE),tablas!$Q$3:$R$66,2,FALSE)&lt;Y109,VLOOKUP(Y109+0.1,tablas!$R$3:$T$66,3,TRUE),VLOOKUP(Y109,tablas!$R$3:$T$66,3,TRUE)),$C$13)</f>
        <v>φ8@16</v>
      </c>
      <c r="Z110" s="141"/>
      <c r="AA110" s="140" t="str">
        <f>IF(AA109&gt;$C$12,"φ"&amp;IF(VLOOKUP(VLOOKUP(AA109,tablas!$R$3:$T$66,2,TRUE)&amp;VLOOKUP(AA109,tablas!$R$3:$T$66,3,TRUE),tablas!$Q$3:$R$66,2,FALSE)&lt;AA109,VLOOKUP(AA109+0.1,tablas!$R$3:$T$66,2,TRUE),VLOOKUP(AA109,tablas!$R$3:$T$66,2,TRUE))&amp;"@"&amp;IF(VLOOKUP(VLOOKUP(AA109,tablas!$R$3:$T$66,2,TRUE)&amp;VLOOKUP(AA109,tablas!$R$3:$T$66,3,TRUE),tablas!$Q$3:$R$66,2,FALSE)&lt;AA109,VLOOKUP(AA109+0.1,tablas!$R$3:$T$66,3,TRUE),VLOOKUP(AA109,tablas!$R$3:$T$66,3,TRUE)),$C$13)</f>
        <v>φ8@16</v>
      </c>
      <c r="AB110" s="141"/>
      <c r="AC110" s="140" t="str">
        <f>IF(AC109&gt;$C$12,"φ"&amp;IF(VLOOKUP(VLOOKUP(AC109,tablas!$R$3:$T$66,2,TRUE)&amp;VLOOKUP(AC109,tablas!$R$3:$T$66,3,TRUE),tablas!$Q$3:$R$66,2,FALSE)&lt;AC109,VLOOKUP(AC109+0.1,tablas!$R$3:$T$66,2,TRUE),VLOOKUP(AC109,tablas!$R$3:$T$66,2,TRUE))&amp;"@"&amp;IF(VLOOKUP(VLOOKUP(AC109,tablas!$R$3:$T$66,2,TRUE)&amp;VLOOKUP(AC109,tablas!$R$3:$T$66,3,TRUE),tablas!$Q$3:$R$66,2,FALSE)&lt;AC109,VLOOKUP(AC109+0.1,tablas!$R$3:$T$66,3,TRUE),VLOOKUP(AC109,tablas!$R$3:$T$66,3,TRUE)),$C$13)</f>
        <v>φ8@12</v>
      </c>
      <c r="AD110" s="141"/>
      <c r="AE110" s="140" t="str">
        <f>IF(AE109&gt;$C$12,"φ"&amp;IF(VLOOKUP(VLOOKUP(AE109,tablas!$R$3:$T$66,2,TRUE)&amp;VLOOKUP(AE109,tablas!$R$3:$T$66,3,TRUE),tablas!$Q$3:$R$66,2,FALSE)&lt;AE109,VLOOKUP(AE109+0.1,tablas!$R$3:$T$66,2,TRUE),VLOOKUP(AE109,tablas!$R$3:$T$66,2,TRUE))&amp;"@"&amp;IF(VLOOKUP(VLOOKUP(AE109,tablas!$R$3:$T$66,2,TRUE)&amp;VLOOKUP(AE109,tablas!$R$3:$T$66,3,TRUE),tablas!$Q$3:$R$66,2,FALSE)&lt;AE109,VLOOKUP(AE109+0.1,tablas!$R$3:$T$66,3,TRUE),VLOOKUP(AE109,tablas!$R$3:$T$66,3,TRUE)),$C$13)</f>
        <v>φ8@16</v>
      </c>
      <c r="AF110" s="141"/>
    </row>
    <row r="111" spans="2:32" ht="15" thickBot="1" x14ac:dyDescent="0.35"/>
    <row r="112" spans="2:32" ht="15" thickBot="1" x14ac:dyDescent="0.35">
      <c r="B112" s="73" t="s">
        <v>43</v>
      </c>
      <c r="C112" s="74" t="s">
        <v>63</v>
      </c>
      <c r="D112" s="75" t="s">
        <v>70</v>
      </c>
      <c r="E112" s="74" t="s">
        <v>63</v>
      </c>
      <c r="F112" s="75" t="s">
        <v>71</v>
      </c>
      <c r="G112" s="74" t="s">
        <v>63</v>
      </c>
      <c r="H112" s="75" t="s">
        <v>64</v>
      </c>
      <c r="I112" s="74" t="s">
        <v>64</v>
      </c>
      <c r="J112" s="75" t="s">
        <v>65</v>
      </c>
      <c r="K112" s="74" t="s">
        <v>64</v>
      </c>
      <c r="L112" s="75" t="s">
        <v>71</v>
      </c>
      <c r="M112" s="74" t="s">
        <v>64</v>
      </c>
      <c r="N112" s="75" t="s">
        <v>75</v>
      </c>
      <c r="O112" s="74" t="s">
        <v>65</v>
      </c>
      <c r="P112" s="75" t="s">
        <v>76</v>
      </c>
      <c r="Q112" s="74" t="s">
        <v>66</v>
      </c>
      <c r="R112" s="75" t="s">
        <v>72</v>
      </c>
      <c r="S112" s="74" t="s">
        <v>66</v>
      </c>
      <c r="T112" s="75" t="s">
        <v>67</v>
      </c>
      <c r="U112" s="74" t="s">
        <v>66</v>
      </c>
      <c r="V112" s="75" t="s">
        <v>68</v>
      </c>
      <c r="W112" s="74" t="s">
        <v>66</v>
      </c>
      <c r="X112" s="75" t="s">
        <v>77</v>
      </c>
      <c r="Y112" s="74" t="s">
        <v>67</v>
      </c>
      <c r="Z112" s="75" t="s">
        <v>68</v>
      </c>
      <c r="AA112" s="74" t="s">
        <v>67</v>
      </c>
      <c r="AB112" s="75" t="s">
        <v>69</v>
      </c>
      <c r="AC112" s="74" t="s">
        <v>67</v>
      </c>
      <c r="AD112" s="75" t="s">
        <v>70</v>
      </c>
      <c r="AE112" s="74" t="s">
        <v>68</v>
      </c>
      <c r="AF112" s="75" t="s">
        <v>77</v>
      </c>
    </row>
    <row r="113" spans="2:32" x14ac:dyDescent="0.3">
      <c r="B113" s="105" t="s">
        <v>114</v>
      </c>
      <c r="C113" s="102" t="s">
        <v>109</v>
      </c>
      <c r="D113" s="103" t="s">
        <v>109</v>
      </c>
      <c r="E113" s="102" t="s">
        <v>108</v>
      </c>
      <c r="F113" s="103" t="s">
        <v>109</v>
      </c>
      <c r="G113" s="102" t="s">
        <v>109</v>
      </c>
      <c r="H113" s="103" t="s">
        <v>108</v>
      </c>
      <c r="I113" s="102" t="s">
        <v>108</v>
      </c>
      <c r="J113" s="103" t="s">
        <v>108</v>
      </c>
      <c r="K113" s="102" t="s">
        <v>108</v>
      </c>
      <c r="L113" s="103" t="s">
        <v>108</v>
      </c>
      <c r="M113" s="102" t="s">
        <v>109</v>
      </c>
      <c r="N113" s="103" t="s">
        <v>109</v>
      </c>
      <c r="O113" s="102" t="s">
        <v>109</v>
      </c>
      <c r="P113" s="103" t="s">
        <v>109</v>
      </c>
      <c r="Q113" s="102" t="s">
        <v>108</v>
      </c>
      <c r="R113" s="103" t="s">
        <v>108</v>
      </c>
      <c r="S113" s="102" t="s">
        <v>108</v>
      </c>
      <c r="T113" s="103" t="s">
        <v>108</v>
      </c>
      <c r="U113" s="102" t="s">
        <v>109</v>
      </c>
      <c r="V113" s="103" t="s">
        <v>108</v>
      </c>
      <c r="W113" s="102" t="s">
        <v>109</v>
      </c>
      <c r="X113" s="103" t="s">
        <v>109</v>
      </c>
      <c r="Y113" s="102" t="s">
        <v>108</v>
      </c>
      <c r="Z113" s="103" t="s">
        <v>109</v>
      </c>
      <c r="AA113" s="102" t="s">
        <v>108</v>
      </c>
      <c r="AB113" s="103" t="s">
        <v>109</v>
      </c>
      <c r="AC113" s="102" t="s">
        <v>108</v>
      </c>
      <c r="AD113" s="103" t="s">
        <v>109</v>
      </c>
      <c r="AE113" s="102" t="s">
        <v>109</v>
      </c>
      <c r="AF113" s="103" t="s">
        <v>108</v>
      </c>
    </row>
    <row r="114" spans="2:32" x14ac:dyDescent="0.3">
      <c r="B114" s="106" t="s">
        <v>110</v>
      </c>
      <c r="C114" s="104">
        <f t="shared" ref="C114:AF114" si="212">HLOOKUP(C112,$B$46:$AE$89,IF(C113="x",35,40),FALSE)</f>
        <v>3251.4304659498212</v>
      </c>
      <c r="D114" s="86">
        <f t="shared" si="212"/>
        <v>1630.0534351145038</v>
      </c>
      <c r="E114" s="104">
        <f t="shared" si="212"/>
        <v>4425.1175609756101</v>
      </c>
      <c r="F114" s="86">
        <f t="shared" si="212"/>
        <v>3414.887069767442</v>
      </c>
      <c r="G114" s="104">
        <f t="shared" si="212"/>
        <v>3251.4304659498212</v>
      </c>
      <c r="H114" s="86">
        <f t="shared" si="212"/>
        <v>2607.3291666666669</v>
      </c>
      <c r="I114" s="104">
        <f t="shared" si="212"/>
        <v>2607.3291666666669</v>
      </c>
      <c r="J114" s="86">
        <f t="shared" si="212"/>
        <v>1706.4000000000003</v>
      </c>
      <c r="K114" s="104">
        <f t="shared" si="212"/>
        <v>2607.3291666666669</v>
      </c>
      <c r="L114" s="86">
        <f t="shared" si="212"/>
        <v>3947.3156989247309</v>
      </c>
      <c r="M114" s="104">
        <f t="shared" si="212"/>
        <v>1787.8828571428573</v>
      </c>
      <c r="N114" s="86">
        <f t="shared" si="212"/>
        <v>4339.783587786259</v>
      </c>
      <c r="O114" s="104">
        <f t="shared" si="212"/>
        <v>1170.1028571428574</v>
      </c>
      <c r="P114" s="86">
        <f t="shared" si="212"/>
        <v>1170.1028571428574</v>
      </c>
      <c r="Q114" s="104">
        <f t="shared" si="212"/>
        <v>5624.1974634146345</v>
      </c>
      <c r="R114" s="86">
        <f t="shared" si="212"/>
        <v>8939.8506666666672</v>
      </c>
      <c r="S114" s="104">
        <f t="shared" si="212"/>
        <v>5624.1974634146345</v>
      </c>
      <c r="T114" s="86">
        <f t="shared" si="212"/>
        <v>231.93333333333331</v>
      </c>
      <c r="U114" s="104">
        <f t="shared" si="212"/>
        <v>4132.4748387096779</v>
      </c>
      <c r="V114" s="86">
        <f t="shared" si="212"/>
        <v>684.50454545454545</v>
      </c>
      <c r="W114" s="104">
        <f t="shared" si="212"/>
        <v>4132.4748387096779</v>
      </c>
      <c r="X114" s="86">
        <f t="shared" si="212"/>
        <v>451.14394904458595</v>
      </c>
      <c r="Y114" s="104">
        <f t="shared" si="212"/>
        <v>231.93333333333331</v>
      </c>
      <c r="Z114" s="86">
        <f t="shared" si="212"/>
        <v>489.7268292682927</v>
      </c>
      <c r="AA114" s="104">
        <f t="shared" si="212"/>
        <v>231.93333333333331</v>
      </c>
      <c r="AB114" s="86">
        <f t="shared" si="212"/>
        <v>682.41142857142859</v>
      </c>
      <c r="AC114" s="104">
        <f t="shared" si="212"/>
        <v>231.93333333333331</v>
      </c>
      <c r="AD114" s="86">
        <f t="shared" si="212"/>
        <v>1630.0534351145038</v>
      </c>
      <c r="AE114" s="104">
        <f t="shared" si="212"/>
        <v>489.7268292682927</v>
      </c>
      <c r="AF114" s="86">
        <f t="shared" si="212"/>
        <v>643.90545454545452</v>
      </c>
    </row>
    <row r="115" spans="2:32" x14ac:dyDescent="0.3">
      <c r="B115" s="106" t="s">
        <v>111</v>
      </c>
      <c r="C115" s="127">
        <f>(MAX(C114:D114)-MIN(C114:D114))/(MAX(C114:D114))</f>
        <v>0.49866575583115663</v>
      </c>
      <c r="D115" s="128"/>
      <c r="E115" s="127">
        <f>(MAX(E114:F114)-MIN(E114:F114))/(MAX(E114:F114))</f>
        <v>0.22829461077310714</v>
      </c>
      <c r="F115" s="128"/>
      <c r="G115" s="127">
        <f>(MAX(G114:H114)-MIN(G114:H114))/(MAX(G114:H114))</f>
        <v>0.19809782372048876</v>
      </c>
      <c r="H115" s="128"/>
      <c r="I115" s="127">
        <f>(MAX(I114:J114)-MIN(I114:J114))/(MAX(I114:J114))</f>
        <v>0.34553717964903413</v>
      </c>
      <c r="J115" s="128"/>
      <c r="K115" s="127">
        <f>(MAX(K114:L114)-MIN(K114:L114))/(MAX(K114:L114))</f>
        <v>0.33946778886296913</v>
      </c>
      <c r="L115" s="128"/>
      <c r="M115" s="127">
        <f>(MAX(M114:N114)-MIN(M114:N114))/(MAX(M114:N114))</f>
        <v>0.58802488166123879</v>
      </c>
      <c r="N115" s="128"/>
      <c r="O115" s="127">
        <f>(MAX(O114:P114)-MIN(O114:P114))/(MAX(O114:P114))</f>
        <v>0</v>
      </c>
      <c r="P115" s="128"/>
      <c r="Q115" s="127">
        <f>(MAX(Q114:R114)-MIN(Q114:R114))/(MAX(Q114:R114))</f>
        <v>0.37088462960738855</v>
      </c>
      <c r="R115" s="128"/>
      <c r="S115" s="127">
        <f>(MAX(S114:T114)-MIN(S114:T114))/(MAX(S114:T114))</f>
        <v>0.95876152378324941</v>
      </c>
      <c r="T115" s="128"/>
      <c r="U115" s="127">
        <f>(MAX(U114:V114)-MIN(U114:V114))/(MAX(U114:V114))</f>
        <v>0.83435965803284251</v>
      </c>
      <c r="V115" s="128"/>
      <c r="W115" s="127">
        <f>(MAX(W114:X114)-MIN(W114:X114))/(MAX(W114:X114))</f>
        <v>0.89082959566537834</v>
      </c>
      <c r="X115" s="128"/>
      <c r="Y115" s="127">
        <f>(MAX(Y114:Z114)-MIN(Y114:Z114))/(MAX(Y114:Z114))</f>
        <v>0.5264026402640265</v>
      </c>
      <c r="Z115" s="128"/>
      <c r="AA115" s="127">
        <f>(MAX(AA114:AB114)-MIN(AA114:AB114))/(MAX(AA114:AB114))</f>
        <v>0.66012683313515663</v>
      </c>
      <c r="AB115" s="128"/>
      <c r="AC115" s="127">
        <f>(MAX(AC114:AD114)-MIN(AC114:AD114))/(MAX(AC114:AD114))</f>
        <v>0.8577142759022246</v>
      </c>
      <c r="AD115" s="128"/>
      <c r="AE115" s="127">
        <f>(MAX(AE114:AF114)-MIN(AE114:AF114))/(MAX(AE114:AF114))</f>
        <v>0.23944295577679106</v>
      </c>
      <c r="AF115" s="128"/>
    </row>
    <row r="116" spans="2:32" x14ac:dyDescent="0.3">
      <c r="B116" s="106" t="s">
        <v>112</v>
      </c>
      <c r="C116" s="129">
        <f>IF(C115&lt;25%,(C114*0.5+D114*0.5)*0.9,IF(C115&lt;50%,(MAX(C114:D114)*0.6+MIN(C114:D114)*0.4)*0.9,IF(C115&lt;70%,(MAX(C114:D114)*0.65+MIN(C114:D114)*0.35)*0.9,IF(C115&lt;100%,(MAX(C114:D114)*0.7+MIN(C114:D114)*0.3)*0.9,0.7*MAX(C114:D114)))))</f>
        <v>2342.5916882541251</v>
      </c>
      <c r="D116" s="130"/>
      <c r="E116" s="129">
        <f>IF(E115&lt;25%,(E114*0.5+F114*0.5)*0.9,IF(E115&lt;50%,(MAX(E114:F114)*0.6+MIN(E114:F114)*0.4)*0.9,IF(E115&lt;70%,(MAX(E114:F114)*0.65+MIN(E114:F114)*0.35)*0.9,IF(E115&lt;100%,(MAX(E114:F114)*0.7+MIN(E114:F114)*0.3)*0.9,0.7*MAX(E114:F114)))))</f>
        <v>3528.0020838343735</v>
      </c>
      <c r="F116" s="130"/>
      <c r="G116" s="129">
        <f>IF(G115&lt;25%,(G114*0.5+H114*0.5)*0.9,IF(G115&lt;50%,(MAX(G114:H114)*0.6+MIN(G114:H114)*0.4)*0.9,IF(G115&lt;70%,(MAX(G114:H114)*0.65+MIN(G114:H114)*0.35)*0.9,IF(G115&lt;100%,(MAX(G114:H114)*0.7+MIN(G114:H114)*0.3)*0.9,0.7*MAX(G114:H114)))))</f>
        <v>2636.4418346774196</v>
      </c>
      <c r="H116" s="130"/>
      <c r="I116" s="129">
        <f>IF(I115&lt;25%,(I114*0.5+J114*0.5)*0.9,IF(I115&lt;50%,(MAX(I114:J114)*0.6+MIN(I114:J114)*0.4)*0.9,IF(I115&lt;70%,(MAX(I114:J114)*0.65+MIN(I114:J114)*0.35)*0.9,IF(I115&lt;100%,(MAX(I114:J114)*0.7+MIN(I114:J114)*0.3)*0.9,0.7*MAX(I114:J114)))))</f>
        <v>2022.2617500000003</v>
      </c>
      <c r="J116" s="130"/>
      <c r="K116" s="129">
        <f>IF(K115&lt;25%,(K114*0.5+L114*0.5)*0.9,IF(K115&lt;50%,(MAX(K114:L114)*0.6+MIN(K114:L114)*0.4)*0.9,IF(K115&lt;70%,(MAX(K114:L114)*0.65+MIN(K114:L114)*0.35)*0.9,IF(K115&lt;100%,(MAX(K114:L114)*0.7+MIN(K114:L114)*0.3)*0.9,0.7*MAX(K114:L114)))))</f>
        <v>3070.1889774193551</v>
      </c>
      <c r="L116" s="130"/>
      <c r="M116" s="129">
        <f>IF(M115&lt;25%,(M114*0.5+N114*0.5)*0.9,IF(M115&lt;50%,(MAX(M114:N114)*0.6+MIN(M114:N114)*0.4)*0.9,IF(M115&lt;70%,(MAX(M114:N114)*0.65+MIN(M114:N114)*0.35)*0.9,IF(M115&lt;100%,(MAX(M114:N114)*0.7+MIN(M114:N114)*0.3)*0.9,0.7*MAX(M114:N114)))))</f>
        <v>3101.9564988549619</v>
      </c>
      <c r="N116" s="130"/>
      <c r="O116" s="129">
        <f>IF(O115&lt;25%,(O114*0.5+P114*0.5)*0.9,IF(O115&lt;50%,(MAX(O114:P114)*0.6+MIN(O114:P114)*0.4)*0.9,IF(O115&lt;70%,(MAX(O114:P114)*0.65+MIN(O114:P114)*0.35)*0.9,IF(O115&lt;100%,(MAX(O114:P114)*0.7+MIN(O114:P114)*0.3)*0.9,0.7*MAX(O114:P114)))))</f>
        <v>1053.0925714285718</v>
      </c>
      <c r="P116" s="130"/>
      <c r="Q116" s="129">
        <f>IF(Q115&lt;25%,(Q114*0.5+R114*0.5)*0.9,IF(Q115&lt;50%,(MAX(Q114:R114)*0.6+MIN(Q114:R114)*0.4)*0.9,IF(Q115&lt;70%,(MAX(Q114:R114)*0.65+MIN(Q114:R114)*0.35)*0.9,IF(Q115&lt;100%,(MAX(Q114:R114)*0.7+MIN(Q114:R114)*0.3)*0.9,0.7*MAX(Q114:R114)))))</f>
        <v>6852.2304468292687</v>
      </c>
      <c r="R116" s="130"/>
      <c r="S116" s="129">
        <f>IF(S115&lt;25%,(S114*0.5+T114*0.5)*0.9,IF(S115&lt;50%,(MAX(S114:T114)*0.6+MIN(S114:T114)*0.4)*0.9,IF(S115&lt;70%,(MAX(S114:T114)*0.65+MIN(S114:T114)*0.35)*0.9,IF(S115&lt;100%,(MAX(S114:T114)*0.7+MIN(S114:T114)*0.3)*0.9,0.7*MAX(S114:T114)))))</f>
        <v>3605.8664019512194</v>
      </c>
      <c r="T116" s="130"/>
      <c r="U116" s="129">
        <f>IF(U115&lt;25%,(U114*0.5+V114*0.5)*0.9,IF(U115&lt;50%,(MAX(U114:V114)*0.6+MIN(U114:V114)*0.4)*0.9,IF(U115&lt;70%,(MAX(U114:V114)*0.65+MIN(U114:V114)*0.35)*0.9,IF(U115&lt;100%,(MAX(U114:V114)*0.7+MIN(U114:V114)*0.3)*0.9,0.7*MAX(U114:V114)))))</f>
        <v>2788.2753756598245</v>
      </c>
      <c r="V116" s="130"/>
      <c r="W116" s="129">
        <f>IF(W115&lt;25%,(W114*0.5+X114*0.5)*0.9,IF(W115&lt;50%,(MAX(W114:X114)*0.6+MIN(W114:X114)*0.4)*0.9,IF(W115&lt;70%,(MAX(W114:X114)*0.65+MIN(W114:X114)*0.35)*0.9,IF(W115&lt;100%,(MAX(W114:X114)*0.7+MIN(W114:X114)*0.3)*0.9,0.7*MAX(W114:X114)))))</f>
        <v>2725.268014629135</v>
      </c>
      <c r="X116" s="130"/>
      <c r="Y116" s="129">
        <f>IF(Y115&lt;25%,(Y114*0.5+Z114*0.5)*0.9,IF(Y115&lt;50%,(MAX(Y114:Z114)*0.6+MIN(Y114:Z114)*0.4)*0.9,IF(Y115&lt;70%,(MAX(Y114:Z114)*0.65+MIN(Y114:Z114)*0.35)*0.9,IF(Y115&lt;100%,(MAX(Y114:Z114)*0.7+MIN(Y114:Z114)*0.3)*0.9,0.7*MAX(Y114:Z114)))))</f>
        <v>359.54919512195124</v>
      </c>
      <c r="Z116" s="130"/>
      <c r="AA116" s="129">
        <f>IF(AA115&lt;25%,(AA114*0.5+AB114*0.5)*0.9,IF(AA115&lt;50%,(MAX(AA114:AB114)*0.6+MIN(AA114:AB114)*0.4)*0.9,IF(AA115&lt;70%,(MAX(AA114:AB114)*0.65+MIN(AA114:AB114)*0.35)*0.9,IF(AA115&lt;100%,(MAX(AA114:AB114)*0.7+MIN(AA114:AB114)*0.3)*0.9,0.7*MAX(AA114:AB114)))))</f>
        <v>472.26968571428574</v>
      </c>
      <c r="AB116" s="130"/>
      <c r="AC116" s="129">
        <f>IF(AC115&lt;25%,(AC114*0.5+AD114*0.5)*0.9,IF(AC115&lt;50%,(MAX(AC114:AD114)*0.6+MIN(AC114:AD114)*0.4)*0.9,IF(AC115&lt;70%,(MAX(AC114:AD114)*0.65+MIN(AC114:AD114)*0.35)*0.9,IF(AC115&lt;100%,(MAX(AC114:AD114)*0.7+MIN(AC114:AD114)*0.3)*0.9,0.7*MAX(AC114:AD114)))))</f>
        <v>1089.5556641221372</v>
      </c>
      <c r="AD116" s="130"/>
      <c r="AE116" s="129">
        <f>IF(AE115&lt;25%,(AE114*0.5+AF114*0.5)*0.9,IF(AE115&lt;50%,(MAX(AE114:AF114)*0.6+MIN(AE114:AF114)*0.4)*0.9,IF(AE115&lt;70%,(MAX(AE114:AF114)*0.65+MIN(AE114:AF114)*0.35)*0.9,IF(AE115&lt;100%,(MAX(AE114:AF114)*0.7+MIN(AE114:AF114)*0.3)*0.9,0.7*MAX(AE114:AF114)))))</f>
        <v>510.1345277161862</v>
      </c>
      <c r="AF116" s="130"/>
    </row>
    <row r="117" spans="2:32" x14ac:dyDescent="0.3">
      <c r="B117" s="107" t="s">
        <v>15</v>
      </c>
      <c r="C117" s="131">
        <f>C116/(0.9*(0.9*($C$7/100))*($L$9*1000))</f>
        <v>4.5048107539212427</v>
      </c>
      <c r="D117" s="132"/>
      <c r="E117" s="131">
        <f>E116/(0.9*(0.9*($C$7/100))*($L$9*1000))</f>
        <v>6.7843584551255196</v>
      </c>
      <c r="F117" s="132"/>
      <c r="G117" s="131">
        <f>G116/(0.9*(0.9*($C$7/100))*($L$9*1000))</f>
        <v>5.0698854557082784</v>
      </c>
      <c r="H117" s="132"/>
      <c r="I117" s="131">
        <f>I116/(0.9*(0.9*($C$7/100))*($L$9*1000))</f>
        <v>3.8888153340256144</v>
      </c>
      <c r="J117" s="132"/>
      <c r="K117" s="131">
        <f>K116/(0.9*(0.9*($C$7/100))*($L$9*1000))</f>
        <v>5.9039824957104621</v>
      </c>
      <c r="L117" s="132"/>
      <c r="M117" s="131">
        <f>M116/(0.9*(0.9*($C$7/100))*($L$9*1000))</f>
        <v>5.9650715335082518</v>
      </c>
      <c r="N117" s="132"/>
      <c r="O117" s="131">
        <f>O116/(0.9*(0.9*($C$7/100))*($L$9*1000))</f>
        <v>2.0251001335113488</v>
      </c>
      <c r="P117" s="132"/>
      <c r="Q117" s="131">
        <f>Q116/(0.9*(0.9*($C$7/100))*($L$9*1000))</f>
        <v>13.176859441616221</v>
      </c>
      <c r="R117" s="132"/>
      <c r="S117" s="131">
        <f>S116/(0.9*(0.9*($C$7/100))*($L$9*1000))</f>
        <v>6.9340917694535182</v>
      </c>
      <c r="T117" s="132"/>
      <c r="U117" s="131">
        <f>U116/(0.9*(0.9*($C$7/100))*($L$9*1000))</f>
        <v>5.3618618046610207</v>
      </c>
      <c r="V117" s="132"/>
      <c r="W117" s="131">
        <f>W116/(0.9*(0.9*($C$7/100))*($L$9*1000))</f>
        <v>5.2406984628074582</v>
      </c>
      <c r="X117" s="132"/>
      <c r="Y117" s="131">
        <f>Y116/(0.9*(0.9*($C$7/100))*($L$9*1000))</f>
        <v>0.69141416699732927</v>
      </c>
      <c r="Z117" s="132"/>
      <c r="AA117" s="131">
        <f>AA116/(0.9*(0.9*($C$7/100))*($L$9*1000))</f>
        <v>0.90817600421961786</v>
      </c>
      <c r="AB117" s="132"/>
      <c r="AC117" s="131">
        <f>AC116/(0.9*(0.9*($C$7/100))*($L$9*1000))</f>
        <v>2.0952187687437731</v>
      </c>
      <c r="AD117" s="132"/>
      <c r="AE117" s="131">
        <f>AE116/(0.9*(0.9*($C$7/100))*($L$9*1000))</f>
        <v>0.98099020752314547</v>
      </c>
      <c r="AF117" s="132"/>
    </row>
    <row r="118" spans="2:32" x14ac:dyDescent="0.3">
      <c r="B118" s="107" t="s">
        <v>98</v>
      </c>
      <c r="C118" s="133">
        <f>(C117*($L$9))/(0.85*$L$6*100)</f>
        <v>6.3537947031744674E-2</v>
      </c>
      <c r="D118" s="134"/>
      <c r="E118" s="133">
        <f>(E117*($L$9))/(0.85*$L$6*100)</f>
        <v>9.5689748518494738E-2</v>
      </c>
      <c r="F118" s="134"/>
      <c r="G118" s="133">
        <f>(G117*($L$9))/(0.85*$L$6*100)</f>
        <v>7.1508023563787881E-2</v>
      </c>
      <c r="H118" s="134"/>
      <c r="I118" s="133">
        <f>(I117*($L$9))/(0.85*$L$6*100)</f>
        <v>5.4849660997296532E-2</v>
      </c>
      <c r="J118" s="134"/>
      <c r="K118" s="133">
        <f>(K117*($L$9))/(0.85*$L$6*100)</f>
        <v>8.3272516334291585E-2</v>
      </c>
      <c r="L118" s="134"/>
      <c r="M118" s="133">
        <f>(M117*($L$9))/(0.85*$L$6*100)</f>
        <v>8.4134144549070089E-2</v>
      </c>
      <c r="N118" s="134"/>
      <c r="O118" s="133">
        <f>(O117*($L$9))/(0.85*$L$6*100)</f>
        <v>2.8562954593602152E-2</v>
      </c>
      <c r="P118" s="134"/>
      <c r="Q118" s="133">
        <f>(Q117*($L$9))/(0.85*$L$6*100)</f>
        <v>0.18585255696199515</v>
      </c>
      <c r="R118" s="134"/>
      <c r="S118" s="133">
        <f>(S117*($L$9))/(0.85*$L$6*100)</f>
        <v>9.7801656857014529E-2</v>
      </c>
      <c r="T118" s="134"/>
      <c r="U118" s="133">
        <f>(U117*($L$9))/(0.85*$L$6*100)</f>
        <v>7.562619385054925E-2</v>
      </c>
      <c r="V118" s="134"/>
      <c r="W118" s="133">
        <f>(W117*($L$9))/(0.85*$L$6*100)</f>
        <v>7.3917249697861009E-2</v>
      </c>
      <c r="X118" s="134"/>
      <c r="Y118" s="133">
        <f>(Y117*($L$9))/(0.85*$L$6*100)</f>
        <v>9.7520271370854159E-3</v>
      </c>
      <c r="Z118" s="134"/>
      <c r="AA118" s="133">
        <f>(AA117*($L$9))/(0.85*$L$6*100)</f>
        <v>1.2809336951919475E-2</v>
      </c>
      <c r="AB118" s="134"/>
      <c r="AC118" s="133">
        <f>(AC117*($L$9))/(0.85*$L$6*100)</f>
        <v>2.9551940452210743E-2</v>
      </c>
      <c r="AD118" s="134"/>
      <c r="AE118" s="133">
        <f>(AE117*($L$9))/(0.85*$L$6*100)</f>
        <v>1.3836342356892612E-2</v>
      </c>
      <c r="AF118" s="134"/>
    </row>
    <row r="119" spans="2:32" ht="15" thickBot="1" x14ac:dyDescent="0.35">
      <c r="B119" s="108" t="s">
        <v>15</v>
      </c>
      <c r="C119" s="135">
        <f>ROUNDUP(C116/(0.9*(($C$7-C118/2)/100)*($L$9*1000)),2)</f>
        <v>4.0699999999999994</v>
      </c>
      <c r="D119" s="136"/>
      <c r="E119" s="135">
        <f>ROUNDUP(E116/(0.9*(($C$7-E118/2)/100)*($L$9*1000)),2)</f>
        <v>6.13</v>
      </c>
      <c r="F119" s="136"/>
      <c r="G119" s="135">
        <f>ROUNDUP(G116/(0.9*(($C$7-G118/2)/100)*($L$9*1000)),2)</f>
        <v>4.58</v>
      </c>
      <c r="H119" s="136"/>
      <c r="I119" s="135">
        <f>ROUNDUP(I116/(0.9*(($C$7-I118/2)/100)*($L$9*1000)),2)</f>
        <v>3.51</v>
      </c>
      <c r="J119" s="136"/>
      <c r="K119" s="135">
        <f>ROUNDUP(K116/(0.9*(($C$7-K118/2)/100)*($L$9*1000)),2)</f>
        <v>5.33</v>
      </c>
      <c r="L119" s="136"/>
      <c r="M119" s="135">
        <f>ROUNDUP(M116/(0.9*(($C$7-M118/2)/100)*($L$9*1000)),2)</f>
        <v>5.39</v>
      </c>
      <c r="N119" s="136"/>
      <c r="O119" s="135">
        <f>ROUNDUP(O116/(0.9*(($C$7-O118/2)/100)*($L$9*1000)),2)</f>
        <v>1.83</v>
      </c>
      <c r="P119" s="136"/>
      <c r="Q119" s="135">
        <f>ROUNDUP(Q116/(0.9*(($C$7-Q118/2)/100)*($L$9*1000)),2)</f>
        <v>11.94</v>
      </c>
      <c r="R119" s="136"/>
      <c r="S119" s="135">
        <f>ROUNDUP(S116/(0.9*(($C$7-S118/2)/100)*($L$9*1000)),2)</f>
        <v>6.27</v>
      </c>
      <c r="T119" s="136"/>
      <c r="U119" s="135">
        <f>ROUNDUP(U116/(0.9*(($C$7-U118/2)/100)*($L$9*1000)),2)</f>
        <v>4.84</v>
      </c>
      <c r="V119" s="136"/>
      <c r="W119" s="135">
        <f>ROUNDUP(W116/(0.9*(($C$7-W118/2)/100)*($L$9*1000)),2)</f>
        <v>4.7299999999999995</v>
      </c>
      <c r="X119" s="136"/>
      <c r="Y119" s="135">
        <f>ROUNDUP(Y116/(0.9*(($C$7-Y118/2)/100)*($L$9*1000)),2)</f>
        <v>0.63</v>
      </c>
      <c r="Z119" s="136"/>
      <c r="AA119" s="135">
        <f>ROUNDUP(AA116/(0.9*(($C$7-AA118/2)/100)*($L$9*1000)),2)</f>
        <v>0.82000000000000006</v>
      </c>
      <c r="AB119" s="136"/>
      <c r="AC119" s="135">
        <f>ROUNDUP(AC116/(0.9*(($C$7-AC118/2)/100)*($L$9*1000)),2)</f>
        <v>1.89</v>
      </c>
      <c r="AD119" s="136"/>
      <c r="AE119" s="135">
        <f>ROUNDUP(AE116/(0.9*(($C$7-AE118/2)/100)*($L$9*1000)),2)</f>
        <v>0.89</v>
      </c>
      <c r="AF119" s="136"/>
    </row>
    <row r="120" spans="2:32" ht="16.2" thickBot="1" x14ac:dyDescent="0.35">
      <c r="B120" s="61" t="s">
        <v>113</v>
      </c>
      <c r="C120" s="140" t="str">
        <f>IF(C119&gt;$C$12,"φ"&amp;IF(VLOOKUP(VLOOKUP(C119,tablas!$R$3:$T$66,2,TRUE)&amp;VLOOKUP(C119,tablas!$R$3:$T$66,3,TRUE),tablas!$Q$3:$R$66,2,FALSE)&lt;C119,VLOOKUP(C119+0.1,tablas!$R$3:$T$66,2,TRUE),VLOOKUP(C119,tablas!$R$3:$T$66,2,TRUE))&amp;"@"&amp;IF(VLOOKUP(VLOOKUP(C119,tablas!$R$3:$T$66,2,TRUE)&amp;VLOOKUP(C119,tablas!$R$3:$T$66,3,TRUE),tablas!$Q$3:$R$66,2,FALSE)&lt;C119,VLOOKUP(C119+0.1,tablas!$R$3:$T$66,3,TRUE),VLOOKUP(C119,tablas!$R$3:$T$66,3,TRUE)),$C$13)</f>
        <v>φ10@19</v>
      </c>
      <c r="D120" s="141"/>
      <c r="E120" s="140" t="str">
        <f>IF(E119&gt;$C$12,"φ"&amp;IF(VLOOKUP(VLOOKUP(E119,tablas!$R$3:$T$66,2,TRUE)&amp;VLOOKUP(E119,tablas!$R$3:$T$66,3,TRUE),tablas!$Q$3:$R$66,2,FALSE)&lt;E119,VLOOKUP(E119+0.1,tablas!$R$3:$T$66,2,TRUE),VLOOKUP(E119,tablas!$R$3:$T$66,2,TRUE))&amp;"@"&amp;IF(VLOOKUP(VLOOKUP(E119,tablas!$R$3:$T$66,2,TRUE)&amp;VLOOKUP(E119,tablas!$R$3:$T$66,3,TRUE),tablas!$Q$3:$R$66,2,FALSE)&lt;E119,VLOOKUP(E119+0.1,tablas!$R$3:$T$66,3,TRUE),VLOOKUP(E119,tablas!$R$3:$T$66,3,TRUE)),$C$13)</f>
        <v>φ10@13</v>
      </c>
      <c r="F120" s="141"/>
      <c r="G120" s="140" t="str">
        <f>IF(G119&gt;$C$12,"φ"&amp;IF(VLOOKUP(VLOOKUP(G119,tablas!$R$3:$T$66,2,TRUE)&amp;VLOOKUP(G119,tablas!$R$3:$T$66,3,TRUE),tablas!$Q$3:$R$66,2,FALSE)&lt;G119,VLOOKUP(G119+0.1,tablas!$R$3:$T$66,2,TRUE),VLOOKUP(G119,tablas!$R$3:$T$66,2,TRUE))&amp;"@"&amp;IF(VLOOKUP(VLOOKUP(G119,tablas!$R$3:$T$66,2,TRUE)&amp;VLOOKUP(G119,tablas!$R$3:$T$66,3,TRUE),tablas!$Q$3:$R$66,2,FALSE)&lt;G119,VLOOKUP(G119+0.1,tablas!$R$3:$T$66,3,TRUE),VLOOKUP(G119,tablas!$R$3:$T$66,3,TRUE)),$C$13)</f>
        <v>φ10@17</v>
      </c>
      <c r="H120" s="141"/>
      <c r="I120" s="140" t="str">
        <f>IF(I119&gt;$C$12,"φ"&amp;IF(VLOOKUP(VLOOKUP(I119,tablas!$R$3:$T$66,2,TRUE)&amp;VLOOKUP(I119,tablas!$R$3:$T$66,3,TRUE),tablas!$Q$3:$R$66,2,FALSE)&lt;I119,VLOOKUP(I119+0.1,tablas!$R$3:$T$66,2,TRUE),VLOOKUP(I119,tablas!$R$3:$T$66,2,TRUE))&amp;"@"&amp;IF(VLOOKUP(VLOOKUP(I119,tablas!$R$3:$T$66,2,TRUE)&amp;VLOOKUP(I119,tablas!$R$3:$T$66,3,TRUE),tablas!$Q$3:$R$66,2,FALSE)&lt;I119,VLOOKUP(I119+0.1,tablas!$R$3:$T$66,3,TRUE),VLOOKUP(I119,tablas!$R$3:$T$66,3,TRUE)),$C$13)</f>
        <v>φ8@14</v>
      </c>
      <c r="J120" s="141"/>
      <c r="K120" s="140" t="str">
        <f>IF(K119&gt;$C$12,"φ"&amp;IF(VLOOKUP(VLOOKUP(K119,tablas!$R$3:$T$66,2,TRUE)&amp;VLOOKUP(K119,tablas!$R$3:$T$66,3,TRUE),tablas!$Q$3:$R$66,2,FALSE)&lt;K119,VLOOKUP(K119+0.1,tablas!$R$3:$T$66,2,TRUE),VLOOKUP(K119,tablas!$R$3:$T$66,2,TRUE))&amp;"@"&amp;IF(VLOOKUP(VLOOKUP(K119,tablas!$R$3:$T$66,2,TRUE)&amp;VLOOKUP(K119,tablas!$R$3:$T$66,3,TRUE),tablas!$Q$3:$R$66,2,FALSE)&lt;K119,VLOOKUP(K119+0.1,tablas!$R$3:$T$66,3,TRUE),VLOOKUP(K119,tablas!$R$3:$T$66,3,TRUE)),$C$13)</f>
        <v>φ12@21</v>
      </c>
      <c r="L120" s="141"/>
      <c r="M120" s="140" t="str">
        <f>IF(M119&gt;$C$12,"φ"&amp;IF(VLOOKUP(VLOOKUP(M119,tablas!$R$3:$T$66,2,TRUE)&amp;VLOOKUP(M119,tablas!$R$3:$T$66,3,TRUE),tablas!$Q$3:$R$66,2,FALSE)&lt;M119,VLOOKUP(M119+0.1,tablas!$R$3:$T$66,2,TRUE),VLOOKUP(M119,tablas!$R$3:$T$66,2,TRUE))&amp;"@"&amp;IF(VLOOKUP(VLOOKUP(M119,tablas!$R$3:$T$66,2,TRUE)&amp;VLOOKUP(M119,tablas!$R$3:$T$66,3,TRUE),tablas!$Q$3:$R$66,2,FALSE)&lt;M119,VLOOKUP(M119+0.1,tablas!$R$3:$T$66,3,TRUE),VLOOKUP(M119,tablas!$R$3:$T$66,3,TRUE)),$C$13)</f>
        <v>φ12@21</v>
      </c>
      <c r="N120" s="141"/>
      <c r="O120" s="140" t="str">
        <f>IF(O119&gt;$C$12,"φ"&amp;IF(VLOOKUP(VLOOKUP(O119,tablas!$R$3:$T$66,2,TRUE)&amp;VLOOKUP(O119,tablas!$R$3:$T$66,3,TRUE),tablas!$Q$3:$R$66,2,FALSE)&lt;O119,VLOOKUP(O119+0.1,tablas!$R$3:$T$66,2,TRUE),VLOOKUP(O119,tablas!$R$3:$T$66,2,TRUE))&amp;"@"&amp;IF(VLOOKUP(VLOOKUP(O119,tablas!$R$3:$T$66,2,TRUE)&amp;VLOOKUP(O119,tablas!$R$3:$T$66,3,TRUE),tablas!$Q$3:$R$66,2,FALSE)&lt;O119,VLOOKUP(O119+0.1,tablas!$R$3:$T$66,3,TRUE),VLOOKUP(O119,tablas!$R$3:$T$66,3,TRUE)),$C$13)</f>
        <v>φ8@16</v>
      </c>
      <c r="P120" s="141"/>
      <c r="Q120" s="140" t="str">
        <f>IF(Q119&gt;$C$12,"φ"&amp;IF(VLOOKUP(VLOOKUP(Q119,tablas!$R$3:$T$66,2,TRUE)&amp;VLOOKUP(Q119,tablas!$R$3:$T$66,3,TRUE),tablas!$Q$3:$R$66,2,FALSE)&lt;Q119,VLOOKUP(Q119+0.1,tablas!$R$3:$T$66,2,TRUE),VLOOKUP(Q119,tablas!$R$3:$T$66,2,TRUE))&amp;"@"&amp;IF(VLOOKUP(VLOOKUP(Q119,tablas!$R$3:$T$66,2,TRUE)&amp;VLOOKUP(Q119,tablas!$R$3:$T$66,3,TRUE),tablas!$Q$3:$R$66,2,FALSE)&lt;Q119,VLOOKUP(Q119+0.1,tablas!$R$3:$T$66,3,TRUE),VLOOKUP(Q119,tablas!$R$3:$T$66,3,TRUE)),$C$13)</f>
        <v>φ16@17</v>
      </c>
      <c r="R120" s="141"/>
      <c r="S120" s="140" t="str">
        <f>IF(S119&gt;$C$12,"φ"&amp;IF(VLOOKUP(VLOOKUP(S119,tablas!$R$3:$T$66,2,TRUE)&amp;VLOOKUP(S119,tablas!$R$3:$T$66,3,TRUE),tablas!$Q$3:$R$66,2,FALSE)&lt;S119,VLOOKUP(S119+0.1,tablas!$R$3:$T$66,2,TRUE),VLOOKUP(S119,tablas!$R$3:$T$66,2,TRUE))&amp;"@"&amp;IF(VLOOKUP(VLOOKUP(S119,tablas!$R$3:$T$66,2,TRUE)&amp;VLOOKUP(S119,tablas!$R$3:$T$66,3,TRUE),tablas!$Q$3:$R$66,2,FALSE)&lt;S119,VLOOKUP(S119+0.1,tablas!$R$3:$T$66,3,TRUE),VLOOKUP(S119,tablas!$R$3:$T$66,3,TRUE)),$C$13)</f>
        <v>φ12@18</v>
      </c>
      <c r="T120" s="141"/>
      <c r="U120" s="140" t="str">
        <f>IF(U119&gt;$C$12,"φ"&amp;IF(VLOOKUP(VLOOKUP(U119,tablas!$R$3:$T$66,2,TRUE)&amp;VLOOKUP(U119,tablas!$R$3:$T$66,3,TRUE),tablas!$Q$3:$R$66,2,FALSE)&lt;U119,VLOOKUP(U119+0.1,tablas!$R$3:$T$66,2,TRUE),VLOOKUP(U119,tablas!$R$3:$T$66,2,TRUE))&amp;"@"&amp;IF(VLOOKUP(VLOOKUP(U119,tablas!$R$3:$T$66,2,TRUE)&amp;VLOOKUP(U119,tablas!$R$3:$T$66,3,TRUE),tablas!$Q$3:$R$66,2,FALSE)&lt;U119,VLOOKUP(U119+0.1,tablas!$R$3:$T$66,3,TRUE),VLOOKUP(U119,tablas!$R$3:$T$66,3,TRUE)),$C$13)</f>
        <v>φ12@23</v>
      </c>
      <c r="V120" s="141"/>
      <c r="W120" s="140" t="str">
        <f>IF(W119&gt;$C$12,"φ"&amp;IF(VLOOKUP(VLOOKUP(W119,tablas!$R$3:$T$66,2,TRUE)&amp;VLOOKUP(W119,tablas!$R$3:$T$66,3,TRUE),tablas!$Q$3:$R$66,2,FALSE)&lt;W119,VLOOKUP(W119+0.1,tablas!$R$3:$T$66,2,TRUE),VLOOKUP(W119,tablas!$R$3:$T$66,2,TRUE))&amp;"@"&amp;IF(VLOOKUP(VLOOKUP(W119,tablas!$R$3:$T$66,2,TRUE)&amp;VLOOKUP(W119,tablas!$R$3:$T$66,3,TRUE),tablas!$Q$3:$R$66,2,FALSE)&lt;W119,VLOOKUP(W119+0.1,tablas!$R$3:$T$66,3,TRUE),VLOOKUP(W119,tablas!$R$3:$T$66,3,TRUE)),$C$13)</f>
        <v>φ12@24</v>
      </c>
      <c r="X120" s="141"/>
      <c r="Y120" s="140" t="str">
        <f>IF(Y119&gt;$C$12,"φ"&amp;IF(VLOOKUP(VLOOKUP(Y119,tablas!$R$3:$T$66,2,TRUE)&amp;VLOOKUP(Y119,tablas!$R$3:$T$66,3,TRUE),tablas!$Q$3:$R$66,2,FALSE)&lt;Y119,VLOOKUP(Y119+0.1,tablas!$R$3:$T$66,2,TRUE),VLOOKUP(Y119,tablas!$R$3:$T$66,2,TRUE))&amp;"@"&amp;IF(VLOOKUP(VLOOKUP(Y119,tablas!$R$3:$T$66,2,TRUE)&amp;VLOOKUP(Y119,tablas!$R$3:$T$66,3,TRUE),tablas!$Q$3:$R$66,2,FALSE)&lt;Y119,VLOOKUP(Y119+0.1,tablas!$R$3:$T$66,3,TRUE),VLOOKUP(Y119,tablas!$R$3:$T$66,3,TRUE)),$C$13)</f>
        <v>φ8@16</v>
      </c>
      <c r="Z120" s="141"/>
      <c r="AA120" s="140" t="str">
        <f>IF(AA119&gt;$C$12,"φ"&amp;IF(VLOOKUP(VLOOKUP(AA119,tablas!$R$3:$T$66,2,TRUE)&amp;VLOOKUP(AA119,tablas!$R$3:$T$66,3,TRUE),tablas!$Q$3:$R$66,2,FALSE)&lt;AA119,VLOOKUP(AA119+0.1,tablas!$R$3:$T$66,2,TRUE),VLOOKUP(AA119,tablas!$R$3:$T$66,2,TRUE))&amp;"@"&amp;IF(VLOOKUP(VLOOKUP(AA119,tablas!$R$3:$T$66,2,TRUE)&amp;VLOOKUP(AA119,tablas!$R$3:$T$66,3,TRUE),tablas!$Q$3:$R$66,2,FALSE)&lt;AA119,VLOOKUP(AA119+0.1,tablas!$R$3:$T$66,3,TRUE),VLOOKUP(AA119,tablas!$R$3:$T$66,3,TRUE)),$C$13)</f>
        <v>φ8@16</v>
      </c>
      <c r="AB120" s="141"/>
      <c r="AC120" s="140" t="str">
        <f>IF(AC119&gt;$C$12,"φ"&amp;IF(VLOOKUP(VLOOKUP(AC119,tablas!$R$3:$T$66,2,TRUE)&amp;VLOOKUP(AC119,tablas!$R$3:$T$66,3,TRUE),tablas!$Q$3:$R$66,2,FALSE)&lt;AC119,VLOOKUP(AC119+0.1,tablas!$R$3:$T$66,2,TRUE),VLOOKUP(AC119,tablas!$R$3:$T$66,2,TRUE))&amp;"@"&amp;IF(VLOOKUP(VLOOKUP(AC119,tablas!$R$3:$T$66,2,TRUE)&amp;VLOOKUP(AC119,tablas!$R$3:$T$66,3,TRUE),tablas!$Q$3:$R$66,2,FALSE)&lt;AC119,VLOOKUP(AC119+0.1,tablas!$R$3:$T$66,3,TRUE),VLOOKUP(AC119,tablas!$R$3:$T$66,3,TRUE)),$C$13)</f>
        <v>φ8@16</v>
      </c>
      <c r="AD120" s="141"/>
      <c r="AE120" s="140" t="str">
        <f>IF(AE119&gt;$C$12,"φ"&amp;IF(VLOOKUP(VLOOKUP(AE119,tablas!$R$3:$T$66,2,TRUE)&amp;VLOOKUP(AE119,tablas!$R$3:$T$66,3,TRUE),tablas!$Q$3:$R$66,2,FALSE)&lt;AE119,VLOOKUP(AE119+0.1,tablas!$R$3:$T$66,2,TRUE),VLOOKUP(AE119,tablas!$R$3:$T$66,2,TRUE))&amp;"@"&amp;IF(VLOOKUP(VLOOKUP(AE119,tablas!$R$3:$T$66,2,TRUE)&amp;VLOOKUP(AE119,tablas!$R$3:$T$66,3,TRUE),tablas!$Q$3:$R$66,2,FALSE)&lt;AE119,VLOOKUP(AE119+0.1,tablas!$R$3:$T$66,3,TRUE),VLOOKUP(AE119,tablas!$R$3:$T$66,3,TRUE)),$C$13)</f>
        <v>φ8@16</v>
      </c>
      <c r="AF120" s="141"/>
    </row>
    <row r="121" spans="2:32" ht="15" thickBot="1" x14ac:dyDescent="0.35"/>
    <row r="122" spans="2:32" ht="15" thickBot="1" x14ac:dyDescent="0.35">
      <c r="B122" s="73" t="s">
        <v>43</v>
      </c>
      <c r="C122" s="74" t="s">
        <v>69</v>
      </c>
      <c r="D122" s="75" t="s">
        <v>77</v>
      </c>
      <c r="E122" s="74" t="s">
        <v>69</v>
      </c>
      <c r="F122" s="75" t="s">
        <v>70</v>
      </c>
      <c r="G122" s="74" t="s">
        <v>69</v>
      </c>
      <c r="H122" s="75" t="s">
        <v>72</v>
      </c>
      <c r="I122" s="74" t="s">
        <v>70</v>
      </c>
      <c r="J122" s="75" t="s">
        <v>73</v>
      </c>
      <c r="K122" s="74" t="s">
        <v>70</v>
      </c>
      <c r="L122" s="75" t="s">
        <v>71</v>
      </c>
      <c r="M122" s="74" t="s">
        <v>71</v>
      </c>
      <c r="N122" s="75" t="s">
        <v>74</v>
      </c>
      <c r="O122" s="74" t="s">
        <v>71</v>
      </c>
      <c r="P122" s="75" t="s">
        <v>75</v>
      </c>
      <c r="Q122" s="74" t="s">
        <v>71</v>
      </c>
      <c r="R122" s="75" t="s">
        <v>75</v>
      </c>
      <c r="S122" s="74" t="s">
        <v>72</v>
      </c>
      <c r="T122" s="75" t="s">
        <v>73</v>
      </c>
      <c r="U122" s="74" t="s">
        <v>72</v>
      </c>
      <c r="V122" s="75" t="s">
        <v>77</v>
      </c>
      <c r="W122" s="74" t="s">
        <v>73</v>
      </c>
      <c r="X122" s="75" t="s">
        <v>74</v>
      </c>
      <c r="Y122" s="74" t="s">
        <v>74</v>
      </c>
      <c r="Z122" s="75" t="s">
        <v>75</v>
      </c>
      <c r="AA122" s="74" t="s">
        <v>75</v>
      </c>
      <c r="AB122" s="75" t="s">
        <v>76</v>
      </c>
    </row>
    <row r="123" spans="2:32" x14ac:dyDescent="0.3">
      <c r="B123" s="105" t="s">
        <v>114</v>
      </c>
      <c r="C123" s="102" t="s">
        <v>108</v>
      </c>
      <c r="D123" s="103" t="s">
        <v>109</v>
      </c>
      <c r="E123" s="102" t="s">
        <v>108</v>
      </c>
      <c r="F123" s="103" t="s">
        <v>108</v>
      </c>
      <c r="G123" s="102" t="s">
        <v>109</v>
      </c>
      <c r="H123" s="103" t="s">
        <v>108</v>
      </c>
      <c r="I123" s="102" t="s">
        <v>109</v>
      </c>
      <c r="J123" s="103" t="s">
        <v>109</v>
      </c>
      <c r="K123" s="102" t="s">
        <v>108</v>
      </c>
      <c r="L123" s="103" t="s">
        <v>108</v>
      </c>
      <c r="M123" s="102" t="s">
        <v>109</v>
      </c>
      <c r="N123" s="103" t="s">
        <v>109</v>
      </c>
      <c r="O123" s="102" t="s">
        <v>108</v>
      </c>
      <c r="P123" s="103" t="s">
        <v>108</v>
      </c>
      <c r="Q123" s="102" t="s">
        <v>109</v>
      </c>
      <c r="R123" s="103" t="s">
        <v>109</v>
      </c>
      <c r="S123" s="102" t="s">
        <v>109</v>
      </c>
      <c r="T123" s="103" t="s">
        <v>108</v>
      </c>
      <c r="U123" s="102" t="s">
        <v>108</v>
      </c>
      <c r="V123" s="103" t="s">
        <v>108</v>
      </c>
      <c r="W123" s="102" t="s">
        <v>108</v>
      </c>
      <c r="X123" s="103" t="s">
        <v>108</v>
      </c>
      <c r="Y123" s="102" t="s">
        <v>108</v>
      </c>
      <c r="Z123" s="103" t="s">
        <v>108</v>
      </c>
      <c r="AA123" s="102" t="s">
        <v>108</v>
      </c>
      <c r="AB123" s="103" t="s">
        <v>108</v>
      </c>
    </row>
    <row r="124" spans="2:32" x14ac:dyDescent="0.3">
      <c r="B124" s="106" t="s">
        <v>110</v>
      </c>
      <c r="C124" s="104">
        <f t="shared" ref="C124:AB124" si="213">HLOOKUP(C122,$B$46:$AE$89,IF(C123="x",35,40),FALSE)</f>
        <v>995.18333333333339</v>
      </c>
      <c r="D124" s="86">
        <f t="shared" si="213"/>
        <v>451.14394904458595</v>
      </c>
      <c r="E124" s="104">
        <f t="shared" si="213"/>
        <v>995.18333333333339</v>
      </c>
      <c r="F124" s="86">
        <f t="shared" si="213"/>
        <v>2156.939393939394</v>
      </c>
      <c r="G124" s="104">
        <f t="shared" si="213"/>
        <v>682.41142857142859</v>
      </c>
      <c r="H124" s="86">
        <f t="shared" si="213"/>
        <v>8939.8506666666672</v>
      </c>
      <c r="I124" s="104">
        <f t="shared" si="213"/>
        <v>1630.0534351145038</v>
      </c>
      <c r="J124" s="86">
        <f t="shared" si="213"/>
        <v>2333.1899641577061</v>
      </c>
      <c r="K124" s="104">
        <f t="shared" si="213"/>
        <v>2156.939393939394</v>
      </c>
      <c r="L124" s="86">
        <f t="shared" si="213"/>
        <v>3947.3156989247309</v>
      </c>
      <c r="M124" s="104">
        <f t="shared" si="213"/>
        <v>3414.887069767442</v>
      </c>
      <c r="N124" s="86">
        <f t="shared" si="213"/>
        <v>2742.9764885496184</v>
      </c>
      <c r="O124" s="104">
        <f t="shared" si="213"/>
        <v>3947.3156989247309</v>
      </c>
      <c r="P124" s="86">
        <f t="shared" si="213"/>
        <v>5742.5419191919182</v>
      </c>
      <c r="Q124" s="104">
        <f t="shared" si="213"/>
        <v>3414.887069767442</v>
      </c>
      <c r="R124" s="86">
        <f t="shared" si="213"/>
        <v>4339.783587786259</v>
      </c>
      <c r="S124" s="104">
        <f t="shared" si="213"/>
        <v>6130.183314285714</v>
      </c>
      <c r="T124" s="86">
        <f t="shared" si="213"/>
        <v>3175.4146341463415</v>
      </c>
      <c r="U124" s="104">
        <f t="shared" si="213"/>
        <v>8939.8506666666672</v>
      </c>
      <c r="V124" s="86">
        <f t="shared" si="213"/>
        <v>643.90545454545452</v>
      </c>
      <c r="W124" s="104">
        <f t="shared" si="213"/>
        <v>3175.4146341463415</v>
      </c>
      <c r="X124" s="86">
        <f t="shared" si="213"/>
        <v>3629.5951515151514</v>
      </c>
      <c r="Y124" s="104">
        <f t="shared" si="213"/>
        <v>3629.5951515151514</v>
      </c>
      <c r="Z124" s="86">
        <f t="shared" si="213"/>
        <v>5742.5419191919182</v>
      </c>
      <c r="AA124" s="104">
        <f t="shared" si="213"/>
        <v>5742.5419191919182</v>
      </c>
      <c r="AB124" s="86">
        <f t="shared" si="213"/>
        <v>1706.4000000000003</v>
      </c>
    </row>
    <row r="125" spans="2:32" x14ac:dyDescent="0.3">
      <c r="B125" s="106" t="s">
        <v>111</v>
      </c>
      <c r="C125" s="127">
        <f>(MAX(C124:D124)-MIN(C124:D124))/(MAX(C124:D124))</f>
        <v>0.54667252361080609</v>
      </c>
      <c r="D125" s="128"/>
      <c r="E125" s="127">
        <f>(MAX(E124:F124)-MIN(E124:F124))/(MAX(E124:F124))</f>
        <v>0.53861321457171352</v>
      </c>
      <c r="F125" s="128"/>
      <c r="G125" s="127">
        <f>(MAX(G124:H124)-MIN(G124:H124))/(MAX(G124:H124))</f>
        <v>0.92366635036579703</v>
      </c>
      <c r="H125" s="128"/>
      <c r="I125" s="127">
        <f>(MAX(I124:J124)-MIN(I124:J124))/(MAX(I124:J124))</f>
        <v>0.30136274364485288</v>
      </c>
      <c r="J125" s="128"/>
      <c r="K125" s="127">
        <f>(MAX(K124:L124)-MIN(K124:L124))/(MAX(K124:L124))</f>
        <v>0.45356805524145044</v>
      </c>
      <c r="L125" s="128"/>
      <c r="M125" s="127">
        <f>(MAX(M124:N124)-MIN(M124:N124))/(MAX(M124:N124))</f>
        <v>0.1967592390291201</v>
      </c>
      <c r="N125" s="128"/>
      <c r="O125" s="127">
        <f>(MAX(O124:P124)-MIN(O124:P124))/(MAX(O124:P124))</f>
        <v>0.31261874019019942</v>
      </c>
      <c r="P125" s="128"/>
      <c r="Q125" s="127">
        <f>(MAX(Q124:R124)-MIN(Q124:R124))/(MAX(Q124:R124))</f>
        <v>0.21312042393584202</v>
      </c>
      <c r="R125" s="128"/>
      <c r="S125" s="127">
        <f>(MAX(S124:T124)-MIN(S124:T124))/(MAX(S124:T124))</f>
        <v>0.48200331517878281</v>
      </c>
      <c r="T125" s="128"/>
      <c r="U125" s="127">
        <f>(MAX(U124:V124)-MIN(U124:V124))/(MAX(U124:V124))</f>
        <v>0.92797357824484306</v>
      </c>
      <c r="V125" s="128"/>
      <c r="W125" s="127">
        <f>(MAX(W124:X124)-MIN(W124:X124))/(MAX(W124:X124))</f>
        <v>0.12513255567338277</v>
      </c>
      <c r="X125" s="128"/>
      <c r="Y125" s="127">
        <f>(MAX(Y124:Z124)-MIN(Y124:Z124))/(MAX(Y124:Z124))</f>
        <v>0.36794625052978236</v>
      </c>
      <c r="Z125" s="128"/>
      <c r="AA125" s="127">
        <f>(MAX(AA124:AB124)-MIN(AA124:AB124))/(MAX(AA124:AB124))</f>
        <v>0.70284936113446383</v>
      </c>
      <c r="AB125" s="128"/>
    </row>
    <row r="126" spans="2:32" x14ac:dyDescent="0.3">
      <c r="B126" s="106" t="s">
        <v>112</v>
      </c>
      <c r="C126" s="129">
        <f>IF(C125&lt;25%,(C124*0.5+D124*0.5)*0.9,IF(C125&lt;50%,(MAX(C124:D124)*0.6+MIN(C124:D124)*0.4)*0.9,IF(C125&lt;70%,(MAX(C124:D124)*0.65+MIN(C124:D124)*0.35)*0.9,IF(C125&lt;100%,(MAX(C124:D124)*0.7+MIN(C124:D124)*0.3)*0.9,0.7*MAX(C124:D124)))))</f>
        <v>724.29259394904466</v>
      </c>
      <c r="D126" s="130"/>
      <c r="E126" s="129">
        <f>IF(E125&lt;25%,(E124*0.5+F124*0.5)*0.9,IF(E125&lt;50%,(MAX(E124:F124)*0.6+MIN(E124:F124)*0.4)*0.9,IF(E125&lt;70%,(MAX(E124:F124)*0.65+MIN(E124:F124)*0.35)*0.9,IF(E125&lt;100%,(MAX(E124:F124)*0.7+MIN(E124:F124)*0.3)*0.9,0.7*MAX(E124:F124)))))</f>
        <v>1575.2922954545456</v>
      </c>
      <c r="F126" s="130"/>
      <c r="G126" s="129">
        <f>IF(G125&lt;25%,(G124*0.5+H124*0.5)*0.9,IF(G125&lt;50%,(MAX(G124:H124)*0.6+MIN(G124:H124)*0.4)*0.9,IF(G125&lt;70%,(MAX(G124:H124)*0.65+MIN(G124:H124)*0.35)*0.9,IF(G125&lt;100%,(MAX(G124:H124)*0.7+MIN(G124:H124)*0.3)*0.9,0.7*MAX(G124:H124)))))</f>
        <v>5816.3570057142861</v>
      </c>
      <c r="H126" s="130"/>
      <c r="I126" s="129">
        <f>IF(I125&lt;25%,(I124*0.5+J124*0.5)*0.9,IF(I125&lt;50%,(MAX(I124:J124)*0.6+MIN(I124:J124)*0.4)*0.9,IF(I125&lt;70%,(MAX(I124:J124)*0.65+MIN(I124:J124)*0.35)*0.9,IF(I125&lt;100%,(MAX(I124:J124)*0.7+MIN(I124:J124)*0.3)*0.9,0.7*MAX(I124:J124)))))</f>
        <v>1846.7418172863825</v>
      </c>
      <c r="J126" s="130"/>
      <c r="K126" s="129">
        <f>IF(K125&lt;25%,(K124*0.5+L124*0.5)*0.9,IF(K125&lt;50%,(MAX(K124:L124)*0.6+MIN(K124:L124)*0.4)*0.9,IF(K125&lt;70%,(MAX(K124:L124)*0.65+MIN(K124:L124)*0.35)*0.9,IF(K125&lt;100%,(MAX(K124:L124)*0.7+MIN(K124:L124)*0.3)*0.9,0.7*MAX(K124:L124)))))</f>
        <v>2908.0486592375369</v>
      </c>
      <c r="L126" s="130"/>
      <c r="M126" s="129">
        <f>IF(M125&lt;25%,(M124*0.5+N124*0.5)*0.9,IF(M125&lt;50%,(MAX(M124:N124)*0.6+MIN(M124:N124)*0.4)*0.9,IF(M125&lt;70%,(MAX(M124:N124)*0.65+MIN(M124:N124)*0.35)*0.9,IF(M125&lt;100%,(MAX(M124:N124)*0.7+MIN(M124:N124)*0.3)*0.9,0.7*MAX(M124:N124)))))</f>
        <v>2771.038601242677</v>
      </c>
      <c r="N126" s="130"/>
      <c r="O126" s="129">
        <f>IF(O125&lt;25%,(O124*0.5+P124*0.5)*0.9,IF(O125&lt;50%,(MAX(O124:P124)*0.6+MIN(O124:P124)*0.4)*0.9,IF(O125&lt;70%,(MAX(O124:P124)*0.65+MIN(O124:P124)*0.35)*0.9,IF(O125&lt;100%,(MAX(O124:P124)*0.7+MIN(O124:P124)*0.3)*0.9,0.7*MAX(O124:P124)))))</f>
        <v>4522.0062879765383</v>
      </c>
      <c r="P126" s="130"/>
      <c r="Q126" s="129">
        <f>IF(Q125&lt;25%,(Q124*0.5+R124*0.5)*0.9,IF(Q125&lt;50%,(MAX(Q124:R124)*0.6+MIN(Q124:R124)*0.4)*0.9,IF(Q125&lt;70%,(MAX(Q124:R124)*0.65+MIN(Q124:R124)*0.35)*0.9,IF(Q125&lt;100%,(MAX(Q124:R124)*0.7+MIN(Q124:R124)*0.3)*0.9,0.7*MAX(Q124:R124)))))</f>
        <v>3489.6017958991656</v>
      </c>
      <c r="R126" s="130"/>
      <c r="S126" s="129">
        <f>IF(S125&lt;25%,(S124*0.5+T124*0.5)*0.9,IF(S125&lt;50%,(MAX(S124:T124)*0.6+MIN(S124:T124)*0.4)*0.9,IF(S125&lt;70%,(MAX(S124:T124)*0.65+MIN(S124:T124)*0.35)*0.9,IF(S125&lt;100%,(MAX(S124:T124)*0.7+MIN(S124:T124)*0.3)*0.9,0.7*MAX(S124:T124)))))</f>
        <v>4453.4482580069689</v>
      </c>
      <c r="T126" s="130"/>
      <c r="U126" s="129">
        <f>IF(U125&lt;25%,(U124*0.5+V124*0.5)*0.9,IF(U125&lt;50%,(MAX(U124:V124)*0.6+MIN(U124:V124)*0.4)*0.9,IF(U125&lt;70%,(MAX(U124:V124)*0.65+MIN(U124:V124)*0.35)*0.9,IF(U125&lt;100%,(MAX(U124:V124)*0.7+MIN(U124:V124)*0.3)*0.9,0.7*MAX(U124:V124)))))</f>
        <v>5805.9603927272728</v>
      </c>
      <c r="V126" s="130"/>
      <c r="W126" s="129">
        <f>IF(W125&lt;25%,(W124*0.5+X124*0.5)*0.9,IF(W125&lt;50%,(MAX(W124:X124)*0.6+MIN(W124:X124)*0.4)*0.9,IF(W125&lt;70%,(MAX(W124:X124)*0.65+MIN(W124:X124)*0.35)*0.9,IF(W125&lt;100%,(MAX(W124:X124)*0.7+MIN(W124:X124)*0.3)*0.9,0.7*MAX(W124:X124)))))</f>
        <v>3062.2544035476717</v>
      </c>
      <c r="X126" s="130"/>
      <c r="Y126" s="129">
        <f>IF(Y125&lt;25%,(Y124*0.5+Z124*0.5)*0.9,IF(Y125&lt;50%,(MAX(Y124:Z124)*0.6+MIN(Y124:Z124)*0.4)*0.9,IF(Y125&lt;70%,(MAX(Y124:Z124)*0.65+MIN(Y124:Z124)*0.35)*0.9,IF(Y125&lt;100%,(MAX(Y124:Z124)*0.7+MIN(Y124:Z124)*0.3)*0.9,0.7*MAX(Y124:Z124)))))</f>
        <v>4407.6268909090904</v>
      </c>
      <c r="Z126" s="130"/>
      <c r="AA126" s="129">
        <f>IF(AA125&lt;25%,(AA124*0.5+AB124*0.5)*0.9,IF(AA125&lt;50%,(MAX(AA124:AB124)*0.6+MIN(AA124:AB124)*0.4)*0.9,IF(AA125&lt;70%,(MAX(AA124:AB124)*0.65+MIN(AA124:AB124)*0.35)*0.9,IF(AA125&lt;100%,(MAX(AA124:AB124)*0.7+MIN(AA124:AB124)*0.3)*0.9,0.7*MAX(AA124:AB124)))))</f>
        <v>4078.5294090909078</v>
      </c>
      <c r="AB126" s="130"/>
    </row>
    <row r="127" spans="2:32" x14ac:dyDescent="0.3">
      <c r="B127" s="107" t="s">
        <v>15</v>
      </c>
      <c r="C127" s="131">
        <f>C126/(0.9*(0.9*($C$7/100))*($L$9*1000))</f>
        <v>1.3928168031018895</v>
      </c>
      <c r="D127" s="132"/>
      <c r="E127" s="131">
        <f>E126/(0.9*(0.9*($C$7/100))*($L$9*1000))</f>
        <v>3.0292917492683844</v>
      </c>
      <c r="F127" s="132"/>
      <c r="G127" s="131">
        <f>G126/(0.9*(0.9*($C$7/100))*($L$9*1000))</f>
        <v>11.18487174669106</v>
      </c>
      <c r="H127" s="132"/>
      <c r="I127" s="131">
        <f>I126/(0.9*(0.9*($C$7/100))*($L$9*1000))</f>
        <v>3.5512899836282874</v>
      </c>
      <c r="J127" s="132"/>
      <c r="K127" s="131">
        <f>K126/(0.9*(0.9*($C$7/100))*($L$9*1000))</f>
        <v>5.5921861836805054</v>
      </c>
      <c r="L127" s="132"/>
      <c r="M127" s="131">
        <f>M126/(0.9*(0.9*($C$7/100))*($L$9*1000))</f>
        <v>5.3287154364114393</v>
      </c>
      <c r="N127" s="132"/>
      <c r="O127" s="131">
        <f>O126/(0.9*(0.9*($C$7/100))*($L$9*1000))</f>
        <v>8.6958314833593651</v>
      </c>
      <c r="P127" s="132"/>
      <c r="Q127" s="131">
        <f>Q126/(0.9*(0.9*($C$7/100))*($L$9*1000))</f>
        <v>6.7105145877065597</v>
      </c>
      <c r="R127" s="132"/>
      <c r="S127" s="131">
        <f>S126/(0.9*(0.9*($C$7/100))*($L$9*1000))</f>
        <v>8.5639941886984499</v>
      </c>
      <c r="T127" s="132"/>
      <c r="U127" s="131">
        <f>U126/(0.9*(0.9*($C$7/100))*($L$9*1000))</f>
        <v>11.164879029128249</v>
      </c>
      <c r="V127" s="132"/>
      <c r="W127" s="131">
        <f>W126/(0.9*(0.9*($C$7/100))*($L$9*1000))</f>
        <v>5.8887242866575731</v>
      </c>
      <c r="X127" s="132"/>
      <c r="Y127" s="131">
        <f>Y126/(0.9*(0.9*($C$7/100))*($L$9*1000))</f>
        <v>8.4758795640727076</v>
      </c>
      <c r="Z127" s="132"/>
      <c r="AA127" s="131">
        <f>AA126/(0.9*(0.9*($C$7/100))*($L$9*1000))</f>
        <v>7.8430241319389777</v>
      </c>
      <c r="AB127" s="132"/>
    </row>
    <row r="128" spans="2:32" x14ac:dyDescent="0.3">
      <c r="B128" s="107" t="s">
        <v>98</v>
      </c>
      <c r="C128" s="133">
        <f>(C127*($L$9))/(0.85*$L$6*100)</f>
        <v>1.9644936290249094E-2</v>
      </c>
      <c r="D128" s="134"/>
      <c r="E128" s="133">
        <f>(E127*($L$9))/(0.85*$L$6*100)</f>
        <v>4.2726540408201306E-2</v>
      </c>
      <c r="F128" s="134"/>
      <c r="G128" s="133">
        <f>(G127*($L$9))/(0.85*$L$6*100)</f>
        <v>0.15775663560994477</v>
      </c>
      <c r="H128" s="134"/>
      <c r="I128" s="133">
        <f>(I127*($L$9))/(0.85*$L$6*100)</f>
        <v>5.0089046399502624E-2</v>
      </c>
      <c r="J128" s="134"/>
      <c r="K128" s="133">
        <f>(K127*($L$9))/(0.85*$L$6*100)</f>
        <v>7.8874796065752401E-2</v>
      </c>
      <c r="L128" s="134"/>
      <c r="M128" s="133">
        <f>(M127*($L$9))/(0.85*$L$6*100)</f>
        <v>7.515868204923698E-2</v>
      </c>
      <c r="N128" s="134"/>
      <c r="O128" s="133">
        <f>(O127*($L$9))/(0.85*$L$6*100)</f>
        <v>0.12265005354680537</v>
      </c>
      <c r="P128" s="134"/>
      <c r="Q128" s="133">
        <f>(Q127*($L$9))/(0.85*$L$6*100)</f>
        <v>9.4648220251718818E-2</v>
      </c>
      <c r="R128" s="134"/>
      <c r="S128" s="133">
        <f>(S127*($L$9))/(0.85*$L$6*100)</f>
        <v>0.12079055899696613</v>
      </c>
      <c r="T128" s="134"/>
      <c r="U128" s="133">
        <f>(U127*($L$9))/(0.85*$L$6*100)</f>
        <v>0.15747464901851677</v>
      </c>
      <c r="V128" s="134"/>
      <c r="W128" s="133">
        <f>(W127*($L$9))/(0.85*$L$6*100)</f>
        <v>8.3057307453927892E-2</v>
      </c>
      <c r="X128" s="134"/>
      <c r="Y128" s="133">
        <f>(Y127*($L$9))/(0.85*$L$6*100)</f>
        <v>0.11954774933014069</v>
      </c>
      <c r="Z128" s="134"/>
      <c r="AA128" s="133">
        <f>(AA127*($L$9))/(0.85*$L$6*100)</f>
        <v>0.11062166183786069</v>
      </c>
      <c r="AB128" s="134"/>
    </row>
    <row r="129" spans="2:28" ht="15" thickBot="1" x14ac:dyDescent="0.35">
      <c r="B129" s="108" t="s">
        <v>15</v>
      </c>
      <c r="C129" s="135">
        <f>ROUNDUP(C126/(0.9*(($C$7-C128/2)/100)*($L$9*1000)),2)</f>
        <v>1.26</v>
      </c>
      <c r="D129" s="136"/>
      <c r="E129" s="135">
        <f>ROUNDUP(E126/(0.9*(($C$7-E128/2)/100)*($L$9*1000)),2)</f>
        <v>2.7399999999999998</v>
      </c>
      <c r="F129" s="136"/>
      <c r="G129" s="135">
        <f>ROUNDUP(G126/(0.9*(($C$7-G128/2)/100)*($L$9*1000)),2)</f>
        <v>10.119999999999999</v>
      </c>
      <c r="H129" s="136"/>
      <c r="I129" s="135">
        <f>ROUNDUP(I126/(0.9*(($C$7-I128/2)/100)*($L$9*1000)),2)</f>
        <v>3.21</v>
      </c>
      <c r="J129" s="136"/>
      <c r="K129" s="135">
        <f>ROUNDUP(K126/(0.9*(($C$7-K128/2)/100)*($L$9*1000)),2)</f>
        <v>5.05</v>
      </c>
      <c r="L129" s="136"/>
      <c r="M129" s="135">
        <f>ROUNDUP(M126/(0.9*(($C$7-M128/2)/100)*($L$9*1000)),2)</f>
        <v>4.8099999999999996</v>
      </c>
      <c r="N129" s="136"/>
      <c r="O129" s="135">
        <f>ROUNDUP(O126/(0.9*(($C$7-O128/2)/100)*($L$9*1000)),2)</f>
        <v>7.8599999999999994</v>
      </c>
      <c r="P129" s="136"/>
      <c r="Q129" s="135">
        <f>ROUNDUP(Q126/(0.9*(($C$7-Q128/2)/100)*($L$9*1000)),2)</f>
        <v>6.06</v>
      </c>
      <c r="R129" s="136"/>
      <c r="S129" s="135">
        <f>ROUNDUP(S126/(0.9*(($C$7-S128/2)/100)*($L$9*1000)),2)</f>
        <v>7.74</v>
      </c>
      <c r="T129" s="136"/>
      <c r="U129" s="135">
        <f>ROUNDUP(U126/(0.9*(($C$7-U128/2)/100)*($L$9*1000)),2)</f>
        <v>10.11</v>
      </c>
      <c r="V129" s="136"/>
      <c r="W129" s="135">
        <f>ROUNDUP(W126/(0.9*(($C$7-W128/2)/100)*($L$9*1000)),2)</f>
        <v>5.3199999999999994</v>
      </c>
      <c r="X129" s="136"/>
      <c r="Y129" s="135">
        <f>ROUNDUP(Y126/(0.9*(($C$7-Y128/2)/100)*($L$9*1000)),2)</f>
        <v>7.66</v>
      </c>
      <c r="Z129" s="136"/>
      <c r="AA129" s="135">
        <f>ROUNDUP(AA126/(0.9*(($C$7-AA128/2)/100)*($L$9*1000)),2)</f>
        <v>7.09</v>
      </c>
      <c r="AB129" s="136"/>
    </row>
    <row r="130" spans="2:28" ht="16.2" thickBot="1" x14ac:dyDescent="0.35">
      <c r="B130" s="61" t="s">
        <v>113</v>
      </c>
      <c r="C130" s="140" t="str">
        <f>IF(C129&gt;$C$12,"φ"&amp;IF(VLOOKUP(VLOOKUP(C129,tablas!$R$3:$T$66,2,TRUE)&amp;VLOOKUP(C129,tablas!$R$3:$T$66,3,TRUE),tablas!$Q$3:$R$66,2,FALSE)&lt;C129,VLOOKUP(C129+0.1,tablas!$R$3:$T$66,2,TRUE),VLOOKUP(C129,tablas!$R$3:$T$66,2,TRUE))&amp;"@"&amp;IF(VLOOKUP(VLOOKUP(C129,tablas!$R$3:$T$66,2,TRUE)&amp;VLOOKUP(C129,tablas!$R$3:$T$66,3,TRUE),tablas!$Q$3:$R$66,2,FALSE)&lt;C129,VLOOKUP(C129+0.1,tablas!$R$3:$T$66,3,TRUE),VLOOKUP(C129,tablas!$R$3:$T$66,3,TRUE)),$C$13)</f>
        <v>φ8@16</v>
      </c>
      <c r="D130" s="141"/>
      <c r="E130" s="140" t="str">
        <f>IF(E129&gt;$C$12,"φ"&amp;IF(VLOOKUP(VLOOKUP(E129,tablas!$R$3:$T$66,2,TRUE)&amp;VLOOKUP(E129,tablas!$R$3:$T$66,3,TRUE),tablas!$Q$3:$R$66,2,FALSE)&lt;E129,VLOOKUP(E129+0.1,tablas!$R$3:$T$66,2,TRUE),VLOOKUP(E129,tablas!$R$3:$T$66,2,TRUE))&amp;"@"&amp;IF(VLOOKUP(VLOOKUP(E129,tablas!$R$3:$T$66,2,TRUE)&amp;VLOOKUP(E129,tablas!$R$3:$T$66,3,TRUE),tablas!$Q$3:$R$66,2,FALSE)&lt;E129,VLOOKUP(E129+0.1,tablas!$R$3:$T$66,3,TRUE),VLOOKUP(E129,tablas!$R$3:$T$66,3,TRUE)),$C$13)</f>
        <v>φ8@16</v>
      </c>
      <c r="F130" s="141"/>
      <c r="G130" s="140" t="str">
        <f>IF(G129&gt;$C$12,"φ"&amp;IF(VLOOKUP(VLOOKUP(G129,tablas!$R$3:$T$66,2,TRUE)&amp;VLOOKUP(G129,tablas!$R$3:$T$66,3,TRUE),tablas!$Q$3:$R$66,2,FALSE)&lt;G129,VLOOKUP(G129+0.1,tablas!$R$3:$T$66,2,TRUE),VLOOKUP(G129,tablas!$R$3:$T$66,2,TRUE))&amp;"@"&amp;IF(VLOOKUP(VLOOKUP(G129,tablas!$R$3:$T$66,2,TRUE)&amp;VLOOKUP(G129,tablas!$R$3:$T$66,3,TRUE),tablas!$Q$3:$R$66,2,FALSE)&lt;G129,VLOOKUP(G129+0.1,tablas!$R$3:$T$66,3,TRUE),VLOOKUP(G129,tablas!$R$3:$T$66,3,TRUE)),$C$13)</f>
        <v>φ16@20</v>
      </c>
      <c r="H130" s="141"/>
      <c r="I130" s="140" t="str">
        <f>IF(I129&gt;$C$12,"φ"&amp;IF(VLOOKUP(VLOOKUP(I129,tablas!$R$3:$T$66,2,TRUE)&amp;VLOOKUP(I129,tablas!$R$3:$T$66,3,TRUE),tablas!$Q$3:$R$66,2,FALSE)&lt;I129,VLOOKUP(I129+0.1,tablas!$R$3:$T$66,2,TRUE),VLOOKUP(I129,tablas!$R$3:$T$66,2,TRUE))&amp;"@"&amp;IF(VLOOKUP(VLOOKUP(I129,tablas!$R$3:$T$66,2,TRUE)&amp;VLOOKUP(I129,tablas!$R$3:$T$66,3,TRUE),tablas!$Q$3:$R$66,2,FALSE)&lt;I129,VLOOKUP(I129+0.1,tablas!$R$3:$T$66,3,TRUE),VLOOKUP(I129,tablas!$R$3:$T$66,3,TRUE)),$C$13)</f>
        <v>φ10@24</v>
      </c>
      <c r="J130" s="141"/>
      <c r="K130" s="140" t="str">
        <f>IF(K129&gt;$C$12,"φ"&amp;IF(VLOOKUP(VLOOKUP(K129,tablas!$R$3:$T$66,2,TRUE)&amp;VLOOKUP(K129,tablas!$R$3:$T$66,3,TRUE),tablas!$Q$3:$R$66,2,FALSE)&lt;K129,VLOOKUP(K129+0.1,tablas!$R$3:$T$66,2,TRUE),VLOOKUP(K129,tablas!$R$3:$T$66,2,TRUE))&amp;"@"&amp;IF(VLOOKUP(VLOOKUP(K129,tablas!$R$3:$T$66,2,TRUE)&amp;VLOOKUP(K129,tablas!$R$3:$T$66,3,TRUE),tablas!$Q$3:$R$66,2,FALSE)&lt;K129,VLOOKUP(K129+0.1,tablas!$R$3:$T$66,3,TRUE),VLOOKUP(K129,tablas!$R$3:$T$66,3,TRUE)),$C$13)</f>
        <v>φ12@22</v>
      </c>
      <c r="L130" s="141"/>
      <c r="M130" s="140" t="str">
        <f>IF(M129&gt;$C$12,"φ"&amp;IF(VLOOKUP(VLOOKUP(M129,tablas!$R$3:$T$66,2,TRUE)&amp;VLOOKUP(M129,tablas!$R$3:$T$66,3,TRUE),tablas!$Q$3:$R$66,2,FALSE)&lt;M129,VLOOKUP(M129+0.1,tablas!$R$3:$T$66,2,TRUE),VLOOKUP(M129,tablas!$R$3:$T$66,2,TRUE))&amp;"@"&amp;IF(VLOOKUP(VLOOKUP(M129,tablas!$R$3:$T$66,2,TRUE)&amp;VLOOKUP(M129,tablas!$R$3:$T$66,3,TRUE),tablas!$Q$3:$R$66,2,FALSE)&lt;M129,VLOOKUP(M129+0.1,tablas!$R$3:$T$66,3,TRUE),VLOOKUP(M129,tablas!$R$3:$T$66,3,TRUE)),$C$13)</f>
        <v>φ12@24</v>
      </c>
      <c r="N130" s="141"/>
      <c r="O130" s="140" t="str">
        <f>IF(O129&gt;$C$12,"φ"&amp;IF(VLOOKUP(VLOOKUP(O129,tablas!$R$3:$T$66,2,TRUE)&amp;VLOOKUP(O129,tablas!$R$3:$T$66,3,TRUE),tablas!$Q$3:$R$66,2,FALSE)&lt;O129,VLOOKUP(O129+0.1,tablas!$R$3:$T$66,2,TRUE),VLOOKUP(O129,tablas!$R$3:$T$66,2,TRUE))&amp;"@"&amp;IF(VLOOKUP(VLOOKUP(O129,tablas!$R$3:$T$66,2,TRUE)&amp;VLOOKUP(O129,tablas!$R$3:$T$66,3,TRUE),tablas!$Q$3:$R$66,2,FALSE)&lt;O129,VLOOKUP(O129+0.1,tablas!$R$3:$T$66,3,TRUE),VLOOKUP(O129,tablas!$R$3:$T$66,3,TRUE)),$C$13)</f>
        <v>φ10@10</v>
      </c>
      <c r="P130" s="141"/>
      <c r="Q130" s="140" t="str">
        <f>IF(Q129&gt;$C$12,"φ"&amp;IF(VLOOKUP(VLOOKUP(Q129,tablas!$R$3:$T$66,2,TRUE)&amp;VLOOKUP(Q129,tablas!$R$3:$T$66,3,TRUE),tablas!$Q$3:$R$66,2,FALSE)&lt;Q129,VLOOKUP(Q129+0.1,tablas!$R$3:$T$66,2,TRUE),VLOOKUP(Q129,tablas!$R$3:$T$66,2,TRUE))&amp;"@"&amp;IF(VLOOKUP(VLOOKUP(Q129,tablas!$R$3:$T$66,2,TRUE)&amp;VLOOKUP(Q129,tablas!$R$3:$T$66,3,TRUE),tablas!$Q$3:$R$66,2,FALSE)&lt;Q129,VLOOKUP(Q129+0.1,tablas!$R$3:$T$66,3,TRUE),VLOOKUP(Q129,tablas!$R$3:$T$66,3,TRUE)),$C$13)</f>
        <v>φ10@13</v>
      </c>
      <c r="R130" s="141"/>
      <c r="S130" s="140" t="str">
        <f>IF(S129&gt;$C$12,"φ"&amp;IF(VLOOKUP(VLOOKUP(S129,tablas!$R$3:$T$66,2,TRUE)&amp;VLOOKUP(S129,tablas!$R$3:$T$66,3,TRUE),tablas!$Q$3:$R$66,2,FALSE)&lt;S129,VLOOKUP(S129+0.1,tablas!$R$3:$T$66,2,TRUE),VLOOKUP(S129,tablas!$R$3:$T$66,2,TRUE))&amp;"@"&amp;IF(VLOOKUP(VLOOKUP(S129,tablas!$R$3:$T$66,2,TRUE)&amp;VLOOKUP(S129,tablas!$R$3:$T$66,3,TRUE),tablas!$Q$3:$R$66,2,FALSE)&lt;S129,VLOOKUP(S129+0.1,tablas!$R$3:$T$66,3,TRUE),VLOOKUP(S129,tablas!$R$3:$T$66,3,TRUE)),$C$13)</f>
        <v>φ12@15</v>
      </c>
      <c r="T130" s="141"/>
      <c r="U130" s="140" t="str">
        <f>IF(U129&gt;$C$12,"φ"&amp;IF(VLOOKUP(VLOOKUP(U129,tablas!$R$3:$T$66,2,TRUE)&amp;VLOOKUP(U129,tablas!$R$3:$T$66,3,TRUE),tablas!$Q$3:$R$66,2,FALSE)&lt;U129,VLOOKUP(U129+0.1,tablas!$R$3:$T$66,2,TRUE),VLOOKUP(U129,tablas!$R$3:$T$66,2,TRUE))&amp;"@"&amp;IF(VLOOKUP(VLOOKUP(U129,tablas!$R$3:$T$66,2,TRUE)&amp;VLOOKUP(U129,tablas!$R$3:$T$66,3,TRUE),tablas!$Q$3:$R$66,2,FALSE)&lt;U129,VLOOKUP(U129+0.1,tablas!$R$3:$T$66,3,TRUE),VLOOKUP(U129,tablas!$R$3:$T$66,3,TRUE)),$C$13)</f>
        <v>φ16@20</v>
      </c>
      <c r="V130" s="141"/>
      <c r="W130" s="140" t="str">
        <f>IF(W129&gt;$C$12,"φ"&amp;IF(VLOOKUP(VLOOKUP(W129,tablas!$R$3:$T$66,2,TRUE)&amp;VLOOKUP(W129,tablas!$R$3:$T$66,3,TRUE),tablas!$Q$3:$R$66,2,FALSE)&lt;W129,VLOOKUP(W129+0.1,tablas!$R$3:$T$66,2,TRUE),VLOOKUP(W129,tablas!$R$3:$T$66,2,TRUE))&amp;"@"&amp;IF(VLOOKUP(VLOOKUP(W129,tablas!$R$3:$T$66,2,TRUE)&amp;VLOOKUP(W129,tablas!$R$3:$T$66,3,TRUE),tablas!$Q$3:$R$66,2,FALSE)&lt;W129,VLOOKUP(W129+0.1,tablas!$R$3:$T$66,3,TRUE),VLOOKUP(W129,tablas!$R$3:$T$66,3,TRUE)),$C$13)</f>
        <v>φ12@21</v>
      </c>
      <c r="X130" s="141"/>
      <c r="Y130" s="140" t="str">
        <f>IF(Y129&gt;$C$12,"φ"&amp;IF(VLOOKUP(VLOOKUP(Y129,tablas!$R$3:$T$66,2,TRUE)&amp;VLOOKUP(Y129,tablas!$R$3:$T$66,3,TRUE),tablas!$Q$3:$R$66,2,FALSE)&lt;Y129,VLOOKUP(Y129+0.1,tablas!$R$3:$T$66,2,TRUE),VLOOKUP(Y129,tablas!$R$3:$T$66,2,TRUE))&amp;"@"&amp;IF(VLOOKUP(VLOOKUP(Y129,tablas!$R$3:$T$66,2,TRUE)&amp;VLOOKUP(Y129,tablas!$R$3:$T$66,3,TRUE),tablas!$Q$3:$R$66,2,FALSE)&lt;Y129,VLOOKUP(Y129+0.1,tablas!$R$3:$T$66,3,TRUE),VLOOKUP(Y129,tablas!$R$3:$T$66,3,TRUE)),$C$13)</f>
        <v>φ12@15</v>
      </c>
      <c r="Z130" s="141"/>
      <c r="AA130" s="140" t="str">
        <f>IF(AA129&gt;$C$12,"φ"&amp;IF(VLOOKUP(VLOOKUP(AA129,tablas!$R$3:$T$66,2,TRUE)&amp;VLOOKUP(AA129,tablas!$R$3:$T$66,3,TRUE),tablas!$Q$3:$R$66,2,FALSE)&lt;AA129,VLOOKUP(AA129+0.1,tablas!$R$3:$T$66,2,TRUE),VLOOKUP(AA129,tablas!$R$3:$T$66,2,TRUE))&amp;"@"&amp;IF(VLOOKUP(VLOOKUP(AA129,tablas!$R$3:$T$66,2,TRUE)&amp;VLOOKUP(AA129,tablas!$R$3:$T$66,3,TRUE),tablas!$Q$3:$R$66,2,FALSE)&lt;AA129,VLOOKUP(AA129+0.1,tablas!$R$3:$T$66,3,TRUE),VLOOKUP(AA129,tablas!$R$3:$T$66,3,TRUE)),$C$13)</f>
        <v>φ10@11</v>
      </c>
      <c r="AB130" s="141"/>
    </row>
  </sheetData>
  <mergeCells count="356">
    <mergeCell ref="AA127:AB127"/>
    <mergeCell ref="AA128:AB128"/>
    <mergeCell ref="AA129:AB129"/>
    <mergeCell ref="AA130:AB130"/>
    <mergeCell ref="Y125:Z125"/>
    <mergeCell ref="Y126:Z126"/>
    <mergeCell ref="Y127:Z127"/>
    <mergeCell ref="Y128:Z128"/>
    <mergeCell ref="Y129:Z129"/>
    <mergeCell ref="Y130:Z130"/>
    <mergeCell ref="AC120:AD120"/>
    <mergeCell ref="AE120:AF120"/>
    <mergeCell ref="C130:D130"/>
    <mergeCell ref="E130:F130"/>
    <mergeCell ref="G130:H130"/>
    <mergeCell ref="I130:J130"/>
    <mergeCell ref="K130:L130"/>
    <mergeCell ref="I129:J129"/>
    <mergeCell ref="K129:L129"/>
    <mergeCell ref="M129:N129"/>
    <mergeCell ref="O129:P129"/>
    <mergeCell ref="Q129:R129"/>
    <mergeCell ref="S129:T129"/>
    <mergeCell ref="M130:N130"/>
    <mergeCell ref="O130:P130"/>
    <mergeCell ref="Q130:R130"/>
    <mergeCell ref="S130:T130"/>
    <mergeCell ref="U130:V130"/>
    <mergeCell ref="W130:X130"/>
    <mergeCell ref="U129:V129"/>
    <mergeCell ref="W129:X129"/>
    <mergeCell ref="AA120:AB120"/>
    <mergeCell ref="AA125:AB125"/>
    <mergeCell ref="AA126:AB126"/>
    <mergeCell ref="C129:D129"/>
    <mergeCell ref="E129:F129"/>
    <mergeCell ref="G129:H129"/>
    <mergeCell ref="M128:N128"/>
    <mergeCell ref="O128:P128"/>
    <mergeCell ref="Q128:R128"/>
    <mergeCell ref="S128:T128"/>
    <mergeCell ref="U128:V128"/>
    <mergeCell ref="W128:X128"/>
    <mergeCell ref="C128:D128"/>
    <mergeCell ref="E128:F128"/>
    <mergeCell ref="G128:H128"/>
    <mergeCell ref="I128:J128"/>
    <mergeCell ref="K128:L128"/>
    <mergeCell ref="I127:J127"/>
    <mergeCell ref="K127:L127"/>
    <mergeCell ref="M127:N127"/>
    <mergeCell ref="O127:P127"/>
    <mergeCell ref="AA117:AB117"/>
    <mergeCell ref="AC117:AD117"/>
    <mergeCell ref="AE117:AF117"/>
    <mergeCell ref="C127:D127"/>
    <mergeCell ref="E127:F127"/>
    <mergeCell ref="G127:H127"/>
    <mergeCell ref="M126:N126"/>
    <mergeCell ref="O126:P126"/>
    <mergeCell ref="Q126:R126"/>
    <mergeCell ref="S126:T126"/>
    <mergeCell ref="U126:V126"/>
    <mergeCell ref="W126:X126"/>
    <mergeCell ref="U125:V125"/>
    <mergeCell ref="W125:X125"/>
    <mergeCell ref="AA118:AB118"/>
    <mergeCell ref="AC118:AD118"/>
    <mergeCell ref="AE118:AF118"/>
    <mergeCell ref="Q127:R127"/>
    <mergeCell ref="S127:T127"/>
    <mergeCell ref="AA119:AB119"/>
    <mergeCell ref="AC119:AD119"/>
    <mergeCell ref="AE119:AF119"/>
    <mergeCell ref="U127:V127"/>
    <mergeCell ref="W127:X127"/>
    <mergeCell ref="I120:J120"/>
    <mergeCell ref="K120:L120"/>
    <mergeCell ref="AA116:AB116"/>
    <mergeCell ref="AC116:AD116"/>
    <mergeCell ref="AE116:AF116"/>
    <mergeCell ref="C126:D126"/>
    <mergeCell ref="E126:F126"/>
    <mergeCell ref="G126:H126"/>
    <mergeCell ref="I126:J126"/>
    <mergeCell ref="K126:L126"/>
    <mergeCell ref="I125:J125"/>
    <mergeCell ref="K125:L125"/>
    <mergeCell ref="M125:N125"/>
    <mergeCell ref="O125:P125"/>
    <mergeCell ref="Q125:R125"/>
    <mergeCell ref="S125:T125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Y118:Z118"/>
    <mergeCell ref="Y117:Z117"/>
    <mergeCell ref="AA115:AB115"/>
    <mergeCell ref="AC115:AD115"/>
    <mergeCell ref="AE115:AF115"/>
    <mergeCell ref="C125:D125"/>
    <mergeCell ref="E125:F125"/>
    <mergeCell ref="G125:H125"/>
    <mergeCell ref="I105:J105"/>
    <mergeCell ref="I106:J106"/>
    <mergeCell ref="I107:J107"/>
    <mergeCell ref="I108:J108"/>
    <mergeCell ref="I109:J109"/>
    <mergeCell ref="I110:J110"/>
    <mergeCell ref="Q120:R120"/>
    <mergeCell ref="S120:T120"/>
    <mergeCell ref="U120:V120"/>
    <mergeCell ref="W120:X120"/>
    <mergeCell ref="Y120:Z120"/>
    <mergeCell ref="Y119:Z119"/>
    <mergeCell ref="AE110:AF110"/>
    <mergeCell ref="C120:D120"/>
    <mergeCell ref="E120:F120"/>
    <mergeCell ref="G120:H120"/>
    <mergeCell ref="C119:D119"/>
    <mergeCell ref="E119:F119"/>
    <mergeCell ref="G119:H119"/>
    <mergeCell ref="I119:J119"/>
    <mergeCell ref="K119:L119"/>
    <mergeCell ref="Q118:R118"/>
    <mergeCell ref="S118:T118"/>
    <mergeCell ref="U118:V118"/>
    <mergeCell ref="W118:X118"/>
    <mergeCell ref="C118:D118"/>
    <mergeCell ref="E118:F118"/>
    <mergeCell ref="G118:H118"/>
    <mergeCell ref="I118:J118"/>
    <mergeCell ref="K118:L118"/>
    <mergeCell ref="M118:N118"/>
    <mergeCell ref="O118:P118"/>
    <mergeCell ref="M117:N117"/>
    <mergeCell ref="O117:P117"/>
    <mergeCell ref="C117:D117"/>
    <mergeCell ref="E117:F117"/>
    <mergeCell ref="G117:H117"/>
    <mergeCell ref="I117:J117"/>
    <mergeCell ref="K117:L117"/>
    <mergeCell ref="Q116:R116"/>
    <mergeCell ref="S116:T116"/>
    <mergeCell ref="U116:V116"/>
    <mergeCell ref="W116:X116"/>
    <mergeCell ref="Q117:R117"/>
    <mergeCell ref="S117:T117"/>
    <mergeCell ref="U117:V117"/>
    <mergeCell ref="W117:X117"/>
    <mergeCell ref="AE106:AF106"/>
    <mergeCell ref="C116:D116"/>
    <mergeCell ref="E116:F116"/>
    <mergeCell ref="G116:H116"/>
    <mergeCell ref="I116:J116"/>
    <mergeCell ref="K116:L116"/>
    <mergeCell ref="M116:N116"/>
    <mergeCell ref="O116:P116"/>
    <mergeCell ref="M115:N115"/>
    <mergeCell ref="O115:P115"/>
    <mergeCell ref="Q115:R115"/>
    <mergeCell ref="S115:T115"/>
    <mergeCell ref="U115:V115"/>
    <mergeCell ref="W115:X115"/>
    <mergeCell ref="AE107:AF107"/>
    <mergeCell ref="Y116:Z116"/>
    <mergeCell ref="Y115:Z115"/>
    <mergeCell ref="AE108:AF108"/>
    <mergeCell ref="AE109:AF109"/>
    <mergeCell ref="AE105:AF105"/>
    <mergeCell ref="C115:D115"/>
    <mergeCell ref="E115:F115"/>
    <mergeCell ref="G115:H115"/>
    <mergeCell ref="I115:J115"/>
    <mergeCell ref="K115:L115"/>
    <mergeCell ref="AC105:AD105"/>
    <mergeCell ref="AC106:AD106"/>
    <mergeCell ref="AC107:AD107"/>
    <mergeCell ref="AC108:AD108"/>
    <mergeCell ref="AC109:AD109"/>
    <mergeCell ref="AC110:AD110"/>
    <mergeCell ref="AA105:AB105"/>
    <mergeCell ref="AA106:AB106"/>
    <mergeCell ref="AA107:AB107"/>
    <mergeCell ref="AA108:AB108"/>
    <mergeCell ref="AA109:AB109"/>
    <mergeCell ref="AA110:AB110"/>
    <mergeCell ref="Y105:Z105"/>
    <mergeCell ref="Y106:Z106"/>
    <mergeCell ref="Y107:Z107"/>
    <mergeCell ref="Y108:Z108"/>
    <mergeCell ref="Y109:Z109"/>
    <mergeCell ref="Y110:Z110"/>
    <mergeCell ref="W105:X105"/>
    <mergeCell ref="W106:X106"/>
    <mergeCell ref="W107:X107"/>
    <mergeCell ref="W108:X108"/>
    <mergeCell ref="W109:X109"/>
    <mergeCell ref="W110:X110"/>
    <mergeCell ref="U105:V105"/>
    <mergeCell ref="U106:V106"/>
    <mergeCell ref="U107:V107"/>
    <mergeCell ref="U108:V108"/>
    <mergeCell ref="U109:V109"/>
    <mergeCell ref="U110:V110"/>
    <mergeCell ref="S105:T105"/>
    <mergeCell ref="S106:T106"/>
    <mergeCell ref="S107:T107"/>
    <mergeCell ref="S108:T108"/>
    <mergeCell ref="S109:T109"/>
    <mergeCell ref="S110:T110"/>
    <mergeCell ref="Q105:R105"/>
    <mergeCell ref="Q106:R106"/>
    <mergeCell ref="Q107:R107"/>
    <mergeCell ref="Q108:R108"/>
    <mergeCell ref="Q109:R109"/>
    <mergeCell ref="Q110:R110"/>
    <mergeCell ref="O105:P105"/>
    <mergeCell ref="O106:P106"/>
    <mergeCell ref="O107:P107"/>
    <mergeCell ref="O108:P108"/>
    <mergeCell ref="O109:P109"/>
    <mergeCell ref="O110:P110"/>
    <mergeCell ref="M105:N105"/>
    <mergeCell ref="M106:N106"/>
    <mergeCell ref="M107:N107"/>
    <mergeCell ref="M108:N108"/>
    <mergeCell ref="M109:N109"/>
    <mergeCell ref="M110:N110"/>
    <mergeCell ref="K105:L105"/>
    <mergeCell ref="K106:L106"/>
    <mergeCell ref="K107:L107"/>
    <mergeCell ref="K108:L108"/>
    <mergeCell ref="K109:L109"/>
    <mergeCell ref="K110:L110"/>
    <mergeCell ref="G105:H105"/>
    <mergeCell ref="G106:H106"/>
    <mergeCell ref="G107:H107"/>
    <mergeCell ref="G108:H108"/>
    <mergeCell ref="G109:H109"/>
    <mergeCell ref="G110:H110"/>
    <mergeCell ref="E105:F105"/>
    <mergeCell ref="E106:F106"/>
    <mergeCell ref="E107:F107"/>
    <mergeCell ref="E108:F108"/>
    <mergeCell ref="E109:F109"/>
    <mergeCell ref="E110:F110"/>
    <mergeCell ref="C105:D105"/>
    <mergeCell ref="C106:D106"/>
    <mergeCell ref="C107:D107"/>
    <mergeCell ref="C108:D108"/>
    <mergeCell ref="C109:D109"/>
    <mergeCell ref="C110:D110"/>
    <mergeCell ref="AE95:AF95"/>
    <mergeCell ref="AE96:AF96"/>
    <mergeCell ref="AE97:AF97"/>
    <mergeCell ref="AE98:AF98"/>
    <mergeCell ref="AE99:AF99"/>
    <mergeCell ref="AE100:AF100"/>
    <mergeCell ref="AC95:AD95"/>
    <mergeCell ref="AC96:AD96"/>
    <mergeCell ref="AC97:AD97"/>
    <mergeCell ref="AC98:AD98"/>
    <mergeCell ref="AC99:AD99"/>
    <mergeCell ref="AC100:AD100"/>
    <mergeCell ref="AA95:AB95"/>
    <mergeCell ref="AA96:AB96"/>
    <mergeCell ref="AA97:AB97"/>
    <mergeCell ref="AA98:AB98"/>
    <mergeCell ref="AA99:AB99"/>
    <mergeCell ref="AA100:AB100"/>
    <mergeCell ref="Y95:Z95"/>
    <mergeCell ref="Y96:Z96"/>
    <mergeCell ref="Y97:Z97"/>
    <mergeCell ref="Y98:Z98"/>
    <mergeCell ref="Y99:Z99"/>
    <mergeCell ref="Y100:Z100"/>
    <mergeCell ref="W96:X96"/>
    <mergeCell ref="W97:X97"/>
    <mergeCell ref="W98:X98"/>
    <mergeCell ref="W99:X99"/>
    <mergeCell ref="W100:X100"/>
    <mergeCell ref="U95:V95"/>
    <mergeCell ref="U96:V96"/>
    <mergeCell ref="U97:V97"/>
    <mergeCell ref="U98:V98"/>
    <mergeCell ref="U99:V99"/>
    <mergeCell ref="U100:V100"/>
    <mergeCell ref="O100:P100"/>
    <mergeCell ref="M95:N95"/>
    <mergeCell ref="M96:N96"/>
    <mergeCell ref="M97:N97"/>
    <mergeCell ref="M98:N98"/>
    <mergeCell ref="M99:N99"/>
    <mergeCell ref="M100:N100"/>
    <mergeCell ref="S95:T95"/>
    <mergeCell ref="S96:T96"/>
    <mergeCell ref="S97:T97"/>
    <mergeCell ref="S98:T98"/>
    <mergeCell ref="S99:T99"/>
    <mergeCell ref="S100:T100"/>
    <mergeCell ref="Q95:R95"/>
    <mergeCell ref="Q96:R96"/>
    <mergeCell ref="Q97:R97"/>
    <mergeCell ref="Q98:R98"/>
    <mergeCell ref="Q99:R99"/>
    <mergeCell ref="Q100:R100"/>
    <mergeCell ref="G100:H100"/>
    <mergeCell ref="C100:D100"/>
    <mergeCell ref="E95:F95"/>
    <mergeCell ref="E96:F96"/>
    <mergeCell ref="E97:F97"/>
    <mergeCell ref="E98:F98"/>
    <mergeCell ref="E99:F99"/>
    <mergeCell ref="E100:F100"/>
    <mergeCell ref="K95:L95"/>
    <mergeCell ref="K96:L96"/>
    <mergeCell ref="K97:L97"/>
    <mergeCell ref="K98:L98"/>
    <mergeCell ref="K99:L99"/>
    <mergeCell ref="K100:L100"/>
    <mergeCell ref="I95:J95"/>
    <mergeCell ref="I96:J96"/>
    <mergeCell ref="I97:J97"/>
    <mergeCell ref="I98:J98"/>
    <mergeCell ref="I99:J99"/>
    <mergeCell ref="I100:J100"/>
    <mergeCell ref="E4:F4"/>
    <mergeCell ref="H4:I4"/>
    <mergeCell ref="K4:L4"/>
    <mergeCell ref="B91:C91"/>
    <mergeCell ref="C95:D95"/>
    <mergeCell ref="C96:D96"/>
    <mergeCell ref="C97:D97"/>
    <mergeCell ref="C98:D98"/>
    <mergeCell ref="C99:D99"/>
    <mergeCell ref="B47:AE47"/>
    <mergeCell ref="B52:AE52"/>
    <mergeCell ref="B62:AE62"/>
    <mergeCell ref="B69:AE69"/>
    <mergeCell ref="G95:H95"/>
    <mergeCell ref="G96:H96"/>
    <mergeCell ref="G97:H97"/>
    <mergeCell ref="G98:H98"/>
    <mergeCell ref="G99:H99"/>
    <mergeCell ref="O95:P95"/>
    <mergeCell ref="O96:P96"/>
    <mergeCell ref="O97:P97"/>
    <mergeCell ref="O98:P98"/>
    <mergeCell ref="O99:P99"/>
    <mergeCell ref="W95:X95"/>
  </mergeCells>
  <conditionalFormatting sqref="C50:C51">
    <cfRule type="cellIs" dxfId="0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2:L73"/>
  <sheetViews>
    <sheetView showGridLines="0" topLeftCell="A45" zoomScaleNormal="100" workbookViewId="0">
      <selection activeCell="J68" sqref="J68"/>
    </sheetView>
  </sheetViews>
  <sheetFormatPr baseColWidth="10" defaultRowHeight="14.4" x14ac:dyDescent="0.3"/>
  <cols>
    <col min="1" max="16384" width="11.5546875" style="148"/>
  </cols>
  <sheetData>
    <row r="2" spans="2:12" ht="15" thickBot="1" x14ac:dyDescent="0.35"/>
    <row r="3" spans="2:12" ht="14.4" customHeight="1" thickBot="1" x14ac:dyDescent="0.35">
      <c r="B3" s="150" t="s">
        <v>243</v>
      </c>
      <c r="C3" s="149"/>
      <c r="D3" s="149"/>
      <c r="E3" s="149"/>
      <c r="F3" s="151"/>
      <c r="G3" s="168"/>
      <c r="H3" s="168"/>
      <c r="I3" s="168"/>
      <c r="J3" s="168"/>
      <c r="K3" s="168"/>
      <c r="L3" s="168"/>
    </row>
    <row r="4" spans="2:12" ht="15" thickBot="1" x14ac:dyDescent="0.35">
      <c r="B4" s="152" t="s">
        <v>43</v>
      </c>
      <c r="C4" s="152" t="s">
        <v>246</v>
      </c>
      <c r="D4" s="152" t="s">
        <v>244</v>
      </c>
      <c r="E4" s="156" t="s">
        <v>240</v>
      </c>
      <c r="F4" s="157"/>
      <c r="G4" s="166" t="s">
        <v>241</v>
      </c>
      <c r="H4" s="167"/>
      <c r="I4" s="166" t="s">
        <v>253</v>
      </c>
      <c r="J4" s="167"/>
      <c r="K4" s="166" t="s">
        <v>254</v>
      </c>
      <c r="L4" s="167"/>
    </row>
    <row r="5" spans="2:12" ht="43.8" thickBot="1" x14ac:dyDescent="0.35">
      <c r="B5" s="153"/>
      <c r="C5" s="153"/>
      <c r="D5" s="153"/>
      <c r="E5" s="158" t="s">
        <v>245</v>
      </c>
      <c r="F5" s="159" t="s">
        <v>242</v>
      </c>
      <c r="G5" s="158" t="s">
        <v>245</v>
      </c>
      <c r="H5" s="159" t="s">
        <v>242</v>
      </c>
      <c r="I5" s="158" t="s">
        <v>245</v>
      </c>
      <c r="J5" s="159" t="s">
        <v>242</v>
      </c>
      <c r="K5" s="158" t="s">
        <v>245</v>
      </c>
      <c r="L5" s="159" t="s">
        <v>242</v>
      </c>
    </row>
    <row r="6" spans="2:12" x14ac:dyDescent="0.3">
      <c r="B6" s="154" t="s">
        <v>49</v>
      </c>
      <c r="C6" s="154">
        <f>'-1'!$C$12</f>
        <v>3.06</v>
      </c>
      <c r="D6" s="155">
        <f>'-1'!$C$66</f>
        <v>1580</v>
      </c>
      <c r="E6" s="160">
        <v>0.93</v>
      </c>
      <c r="F6" s="161" t="s">
        <v>247</v>
      </c>
      <c r="G6" s="160">
        <v>0.93</v>
      </c>
      <c r="H6" s="161" t="s">
        <v>247</v>
      </c>
      <c r="I6" s="160">
        <v>3.8899999999999997</v>
      </c>
      <c r="J6" s="161" t="s">
        <v>255</v>
      </c>
      <c r="K6" s="160">
        <v>3.5999999999999996</v>
      </c>
      <c r="L6" s="161" t="s">
        <v>270</v>
      </c>
    </row>
    <row r="7" spans="2:12" x14ac:dyDescent="0.3">
      <c r="B7" s="154" t="s">
        <v>50</v>
      </c>
      <c r="C7" s="154">
        <f>'-1'!$C$12</f>
        <v>3.06</v>
      </c>
      <c r="D7" s="155">
        <f>'-1'!$C$66</f>
        <v>1580</v>
      </c>
      <c r="E7" s="160">
        <v>1.56</v>
      </c>
      <c r="F7" s="161" t="s">
        <v>247</v>
      </c>
      <c r="G7" s="160">
        <v>1.56</v>
      </c>
      <c r="H7" s="161" t="s">
        <v>247</v>
      </c>
      <c r="I7" s="160">
        <v>4.99</v>
      </c>
      <c r="J7" s="161" t="s">
        <v>248</v>
      </c>
      <c r="K7" s="160">
        <v>3.7699999999999996</v>
      </c>
      <c r="L7" s="161" t="s">
        <v>264</v>
      </c>
    </row>
    <row r="8" spans="2:12" x14ac:dyDescent="0.3">
      <c r="B8" s="154" t="s">
        <v>51</v>
      </c>
      <c r="C8" s="154">
        <f>'-1'!$C$12</f>
        <v>3.06</v>
      </c>
      <c r="D8" s="155">
        <f>'-1'!$C$66</f>
        <v>1580</v>
      </c>
      <c r="E8" s="160">
        <v>1.56</v>
      </c>
      <c r="F8" s="161" t="s">
        <v>247</v>
      </c>
      <c r="G8" s="160">
        <v>1.56</v>
      </c>
      <c r="H8" s="161" t="s">
        <v>247</v>
      </c>
      <c r="I8" s="160">
        <v>4.99</v>
      </c>
      <c r="J8" s="161" t="s">
        <v>248</v>
      </c>
      <c r="K8" s="160">
        <v>3.7699999999999996</v>
      </c>
      <c r="L8" s="161" t="s">
        <v>264</v>
      </c>
    </row>
    <row r="9" spans="2:12" x14ac:dyDescent="0.3">
      <c r="B9" s="154" t="s">
        <v>52</v>
      </c>
      <c r="C9" s="154">
        <f>'-1'!$C$12</f>
        <v>3.06</v>
      </c>
      <c r="D9" s="155">
        <f>'-1'!$C$66</f>
        <v>1580</v>
      </c>
      <c r="E9" s="160">
        <v>1.66</v>
      </c>
      <c r="F9" s="161" t="s">
        <v>247</v>
      </c>
      <c r="G9" s="160">
        <v>1.66</v>
      </c>
      <c r="H9" s="161" t="s">
        <v>247</v>
      </c>
      <c r="I9" s="160">
        <v>5.2799999999999994</v>
      </c>
      <c r="J9" s="161" t="s">
        <v>256</v>
      </c>
      <c r="K9" s="160">
        <v>3.88</v>
      </c>
      <c r="L9" s="161" t="s">
        <v>255</v>
      </c>
    </row>
    <row r="10" spans="2:12" x14ac:dyDescent="0.3">
      <c r="B10" s="154" t="s">
        <v>53</v>
      </c>
      <c r="C10" s="154">
        <f>'-1'!$C$12</f>
        <v>3.06</v>
      </c>
      <c r="D10" s="155">
        <f>'-1'!$C$66</f>
        <v>1580</v>
      </c>
      <c r="E10" s="160">
        <v>0.85</v>
      </c>
      <c r="F10" s="161" t="s">
        <v>247</v>
      </c>
      <c r="G10" s="160">
        <v>0.85</v>
      </c>
      <c r="H10" s="161" t="s">
        <v>247</v>
      </c>
      <c r="I10" s="160">
        <v>3.28</v>
      </c>
      <c r="J10" s="161" t="s">
        <v>257</v>
      </c>
      <c r="K10" s="160">
        <v>2.84</v>
      </c>
      <c r="L10" s="161" t="s">
        <v>247</v>
      </c>
    </row>
    <row r="11" spans="2:12" x14ac:dyDescent="0.3">
      <c r="B11" s="154" t="s">
        <v>54</v>
      </c>
      <c r="C11" s="154">
        <f>'-1'!$C$12</f>
        <v>3.06</v>
      </c>
      <c r="D11" s="155">
        <f>'-1'!$C$66</f>
        <v>1580</v>
      </c>
      <c r="E11" s="160">
        <v>0.76</v>
      </c>
      <c r="F11" s="161" t="s">
        <v>247</v>
      </c>
      <c r="G11" s="160">
        <v>0.76</v>
      </c>
      <c r="H11" s="161" t="s">
        <v>247</v>
      </c>
      <c r="I11" s="160">
        <v>2.57</v>
      </c>
      <c r="J11" s="161" t="s">
        <v>247</v>
      </c>
      <c r="K11" s="160">
        <v>2.0199999999999996</v>
      </c>
      <c r="L11" s="161" t="s">
        <v>247</v>
      </c>
    </row>
    <row r="12" spans="2:12" x14ac:dyDescent="0.3">
      <c r="B12" s="154" t="s">
        <v>55</v>
      </c>
      <c r="C12" s="154">
        <f>'-1'!$C$12</f>
        <v>3.06</v>
      </c>
      <c r="D12" s="155">
        <f>'-1'!$C$66</f>
        <v>1580</v>
      </c>
      <c r="E12" s="160">
        <v>1.03</v>
      </c>
      <c r="F12" s="161" t="s">
        <v>247</v>
      </c>
      <c r="G12" s="160">
        <v>1.03</v>
      </c>
      <c r="H12" s="161" t="s">
        <v>247</v>
      </c>
      <c r="I12" s="160">
        <v>4.3099999999999996</v>
      </c>
      <c r="J12" s="161" t="s">
        <v>258</v>
      </c>
      <c r="K12" s="160">
        <v>3.9899999999999998</v>
      </c>
      <c r="L12" s="161" t="s">
        <v>255</v>
      </c>
    </row>
    <row r="13" spans="2:12" x14ac:dyDescent="0.3">
      <c r="B13" s="154" t="s">
        <v>56</v>
      </c>
      <c r="C13" s="154">
        <f>'-1'!$C$12</f>
        <v>3.06</v>
      </c>
      <c r="D13" s="155">
        <f>'-1'!$C$66</f>
        <v>1580</v>
      </c>
      <c r="E13" s="160">
        <v>1.61</v>
      </c>
      <c r="F13" s="161" t="s">
        <v>247</v>
      </c>
      <c r="G13" s="160">
        <v>1.61</v>
      </c>
      <c r="H13" s="161" t="s">
        <v>247</v>
      </c>
      <c r="I13" s="160">
        <v>5.8199999999999994</v>
      </c>
      <c r="J13" s="161" t="s">
        <v>259</v>
      </c>
      <c r="K13" s="160">
        <v>4.7799999999999994</v>
      </c>
      <c r="L13" s="161" t="s">
        <v>271</v>
      </c>
    </row>
    <row r="14" spans="2:12" x14ac:dyDescent="0.3">
      <c r="B14" s="154" t="s">
        <v>57</v>
      </c>
      <c r="C14" s="154">
        <f>'-1'!$C$12</f>
        <v>3.06</v>
      </c>
      <c r="D14" s="155">
        <f>'-1'!$C$66</f>
        <v>1580</v>
      </c>
      <c r="E14" s="160">
        <v>1.61</v>
      </c>
      <c r="F14" s="161" t="s">
        <v>247</v>
      </c>
      <c r="G14" s="160">
        <v>1.61</v>
      </c>
      <c r="H14" s="161" t="s">
        <v>247</v>
      </c>
      <c r="I14" s="160">
        <v>5.8199999999999994</v>
      </c>
      <c r="J14" s="161" t="s">
        <v>259</v>
      </c>
      <c r="K14" s="160">
        <v>4.7799999999999994</v>
      </c>
      <c r="L14" s="161" t="s">
        <v>271</v>
      </c>
    </row>
    <row r="15" spans="2:12" x14ac:dyDescent="0.3">
      <c r="B15" s="154" t="s">
        <v>58</v>
      </c>
      <c r="C15" s="154">
        <f>'-1'!$C$12</f>
        <v>3.06</v>
      </c>
      <c r="D15" s="155">
        <f>'-1'!$C$66</f>
        <v>1580</v>
      </c>
      <c r="E15" s="160">
        <v>4.95</v>
      </c>
      <c r="F15" s="161" t="s">
        <v>248</v>
      </c>
      <c r="G15" s="160">
        <v>4.95</v>
      </c>
      <c r="H15" s="161" t="s">
        <v>248</v>
      </c>
      <c r="I15" s="160">
        <v>7.02</v>
      </c>
      <c r="J15" s="161" t="s">
        <v>260</v>
      </c>
      <c r="K15" s="160">
        <v>4.8099999999999996</v>
      </c>
      <c r="L15" s="161" t="s">
        <v>271</v>
      </c>
    </row>
    <row r="16" spans="2:12" x14ac:dyDescent="0.3">
      <c r="B16" s="154" t="s">
        <v>59</v>
      </c>
      <c r="C16" s="154">
        <f>'-1'!$C$12</f>
        <v>3.06</v>
      </c>
      <c r="D16" s="155">
        <f>'-1'!$C$66</f>
        <v>1580</v>
      </c>
      <c r="E16" s="160">
        <v>0.84</v>
      </c>
      <c r="F16" s="161" t="s">
        <v>247</v>
      </c>
      <c r="G16" s="160">
        <v>0.84</v>
      </c>
      <c r="H16" s="161" t="s">
        <v>247</v>
      </c>
      <c r="I16" s="160">
        <v>2.67</v>
      </c>
      <c r="J16" s="161" t="s">
        <v>247</v>
      </c>
      <c r="K16" s="160">
        <v>1.96</v>
      </c>
      <c r="L16" s="161" t="s">
        <v>247</v>
      </c>
    </row>
    <row r="17" spans="2:12" x14ac:dyDescent="0.3">
      <c r="B17" s="154" t="s">
        <v>60</v>
      </c>
      <c r="C17" s="154">
        <f>'-1'!$C$12</f>
        <v>3.06</v>
      </c>
      <c r="D17" s="155">
        <f>'-1'!$C$66</f>
        <v>1580</v>
      </c>
      <c r="E17" s="160">
        <v>2.38</v>
      </c>
      <c r="F17" s="161" t="s">
        <v>247</v>
      </c>
      <c r="G17" s="160">
        <v>2.38</v>
      </c>
      <c r="H17" s="161" t="s">
        <v>247</v>
      </c>
      <c r="I17" s="160">
        <v>7.5699999999999994</v>
      </c>
      <c r="J17" s="161" t="s">
        <v>261</v>
      </c>
      <c r="K17" s="160">
        <v>5.56</v>
      </c>
      <c r="L17" s="161" t="s">
        <v>259</v>
      </c>
    </row>
    <row r="18" spans="2:12" x14ac:dyDescent="0.3">
      <c r="B18" s="154" t="s">
        <v>61</v>
      </c>
      <c r="C18" s="154">
        <f>'-1'!$C$12</f>
        <v>3.06</v>
      </c>
      <c r="D18" s="155">
        <f>'-1'!$C$66</f>
        <v>1580</v>
      </c>
      <c r="E18" s="160">
        <v>1.05</v>
      </c>
      <c r="F18" s="161" t="s">
        <v>247</v>
      </c>
      <c r="G18" s="160">
        <v>1.05</v>
      </c>
      <c r="H18" s="161" t="s">
        <v>247</v>
      </c>
      <c r="I18" s="160">
        <v>3.8</v>
      </c>
      <c r="J18" s="161" t="s">
        <v>262</v>
      </c>
      <c r="K18" s="160">
        <v>3.1199999999999997</v>
      </c>
      <c r="L18" s="161" t="s">
        <v>252</v>
      </c>
    </row>
    <row r="19" spans="2:12" x14ac:dyDescent="0.3">
      <c r="B19" s="154" t="s">
        <v>62</v>
      </c>
      <c r="C19" s="154">
        <f>'-1'!$C$12</f>
        <v>3.06</v>
      </c>
      <c r="D19" s="155">
        <f>'-1'!$C$66</f>
        <v>1580</v>
      </c>
      <c r="E19" s="160">
        <v>1.05</v>
      </c>
      <c r="F19" s="161" t="s">
        <v>247</v>
      </c>
      <c r="G19" s="160">
        <v>1.05</v>
      </c>
      <c r="H19" s="161" t="s">
        <v>247</v>
      </c>
      <c r="I19" s="160">
        <v>3.8</v>
      </c>
      <c r="J19" s="161" t="s">
        <v>262</v>
      </c>
      <c r="K19" s="160">
        <v>3.1199999999999997</v>
      </c>
      <c r="L19" s="161" t="s">
        <v>252</v>
      </c>
    </row>
    <row r="20" spans="2:12" x14ac:dyDescent="0.3">
      <c r="B20" s="154" t="s">
        <v>63</v>
      </c>
      <c r="C20" s="154">
        <f>'-1'!$C$12</f>
        <v>3.06</v>
      </c>
      <c r="D20" s="155">
        <f>'-1'!$C$66</f>
        <v>1580</v>
      </c>
      <c r="E20" s="160">
        <v>2.42</v>
      </c>
      <c r="F20" s="161" t="s">
        <v>247</v>
      </c>
      <c r="G20" s="160">
        <v>2.42</v>
      </c>
      <c r="H20" s="161" t="s">
        <v>247</v>
      </c>
      <c r="I20" s="160">
        <v>7.6899999999999995</v>
      </c>
      <c r="J20" s="161" t="s">
        <v>261</v>
      </c>
      <c r="K20" s="160">
        <v>5.6499999999999995</v>
      </c>
      <c r="L20" s="161" t="s">
        <v>259</v>
      </c>
    </row>
    <row r="21" spans="2:12" x14ac:dyDescent="0.3">
      <c r="B21" s="154" t="s">
        <v>64</v>
      </c>
      <c r="C21" s="154">
        <f>'-1'!$C$12</f>
        <v>3.06</v>
      </c>
      <c r="D21" s="155">
        <f>'-1'!$C$66</f>
        <v>1580</v>
      </c>
      <c r="E21" s="160">
        <v>3.1999999999999997</v>
      </c>
      <c r="F21" s="161" t="s">
        <v>249</v>
      </c>
      <c r="G21" s="160">
        <v>3.1999999999999997</v>
      </c>
      <c r="H21" s="161" t="s">
        <v>249</v>
      </c>
      <c r="I21" s="160">
        <v>4.5299999999999994</v>
      </c>
      <c r="J21" s="161" t="s">
        <v>263</v>
      </c>
      <c r="K21" s="160">
        <v>3.0999999999999996</v>
      </c>
      <c r="L21" s="161" t="s">
        <v>252</v>
      </c>
    </row>
    <row r="22" spans="2:12" x14ac:dyDescent="0.3">
      <c r="B22" s="154" t="s">
        <v>65</v>
      </c>
      <c r="C22" s="154">
        <f>'-1'!$C$12</f>
        <v>3.06</v>
      </c>
      <c r="D22" s="155">
        <f>'-1'!$C$66</f>
        <v>1580</v>
      </c>
      <c r="E22" s="160">
        <v>2.09</v>
      </c>
      <c r="F22" s="161" t="s">
        <v>247</v>
      </c>
      <c r="G22" s="160">
        <v>2.09</v>
      </c>
      <c r="H22" s="161" t="s">
        <v>247</v>
      </c>
      <c r="I22" s="160">
        <v>2.96</v>
      </c>
      <c r="J22" s="161" t="s">
        <v>247</v>
      </c>
      <c r="K22" s="160">
        <v>2.0299999999999998</v>
      </c>
      <c r="L22" s="161" t="s">
        <v>247</v>
      </c>
    </row>
    <row r="23" spans="2:12" x14ac:dyDescent="0.3">
      <c r="B23" s="154" t="s">
        <v>66</v>
      </c>
      <c r="C23" s="154">
        <f>'-1'!$C$12</f>
        <v>3.06</v>
      </c>
      <c r="D23" s="155">
        <f>'-1'!$C$66</f>
        <v>1580</v>
      </c>
      <c r="E23" s="160">
        <v>3.42</v>
      </c>
      <c r="F23" s="161" t="s">
        <v>250</v>
      </c>
      <c r="G23" s="160">
        <v>3.42</v>
      </c>
      <c r="H23" s="161" t="s">
        <v>250</v>
      </c>
      <c r="I23" s="160">
        <v>10.9</v>
      </c>
      <c r="J23" s="161" t="s">
        <v>251</v>
      </c>
      <c r="K23" s="160">
        <v>8</v>
      </c>
      <c r="L23" s="161" t="s">
        <v>272</v>
      </c>
    </row>
    <row r="24" spans="2:12" x14ac:dyDescent="0.3">
      <c r="B24" s="154" t="s">
        <v>67</v>
      </c>
      <c r="C24" s="154">
        <f>'-1'!$C$12</f>
        <v>3.06</v>
      </c>
      <c r="D24" s="155">
        <f>'-1'!$C$66</f>
        <v>1580</v>
      </c>
      <c r="E24" s="160">
        <v>0.32</v>
      </c>
      <c r="F24" s="161" t="s">
        <v>247</v>
      </c>
      <c r="G24" s="160">
        <v>0.32</v>
      </c>
      <c r="H24" s="161" t="s">
        <v>247</v>
      </c>
      <c r="I24" s="160">
        <v>0.45</v>
      </c>
      <c r="J24" s="161" t="s">
        <v>247</v>
      </c>
      <c r="K24" s="160">
        <v>0.31</v>
      </c>
      <c r="L24" s="161" t="s">
        <v>247</v>
      </c>
    </row>
    <row r="25" spans="2:12" x14ac:dyDescent="0.3">
      <c r="B25" s="154" t="s">
        <v>68</v>
      </c>
      <c r="C25" s="154">
        <f>'-1'!$C$12</f>
        <v>3.06</v>
      </c>
      <c r="D25" s="155">
        <f>'-1'!$C$66</f>
        <v>1580</v>
      </c>
      <c r="E25" s="160">
        <v>0.52</v>
      </c>
      <c r="F25" s="161" t="s">
        <v>247</v>
      </c>
      <c r="G25" s="160">
        <v>0.52</v>
      </c>
      <c r="H25" s="161" t="s">
        <v>247</v>
      </c>
      <c r="I25" s="160">
        <v>1.32</v>
      </c>
      <c r="J25" s="161" t="s">
        <v>247</v>
      </c>
      <c r="K25" s="160">
        <v>0.95</v>
      </c>
      <c r="L25" s="161" t="s">
        <v>247</v>
      </c>
    </row>
    <row r="26" spans="2:12" x14ac:dyDescent="0.3">
      <c r="B26" s="154" t="s">
        <v>69</v>
      </c>
      <c r="C26" s="154">
        <f>'-1'!$C$12</f>
        <v>3.06</v>
      </c>
      <c r="D26" s="155">
        <f>'-1'!$C$66</f>
        <v>1580</v>
      </c>
      <c r="E26" s="160">
        <v>1.36</v>
      </c>
      <c r="F26" s="161" t="s">
        <v>247</v>
      </c>
      <c r="G26" s="160">
        <v>1.36</v>
      </c>
      <c r="H26" s="161" t="s">
        <v>247</v>
      </c>
      <c r="I26" s="160">
        <v>1.92</v>
      </c>
      <c r="J26" s="161" t="s">
        <v>247</v>
      </c>
      <c r="K26" s="160">
        <v>1.32</v>
      </c>
      <c r="L26" s="161" t="s">
        <v>247</v>
      </c>
    </row>
    <row r="27" spans="2:12" x14ac:dyDescent="0.3">
      <c r="B27" s="154" t="s">
        <v>70</v>
      </c>
      <c r="C27" s="154">
        <f>'-1'!$C$12</f>
        <v>3.06</v>
      </c>
      <c r="D27" s="155">
        <f>'-1'!$C$66</f>
        <v>1580</v>
      </c>
      <c r="E27" s="160">
        <v>1.17</v>
      </c>
      <c r="F27" s="161" t="s">
        <v>247</v>
      </c>
      <c r="G27" s="160">
        <v>1.17</v>
      </c>
      <c r="H27" s="161" t="s">
        <v>247</v>
      </c>
      <c r="I27" s="160">
        <v>3.75</v>
      </c>
      <c r="J27" s="161" t="s">
        <v>264</v>
      </c>
      <c r="K27" s="160">
        <v>2.8299999999999996</v>
      </c>
      <c r="L27" s="161" t="s">
        <v>247</v>
      </c>
    </row>
    <row r="28" spans="2:12" x14ac:dyDescent="0.3">
      <c r="B28" s="154" t="s">
        <v>71</v>
      </c>
      <c r="C28" s="154">
        <f>'-1'!$C$12</f>
        <v>3.06</v>
      </c>
      <c r="D28" s="155">
        <f>'-1'!$C$66</f>
        <v>1580</v>
      </c>
      <c r="E28" s="160">
        <v>1.78</v>
      </c>
      <c r="F28" s="161" t="s">
        <v>247</v>
      </c>
      <c r="G28" s="160">
        <v>1.78</v>
      </c>
      <c r="H28" s="161" t="s">
        <v>247</v>
      </c>
      <c r="I28" s="160">
        <v>6.8599999999999994</v>
      </c>
      <c r="J28" s="161" t="s">
        <v>265</v>
      </c>
      <c r="K28" s="160">
        <v>5.93</v>
      </c>
      <c r="L28" s="161" t="s">
        <v>273</v>
      </c>
    </row>
    <row r="29" spans="2:12" x14ac:dyDescent="0.3">
      <c r="B29" s="154" t="s">
        <v>72</v>
      </c>
      <c r="C29" s="154">
        <f>'-1'!$C$12</f>
        <v>3.06</v>
      </c>
      <c r="D29" s="155">
        <f>'-1'!$C$66</f>
        <v>1580</v>
      </c>
      <c r="E29" s="160">
        <v>10.99</v>
      </c>
      <c r="F29" s="161" t="s">
        <v>251</v>
      </c>
      <c r="G29" s="160">
        <v>10.99</v>
      </c>
      <c r="H29" s="161" t="s">
        <v>251</v>
      </c>
      <c r="I29" s="160">
        <v>15.6</v>
      </c>
      <c r="J29" s="161" t="s">
        <v>266</v>
      </c>
      <c r="K29" s="160">
        <v>10.67</v>
      </c>
      <c r="L29" s="161" t="s">
        <v>251</v>
      </c>
    </row>
    <row r="30" spans="2:12" x14ac:dyDescent="0.3">
      <c r="B30" s="154" t="s">
        <v>73</v>
      </c>
      <c r="C30" s="154">
        <f>'-1'!$C$12</f>
        <v>3.06</v>
      </c>
      <c r="D30" s="155">
        <f>'-1'!$C$66</f>
        <v>1580</v>
      </c>
      <c r="E30" s="160">
        <v>1.74</v>
      </c>
      <c r="F30" s="161" t="s">
        <v>247</v>
      </c>
      <c r="G30" s="160">
        <v>1.74</v>
      </c>
      <c r="H30" s="161" t="s">
        <v>247</v>
      </c>
      <c r="I30" s="160">
        <v>5.52</v>
      </c>
      <c r="J30" s="161" t="s">
        <v>267</v>
      </c>
      <c r="K30" s="160">
        <v>4.05</v>
      </c>
      <c r="L30" s="161" t="s">
        <v>274</v>
      </c>
    </row>
    <row r="31" spans="2:12" x14ac:dyDescent="0.3">
      <c r="B31" s="154" t="s">
        <v>74</v>
      </c>
      <c r="C31" s="154">
        <f>'-1'!$C$12</f>
        <v>3.06</v>
      </c>
      <c r="D31" s="155">
        <f>'-1'!$C$66</f>
        <v>1580</v>
      </c>
      <c r="E31" s="160">
        <v>1.97</v>
      </c>
      <c r="F31" s="161" t="s">
        <v>247</v>
      </c>
      <c r="G31" s="160">
        <v>1.97</v>
      </c>
      <c r="H31" s="161" t="s">
        <v>247</v>
      </c>
      <c r="I31" s="160">
        <v>6.31</v>
      </c>
      <c r="J31" s="161" t="s">
        <v>268</v>
      </c>
      <c r="K31" s="160">
        <v>4.76</v>
      </c>
      <c r="L31" s="161" t="s">
        <v>271</v>
      </c>
    </row>
    <row r="32" spans="2:12" x14ac:dyDescent="0.3">
      <c r="B32" s="154" t="s">
        <v>75</v>
      </c>
      <c r="C32" s="154">
        <f>'-1'!$C$12</f>
        <v>3.06</v>
      </c>
      <c r="D32" s="155">
        <f>'-1'!$C$66</f>
        <v>1580</v>
      </c>
      <c r="E32" s="160">
        <v>3.11</v>
      </c>
      <c r="F32" s="161" t="s">
        <v>252</v>
      </c>
      <c r="G32" s="160">
        <v>3.11</v>
      </c>
      <c r="H32" s="161" t="s">
        <v>252</v>
      </c>
      <c r="I32" s="160">
        <v>10</v>
      </c>
      <c r="J32" s="161" t="s">
        <v>269</v>
      </c>
      <c r="K32" s="160">
        <v>7.55</v>
      </c>
      <c r="L32" s="161" t="s">
        <v>261</v>
      </c>
    </row>
    <row r="33" spans="2:12" x14ac:dyDescent="0.3">
      <c r="B33" s="154" t="s">
        <v>76</v>
      </c>
      <c r="C33" s="154">
        <f>'-1'!$C$12</f>
        <v>3.06</v>
      </c>
      <c r="D33" s="155">
        <f>'-1'!$C$66</f>
        <v>1580</v>
      </c>
      <c r="E33" s="160">
        <v>2.09</v>
      </c>
      <c r="F33" s="161" t="s">
        <v>247</v>
      </c>
      <c r="G33" s="160">
        <v>2.09</v>
      </c>
      <c r="H33" s="161" t="s">
        <v>247</v>
      </c>
      <c r="I33" s="160">
        <v>2.96</v>
      </c>
      <c r="J33" s="161" t="s">
        <v>247</v>
      </c>
      <c r="K33" s="160">
        <v>2.0299999999999998</v>
      </c>
      <c r="L33" s="161" t="s">
        <v>247</v>
      </c>
    </row>
    <row r="34" spans="2:12" ht="15" thickBot="1" x14ac:dyDescent="0.35">
      <c r="B34" s="162" t="s">
        <v>77</v>
      </c>
      <c r="C34" s="162">
        <f>'-1'!$C$12</f>
        <v>3.06</v>
      </c>
      <c r="D34" s="163">
        <f>'-1'!$C$66</f>
        <v>1580</v>
      </c>
      <c r="E34" s="164">
        <v>0.4</v>
      </c>
      <c r="F34" s="165" t="s">
        <v>247</v>
      </c>
      <c r="G34" s="164">
        <v>0.4</v>
      </c>
      <c r="H34" s="165" t="s">
        <v>247</v>
      </c>
      <c r="I34" s="164">
        <v>1.25</v>
      </c>
      <c r="J34" s="165" t="s">
        <v>247</v>
      </c>
      <c r="K34" s="164">
        <v>0.87</v>
      </c>
      <c r="L34" s="165" t="s">
        <v>247</v>
      </c>
    </row>
    <row r="41" spans="2:12" ht="15" thickBot="1" x14ac:dyDescent="0.35"/>
    <row r="42" spans="2:12" ht="15" thickBot="1" x14ac:dyDescent="0.35">
      <c r="B42" s="150" t="s">
        <v>243</v>
      </c>
      <c r="C42" s="149"/>
      <c r="D42" s="149"/>
      <c r="E42" s="149"/>
      <c r="F42" s="151"/>
      <c r="G42" s="168"/>
      <c r="H42" s="168"/>
      <c r="I42" s="168"/>
      <c r="J42" s="168"/>
      <c r="K42" s="168"/>
      <c r="L42" s="168"/>
    </row>
    <row r="43" spans="2:12" ht="15" thickBot="1" x14ac:dyDescent="0.35">
      <c r="B43" s="152" t="s">
        <v>43</v>
      </c>
      <c r="C43" s="152" t="s">
        <v>246</v>
      </c>
      <c r="D43" s="152" t="s">
        <v>244</v>
      </c>
      <c r="E43" s="156" t="s">
        <v>240</v>
      </c>
      <c r="F43" s="157"/>
      <c r="G43" s="166" t="s">
        <v>241</v>
      </c>
      <c r="H43" s="167"/>
      <c r="I43" s="166" t="s">
        <v>253</v>
      </c>
      <c r="J43" s="167"/>
      <c r="K43" s="166" t="s">
        <v>254</v>
      </c>
      <c r="L43" s="167"/>
    </row>
    <row r="44" spans="2:12" ht="43.8" thickBot="1" x14ac:dyDescent="0.35">
      <c r="B44" s="153"/>
      <c r="C44" s="153"/>
      <c r="D44" s="153"/>
      <c r="E44" s="158" t="s">
        <v>245</v>
      </c>
      <c r="F44" s="159" t="s">
        <v>242</v>
      </c>
      <c r="G44" s="158" t="s">
        <v>245</v>
      </c>
      <c r="H44" s="159" t="s">
        <v>242</v>
      </c>
      <c r="I44" s="158" t="s">
        <v>245</v>
      </c>
      <c r="J44" s="159" t="s">
        <v>242</v>
      </c>
      <c r="K44" s="158" t="s">
        <v>245</v>
      </c>
      <c r="L44" s="159" t="s">
        <v>242</v>
      </c>
    </row>
    <row r="45" spans="2:12" x14ac:dyDescent="0.3">
      <c r="B45" s="154" t="s">
        <v>49</v>
      </c>
      <c r="C45" s="154">
        <f>'-1'!$C$12</f>
        <v>3.06</v>
      </c>
      <c r="D45" s="155">
        <v>1580</v>
      </c>
      <c r="E45" s="160">
        <v>0.93</v>
      </c>
      <c r="F45" s="161" t="s">
        <v>247</v>
      </c>
      <c r="G45" s="160">
        <v>0.93</v>
      </c>
      <c r="H45" s="161" t="s">
        <v>247</v>
      </c>
      <c r="I45" s="160">
        <v>3.8899999999999997</v>
      </c>
      <c r="J45" s="161" t="s">
        <v>255</v>
      </c>
      <c r="K45" s="160">
        <v>3.5999999999999996</v>
      </c>
      <c r="L45" s="161" t="s">
        <v>270</v>
      </c>
    </row>
    <row r="46" spans="2:12" x14ac:dyDescent="0.3">
      <c r="B46" s="154" t="s">
        <v>50</v>
      </c>
      <c r="C46" s="154">
        <f>'-1'!$C$12</f>
        <v>3.06</v>
      </c>
      <c r="D46" s="155">
        <v>1580</v>
      </c>
      <c r="E46" s="160">
        <v>1.56</v>
      </c>
      <c r="F46" s="161" t="s">
        <v>247</v>
      </c>
      <c r="G46" s="160">
        <v>1.56</v>
      </c>
      <c r="H46" s="161" t="s">
        <v>247</v>
      </c>
      <c r="I46" s="160">
        <v>4.99</v>
      </c>
      <c r="J46" s="161" t="s">
        <v>248</v>
      </c>
      <c r="K46" s="160">
        <v>3.7699999999999996</v>
      </c>
      <c r="L46" s="161" t="s">
        <v>264</v>
      </c>
    </row>
    <row r="47" spans="2:12" x14ac:dyDescent="0.3">
      <c r="B47" s="154" t="s">
        <v>51</v>
      </c>
      <c r="C47" s="154">
        <f>'-1'!$C$12</f>
        <v>3.06</v>
      </c>
      <c r="D47" s="155">
        <v>1580</v>
      </c>
      <c r="E47" s="160">
        <v>1.56</v>
      </c>
      <c r="F47" s="161" t="s">
        <v>247</v>
      </c>
      <c r="G47" s="160">
        <v>1.56</v>
      </c>
      <c r="H47" s="161" t="s">
        <v>247</v>
      </c>
      <c r="I47" s="160">
        <v>4.99</v>
      </c>
      <c r="J47" s="161" t="s">
        <v>248</v>
      </c>
      <c r="K47" s="160">
        <v>3.7699999999999996</v>
      </c>
      <c r="L47" s="161" t="s">
        <v>264</v>
      </c>
    </row>
    <row r="48" spans="2:12" x14ac:dyDescent="0.3">
      <c r="B48" s="154" t="s">
        <v>52</v>
      </c>
      <c r="C48" s="154">
        <f>'-1'!$C$12</f>
        <v>3.06</v>
      </c>
      <c r="D48" s="155">
        <v>1580</v>
      </c>
      <c r="E48" s="160">
        <v>1.66</v>
      </c>
      <c r="F48" s="161" t="s">
        <v>247</v>
      </c>
      <c r="G48" s="160">
        <v>1.66</v>
      </c>
      <c r="H48" s="161" t="s">
        <v>247</v>
      </c>
      <c r="I48" s="160">
        <v>5.2799999999999994</v>
      </c>
      <c r="J48" s="161" t="s">
        <v>256</v>
      </c>
      <c r="K48" s="160">
        <v>3.88</v>
      </c>
      <c r="L48" s="161" t="s">
        <v>255</v>
      </c>
    </row>
    <row r="49" spans="2:12" x14ac:dyDescent="0.3">
      <c r="B49" s="154" t="s">
        <v>53</v>
      </c>
      <c r="C49" s="154">
        <f>'-1'!$C$12</f>
        <v>3.06</v>
      </c>
      <c r="D49" s="155">
        <v>1580</v>
      </c>
      <c r="E49" s="160">
        <v>0.85</v>
      </c>
      <c r="F49" s="161" t="s">
        <v>247</v>
      </c>
      <c r="G49" s="160">
        <v>0.85</v>
      </c>
      <c r="H49" s="161" t="s">
        <v>247</v>
      </c>
      <c r="I49" s="160">
        <v>3.28</v>
      </c>
      <c r="J49" s="161" t="s">
        <v>257</v>
      </c>
      <c r="K49" s="160">
        <v>2.84</v>
      </c>
      <c r="L49" s="161" t="s">
        <v>247</v>
      </c>
    </row>
    <row r="50" spans="2:12" x14ac:dyDescent="0.3">
      <c r="B50" s="154" t="s">
        <v>54</v>
      </c>
      <c r="C50" s="154">
        <f>'-1'!$C$12</f>
        <v>3.06</v>
      </c>
      <c r="D50" s="155">
        <v>1580</v>
      </c>
      <c r="E50" s="160">
        <v>0.76</v>
      </c>
      <c r="F50" s="161" t="s">
        <v>247</v>
      </c>
      <c r="G50" s="160">
        <v>0.76</v>
      </c>
      <c r="H50" s="161" t="s">
        <v>247</v>
      </c>
      <c r="I50" s="160">
        <v>2.57</v>
      </c>
      <c r="J50" s="161" t="s">
        <v>247</v>
      </c>
      <c r="K50" s="160">
        <v>2.0199999999999996</v>
      </c>
      <c r="L50" s="161" t="s">
        <v>247</v>
      </c>
    </row>
    <row r="51" spans="2:12" x14ac:dyDescent="0.3">
      <c r="B51" s="154" t="s">
        <v>55</v>
      </c>
      <c r="C51" s="154">
        <f>'-1'!$C$12</f>
        <v>3.06</v>
      </c>
      <c r="D51" s="155">
        <v>1580</v>
      </c>
      <c r="E51" s="160">
        <v>1.03</v>
      </c>
      <c r="F51" s="161" t="s">
        <v>247</v>
      </c>
      <c r="G51" s="160">
        <v>1.03</v>
      </c>
      <c r="H51" s="161" t="s">
        <v>247</v>
      </c>
      <c r="I51" s="160">
        <v>4.3099999999999996</v>
      </c>
      <c r="J51" s="161" t="s">
        <v>258</v>
      </c>
      <c r="K51" s="160">
        <v>3.9899999999999998</v>
      </c>
      <c r="L51" s="161" t="s">
        <v>255</v>
      </c>
    </row>
    <row r="52" spans="2:12" x14ac:dyDescent="0.3">
      <c r="B52" s="154" t="s">
        <v>56</v>
      </c>
      <c r="C52" s="154">
        <f>'-1'!$C$12</f>
        <v>3.06</v>
      </c>
      <c r="D52" s="155">
        <v>1580</v>
      </c>
      <c r="E52" s="160">
        <v>1.61</v>
      </c>
      <c r="F52" s="161" t="s">
        <v>247</v>
      </c>
      <c r="G52" s="160">
        <v>1.61</v>
      </c>
      <c r="H52" s="161" t="s">
        <v>247</v>
      </c>
      <c r="I52" s="160">
        <v>5.8199999999999994</v>
      </c>
      <c r="J52" s="161" t="s">
        <v>259</v>
      </c>
      <c r="K52" s="160">
        <v>4.7799999999999994</v>
      </c>
      <c r="L52" s="161" t="s">
        <v>271</v>
      </c>
    </row>
    <row r="53" spans="2:12" x14ac:dyDescent="0.3">
      <c r="B53" s="154" t="s">
        <v>57</v>
      </c>
      <c r="C53" s="154">
        <f>'-1'!$C$12</f>
        <v>3.06</v>
      </c>
      <c r="D53" s="155">
        <v>1580</v>
      </c>
      <c r="E53" s="160">
        <v>1.61</v>
      </c>
      <c r="F53" s="161" t="s">
        <v>247</v>
      </c>
      <c r="G53" s="160">
        <v>1.61</v>
      </c>
      <c r="H53" s="161" t="s">
        <v>247</v>
      </c>
      <c r="I53" s="160">
        <v>5.8199999999999994</v>
      </c>
      <c r="J53" s="161" t="s">
        <v>259</v>
      </c>
      <c r="K53" s="160">
        <v>4.7799999999999994</v>
      </c>
      <c r="L53" s="161" t="s">
        <v>271</v>
      </c>
    </row>
    <row r="54" spans="2:12" x14ac:dyDescent="0.3">
      <c r="B54" s="154" t="s">
        <v>58</v>
      </c>
      <c r="C54" s="154">
        <f>'-1'!$C$12</f>
        <v>3.06</v>
      </c>
      <c r="D54" s="155">
        <v>1580</v>
      </c>
      <c r="E54" s="160">
        <v>4.95</v>
      </c>
      <c r="F54" s="161" t="s">
        <v>248</v>
      </c>
      <c r="G54" s="160">
        <v>4.95</v>
      </c>
      <c r="H54" s="161" t="s">
        <v>248</v>
      </c>
      <c r="I54" s="160">
        <v>7.02</v>
      </c>
      <c r="J54" s="161" t="s">
        <v>260</v>
      </c>
      <c r="K54" s="160">
        <v>4.8099999999999996</v>
      </c>
      <c r="L54" s="161" t="s">
        <v>271</v>
      </c>
    </row>
    <row r="55" spans="2:12" x14ac:dyDescent="0.3">
      <c r="B55" s="154" t="s">
        <v>59</v>
      </c>
      <c r="C55" s="154">
        <f>'-1'!$C$12</f>
        <v>3.06</v>
      </c>
      <c r="D55" s="155">
        <v>1580</v>
      </c>
      <c r="E55" s="160">
        <v>0.84</v>
      </c>
      <c r="F55" s="161" t="s">
        <v>247</v>
      </c>
      <c r="G55" s="160">
        <v>0.84</v>
      </c>
      <c r="H55" s="161" t="s">
        <v>247</v>
      </c>
      <c r="I55" s="160">
        <v>2.67</v>
      </c>
      <c r="J55" s="161" t="s">
        <v>247</v>
      </c>
      <c r="K55" s="160">
        <v>1.96</v>
      </c>
      <c r="L55" s="161" t="s">
        <v>247</v>
      </c>
    </row>
    <row r="56" spans="2:12" x14ac:dyDescent="0.3">
      <c r="B56" s="154" t="s">
        <v>60</v>
      </c>
      <c r="C56" s="154">
        <f>'-1'!$C$12</f>
        <v>3.06</v>
      </c>
      <c r="D56" s="155">
        <v>1420</v>
      </c>
      <c r="E56" s="160">
        <v>2.0999999999999996</v>
      </c>
      <c r="F56" s="161" t="s">
        <v>247</v>
      </c>
      <c r="G56" s="160">
        <v>2.0999999999999996</v>
      </c>
      <c r="H56" s="161" t="s">
        <v>247</v>
      </c>
      <c r="I56" s="160">
        <v>6.8</v>
      </c>
      <c r="J56" s="161" t="s">
        <v>265</v>
      </c>
      <c r="K56" s="160">
        <v>5</v>
      </c>
      <c r="L56" s="161" t="s">
        <v>248</v>
      </c>
    </row>
    <row r="57" spans="2:12" x14ac:dyDescent="0.3">
      <c r="B57" s="154" t="s">
        <v>61</v>
      </c>
      <c r="C57" s="154">
        <f>'-1'!$C$12</f>
        <v>3.06</v>
      </c>
      <c r="D57" s="155">
        <v>1420</v>
      </c>
      <c r="E57" s="160">
        <v>0.93</v>
      </c>
      <c r="F57" s="161" t="s">
        <v>247</v>
      </c>
      <c r="G57" s="160">
        <v>0.93</v>
      </c>
      <c r="H57" s="161" t="s">
        <v>247</v>
      </c>
      <c r="I57" s="160">
        <v>3.42</v>
      </c>
      <c r="J57" s="161" t="s">
        <v>250</v>
      </c>
      <c r="K57" s="160">
        <v>2.8</v>
      </c>
      <c r="L57" s="161" t="s">
        <v>247</v>
      </c>
    </row>
    <row r="58" spans="2:12" x14ac:dyDescent="0.3">
      <c r="B58" s="154" t="s">
        <v>62</v>
      </c>
      <c r="C58" s="154">
        <f>'-1'!$C$12</f>
        <v>3.06</v>
      </c>
      <c r="D58" s="155">
        <v>1580</v>
      </c>
      <c r="E58" s="160">
        <v>1.05</v>
      </c>
      <c r="F58" s="161" t="s">
        <v>247</v>
      </c>
      <c r="G58" s="160">
        <v>1.05</v>
      </c>
      <c r="H58" s="161" t="s">
        <v>247</v>
      </c>
      <c r="I58" s="160">
        <v>3.8</v>
      </c>
      <c r="J58" s="161" t="s">
        <v>262</v>
      </c>
      <c r="K58" s="160">
        <v>3.1199999999999997</v>
      </c>
      <c r="L58" s="161" t="s">
        <v>252</v>
      </c>
    </row>
    <row r="59" spans="2:12" x14ac:dyDescent="0.3">
      <c r="B59" s="154" t="s">
        <v>63</v>
      </c>
      <c r="C59" s="154">
        <f>'-1'!$C$12</f>
        <v>3.06</v>
      </c>
      <c r="D59" s="155">
        <v>1580</v>
      </c>
      <c r="E59" s="160">
        <v>2.42</v>
      </c>
      <c r="F59" s="161" t="s">
        <v>247</v>
      </c>
      <c r="G59" s="160">
        <v>2.42</v>
      </c>
      <c r="H59" s="161" t="s">
        <v>247</v>
      </c>
      <c r="I59" s="160">
        <v>7.6899999999999995</v>
      </c>
      <c r="J59" s="161" t="s">
        <v>261</v>
      </c>
      <c r="K59" s="160">
        <v>5.6499999999999995</v>
      </c>
      <c r="L59" s="161" t="s">
        <v>259</v>
      </c>
    </row>
    <row r="60" spans="2:12" x14ac:dyDescent="0.3">
      <c r="B60" s="154" t="s">
        <v>64</v>
      </c>
      <c r="C60" s="154">
        <f>'-1'!$C$12</f>
        <v>3.06</v>
      </c>
      <c r="D60" s="155">
        <v>1580</v>
      </c>
      <c r="E60" s="160">
        <v>3.1999999999999997</v>
      </c>
      <c r="F60" s="161" t="s">
        <v>249</v>
      </c>
      <c r="G60" s="160">
        <v>3.1999999999999997</v>
      </c>
      <c r="H60" s="161" t="s">
        <v>249</v>
      </c>
      <c r="I60" s="160">
        <v>4.5299999999999994</v>
      </c>
      <c r="J60" s="161" t="s">
        <v>263</v>
      </c>
      <c r="K60" s="160">
        <v>3.0999999999999996</v>
      </c>
      <c r="L60" s="161" t="s">
        <v>252</v>
      </c>
    </row>
    <row r="61" spans="2:12" x14ac:dyDescent="0.3">
      <c r="B61" s="154" t="s">
        <v>65</v>
      </c>
      <c r="C61" s="154">
        <f>'-1'!$C$12</f>
        <v>3.06</v>
      </c>
      <c r="D61" s="155">
        <v>1580</v>
      </c>
      <c r="E61" s="160">
        <v>2.09</v>
      </c>
      <c r="F61" s="161" t="s">
        <v>247</v>
      </c>
      <c r="G61" s="160">
        <v>2.09</v>
      </c>
      <c r="H61" s="161" t="s">
        <v>247</v>
      </c>
      <c r="I61" s="160">
        <v>2.96</v>
      </c>
      <c r="J61" s="161" t="s">
        <v>247</v>
      </c>
      <c r="K61" s="160">
        <v>2.0299999999999998</v>
      </c>
      <c r="L61" s="161" t="s">
        <v>247</v>
      </c>
    </row>
    <row r="62" spans="2:12" x14ac:dyDescent="0.3">
      <c r="B62" s="154" t="s">
        <v>66</v>
      </c>
      <c r="C62" s="154">
        <f>'-1'!$C$12</f>
        <v>3.06</v>
      </c>
      <c r="D62" s="155">
        <v>1420</v>
      </c>
      <c r="E62" s="160">
        <v>3.01</v>
      </c>
      <c r="F62" s="161" t="s">
        <v>247</v>
      </c>
      <c r="G62" s="160">
        <v>3.01</v>
      </c>
      <c r="H62" s="161" t="s">
        <v>247</v>
      </c>
      <c r="I62" s="160">
        <v>9.7899999999999991</v>
      </c>
      <c r="J62" s="161" t="s">
        <v>275</v>
      </c>
      <c r="K62" s="160">
        <v>7.18</v>
      </c>
      <c r="L62" s="161" t="s">
        <v>276</v>
      </c>
    </row>
    <row r="63" spans="2:12" x14ac:dyDescent="0.3">
      <c r="B63" s="154" t="s">
        <v>67</v>
      </c>
      <c r="C63" s="154">
        <f>'-1'!$C$12</f>
        <v>3.06</v>
      </c>
      <c r="D63" s="155">
        <v>1420</v>
      </c>
      <c r="E63" s="160">
        <v>0.29000000000000004</v>
      </c>
      <c r="F63" s="161" t="s">
        <v>247</v>
      </c>
      <c r="G63" s="160">
        <v>0.29000000000000004</v>
      </c>
      <c r="H63" s="161" t="s">
        <v>247</v>
      </c>
      <c r="I63" s="160">
        <v>0.41000000000000003</v>
      </c>
      <c r="J63" s="161" t="s">
        <v>247</v>
      </c>
      <c r="K63" s="160">
        <v>0.28000000000000003</v>
      </c>
      <c r="L63" s="161" t="s">
        <v>247</v>
      </c>
    </row>
    <row r="64" spans="2:12" x14ac:dyDescent="0.3">
      <c r="B64" s="154" t="s">
        <v>68</v>
      </c>
      <c r="C64" s="154">
        <f>'-1'!$C$12</f>
        <v>3.06</v>
      </c>
      <c r="D64" s="155">
        <v>1420</v>
      </c>
      <c r="E64" s="160">
        <v>0.46</v>
      </c>
      <c r="F64" s="161" t="s">
        <v>247</v>
      </c>
      <c r="G64" s="160">
        <v>0.46</v>
      </c>
      <c r="H64" s="161" t="s">
        <v>247</v>
      </c>
      <c r="I64" s="160">
        <v>1.19</v>
      </c>
      <c r="J64" s="161" t="s">
        <v>247</v>
      </c>
      <c r="K64" s="160">
        <v>0.85</v>
      </c>
      <c r="L64" s="161" t="s">
        <v>247</v>
      </c>
    </row>
    <row r="65" spans="2:12" x14ac:dyDescent="0.3">
      <c r="B65" s="154" t="s">
        <v>69</v>
      </c>
      <c r="C65" s="154">
        <f>'-1'!$C$12</f>
        <v>3.06</v>
      </c>
      <c r="D65" s="155">
        <v>1420</v>
      </c>
      <c r="E65" s="160">
        <v>1.22</v>
      </c>
      <c r="F65" s="161" t="s">
        <v>247</v>
      </c>
      <c r="G65" s="160">
        <v>1.22</v>
      </c>
      <c r="H65" s="161" t="s">
        <v>247</v>
      </c>
      <c r="I65" s="160">
        <v>1.73</v>
      </c>
      <c r="J65" s="161" t="s">
        <v>247</v>
      </c>
      <c r="K65" s="160">
        <v>1.19</v>
      </c>
      <c r="L65" s="161" t="s">
        <v>247</v>
      </c>
    </row>
    <row r="66" spans="2:12" x14ac:dyDescent="0.3">
      <c r="B66" s="154" t="s">
        <v>70</v>
      </c>
      <c r="C66" s="154">
        <f>'-1'!$C$12</f>
        <v>3.06</v>
      </c>
      <c r="D66" s="155">
        <v>1580</v>
      </c>
      <c r="E66" s="160">
        <v>1.17</v>
      </c>
      <c r="F66" s="161" t="s">
        <v>247</v>
      </c>
      <c r="G66" s="160">
        <v>1.17</v>
      </c>
      <c r="H66" s="161" t="s">
        <v>247</v>
      </c>
      <c r="I66" s="160">
        <v>3.75</v>
      </c>
      <c r="J66" s="161" t="s">
        <v>264</v>
      </c>
      <c r="K66" s="160">
        <v>2.8299999999999996</v>
      </c>
      <c r="L66" s="161" t="s">
        <v>247</v>
      </c>
    </row>
    <row r="67" spans="2:12" x14ac:dyDescent="0.3">
      <c r="B67" s="154" t="s">
        <v>71</v>
      </c>
      <c r="C67" s="154">
        <f>'-1'!$C$12</f>
        <v>3.06</v>
      </c>
      <c r="D67" s="155">
        <v>1580</v>
      </c>
      <c r="E67" s="160">
        <v>1.78</v>
      </c>
      <c r="F67" s="161" t="s">
        <v>247</v>
      </c>
      <c r="G67" s="160">
        <v>1.78</v>
      </c>
      <c r="H67" s="161" t="s">
        <v>247</v>
      </c>
      <c r="I67" s="160">
        <v>6.8599999999999994</v>
      </c>
      <c r="J67" s="161" t="s">
        <v>265</v>
      </c>
      <c r="K67" s="160">
        <v>5.93</v>
      </c>
      <c r="L67" s="161" t="s">
        <v>273</v>
      </c>
    </row>
    <row r="68" spans="2:12" x14ac:dyDescent="0.3">
      <c r="B68" s="154" t="s">
        <v>72</v>
      </c>
      <c r="C68" s="154">
        <f>'-1'!$C$12</f>
        <v>3.06</v>
      </c>
      <c r="D68" s="155">
        <v>1580</v>
      </c>
      <c r="E68" s="160">
        <v>10.99</v>
      </c>
      <c r="F68" s="161" t="s">
        <v>251</v>
      </c>
      <c r="G68" s="160">
        <v>10.99</v>
      </c>
      <c r="H68" s="161" t="s">
        <v>251</v>
      </c>
      <c r="I68" s="160">
        <v>15.6</v>
      </c>
      <c r="J68" s="161" t="s">
        <v>266</v>
      </c>
      <c r="K68" s="160">
        <v>10.67</v>
      </c>
      <c r="L68" s="161" t="s">
        <v>251</v>
      </c>
    </row>
    <row r="69" spans="2:12" x14ac:dyDescent="0.3">
      <c r="B69" s="154" t="s">
        <v>73</v>
      </c>
      <c r="C69" s="154">
        <f>'-1'!$C$12</f>
        <v>3.06</v>
      </c>
      <c r="D69" s="155">
        <v>1580</v>
      </c>
      <c r="E69" s="160">
        <v>1.74</v>
      </c>
      <c r="F69" s="161" t="s">
        <v>247</v>
      </c>
      <c r="G69" s="160">
        <v>1.74</v>
      </c>
      <c r="H69" s="161" t="s">
        <v>247</v>
      </c>
      <c r="I69" s="160">
        <v>5.52</v>
      </c>
      <c r="J69" s="161" t="s">
        <v>267</v>
      </c>
      <c r="K69" s="160">
        <v>4.05</v>
      </c>
      <c r="L69" s="161" t="s">
        <v>274</v>
      </c>
    </row>
    <row r="70" spans="2:12" x14ac:dyDescent="0.3">
      <c r="B70" s="154" t="s">
        <v>74</v>
      </c>
      <c r="C70" s="154">
        <f>'-1'!$C$12</f>
        <v>3.06</v>
      </c>
      <c r="D70" s="155">
        <v>1580</v>
      </c>
      <c r="E70" s="160">
        <v>1.97</v>
      </c>
      <c r="F70" s="161" t="s">
        <v>247</v>
      </c>
      <c r="G70" s="160">
        <v>1.97</v>
      </c>
      <c r="H70" s="161" t="s">
        <v>247</v>
      </c>
      <c r="I70" s="160">
        <v>6.31</v>
      </c>
      <c r="J70" s="161" t="s">
        <v>268</v>
      </c>
      <c r="K70" s="160">
        <v>4.76</v>
      </c>
      <c r="L70" s="161" t="s">
        <v>271</v>
      </c>
    </row>
    <row r="71" spans="2:12" x14ac:dyDescent="0.3">
      <c r="B71" s="154" t="s">
        <v>75</v>
      </c>
      <c r="C71" s="154">
        <f>'-1'!$C$12</f>
        <v>3.06</v>
      </c>
      <c r="D71" s="155">
        <v>1580</v>
      </c>
      <c r="E71" s="160">
        <v>3.11</v>
      </c>
      <c r="F71" s="161" t="s">
        <v>252</v>
      </c>
      <c r="G71" s="160">
        <v>3.11</v>
      </c>
      <c r="H71" s="161" t="s">
        <v>252</v>
      </c>
      <c r="I71" s="160">
        <v>10</v>
      </c>
      <c r="J71" s="161" t="s">
        <v>269</v>
      </c>
      <c r="K71" s="160">
        <v>7.55</v>
      </c>
      <c r="L71" s="161" t="s">
        <v>261</v>
      </c>
    </row>
    <row r="72" spans="2:12" x14ac:dyDescent="0.3">
      <c r="B72" s="154" t="s">
        <v>76</v>
      </c>
      <c r="C72" s="154">
        <f>'-1'!$C$12</f>
        <v>3.06</v>
      </c>
      <c r="D72" s="155">
        <v>1580</v>
      </c>
      <c r="E72" s="160">
        <v>2.09</v>
      </c>
      <c r="F72" s="161" t="s">
        <v>247</v>
      </c>
      <c r="G72" s="160">
        <v>2.09</v>
      </c>
      <c r="H72" s="161" t="s">
        <v>247</v>
      </c>
      <c r="I72" s="160">
        <v>2.96</v>
      </c>
      <c r="J72" s="161" t="s">
        <v>247</v>
      </c>
      <c r="K72" s="160">
        <v>2.0299999999999998</v>
      </c>
      <c r="L72" s="161" t="s">
        <v>247</v>
      </c>
    </row>
    <row r="73" spans="2:12" ht="15" thickBot="1" x14ac:dyDescent="0.35">
      <c r="B73" s="162" t="s">
        <v>77</v>
      </c>
      <c r="C73" s="162">
        <f>'-1'!$C$12</f>
        <v>3.06</v>
      </c>
      <c r="D73" s="163">
        <v>1420</v>
      </c>
      <c r="E73" s="164">
        <v>0.35000000000000003</v>
      </c>
      <c r="F73" s="165" t="s">
        <v>247</v>
      </c>
      <c r="G73" s="164">
        <v>0.35000000000000003</v>
      </c>
      <c r="H73" s="165" t="s">
        <v>247</v>
      </c>
      <c r="I73" s="164">
        <v>1.1200000000000001</v>
      </c>
      <c r="J73" s="165" t="s">
        <v>247</v>
      </c>
      <c r="K73" s="164">
        <v>0.79</v>
      </c>
      <c r="L73" s="165" t="s">
        <v>247</v>
      </c>
    </row>
  </sheetData>
  <mergeCells count="20">
    <mergeCell ref="K43:L43"/>
    <mergeCell ref="B42:F42"/>
    <mergeCell ref="G42:I42"/>
    <mergeCell ref="J42:L42"/>
    <mergeCell ref="B43:B44"/>
    <mergeCell ref="C43:C44"/>
    <mergeCell ref="D43:D44"/>
    <mergeCell ref="E43:F43"/>
    <mergeCell ref="G43:H43"/>
    <mergeCell ref="I43:J43"/>
    <mergeCell ref="I4:J4"/>
    <mergeCell ref="K4:L4"/>
    <mergeCell ref="E4:F4"/>
    <mergeCell ref="B4:B5"/>
    <mergeCell ref="B3:F3"/>
    <mergeCell ref="G3:I3"/>
    <mergeCell ref="J3:L3"/>
    <mergeCell ref="C4:C5"/>
    <mergeCell ref="D4:D5"/>
    <mergeCell ref="G4:H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B112"/>
  <sheetViews>
    <sheetView showGridLines="0" topLeftCell="A7" zoomScale="70" zoomScaleNormal="70" workbookViewId="0">
      <selection activeCell="C81" sqref="C81:W81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3" width="17.109375" customWidth="1"/>
    <col min="24" max="24" width="10.88671875" customWidth="1"/>
  </cols>
  <sheetData>
    <row r="2" spans="2:21" ht="18" x14ac:dyDescent="0.35">
      <c r="B2" s="52" t="s">
        <v>137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7.399999999999999" customHeight="1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11"/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x14ac:dyDescent="0.3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x14ac:dyDescent="0.3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x14ac:dyDescent="0.3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x14ac:dyDescent="0.3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x14ac:dyDescent="0.3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x14ac:dyDescent="0.3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x14ac:dyDescent="0.3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x14ac:dyDescent="0.3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x14ac:dyDescent="0.3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x14ac:dyDescent="0.3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3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3" x14ac:dyDescent="0.3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3" x14ac:dyDescent="0.3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3" ht="15" thickBot="1" x14ac:dyDescent="0.35">
      <c r="B36" s="66" t="s">
        <v>138</v>
      </c>
      <c r="C36" s="9">
        <v>1.6</v>
      </c>
      <c r="D36" s="9">
        <v>6.05</v>
      </c>
      <c r="E36" s="9">
        <v>16</v>
      </c>
      <c r="F36" s="109">
        <v>6</v>
      </c>
      <c r="G36" s="9">
        <v>400</v>
      </c>
      <c r="H36" s="10" t="s">
        <v>41</v>
      </c>
      <c r="I36" s="6"/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3" ht="15" thickBot="1" x14ac:dyDescent="0.35">
      <c r="B37" s="51"/>
      <c r="C37" s="62"/>
      <c r="P37" s="40"/>
      <c r="T37" s="40"/>
      <c r="U37" s="41"/>
    </row>
    <row r="38" spans="2:23" ht="15" thickBot="1" x14ac:dyDescent="0.35">
      <c r="B38" s="73" t="s">
        <v>43</v>
      </c>
      <c r="C38" s="74" t="s">
        <v>117</v>
      </c>
      <c r="D38" s="74" t="s">
        <v>118</v>
      </c>
      <c r="E38" s="74" t="s">
        <v>119</v>
      </c>
      <c r="F38" s="74" t="s">
        <v>120</v>
      </c>
      <c r="G38" s="74" t="s">
        <v>121</v>
      </c>
      <c r="H38" s="74" t="s">
        <v>122</v>
      </c>
      <c r="I38" s="74" t="s">
        <v>123</v>
      </c>
      <c r="J38" s="74" t="s">
        <v>124</v>
      </c>
      <c r="K38" s="74" t="s">
        <v>125</v>
      </c>
      <c r="L38" s="74" t="s">
        <v>126</v>
      </c>
      <c r="M38" s="74" t="s">
        <v>127</v>
      </c>
      <c r="N38" s="74" t="s">
        <v>128</v>
      </c>
      <c r="O38" s="74" t="s">
        <v>129</v>
      </c>
      <c r="P38" s="74" t="s">
        <v>130</v>
      </c>
      <c r="Q38" s="74" t="s">
        <v>131</v>
      </c>
      <c r="R38" s="74" t="s">
        <v>132</v>
      </c>
      <c r="S38" s="74" t="s">
        <v>133</v>
      </c>
      <c r="T38" s="74" t="s">
        <v>134</v>
      </c>
      <c r="U38" s="74" t="s">
        <v>135</v>
      </c>
      <c r="V38" s="74" t="s">
        <v>136</v>
      </c>
      <c r="W38" s="74" t="s">
        <v>138</v>
      </c>
    </row>
    <row r="39" spans="2:23" ht="15" thickBot="1" x14ac:dyDescent="0.35">
      <c r="B39" s="137" t="s">
        <v>95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9"/>
    </row>
    <row r="40" spans="2:23" x14ac:dyDescent="0.3">
      <c r="B40" s="97" t="s">
        <v>81</v>
      </c>
      <c r="C40" s="76">
        <f t="shared" ref="C40:V40" si="0">VLOOKUP(C$38,$B$16:$H$35,2)</f>
        <v>5</v>
      </c>
      <c r="D40" s="77">
        <f t="shared" si="0"/>
        <v>5</v>
      </c>
      <c r="E40" s="77">
        <f t="shared" si="0"/>
        <v>5</v>
      </c>
      <c r="F40" s="77">
        <f t="shared" si="0"/>
        <v>5</v>
      </c>
      <c r="G40" s="77">
        <f t="shared" si="0"/>
        <v>4.93</v>
      </c>
      <c r="H40" s="77">
        <f t="shared" si="0"/>
        <v>5.54</v>
      </c>
      <c r="I40" s="77">
        <f t="shared" si="0"/>
        <v>5.54</v>
      </c>
      <c r="J40" s="77">
        <f t="shared" si="0"/>
        <v>5.54</v>
      </c>
      <c r="K40" s="77">
        <f t="shared" si="0"/>
        <v>4.45</v>
      </c>
      <c r="L40" s="77">
        <f t="shared" si="0"/>
        <v>4.6500000000000004</v>
      </c>
      <c r="M40" s="77">
        <f t="shared" si="0"/>
        <v>4.6500000000000004</v>
      </c>
      <c r="N40" s="77">
        <f t="shared" si="0"/>
        <v>6.05</v>
      </c>
      <c r="O40" s="77">
        <f t="shared" si="0"/>
        <v>2</v>
      </c>
      <c r="P40" s="77">
        <f t="shared" si="0"/>
        <v>1.4</v>
      </c>
      <c r="Q40" s="77">
        <f t="shared" si="0"/>
        <v>2.9</v>
      </c>
      <c r="R40" s="77">
        <f t="shared" si="0"/>
        <v>5</v>
      </c>
      <c r="S40" s="77">
        <f t="shared" si="0"/>
        <v>5.82</v>
      </c>
      <c r="T40" s="77">
        <f t="shared" si="0"/>
        <v>1.34</v>
      </c>
      <c r="U40" s="77">
        <f t="shared" si="0"/>
        <v>2.1</v>
      </c>
      <c r="V40" s="77">
        <f t="shared" si="0"/>
        <v>2.3199999999999998</v>
      </c>
      <c r="W40" s="77">
        <f>VLOOKUP(W$38,$B$16:$H$36,2,TRUE)</f>
        <v>1.6</v>
      </c>
    </row>
    <row r="41" spans="2:23" x14ac:dyDescent="0.3">
      <c r="B41" s="97" t="s">
        <v>82</v>
      </c>
      <c r="C41" s="76">
        <f t="shared" ref="C41:V41" si="1">VLOOKUP(C$38,$B$16:$H$35,3)</f>
        <v>5.33</v>
      </c>
      <c r="D41" s="77">
        <f t="shared" si="1"/>
        <v>7.2</v>
      </c>
      <c r="E41" s="77">
        <f t="shared" si="1"/>
        <v>7.2</v>
      </c>
      <c r="F41" s="77">
        <f t="shared" si="1"/>
        <v>7.89</v>
      </c>
      <c r="G41" s="77">
        <f t="shared" si="1"/>
        <v>5.33</v>
      </c>
      <c r="H41" s="77">
        <f t="shared" si="1"/>
        <v>7.2</v>
      </c>
      <c r="I41" s="77">
        <f t="shared" si="1"/>
        <v>7.2</v>
      </c>
      <c r="J41" s="77">
        <f t="shared" si="1"/>
        <v>7.89</v>
      </c>
      <c r="K41" s="77">
        <f t="shared" si="1"/>
        <v>5.54</v>
      </c>
      <c r="L41" s="77">
        <f t="shared" si="1"/>
        <v>5.6</v>
      </c>
      <c r="M41" s="77">
        <f t="shared" si="1"/>
        <v>5.6</v>
      </c>
      <c r="N41" s="77">
        <f t="shared" si="1"/>
        <v>9.49</v>
      </c>
      <c r="O41" s="77">
        <f t="shared" si="1"/>
        <v>2.8250000000000002</v>
      </c>
      <c r="P41" s="77">
        <f t="shared" si="1"/>
        <v>9.1999999999999993</v>
      </c>
      <c r="Q41" s="77">
        <f t="shared" si="1"/>
        <v>6.36</v>
      </c>
      <c r="R41" s="77">
        <f t="shared" si="1"/>
        <v>5.0199999999999996</v>
      </c>
      <c r="S41" s="77">
        <f t="shared" si="1"/>
        <v>6.49</v>
      </c>
      <c r="T41" s="77">
        <f t="shared" si="1"/>
        <v>7.01</v>
      </c>
      <c r="U41" s="77">
        <f t="shared" si="1"/>
        <v>4.04</v>
      </c>
      <c r="V41" s="77">
        <f t="shared" si="1"/>
        <v>4.3</v>
      </c>
      <c r="W41" s="77">
        <f>VLOOKUP(W$38,$B$16:$H$36,3)</f>
        <v>6.05</v>
      </c>
    </row>
    <row r="42" spans="2:23" x14ac:dyDescent="0.3">
      <c r="B42" s="100" t="s">
        <v>86</v>
      </c>
      <c r="C42" s="76">
        <f>ROUNDUP((C46*C40*100)/C47+$C$5,0)</f>
        <v>11</v>
      </c>
      <c r="D42" s="77">
        <f>ROUNDUP((D46*D40*100)/D47+$C$5,0)</f>
        <v>11</v>
      </c>
      <c r="E42" s="77">
        <f t="shared" ref="E42:V42" si="2">ROUNDUP((E46*E40*100)/E47+$C$5,0)</f>
        <v>11</v>
      </c>
      <c r="F42" s="77">
        <f t="shared" si="2"/>
        <v>10</v>
      </c>
      <c r="G42" s="77">
        <f t="shared" si="2"/>
        <v>12</v>
      </c>
      <c r="H42" s="77">
        <f t="shared" si="2"/>
        <v>10</v>
      </c>
      <c r="I42" s="77">
        <f t="shared" si="2"/>
        <v>10</v>
      </c>
      <c r="J42" s="77">
        <f t="shared" si="2"/>
        <v>10</v>
      </c>
      <c r="K42" s="77">
        <f t="shared" si="2"/>
        <v>10</v>
      </c>
      <c r="L42" s="77">
        <f t="shared" si="2"/>
        <v>9</v>
      </c>
      <c r="M42" s="77">
        <f t="shared" si="2"/>
        <v>8</v>
      </c>
      <c r="N42" s="77">
        <f t="shared" si="2"/>
        <v>10</v>
      </c>
      <c r="O42" s="77">
        <f t="shared" si="2"/>
        <v>6</v>
      </c>
      <c r="P42" s="77">
        <f t="shared" si="2"/>
        <v>4</v>
      </c>
      <c r="Q42" s="77">
        <f t="shared" si="2"/>
        <v>6</v>
      </c>
      <c r="R42" s="77">
        <f t="shared" si="2"/>
        <v>8</v>
      </c>
      <c r="S42" s="77">
        <f t="shared" si="2"/>
        <v>9</v>
      </c>
      <c r="T42" s="77">
        <f t="shared" si="2"/>
        <v>5</v>
      </c>
      <c r="U42" s="77">
        <f t="shared" si="2"/>
        <v>6</v>
      </c>
      <c r="V42" s="77">
        <f t="shared" si="2"/>
        <v>5</v>
      </c>
      <c r="W42" s="77">
        <f>ROUNDUP((W46*W40*100)/W47+$C$5,0)</f>
        <v>4</v>
      </c>
    </row>
    <row r="43" spans="2:23" ht="15" thickBot="1" x14ac:dyDescent="0.35">
      <c r="B43" s="101" t="s">
        <v>0</v>
      </c>
      <c r="C43" s="78" t="str">
        <f>VLOOKUP($C$38,$B$16:$H$35,5)</f>
        <v>5a</v>
      </c>
      <c r="D43" s="79">
        <f t="shared" ref="D43:V43" si="3">VLOOKUP(D$38,$B$16:$H$35,5,TRUE)</f>
        <v>6</v>
      </c>
      <c r="E43" s="79">
        <f t="shared" si="3"/>
        <v>6</v>
      </c>
      <c r="F43" s="79">
        <f t="shared" si="3"/>
        <v>6</v>
      </c>
      <c r="G43" s="79">
        <f t="shared" si="3"/>
        <v>4</v>
      </c>
      <c r="H43" s="79">
        <f t="shared" si="3"/>
        <v>6</v>
      </c>
      <c r="I43" s="79">
        <f t="shared" si="3"/>
        <v>6</v>
      </c>
      <c r="J43" s="79">
        <f t="shared" si="3"/>
        <v>6</v>
      </c>
      <c r="K43" s="79" t="str">
        <f t="shared" si="3"/>
        <v>5b</v>
      </c>
      <c r="L43" s="79">
        <f t="shared" si="3"/>
        <v>6</v>
      </c>
      <c r="M43" s="79">
        <f t="shared" si="3"/>
        <v>6</v>
      </c>
      <c r="N43" s="79">
        <f t="shared" si="3"/>
        <v>6</v>
      </c>
      <c r="O43" s="79">
        <f t="shared" si="3"/>
        <v>4</v>
      </c>
      <c r="P43" s="79">
        <f t="shared" si="3"/>
        <v>6</v>
      </c>
      <c r="Q43" s="79">
        <f t="shared" si="3"/>
        <v>6</v>
      </c>
      <c r="R43" s="79">
        <f t="shared" si="3"/>
        <v>6</v>
      </c>
      <c r="S43" s="79">
        <f t="shared" si="3"/>
        <v>6</v>
      </c>
      <c r="T43" s="79" t="str">
        <f t="shared" si="3"/>
        <v>2a</v>
      </c>
      <c r="U43" s="79" t="str">
        <f t="shared" si="3"/>
        <v>5b</v>
      </c>
      <c r="V43" s="79">
        <f t="shared" si="3"/>
        <v>6</v>
      </c>
      <c r="W43" s="79">
        <f>VLOOKUP(W$38,$B$16:$H$36,5,TRUE)</f>
        <v>6</v>
      </c>
    </row>
    <row r="44" spans="2:23" ht="15" thickBot="1" x14ac:dyDescent="0.35">
      <c r="B44" s="137" t="s">
        <v>94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9"/>
    </row>
    <row r="45" spans="2:23" x14ac:dyDescent="0.3">
      <c r="B45" s="100" t="s">
        <v>84</v>
      </c>
      <c r="C45" s="80">
        <f>ROUNDUP(C41/C40,1)</f>
        <v>1.1000000000000001</v>
      </c>
      <c r="D45" s="81">
        <f>ROUNDUP(D41/D40,1)</f>
        <v>1.5</v>
      </c>
      <c r="E45" s="81">
        <f t="shared" ref="E45:V45" si="4">ROUNDUP(E41/E40,1)</f>
        <v>1.5</v>
      </c>
      <c r="F45" s="81">
        <f t="shared" si="4"/>
        <v>1.6</v>
      </c>
      <c r="G45" s="81">
        <f t="shared" si="4"/>
        <v>1.1000000000000001</v>
      </c>
      <c r="H45" s="81">
        <f t="shared" si="4"/>
        <v>1.3</v>
      </c>
      <c r="I45" s="81">
        <f t="shared" si="4"/>
        <v>1.3</v>
      </c>
      <c r="J45" s="81">
        <f t="shared" si="4"/>
        <v>1.5</v>
      </c>
      <c r="K45" s="81">
        <f t="shared" si="4"/>
        <v>1.3</v>
      </c>
      <c r="L45" s="81">
        <f t="shared" si="4"/>
        <v>1.3</v>
      </c>
      <c r="M45" s="81">
        <f t="shared" si="4"/>
        <v>1.3</v>
      </c>
      <c r="N45" s="81">
        <f t="shared" si="4"/>
        <v>1.6</v>
      </c>
      <c r="O45" s="81">
        <f t="shared" si="4"/>
        <v>1.5</v>
      </c>
      <c r="P45" s="81">
        <f t="shared" si="4"/>
        <v>6.6</v>
      </c>
      <c r="Q45" s="81">
        <f t="shared" si="4"/>
        <v>2.2000000000000002</v>
      </c>
      <c r="R45" s="81">
        <f t="shared" si="4"/>
        <v>1.1000000000000001</v>
      </c>
      <c r="S45" s="81">
        <f t="shared" si="4"/>
        <v>1.2000000000000002</v>
      </c>
      <c r="T45" s="81">
        <f t="shared" si="4"/>
        <v>5.3</v>
      </c>
      <c r="U45" s="81">
        <f t="shared" si="4"/>
        <v>2</v>
      </c>
      <c r="V45" s="81">
        <f t="shared" si="4"/>
        <v>1.9000000000000001</v>
      </c>
      <c r="W45" s="81">
        <f t="shared" ref="W45" si="5">ROUNDUP(W41/W40,1)</f>
        <v>3.8000000000000003</v>
      </c>
    </row>
    <row r="46" spans="2:23" x14ac:dyDescent="0.3">
      <c r="B46" s="100" t="s">
        <v>11</v>
      </c>
      <c r="C46" s="76">
        <f>IF(C45&gt;1.5,VLOOKUP(C43&amp;1.5,tablas!$L$3:$O$56,4,FALSE),VLOOKUP(C43&amp;C45,tablas!$L$3:$O$56,4,FALSE))</f>
        <v>0.57999999999999996</v>
      </c>
      <c r="D46" s="77">
        <f>IF(D45&gt;1.5,VLOOKUP(D43&amp;1.5,tablas!$L$3:$O$56,4,FALSE),VLOOKUP(D43&amp;D45,tablas!$L$3:$O$56,4,FALSE))</f>
        <v>0.57999999999999996</v>
      </c>
      <c r="E46" s="77">
        <f>IF(E45&gt;1.5,VLOOKUP(E43&amp;1.5,tablas!$L$3:$O$56,4,FALSE),VLOOKUP(E43&amp;E45,tablas!$L$3:$O$56,4,FALSE))</f>
        <v>0.57999999999999996</v>
      </c>
      <c r="F46" s="77">
        <f>IF(F45&gt;1.5,VLOOKUP(F43&amp;1.5,tablas!$L$3:$O$56,4,FALSE),VLOOKUP(F43&amp;F45,tablas!$L$3:$O$56,4,FALSE))</f>
        <v>0.57999999999999996</v>
      </c>
      <c r="G46" s="77">
        <f>IF(G45&gt;1.5,VLOOKUP(G43&amp;1.5,tablas!$L$3:$O$56,4,FALSE),VLOOKUP(G43&amp;G45,tablas!$L$3:$O$56,4,FALSE))</f>
        <v>0.7</v>
      </c>
      <c r="H46" s="77">
        <f>IF(H45&gt;1.5,VLOOKUP(H43&amp;1.5,tablas!$L$3:$O$56,4,FALSE),VLOOKUP(H43&amp;H45,tablas!$L$3:$O$56,4,FALSE))</f>
        <v>0.56000000000000005</v>
      </c>
      <c r="I46" s="77">
        <f>IF(I45&gt;1.5,VLOOKUP(I43&amp;1.5,tablas!$L$3:$O$56,4,FALSE),VLOOKUP(I43&amp;I45,tablas!$L$3:$O$56,4,FALSE))</f>
        <v>0.56000000000000005</v>
      </c>
      <c r="J46" s="77">
        <f>IF(J45&gt;1.5,VLOOKUP(J43&amp;1.5,tablas!$L$3:$O$56,4,FALSE),VLOOKUP(J43&amp;J45,tablas!$L$3:$O$56,4,FALSE))</f>
        <v>0.57999999999999996</v>
      </c>
      <c r="K46" s="77">
        <f>IF(K45&gt;1.5,VLOOKUP(K43&amp;1.5,tablas!$L$3:$O$56,4,FALSE),VLOOKUP(K43&amp;K45,tablas!$L$3:$O$56,4,FALSE))</f>
        <v>0.7</v>
      </c>
      <c r="L46" s="77">
        <f>IF(L45&gt;1.5,VLOOKUP(L43&amp;1.5,tablas!$L$3:$O$56,4,FALSE),VLOOKUP(L43&amp;L45,tablas!$L$3:$O$56,4,FALSE))</f>
        <v>0.56000000000000005</v>
      </c>
      <c r="M46" s="77">
        <f>IF(M45&gt;1.5,VLOOKUP(M43&amp;1.5,tablas!$L$3:$O$56,4,FALSE),VLOOKUP(M43&amp;M45,tablas!$L$3:$O$56,4,FALSE))</f>
        <v>0.56000000000000005</v>
      </c>
      <c r="N46" s="77">
        <f>IF(N45&gt;1.5,VLOOKUP(N43&amp;1.5,tablas!$L$3:$O$56,4,FALSE),VLOOKUP(N43&amp;N45,tablas!$L$3:$O$56,4,FALSE))</f>
        <v>0.57999999999999996</v>
      </c>
      <c r="O46" s="77">
        <f>IF(O45&gt;1.5,VLOOKUP(O43&amp;1.5,tablas!$L$3:$O$56,4,FALSE),VLOOKUP(O43&amp;O45,tablas!$L$3:$O$56,4,FALSE))</f>
        <v>0.76</v>
      </c>
      <c r="P46" s="77">
        <f>IF(P45&gt;1.5,VLOOKUP(P43&amp;1.5,tablas!$L$3:$O$56,4,FALSE),VLOOKUP(P43&amp;P45,tablas!$L$3:$O$56,4,FALSE))</f>
        <v>0.57999999999999996</v>
      </c>
      <c r="Q46" s="77">
        <f>IF(Q45&gt;1.5,VLOOKUP(Q43&amp;1.5,tablas!$L$3:$O$56,4,FALSE),VLOOKUP(Q43&amp;Q45,tablas!$L$3:$O$56,4,FALSE))</f>
        <v>0.57999999999999996</v>
      </c>
      <c r="R46" s="77">
        <f>IF(R45&gt;1.5,VLOOKUP(R43&amp;1.5,tablas!$L$3:$O$56,4,FALSE),VLOOKUP(R43&amp;R45,tablas!$L$3:$O$56,4,FALSE))</f>
        <v>0.55000000000000004</v>
      </c>
      <c r="S46" s="77">
        <f>IF(S45&gt;1.5,VLOOKUP(S43&amp;1.5,tablas!$L$3:$O$56,4,FALSE),VLOOKUP(S43&amp;S45,tablas!$L$3:$O$56,4,FALSE))</f>
        <v>0.56000000000000005</v>
      </c>
      <c r="T46" s="77">
        <f>IF(T45&gt;1.5,VLOOKUP(T43&amp;1.5,tablas!$L$3:$O$56,4,FALSE),VLOOKUP(T43&amp;T45,tablas!$L$3:$O$56,4,FALSE))</f>
        <v>0.8</v>
      </c>
      <c r="U46" s="77">
        <f>IF(U45&gt;1.5,VLOOKUP(U43&amp;1.5,tablas!$L$3:$O$56,4,FALSE),VLOOKUP(U43&amp;U45,tablas!$L$3:$O$56,4,FALSE))</f>
        <v>0.75</v>
      </c>
      <c r="V46" s="77">
        <f>IF(V45&gt;1.5,VLOOKUP(V43&amp;1.5,tablas!$L$3:$O$56,4,FALSE),VLOOKUP(V43&amp;V45,tablas!$L$3:$O$56,4,FALSE))</f>
        <v>0.57999999999999996</v>
      </c>
      <c r="W46" s="77">
        <f>IF(W45&gt;1.5,VLOOKUP(W43&amp;1.5,tablas!$L$3:$O$56,4,FALSE),VLOOKUP(W43&amp;W45,tablas!$L$3:$O$56,4,FALSE))</f>
        <v>0.57999999999999996</v>
      </c>
    </row>
    <row r="47" spans="2:23" x14ac:dyDescent="0.3">
      <c r="B47" s="100" t="s">
        <v>85</v>
      </c>
      <c r="C47" s="76">
        <v>35</v>
      </c>
      <c r="D47" s="77">
        <v>35</v>
      </c>
      <c r="E47" s="77">
        <v>36</v>
      </c>
      <c r="F47" s="77">
        <v>37</v>
      </c>
      <c r="G47" s="77">
        <v>38</v>
      </c>
      <c r="H47" s="77">
        <v>39</v>
      </c>
      <c r="I47" s="77">
        <v>40</v>
      </c>
      <c r="J47" s="77">
        <v>41</v>
      </c>
      <c r="K47" s="77">
        <v>42</v>
      </c>
      <c r="L47" s="77">
        <v>43</v>
      </c>
      <c r="M47" s="77">
        <v>44</v>
      </c>
      <c r="N47" s="77">
        <v>45</v>
      </c>
      <c r="O47" s="77">
        <v>46</v>
      </c>
      <c r="P47" s="77">
        <v>47</v>
      </c>
      <c r="Q47" s="77">
        <v>48</v>
      </c>
      <c r="R47" s="77">
        <v>49</v>
      </c>
      <c r="S47" s="77">
        <v>50</v>
      </c>
      <c r="T47" s="77">
        <v>51</v>
      </c>
      <c r="U47" s="77">
        <v>52</v>
      </c>
      <c r="V47" s="77">
        <v>53</v>
      </c>
      <c r="W47" s="77">
        <v>54</v>
      </c>
    </row>
    <row r="48" spans="2:23" x14ac:dyDescent="0.3">
      <c r="B48" s="97" t="s">
        <v>4</v>
      </c>
      <c r="C48" s="76">
        <f>IF(C45&lt;=2,VLOOKUP(C43&amp;C45,tablas!$B$3:$J$92,6,FALSE),"Franja de losa")</f>
        <v>41.6</v>
      </c>
      <c r="D48" s="76">
        <f>IF(D45&lt;=2,VLOOKUP(D43&amp;D45,tablas!$B$3:$J$92,6,FALSE),"Franja de losa")</f>
        <v>44.4</v>
      </c>
      <c r="E48" s="76">
        <f>IF(E45&lt;=2,VLOOKUP(E43&amp;E45,tablas!$B$3:$J$92,6,FALSE),"Franja de losa")</f>
        <v>44.4</v>
      </c>
      <c r="F48" s="76">
        <f>IF(F45&lt;=2,VLOOKUP(F43&amp;F45,tablas!$B$3:$J$92,6,FALSE),"Franja de losa")</f>
        <v>46.1</v>
      </c>
      <c r="G48" s="76">
        <f>IF(G45&lt;=2,VLOOKUP(G43&amp;G45,tablas!$B$3:$J$92,6,FALSE),"Franja de losa")</f>
        <v>36.799999999999997</v>
      </c>
      <c r="H48" s="76">
        <f>IF(H45&lt;=2,VLOOKUP(H43&amp;H45,tablas!$B$3:$J$92,6,FALSE),"Franja de losa")</f>
        <v>45.2</v>
      </c>
      <c r="I48" s="76">
        <f>IF(I45&lt;=2,VLOOKUP(I43&amp;I45,tablas!$B$3:$J$92,6,FALSE),"Franja de losa")</f>
        <v>45.2</v>
      </c>
      <c r="J48" s="76">
        <f>IF(J45&lt;=2,VLOOKUP(J43&amp;J45,tablas!$B$3:$J$92,6,FALSE),"Franja de losa")</f>
        <v>44.4</v>
      </c>
      <c r="K48" s="76">
        <f>IF(K45&lt;=2,VLOOKUP(K43&amp;K45,tablas!$B$3:$J$92,6,FALSE),"Franja de losa")</f>
        <v>41.3</v>
      </c>
      <c r="L48" s="76">
        <f>IF(L45&lt;=2,VLOOKUP(L43&amp;L45,tablas!$B$3:$J$92,6,FALSE),"Franja de losa")</f>
        <v>45.2</v>
      </c>
      <c r="M48" s="76">
        <f>IF(M45&lt;=2,VLOOKUP(M43&amp;M45,tablas!$B$3:$J$92,6,FALSE),"Franja de losa")</f>
        <v>45.2</v>
      </c>
      <c r="N48" s="76">
        <f>IF(N45&lt;=2,VLOOKUP(N43&amp;N45,tablas!$B$3:$J$92,6,FALSE),"Franja de losa")</f>
        <v>46.1</v>
      </c>
      <c r="O48" s="76">
        <f>IF(O45&lt;=2,VLOOKUP(O43&amp;O45,tablas!$B$3:$J$92,6,FALSE),"Franja de losa")</f>
        <v>33.299999999999997</v>
      </c>
      <c r="P48" s="76" t="str">
        <f>IF(P45&lt;=2,VLOOKUP(P43&amp;P45,tablas!$B$3:$J$92,6,FALSE),"Franja de losa")</f>
        <v>Franja de losa</v>
      </c>
      <c r="Q48" s="76" t="str">
        <f>IF(Q45&lt;=2,VLOOKUP(Q43&amp;Q45,tablas!$B$3:$J$92,6,FALSE),"Franja de losa")</f>
        <v>Franja de losa</v>
      </c>
      <c r="R48" s="76">
        <f>IF(R45&lt;=2,VLOOKUP(R43&amp;R45,tablas!$B$3:$J$92,6,FALSE),"Franja de losa")</f>
        <v>50.7</v>
      </c>
      <c r="S48" s="76">
        <f>IF(S45&lt;=2,VLOOKUP(S43&amp;S45,tablas!$B$3:$J$92,6,FALSE),"Franja de losa")</f>
        <v>47.2</v>
      </c>
      <c r="T48" s="76" t="str">
        <f>IF(T45&lt;=2,VLOOKUP(T43&amp;T45,tablas!$B$3:$J$92,6,FALSE),"Franja de losa")</f>
        <v>Franja de losa</v>
      </c>
      <c r="U48" s="76">
        <f>IF(U45&lt;=2,VLOOKUP(U43&amp;U45,tablas!$B$3:$J$92,6,FALSE),"Franja de losa")</f>
        <v>37.5</v>
      </c>
      <c r="V48" s="76">
        <f>IF(V45&lt;=2,VLOOKUP(V43&amp;V45-0.1,tablas!$B$3:$J$92,6,FALSE),"Franja de losa")</f>
        <v>48.8</v>
      </c>
      <c r="W48" s="76" t="str">
        <f>IF(W45&lt;=2,VLOOKUP(W43&amp;W45,tablas!$B$3:$J$92,6,FALSE),"Franja de losa")</f>
        <v>Franja de losa</v>
      </c>
    </row>
    <row r="49" spans="2:23" x14ac:dyDescent="0.3">
      <c r="B49" s="97" t="s">
        <v>5</v>
      </c>
      <c r="C49" s="76">
        <f>IF(C45&lt;=2,VLOOKUP(C43&amp;C45,tablas!$B$3:$J$92,7,FALSE),"Franja de losa")</f>
        <v>66.5</v>
      </c>
      <c r="D49" s="76">
        <f>IF(D45&lt;=2,VLOOKUP(D43&amp;D45,tablas!$B$3:$J$92,7,FALSE),"Franja de losa")</f>
        <v>140.5</v>
      </c>
      <c r="E49" s="76">
        <f>IF(E45&lt;=2,VLOOKUP(E43&amp;E45,tablas!$B$3:$J$92,7,FALSE),"Franja de losa")</f>
        <v>140.5</v>
      </c>
      <c r="F49" s="76">
        <f>IF(F45&lt;=2,VLOOKUP(F43&amp;F45,tablas!$B$3:$J$92,7,FALSE),"Franja de losa")</f>
        <v>163</v>
      </c>
      <c r="G49" s="76">
        <f>IF(G45&lt;=2,VLOOKUP(G43&amp;G45,tablas!$B$3:$J$92,7,FALSE),"Franja de losa")</f>
        <v>46.2</v>
      </c>
      <c r="H49" s="76">
        <f>IF(H45&lt;=2,VLOOKUP(H43&amp;H45,tablas!$B$3:$J$92,7,FALSE),"Franja de losa")</f>
        <v>95.6</v>
      </c>
      <c r="I49" s="76">
        <f>IF(I45&lt;=2,VLOOKUP(I43&amp;I45,tablas!$B$3:$J$92,7,FALSE),"Franja de losa")</f>
        <v>95.6</v>
      </c>
      <c r="J49" s="76">
        <f>IF(J45&lt;=2,VLOOKUP(J43&amp;J45,tablas!$B$3:$J$92,7,FALSE),"Franja de losa")</f>
        <v>140.5</v>
      </c>
      <c r="K49" s="76">
        <f>IF(K45&lt;=2,VLOOKUP(K43&amp;K45,tablas!$B$3:$J$92,7,FALSE),"Franja de losa")</f>
        <v>61</v>
      </c>
      <c r="L49" s="76">
        <f>IF(L45&lt;=2,VLOOKUP(L43&amp;L45,tablas!$B$3:$J$92,7,FALSE),"Franja de losa")</f>
        <v>95.6</v>
      </c>
      <c r="M49" s="76">
        <f>IF(M45&lt;=2,VLOOKUP(M43&amp;M45,tablas!$B$3:$J$92,7,FALSE),"Franja de losa")</f>
        <v>95.6</v>
      </c>
      <c r="N49" s="76">
        <f>IF(N45&lt;=2,VLOOKUP(N43&amp;N45,tablas!$B$3:$J$92,7,FALSE),"Franja de losa")</f>
        <v>163</v>
      </c>
      <c r="O49" s="76">
        <f>IF(O45&lt;=2,VLOOKUP(O43&amp;O45,tablas!$B$3:$J$92,7,FALSE),"Franja de losa")</f>
        <v>79.599999999999994</v>
      </c>
      <c r="P49" s="76" t="str">
        <f>IF(P45&lt;=2,VLOOKUP(P43&amp;P45,tablas!$B$3:$J$92,7,FALSE),"Franja de losa")</f>
        <v>Franja de losa</v>
      </c>
      <c r="Q49" s="76" t="str">
        <f>IF(Q45&lt;=2,VLOOKUP(Q43&amp;Q45,tablas!$B$3:$J$92,7,FALSE),"Franja de losa")</f>
        <v>Franja de losa</v>
      </c>
      <c r="R49" s="76">
        <f>IF(R45&lt;=2,VLOOKUP(R43&amp;R45,tablas!$B$3:$J$92,7,FALSE),"Franja de losa")</f>
        <v>66.3</v>
      </c>
      <c r="S49" s="76">
        <f>IF(S45&lt;=2,VLOOKUP(S43&amp;S45,tablas!$B$3:$J$92,7,FALSE),"Franja de losa")</f>
        <v>78.900000000000006</v>
      </c>
      <c r="T49" s="76" t="str">
        <f>IF(T45&lt;=2,VLOOKUP(T43&amp;T45,tablas!$B$3:$J$92,7,FALSE),"Franja de losa")</f>
        <v>Franja de losa</v>
      </c>
      <c r="U49" s="76">
        <f>IF(U45&lt;=2,VLOOKUP(U43&amp;U45,tablas!$B$3:$J$92,7,FALSE),"Franja de losa")</f>
        <v>202</v>
      </c>
      <c r="V49" s="76">
        <f>IF(V45&lt;=2,VLOOKUP(V43&amp;V45-0.1,tablas!$B$3:$J$92,7,FALSE),"Franja de losa")</f>
        <v>190</v>
      </c>
      <c r="W49" s="76" t="str">
        <f>IF(W45&lt;=2,VLOOKUP(W43&amp;W45,tablas!$B$3:$J$92,7,FALSE),"Franja de losa")</f>
        <v>Franja de losa</v>
      </c>
    </row>
    <row r="50" spans="2:23" x14ac:dyDescent="0.3">
      <c r="B50" s="97" t="s">
        <v>6</v>
      </c>
      <c r="C50" s="76">
        <f>IF(C45&lt;=2,VLOOKUP(C43&amp;C45,tablas!$B$3:$J$92,8,FALSE),"Franja de losa")</f>
        <v>16.3</v>
      </c>
      <c r="D50" s="76">
        <f>IF(D45&lt;=2,VLOOKUP(D43&amp;D45,tablas!$B$3:$J$92,8,FALSE),"Franja de losa")</f>
        <v>19.8</v>
      </c>
      <c r="E50" s="76">
        <f>IF(E45&lt;=2,VLOOKUP(E43&amp;E45,tablas!$B$3:$J$92,8,FALSE),"Franja de losa")</f>
        <v>19.8</v>
      </c>
      <c r="F50" s="76">
        <f>IF(F45&lt;=2,VLOOKUP(F43&amp;F45,tablas!$B$3:$J$92,8,FALSE),"Franja de losa")</f>
        <v>20.5</v>
      </c>
      <c r="G50" s="76">
        <f>IF(G45&lt;=2,VLOOKUP(G43&amp;G45,tablas!$B$3:$J$92,8,FALSE),"Franja de losa")</f>
        <v>14</v>
      </c>
      <c r="H50" s="76">
        <f>IF(H45&lt;=2,VLOOKUP(H43&amp;H45,tablas!$B$3:$J$92,8,FALSE),"Franja de losa")</f>
        <v>18.8</v>
      </c>
      <c r="I50" s="76">
        <f>IF(I45&lt;=2,VLOOKUP(I43&amp;I45,tablas!$B$3:$J$92,8,FALSE),"Franja de losa")</f>
        <v>18.8</v>
      </c>
      <c r="J50" s="76">
        <f>IF(J45&lt;=2,VLOOKUP(J43&amp;J45,tablas!$B$3:$J$92,8,FALSE),"Franja de losa")</f>
        <v>19.8</v>
      </c>
      <c r="K50" s="76">
        <f>IF(K45&lt;=2,VLOOKUP(K43&amp;K45,tablas!$B$3:$J$92,8,FALSE),"Franja de losa")</f>
        <v>15.8</v>
      </c>
      <c r="L50" s="76">
        <f>IF(L45&lt;=2,VLOOKUP(L43&amp;L45,tablas!$B$3:$J$92,8,FALSE),"Franja de losa")</f>
        <v>18.8</v>
      </c>
      <c r="M50" s="76">
        <f>IF(M45&lt;=2,VLOOKUP(M43&amp;M45,tablas!$B$3:$J$92,8,FALSE),"Franja de losa")</f>
        <v>18.8</v>
      </c>
      <c r="N50" s="76">
        <f>IF(N45&lt;=2,VLOOKUP(N43&amp;N45,tablas!$B$3:$J$92,8,FALSE),"Franja de losa")</f>
        <v>20.5</v>
      </c>
      <c r="O50" s="76">
        <f>IF(O45&lt;=2,VLOOKUP(O43&amp;O45,tablas!$B$3:$J$92,8,FALSE),"Franja de losa")</f>
        <v>14.4</v>
      </c>
      <c r="P50" s="76" t="str">
        <f>IF(P45&lt;=2,VLOOKUP(P43&amp;P45,tablas!$B$3:$J$92,8,FALSE),"Franja de losa")</f>
        <v>Franja de losa</v>
      </c>
      <c r="Q50" s="76" t="str">
        <f>IF(Q45&lt;=2,VLOOKUP(Q43&amp;Q45,tablas!$B$3:$J$92,8,FALSE),"Franja de losa")</f>
        <v>Franja de losa</v>
      </c>
      <c r="R50" s="76">
        <f>IF(R45&lt;=2,VLOOKUP(R43&amp;R45,tablas!$B$3:$J$92,8,FALSE),"Franja de losa")</f>
        <v>18.8</v>
      </c>
      <c r="S50" s="76">
        <f>IF(S45&lt;=2,VLOOKUP(S43&amp;S45,tablas!$B$3:$J$92,8,FALSE),"Franja de losa")</f>
        <v>18.600000000000001</v>
      </c>
      <c r="T50" s="76" t="str">
        <f>IF(T45&lt;=2,VLOOKUP(T43&amp;T45,tablas!$B$3:$J$92,8,FALSE),"Franja de losa")</f>
        <v>Franja de losa</v>
      </c>
      <c r="U50" s="76">
        <f>IF(U45&lt;=2,VLOOKUP(U43&amp;U45,tablas!$B$3:$J$92,8,FALSE),"Franja de losa")</f>
        <v>17.600000000000001</v>
      </c>
      <c r="V50" s="76">
        <f>IF(V45&lt;=2,VLOOKUP(V43&amp;V45-0.1,tablas!$B$3:$J$92,8,FALSE),"Franja de losa")</f>
        <v>22</v>
      </c>
      <c r="W50" s="76" t="str">
        <f>IF(W45&lt;=2,VLOOKUP(W43&amp;W45,tablas!$B$3:$J$92,8,FALSE),"Franja de losa")</f>
        <v>Franja de losa</v>
      </c>
    </row>
    <row r="51" spans="2:23" x14ac:dyDescent="0.3">
      <c r="B51" s="97" t="s">
        <v>7</v>
      </c>
      <c r="C51" s="76">
        <f>IF(C45&lt;=2,VLOOKUP(C43&amp;C45,tablas!$B$3:$J$92,9,FALSE),"Franja de losa")</f>
        <v>19.5</v>
      </c>
      <c r="D51" s="76">
        <f>IF(D45&lt;=2,VLOOKUP(D43&amp;D45,tablas!$B$3:$J$92,9,FALSE),"Franja de losa")</f>
        <v>26.2</v>
      </c>
      <c r="E51" s="76">
        <f>IF(E45&lt;=2,VLOOKUP(E43&amp;E45,tablas!$B$3:$J$92,9,FALSE),"Franja de losa")</f>
        <v>26.2</v>
      </c>
      <c r="F51" s="76">
        <f>IF(F45&lt;=2,VLOOKUP(F43&amp;F45,tablas!$B$3:$J$92,9,FALSE),"Franja de losa")</f>
        <v>27.9</v>
      </c>
      <c r="G51" s="76">
        <f>IF(G45&lt;=2,VLOOKUP(G43&amp;G45,tablas!$B$3:$J$92,9,FALSE),"Franja de losa")</f>
        <v>15</v>
      </c>
      <c r="H51" s="76">
        <f>IF(H45&lt;=2,VLOOKUP(H43&amp;H45,tablas!$B$3:$J$92,9,FALSE),"Franja de losa")</f>
        <v>22.9</v>
      </c>
      <c r="I51" s="76">
        <f>IF(I45&lt;=2,VLOOKUP(I43&amp;I45,tablas!$B$3:$J$92,9,FALSE),"Franja de losa")</f>
        <v>22.9</v>
      </c>
      <c r="J51" s="76">
        <f>IF(J45&lt;=2,VLOOKUP(J43&amp;J45,tablas!$B$3:$J$92,9,FALSE),"Franja de losa")</f>
        <v>26.2</v>
      </c>
      <c r="K51" s="76">
        <f>IF(K45&lt;=2,VLOOKUP(K43&amp;K45,tablas!$B$3:$J$92,9,FALSE),"Franja de losa")</f>
        <v>17.3</v>
      </c>
      <c r="L51" s="76">
        <f>IF(L45&lt;=2,VLOOKUP(L43&amp;L45,tablas!$B$3:$J$92,9,FALSE),"Franja de losa")</f>
        <v>22.9</v>
      </c>
      <c r="M51" s="76">
        <f>IF(M45&lt;=2,VLOOKUP(M43&amp;M45,tablas!$B$3:$J$92,9,FALSE),"Franja de losa")</f>
        <v>22.9</v>
      </c>
      <c r="N51" s="76">
        <f>IF(N45&lt;=2,VLOOKUP(N43&amp;N45,tablas!$B$3:$J$92,9,FALSE),"Franja de losa")</f>
        <v>27.9</v>
      </c>
      <c r="O51" s="76">
        <f>IF(O45&lt;=2,VLOOKUP(O43&amp;O45,tablas!$B$3:$J$92,9,FALSE),"Franja de losa")</f>
        <v>18.600000000000001</v>
      </c>
      <c r="P51" s="76" t="str">
        <f>IF(P45&lt;=2,VLOOKUP(P43&amp;P45,tablas!$B$3:$J$92,9,FALSE),"Franja de losa")</f>
        <v>Franja de losa</v>
      </c>
      <c r="Q51" s="76" t="str">
        <f>IF(Q45&lt;=2,VLOOKUP(Q43&amp;Q45,tablas!$B$3:$J$92,9,FALSE),"Franja de losa")</f>
        <v>Franja de losa</v>
      </c>
      <c r="R51" s="76">
        <f>IF(R45&lt;=2,VLOOKUP(R43&amp;R45,tablas!$B$3:$J$92,9,FALSE),"Franja de losa")</f>
        <v>20.3</v>
      </c>
      <c r="S51" s="76">
        <f>IF(S45&lt;=2,VLOOKUP(S43&amp;S45,tablas!$B$3:$J$92,9,FALSE),"Franja de losa")</f>
        <v>21.5</v>
      </c>
      <c r="T51" s="76" t="str">
        <f>IF(T45&lt;=2,VLOOKUP(T43&amp;T45,tablas!$B$3:$J$92,9,FALSE),"Franja de losa")</f>
        <v>Franja de losa</v>
      </c>
      <c r="U51" s="76">
        <f>IF(U45&lt;=2,VLOOKUP(U43&amp;U45,tablas!$B$3:$J$92,9,FALSE),"Franja de losa")</f>
        <v>24.6</v>
      </c>
      <c r="V51" s="76">
        <f>IF(V45&lt;=2,VLOOKUP(V43&amp;V45-0.1,tablas!$B$3:$J$92,9,FALSE),"Franja de losa")</f>
        <v>31.4</v>
      </c>
      <c r="W51" s="76" t="str">
        <f>IF(W45&lt;=2,VLOOKUP(W43&amp;W45,tablas!$B$3:$J$92,9,FALSE),"Franja de losa")</f>
        <v>Franja de losa</v>
      </c>
    </row>
    <row r="52" spans="2:23" x14ac:dyDescent="0.3">
      <c r="B52" s="100" t="s">
        <v>2</v>
      </c>
      <c r="C52" s="76">
        <f>IF(C45&lt;=2,VLOOKUP(C43&amp;C45,tablas!$B$3:$J$92,4,FALSE),"Franja de losa")</f>
        <v>0.7</v>
      </c>
      <c r="D52" s="76">
        <f>IF(D45&lt;=2,VLOOKUP(D43&amp;D45,tablas!$B$3:$J$92,4,FALSE),"Franja de losa")</f>
        <v>1.31</v>
      </c>
      <c r="E52" s="76">
        <f>IF(E45&lt;=2,VLOOKUP(E43&amp;E45,tablas!$B$3:$J$92,4,FALSE),"Franja de losa")</f>
        <v>1.31</v>
      </c>
      <c r="F52" s="76">
        <f>IF(F45&lt;=2,VLOOKUP(F43&amp;F45,tablas!$B$3:$J$92,4,FALSE),"Franja de losa")</f>
        <v>1.39</v>
      </c>
      <c r="G52" s="76">
        <f>IF(G45&lt;=2,VLOOKUP(G43&amp;G45,tablas!$B$3:$J$92,4,FALSE),"Franja de losa")</f>
        <v>0.28000000000000003</v>
      </c>
      <c r="H52" s="76">
        <f>IF(H45&lt;=2,VLOOKUP(H43&amp;H45,tablas!$B$3:$J$92,4,FALSE),"Franja de losa")</f>
        <v>1.17</v>
      </c>
      <c r="I52" s="76">
        <f>IF(I45&lt;=2,VLOOKUP(I43&amp;I45,tablas!$B$3:$J$92,4,FALSE),"Franja de losa")</f>
        <v>1.17</v>
      </c>
      <c r="J52" s="76">
        <f>IF(J45&lt;=2,VLOOKUP(J43&amp;J45,tablas!$B$3:$J$92,4,FALSE),"Franja de losa")</f>
        <v>1.31</v>
      </c>
      <c r="K52" s="76">
        <f>IF(K45&lt;=2,VLOOKUP(K43&amp;K45,tablas!$B$3:$J$92,4,FALSE),"Franja de losa")</f>
        <v>0.7</v>
      </c>
      <c r="L52" s="76">
        <f>IF(L45&lt;=2,VLOOKUP(L43&amp;L45,tablas!$B$3:$J$92,4,FALSE),"Franja de losa")</f>
        <v>1.17</v>
      </c>
      <c r="M52" s="76">
        <f>IF(M45&lt;=2,VLOOKUP(M43&amp;M45,tablas!$B$3:$J$92,4,FALSE),"Franja de losa")</f>
        <v>1.17</v>
      </c>
      <c r="N52" s="76">
        <f>IF(N45&lt;=2,VLOOKUP(N43&amp;N45,tablas!$B$3:$J$92,4,FALSE),"Franja de losa")</f>
        <v>1.39</v>
      </c>
      <c r="O52" s="76">
        <f>IF(O45&lt;=2,VLOOKUP(O43&amp;O45,tablas!$B$3:$J$92,4,FALSE),"Franja de losa")</f>
        <v>0.42</v>
      </c>
      <c r="P52" s="76" t="str">
        <f>IF(P45&lt;=2,VLOOKUP(P43&amp;P45,tablas!$B$3:$J$92,4,FALSE),"Franja de losa")</f>
        <v>Franja de losa</v>
      </c>
      <c r="Q52" s="76" t="str">
        <f>IF(Q45&lt;=2,VLOOKUP(Q43&amp;Q45,tablas!$B$3:$J$92,4,FALSE),"Franja de losa")</f>
        <v>Franja de losa</v>
      </c>
      <c r="R52" s="76">
        <f>IF(R45&lt;=2,VLOOKUP(R43&amp;R45,tablas!$B$3:$J$92,4,FALSE),"Franja de losa")</f>
        <v>1.05</v>
      </c>
      <c r="S52" s="76">
        <f>IF(S45&lt;=2,VLOOKUP(S43&amp;S45,tablas!$B$3:$J$92,4,FALSE),"Franja de losa")</f>
        <v>1.1000000000000001</v>
      </c>
      <c r="T52" s="76" t="str">
        <f>IF(T45&lt;=2,VLOOKUP(T43&amp;T45,tablas!$B$3:$J$92,4,FALSE),"Franja de losa")</f>
        <v>Franja de losa</v>
      </c>
      <c r="U52" s="76">
        <f>IF(U45&lt;=2,VLOOKUP(U43&amp;U45,tablas!$B$3:$J$92,4,FALSE),"Franja de losa")</f>
        <v>0.68</v>
      </c>
      <c r="V52" s="76">
        <f>IF(V45&lt;=2,VLOOKUP(V43&amp;V45-0.1,tablas!$B$3:$J$92,4,FALSE),"Franja de losa")</f>
        <v>1.39</v>
      </c>
      <c r="W52" s="76" t="str">
        <f>IF(W45&lt;=2,VLOOKUP(W43&amp;W45,tablas!$B$3:$J$92,4,FALSE),"Franja de losa")</f>
        <v>Franja de losa</v>
      </c>
    </row>
    <row r="53" spans="2:23" ht="15" thickBot="1" x14ac:dyDescent="0.35">
      <c r="B53" s="101" t="s">
        <v>3</v>
      </c>
      <c r="C53" s="82">
        <f>IF(C45&lt;=2,VLOOKUP(C43&amp;C45,tablas!$B$3:$J$92,5,FALSE),"Franja de losa")</f>
        <v>0.96</v>
      </c>
      <c r="D53" s="82">
        <f>IF(D45&lt;=2,VLOOKUP(D43&amp;D45,tablas!$B$3:$J$92,5,FALSE),"Franja de losa")</f>
        <v>1.31</v>
      </c>
      <c r="E53" s="82">
        <f>IF(E45&lt;=2,VLOOKUP(E43&amp;E45,tablas!$B$3:$J$92,5,FALSE),"Franja de losa")</f>
        <v>1.31</v>
      </c>
      <c r="F53" s="82">
        <f>IF(F45&lt;=2,VLOOKUP(F43&amp;F45,tablas!$B$3:$J$92,5,FALSE),"Franja de losa")</f>
        <v>1.39</v>
      </c>
      <c r="G53" s="82">
        <f>IF(G45&lt;=2,VLOOKUP(G43&amp;G45,tablas!$B$3:$J$92,5,FALSE),"Franja de losa")</f>
        <v>0.28000000000000003</v>
      </c>
      <c r="H53" s="82">
        <f>IF(H45&lt;=2,VLOOKUP(H43&amp;H45,tablas!$B$3:$J$92,5,FALSE),"Franja de losa")</f>
        <v>1.17</v>
      </c>
      <c r="I53" s="82">
        <f>IF(I45&lt;=2,VLOOKUP(I43&amp;I45,tablas!$B$3:$J$92,5,FALSE),"Franja de losa")</f>
        <v>1.17</v>
      </c>
      <c r="J53" s="82">
        <f>IF(J45&lt;=2,VLOOKUP(J43&amp;J45,tablas!$B$3:$J$92,5,FALSE),"Franja de losa")</f>
        <v>1.31</v>
      </c>
      <c r="K53" s="82">
        <f>IF(K45&lt;=2,VLOOKUP(K43&amp;K45,tablas!$B$3:$J$92,5,FALSE),"Franja de losa")</f>
        <v>0.49</v>
      </c>
      <c r="L53" s="82">
        <f>IF(L45&lt;=2,VLOOKUP(L43&amp;L45,tablas!$B$3:$J$92,5,FALSE),"Franja de losa")</f>
        <v>1.17</v>
      </c>
      <c r="M53" s="82">
        <f>IF(M45&lt;=2,VLOOKUP(M43&amp;M45,tablas!$B$3:$J$92,5,FALSE),"Franja de losa")</f>
        <v>1.17</v>
      </c>
      <c r="N53" s="82">
        <f>IF(N45&lt;=2,VLOOKUP(N43&amp;N45,tablas!$B$3:$J$92,5,FALSE),"Franja de losa")</f>
        <v>1.39</v>
      </c>
      <c r="O53" s="82">
        <f>IF(O45&lt;=2,VLOOKUP(O43&amp;O45,tablas!$B$3:$J$92,5,FALSE),"Franja de losa")</f>
        <v>0.42</v>
      </c>
      <c r="P53" s="82" t="str">
        <f>IF(P45&lt;=2,VLOOKUP(P43&amp;P45,tablas!$B$3:$J$92,5,FALSE),"Franja de losa")</f>
        <v>Franja de losa</v>
      </c>
      <c r="Q53" s="82" t="str">
        <f>IF(Q45&lt;=2,VLOOKUP(Q43&amp;Q45,tablas!$B$3:$J$92,5,FALSE),"Franja de losa")</f>
        <v>Franja de losa</v>
      </c>
      <c r="R53" s="82">
        <f>IF(R45&lt;=2,VLOOKUP(R43&amp;R45,tablas!$B$3:$J$92,5,FALSE),"Franja de losa")</f>
        <v>1.05</v>
      </c>
      <c r="S53" s="82">
        <f>IF(S45&lt;=2,VLOOKUP(S43&amp;S45,tablas!$B$3:$J$92,5,FALSE),"Franja de losa")</f>
        <v>1.1000000000000001</v>
      </c>
      <c r="T53" s="82" t="str">
        <f>IF(T45&lt;=2,VLOOKUP(T43&amp;T45,tablas!$B$3:$J$92,5,FALSE),"Franja de losa")</f>
        <v>Franja de losa</v>
      </c>
      <c r="U53" s="82">
        <f>IF(U45&lt;=2,VLOOKUP(U43&amp;U45,tablas!$B$3:$J$92,5,FALSE),"Franja de losa")</f>
        <v>0.46</v>
      </c>
      <c r="V53" s="82">
        <f>IF(V45&lt;=2,VLOOKUP(V43&amp;V45-0.1,tablas!$B$3:$J$92,5,FALSE),"Franja de losa")</f>
        <v>1.39</v>
      </c>
      <c r="W53" s="82" t="str">
        <f>IF(W45&lt;=2,VLOOKUP(W43&amp;W45,tablas!$B$3:$J$92,5,FALSE),"Franja de losa")</f>
        <v>Franja de losa</v>
      </c>
    </row>
    <row r="54" spans="2:23" ht="15" thickBot="1" x14ac:dyDescent="0.35">
      <c r="B54" s="137" t="s">
        <v>87</v>
      </c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9"/>
    </row>
    <row r="55" spans="2:23" x14ac:dyDescent="0.3">
      <c r="B55" s="97" t="s">
        <v>83</v>
      </c>
      <c r="C55" s="84">
        <f>VLOOKUP(C$38,$B$16:$H$35,6)</f>
        <v>500</v>
      </c>
      <c r="D55" s="84">
        <f t="shared" ref="D55:W55" si="6">VLOOKUP(D$38,$B$16:$H$35,6)</f>
        <v>500</v>
      </c>
      <c r="E55" s="84">
        <f t="shared" si="6"/>
        <v>500</v>
      </c>
      <c r="F55" s="84">
        <f t="shared" si="6"/>
        <v>500</v>
      </c>
      <c r="G55" s="84">
        <f t="shared" si="6"/>
        <v>500</v>
      </c>
      <c r="H55" s="84">
        <f t="shared" si="6"/>
        <v>500</v>
      </c>
      <c r="I55" s="84">
        <f t="shared" si="6"/>
        <v>500</v>
      </c>
      <c r="J55" s="84">
        <f t="shared" si="6"/>
        <v>500</v>
      </c>
      <c r="K55" s="84">
        <f t="shared" si="6"/>
        <v>500</v>
      </c>
      <c r="L55" s="84">
        <f t="shared" si="6"/>
        <v>400</v>
      </c>
      <c r="M55" s="84">
        <f t="shared" si="6"/>
        <v>500</v>
      </c>
      <c r="N55" s="84">
        <f t="shared" si="6"/>
        <v>500</v>
      </c>
      <c r="O55" s="84">
        <f t="shared" si="6"/>
        <v>400</v>
      </c>
      <c r="P55" s="84">
        <f t="shared" si="6"/>
        <v>400</v>
      </c>
      <c r="Q55" s="84">
        <f t="shared" si="6"/>
        <v>400</v>
      </c>
      <c r="R55" s="84">
        <f t="shared" si="6"/>
        <v>200</v>
      </c>
      <c r="S55" s="84">
        <f t="shared" si="6"/>
        <v>200</v>
      </c>
      <c r="T55" s="84">
        <f t="shared" si="6"/>
        <v>300</v>
      </c>
      <c r="U55" s="84">
        <f t="shared" si="6"/>
        <v>400</v>
      </c>
      <c r="V55" s="84">
        <f t="shared" si="6"/>
        <v>400</v>
      </c>
      <c r="W55" s="84">
        <f t="shared" si="6"/>
        <v>400</v>
      </c>
    </row>
    <row r="56" spans="2:23" x14ac:dyDescent="0.3">
      <c r="B56" s="97" t="s">
        <v>89</v>
      </c>
      <c r="C56" s="76">
        <f>$L$7*($C$4/100)</f>
        <v>400</v>
      </c>
      <c r="D56" s="77">
        <f>$L$7*($C$4/100)</f>
        <v>400</v>
      </c>
      <c r="E56" s="77">
        <f t="shared" ref="E56:W56" si="7">$L$7*($C$4/100)</f>
        <v>400</v>
      </c>
      <c r="F56" s="77">
        <f t="shared" si="7"/>
        <v>400</v>
      </c>
      <c r="G56" s="77">
        <f t="shared" si="7"/>
        <v>400</v>
      </c>
      <c r="H56" s="77">
        <f t="shared" si="7"/>
        <v>400</v>
      </c>
      <c r="I56" s="77">
        <f t="shared" si="7"/>
        <v>400</v>
      </c>
      <c r="J56" s="77">
        <f t="shared" si="7"/>
        <v>400</v>
      </c>
      <c r="K56" s="77">
        <f t="shared" si="7"/>
        <v>400</v>
      </c>
      <c r="L56" s="77">
        <f t="shared" si="7"/>
        <v>400</v>
      </c>
      <c r="M56" s="77">
        <f t="shared" si="7"/>
        <v>400</v>
      </c>
      <c r="N56" s="77">
        <f t="shared" si="7"/>
        <v>400</v>
      </c>
      <c r="O56" s="77">
        <f t="shared" si="7"/>
        <v>400</v>
      </c>
      <c r="P56" s="77">
        <f t="shared" si="7"/>
        <v>400</v>
      </c>
      <c r="Q56" s="77">
        <f t="shared" si="7"/>
        <v>400</v>
      </c>
      <c r="R56" s="77">
        <f t="shared" si="7"/>
        <v>400</v>
      </c>
      <c r="S56" s="77">
        <f t="shared" si="7"/>
        <v>400</v>
      </c>
      <c r="T56" s="77">
        <f t="shared" si="7"/>
        <v>400</v>
      </c>
      <c r="U56" s="77">
        <f t="shared" si="7"/>
        <v>400</v>
      </c>
      <c r="V56" s="77">
        <f t="shared" si="7"/>
        <v>400</v>
      </c>
      <c r="W56" s="77">
        <f t="shared" si="7"/>
        <v>400</v>
      </c>
    </row>
    <row r="57" spans="2:23" x14ac:dyDescent="0.3">
      <c r="B57" s="97" t="s">
        <v>90</v>
      </c>
      <c r="C57" s="76">
        <f>C56+$I$8</f>
        <v>625</v>
      </c>
      <c r="D57" s="77">
        <f>D56+$I$8</f>
        <v>625</v>
      </c>
      <c r="E57" s="77">
        <f t="shared" ref="E57:W57" si="8">E56+$I$8</f>
        <v>625</v>
      </c>
      <c r="F57" s="77">
        <f t="shared" si="8"/>
        <v>625</v>
      </c>
      <c r="G57" s="77">
        <f t="shared" si="8"/>
        <v>625</v>
      </c>
      <c r="H57" s="77">
        <f t="shared" si="8"/>
        <v>625</v>
      </c>
      <c r="I57" s="77">
        <f t="shared" si="8"/>
        <v>625</v>
      </c>
      <c r="J57" s="77">
        <f t="shared" si="8"/>
        <v>625</v>
      </c>
      <c r="K57" s="77">
        <f t="shared" si="8"/>
        <v>625</v>
      </c>
      <c r="L57" s="77">
        <f t="shared" si="8"/>
        <v>625</v>
      </c>
      <c r="M57" s="77">
        <f t="shared" si="8"/>
        <v>625</v>
      </c>
      <c r="N57" s="77">
        <f t="shared" si="8"/>
        <v>625</v>
      </c>
      <c r="O57" s="77">
        <f t="shared" si="8"/>
        <v>625</v>
      </c>
      <c r="P57" s="77">
        <f t="shared" si="8"/>
        <v>625</v>
      </c>
      <c r="Q57" s="77">
        <f t="shared" si="8"/>
        <v>625</v>
      </c>
      <c r="R57" s="77">
        <f t="shared" si="8"/>
        <v>625</v>
      </c>
      <c r="S57" s="77">
        <f t="shared" si="8"/>
        <v>625</v>
      </c>
      <c r="T57" s="77">
        <f t="shared" si="8"/>
        <v>625</v>
      </c>
      <c r="U57" s="77">
        <f t="shared" si="8"/>
        <v>625</v>
      </c>
      <c r="V57" s="77">
        <f t="shared" si="8"/>
        <v>625</v>
      </c>
      <c r="W57" s="77">
        <f t="shared" si="8"/>
        <v>625</v>
      </c>
    </row>
    <row r="58" spans="2:23" x14ac:dyDescent="0.3">
      <c r="B58" s="97" t="s">
        <v>91</v>
      </c>
      <c r="C58" s="76">
        <f>1.2*C57+1.6*C55</f>
        <v>1550</v>
      </c>
      <c r="D58" s="76">
        <f t="shared" ref="D58:W58" si="9">1.2*D57+1.6*D55</f>
        <v>1550</v>
      </c>
      <c r="E58" s="76">
        <f t="shared" si="9"/>
        <v>1550</v>
      </c>
      <c r="F58" s="76">
        <f t="shared" si="9"/>
        <v>1550</v>
      </c>
      <c r="G58" s="76">
        <f t="shared" si="9"/>
        <v>1550</v>
      </c>
      <c r="H58" s="76">
        <f t="shared" si="9"/>
        <v>1550</v>
      </c>
      <c r="I58" s="76">
        <f t="shared" si="9"/>
        <v>1550</v>
      </c>
      <c r="J58" s="76">
        <f t="shared" si="9"/>
        <v>1550</v>
      </c>
      <c r="K58" s="76">
        <f t="shared" si="9"/>
        <v>1550</v>
      </c>
      <c r="L58" s="76">
        <f t="shared" si="9"/>
        <v>1390</v>
      </c>
      <c r="M58" s="76">
        <f t="shared" si="9"/>
        <v>1550</v>
      </c>
      <c r="N58" s="76">
        <f t="shared" si="9"/>
        <v>1550</v>
      </c>
      <c r="O58" s="76">
        <f t="shared" si="9"/>
        <v>1390</v>
      </c>
      <c r="P58" s="76">
        <f t="shared" si="9"/>
        <v>1390</v>
      </c>
      <c r="Q58" s="76">
        <f t="shared" si="9"/>
        <v>1390</v>
      </c>
      <c r="R58" s="76">
        <f t="shared" si="9"/>
        <v>1070</v>
      </c>
      <c r="S58" s="76">
        <f t="shared" si="9"/>
        <v>1070</v>
      </c>
      <c r="T58" s="76">
        <f t="shared" si="9"/>
        <v>1230</v>
      </c>
      <c r="U58" s="76">
        <f t="shared" si="9"/>
        <v>1390</v>
      </c>
      <c r="V58" s="76">
        <f t="shared" si="9"/>
        <v>1390</v>
      </c>
      <c r="W58" s="76">
        <f t="shared" si="9"/>
        <v>1390</v>
      </c>
    </row>
    <row r="59" spans="2:23" x14ac:dyDescent="0.3">
      <c r="B59" s="98" t="s">
        <v>92</v>
      </c>
      <c r="C59" s="85">
        <f>C58*C40*C41</f>
        <v>41307.5</v>
      </c>
      <c r="D59" s="86">
        <f>D58*D40*D41</f>
        <v>55800</v>
      </c>
      <c r="E59" s="86">
        <f t="shared" ref="E59:W59" si="10">E58*E40*E41</f>
        <v>55800</v>
      </c>
      <c r="F59" s="86">
        <f t="shared" si="10"/>
        <v>61147.5</v>
      </c>
      <c r="G59" s="86">
        <f t="shared" si="10"/>
        <v>40729.195</v>
      </c>
      <c r="H59" s="86">
        <f t="shared" si="10"/>
        <v>61826.400000000001</v>
      </c>
      <c r="I59" s="86">
        <f t="shared" si="10"/>
        <v>61826.400000000001</v>
      </c>
      <c r="J59" s="86">
        <f t="shared" si="10"/>
        <v>67751.429999999993</v>
      </c>
      <c r="K59" s="86">
        <f t="shared" si="10"/>
        <v>38212.15</v>
      </c>
      <c r="L59" s="86">
        <f>L58*L40*L41</f>
        <v>36195.600000000006</v>
      </c>
      <c r="M59" s="86">
        <f t="shared" si="10"/>
        <v>40362</v>
      </c>
      <c r="N59" s="86">
        <f t="shared" si="10"/>
        <v>88992.475000000006</v>
      </c>
      <c r="O59" s="86">
        <f t="shared" si="10"/>
        <v>7853.5000000000009</v>
      </c>
      <c r="P59" s="86">
        <f t="shared" si="10"/>
        <v>17903.199999999997</v>
      </c>
      <c r="Q59" s="86">
        <f t="shared" si="10"/>
        <v>25637.16</v>
      </c>
      <c r="R59" s="86">
        <f t="shared" si="10"/>
        <v>26856.999999999996</v>
      </c>
      <c r="S59" s="86">
        <f t="shared" si="10"/>
        <v>40415.826000000008</v>
      </c>
      <c r="T59" s="86">
        <f t="shared" si="10"/>
        <v>11553.882</v>
      </c>
      <c r="U59" s="86">
        <f t="shared" si="10"/>
        <v>11792.76</v>
      </c>
      <c r="V59" s="86">
        <f t="shared" si="10"/>
        <v>13866.639999999998</v>
      </c>
      <c r="W59" s="86">
        <f t="shared" si="10"/>
        <v>13455.199999999999</v>
      </c>
    </row>
    <row r="60" spans="2:23" ht="15" thickBot="1" x14ac:dyDescent="0.35">
      <c r="B60" s="99" t="s">
        <v>93</v>
      </c>
      <c r="C60" s="87">
        <f>C55/(2*C58)</f>
        <v>0.16129032258064516</v>
      </c>
      <c r="D60" s="88">
        <f>D55/(2*D58)</f>
        <v>0.16129032258064516</v>
      </c>
      <c r="E60" s="88">
        <f t="shared" ref="E60:V60" si="11">E55/(2*E58)</f>
        <v>0.16129032258064516</v>
      </c>
      <c r="F60" s="88">
        <f t="shared" si="11"/>
        <v>0.16129032258064516</v>
      </c>
      <c r="G60" s="88">
        <f t="shared" si="11"/>
        <v>0.16129032258064516</v>
      </c>
      <c r="H60" s="88">
        <f t="shared" si="11"/>
        <v>0.16129032258064516</v>
      </c>
      <c r="I60" s="88">
        <f t="shared" si="11"/>
        <v>0.16129032258064516</v>
      </c>
      <c r="J60" s="88">
        <f t="shared" si="11"/>
        <v>0.16129032258064516</v>
      </c>
      <c r="K60" s="88">
        <f t="shared" si="11"/>
        <v>0.16129032258064516</v>
      </c>
      <c r="L60" s="88">
        <f t="shared" si="11"/>
        <v>0.14388489208633093</v>
      </c>
      <c r="M60" s="88">
        <f t="shared" si="11"/>
        <v>0.16129032258064516</v>
      </c>
      <c r="N60" s="88">
        <f t="shared" si="11"/>
        <v>0.16129032258064516</v>
      </c>
      <c r="O60" s="88">
        <f t="shared" si="11"/>
        <v>0.14388489208633093</v>
      </c>
      <c r="P60" s="88">
        <f t="shared" si="11"/>
        <v>0.14388489208633093</v>
      </c>
      <c r="Q60" s="88">
        <f t="shared" si="11"/>
        <v>0.14388489208633093</v>
      </c>
      <c r="R60" s="88">
        <f t="shared" si="11"/>
        <v>9.3457943925233641E-2</v>
      </c>
      <c r="S60" s="88">
        <f t="shared" si="11"/>
        <v>9.3457943925233641E-2</v>
      </c>
      <c r="T60" s="88">
        <f t="shared" si="11"/>
        <v>0.12195121951219512</v>
      </c>
      <c r="U60" s="88">
        <f t="shared" si="11"/>
        <v>0.14388489208633093</v>
      </c>
      <c r="V60" s="88">
        <f t="shared" si="11"/>
        <v>0.14388489208633093</v>
      </c>
      <c r="W60" s="88">
        <f t="shared" ref="W60" si="12">W55/(2*W58)</f>
        <v>0.14388489208633093</v>
      </c>
    </row>
    <row r="61" spans="2:23" ht="15" thickBot="1" x14ac:dyDescent="0.35">
      <c r="B61" s="137" t="s">
        <v>96</v>
      </c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9"/>
    </row>
    <row r="62" spans="2:23" x14ac:dyDescent="0.3">
      <c r="B62" s="96" t="s">
        <v>97</v>
      </c>
      <c r="C62" s="89">
        <f>IF(C45&lt;=2,C59/C48*(1+C60*C52)*C46,IF(OR(C43=6,C43="5a",C43="3a"),C58*C40^2/17,(IF(OR(C43="2a",C43=4,C43="5b"),C58*C40^2/12,IF(OR(C43=1,C43="2b",C43="3b"),C58*C40^2/8)))))</f>
        <v>640.9453125</v>
      </c>
      <c r="D62" s="89">
        <f t="shared" ref="D62:W62" si="13">IF(D45&lt;=2,D59/D48*(1+D60*D52)*D46,IF(OR(D43=6,D43="5a",D43="3a"),D58*D40^2/17,(IF(OR(D43="2a",D43=4,D43="5b"),D58*D40^2/12,IF(OR(D43=1,D43="2b",D43="3b"),D58*D40^2/8)))))</f>
        <v>882.93243243243251</v>
      </c>
      <c r="E62" s="89">
        <f t="shared" si="13"/>
        <v>882.93243243243251</v>
      </c>
      <c r="F62" s="89">
        <f t="shared" si="13"/>
        <v>941.79387201735346</v>
      </c>
      <c r="G62" s="89">
        <f t="shared" si="13"/>
        <v>809.72838586956516</v>
      </c>
      <c r="H62" s="89">
        <f t="shared" si="13"/>
        <v>910.54067256637165</v>
      </c>
      <c r="I62" s="89">
        <f t="shared" si="13"/>
        <v>910.54067256637165</v>
      </c>
      <c r="J62" s="89">
        <f t="shared" si="13"/>
        <v>1072.0418439189189</v>
      </c>
      <c r="K62" s="89">
        <f t="shared" si="13"/>
        <v>720.78686440677973</v>
      </c>
      <c r="L62" s="89">
        <f t="shared" si="13"/>
        <v>523.93401769911509</v>
      </c>
      <c r="M62" s="89">
        <f t="shared" si="13"/>
        <v>594.42637168141596</v>
      </c>
      <c r="N62" s="89">
        <f t="shared" si="13"/>
        <v>1370.6622120390455</v>
      </c>
      <c r="O62" s="89">
        <f t="shared" si="13"/>
        <v>190.07075075075076</v>
      </c>
      <c r="P62" s="89">
        <f t="shared" si="13"/>
        <v>160.25882352941176</v>
      </c>
      <c r="Q62" s="89">
        <f t="shared" si="13"/>
        <v>687.64117647058822</v>
      </c>
      <c r="R62" s="89">
        <f t="shared" si="13"/>
        <v>319.93836291913209</v>
      </c>
      <c r="S62" s="89">
        <f t="shared" si="13"/>
        <v>528.80520000000013</v>
      </c>
      <c r="T62" s="89">
        <f t="shared" si="13"/>
        <v>184.04900000000001</v>
      </c>
      <c r="U62" s="89">
        <f t="shared" si="13"/>
        <v>258.93168000000003</v>
      </c>
      <c r="V62" s="89">
        <f t="shared" si="13"/>
        <v>197.77011147540981</v>
      </c>
      <c r="W62" s="89">
        <f t="shared" si="13"/>
        <v>209.31764705882355</v>
      </c>
    </row>
    <row r="63" spans="2:23" x14ac:dyDescent="0.3">
      <c r="B63" s="97" t="s">
        <v>15</v>
      </c>
      <c r="C63" s="90">
        <f>C62/(0.9*(0.9*($C$7/100))*($L$9*1000))</f>
        <v>1.3205782864807394</v>
      </c>
      <c r="D63" s="90">
        <f t="shared" ref="D63:W63" si="14">D62/(0.9*(0.9*($C$7/100))*($L$9*1000))</f>
        <v>1.8191589453271693</v>
      </c>
      <c r="E63" s="90">
        <f t="shared" si="14"/>
        <v>1.8191589453271693</v>
      </c>
      <c r="F63" s="90">
        <f t="shared" si="14"/>
        <v>1.9404347195795075</v>
      </c>
      <c r="G63" s="90">
        <f t="shared" si="14"/>
        <v>1.6683322328321815</v>
      </c>
      <c r="H63" s="90">
        <f t="shared" si="14"/>
        <v>1.8760418676885464</v>
      </c>
      <c r="I63" s="90">
        <f t="shared" si="14"/>
        <v>1.8760418676885464</v>
      </c>
      <c r="J63" s="90">
        <f t="shared" si="14"/>
        <v>2.2087924721004932</v>
      </c>
      <c r="K63" s="90">
        <f t="shared" si="14"/>
        <v>1.4850806515823145</v>
      </c>
      <c r="L63" s="90">
        <f t="shared" si="14"/>
        <v>1.0794928581712138</v>
      </c>
      <c r="M63" s="90">
        <f t="shared" si="14"/>
        <v>1.2247325068845205</v>
      </c>
      <c r="N63" s="90">
        <f t="shared" si="14"/>
        <v>2.8240580280683814</v>
      </c>
      <c r="O63" s="90">
        <f t="shared" si="14"/>
        <v>0.3916142320434462</v>
      </c>
      <c r="P63" s="90">
        <f t="shared" si="14"/>
        <v>0.33019092025872299</v>
      </c>
      <c r="Q63" s="90">
        <f t="shared" si="14"/>
        <v>1.4167885915182961</v>
      </c>
      <c r="R63" s="90">
        <f t="shared" si="14"/>
        <v>0.65918830646444637</v>
      </c>
      <c r="S63" s="90">
        <f t="shared" si="14"/>
        <v>1.0895292488750432</v>
      </c>
      <c r="T63" s="90">
        <f t="shared" si="14"/>
        <v>0.37920725576488806</v>
      </c>
      <c r="U63" s="90">
        <f t="shared" si="14"/>
        <v>0.53349255797853923</v>
      </c>
      <c r="V63" s="90">
        <f t="shared" si="14"/>
        <v>0.40747768933765544</v>
      </c>
      <c r="W63" s="90">
        <f t="shared" si="14"/>
        <v>0.43126977339914846</v>
      </c>
    </row>
    <row r="64" spans="2:23" x14ac:dyDescent="0.3">
      <c r="B64" s="97" t="s">
        <v>98</v>
      </c>
      <c r="C64" s="92">
        <f>(C63*($L$9))/(0.85*$L$6*100)</f>
        <v>1.8626050638120169E-2</v>
      </c>
      <c r="D64" s="92">
        <f t="shared" ref="D64:W64" si="15">(D63*($L$9))/(0.85*$L$6*100)</f>
        <v>2.5658264247817714E-2</v>
      </c>
      <c r="E64" s="92">
        <f t="shared" si="15"/>
        <v>2.5658264247817714E-2</v>
      </c>
      <c r="F64" s="92">
        <f t="shared" si="15"/>
        <v>2.7368794199374831E-2</v>
      </c>
      <c r="G64" s="92">
        <f t="shared" si="15"/>
        <v>2.3530934112775539E-2</v>
      </c>
      <c r="H64" s="92">
        <f t="shared" si="15"/>
        <v>2.6460567453310196E-2</v>
      </c>
      <c r="I64" s="92">
        <f t="shared" si="15"/>
        <v>2.6460567453310196E-2</v>
      </c>
      <c r="J64" s="92">
        <f t="shared" si="15"/>
        <v>3.11538368119628E-2</v>
      </c>
      <c r="K64" s="92">
        <f t="shared" si="15"/>
        <v>2.0946268541019303E-2</v>
      </c>
      <c r="L64" s="92">
        <f t="shared" si="15"/>
        <v>1.5225669576446848E-2</v>
      </c>
      <c r="M64" s="92">
        <f t="shared" si="15"/>
        <v>1.7274197164164604E-2</v>
      </c>
      <c r="N64" s="92">
        <f t="shared" si="15"/>
        <v>3.9831828505957068E-2</v>
      </c>
      <c r="O64" s="92">
        <f t="shared" si="15"/>
        <v>5.5235093529278296E-3</v>
      </c>
      <c r="P64" s="92">
        <f t="shared" si="15"/>
        <v>4.6571663822947253E-3</v>
      </c>
      <c r="Q64" s="92">
        <f t="shared" si="15"/>
        <v>1.9983045548519714E-2</v>
      </c>
      <c r="R64" s="92">
        <f t="shared" si="15"/>
        <v>9.2974986049360053E-3</v>
      </c>
      <c r="S64" s="92">
        <f t="shared" si="15"/>
        <v>1.5367227501022195E-2</v>
      </c>
      <c r="T64" s="92">
        <f t="shared" si="15"/>
        <v>5.3485155863362034E-3</v>
      </c>
      <c r="U64" s="92">
        <f t="shared" si="15"/>
        <v>7.5246272801059427E-3</v>
      </c>
      <c r="V64" s="92">
        <f t="shared" si="15"/>
        <v>5.7472549361185215E-3</v>
      </c>
      <c r="W64" s="92">
        <f t="shared" si="15"/>
        <v>6.0828295605482143E-3</v>
      </c>
    </row>
    <row r="65" spans="2:23" ht="15" thickBot="1" x14ac:dyDescent="0.35">
      <c r="B65" s="97" t="s">
        <v>15</v>
      </c>
      <c r="C65" s="76">
        <f>ROUNDUP(C62/(0.9*(($C$7-C64/2)/100)*($L$9*1000)),2)</f>
        <v>1.19</v>
      </c>
      <c r="D65" s="76">
        <f t="shared" ref="D65:W65" si="16">ROUNDUP(D62/(0.9*(($C$7-D64/2)/100)*($L$9*1000)),2)</f>
        <v>1.64</v>
      </c>
      <c r="E65" s="76">
        <f t="shared" si="16"/>
        <v>1.64</v>
      </c>
      <c r="F65" s="76">
        <f t="shared" si="16"/>
        <v>1.75</v>
      </c>
      <c r="G65" s="76">
        <f t="shared" si="16"/>
        <v>1.51</v>
      </c>
      <c r="H65" s="76">
        <f t="shared" si="16"/>
        <v>1.7</v>
      </c>
      <c r="I65" s="76">
        <f t="shared" si="16"/>
        <v>1.7</v>
      </c>
      <c r="J65" s="76">
        <f t="shared" si="16"/>
        <v>2</v>
      </c>
      <c r="K65" s="76">
        <f t="shared" si="16"/>
        <v>1.34</v>
      </c>
      <c r="L65" s="76">
        <f t="shared" si="16"/>
        <v>0.98</v>
      </c>
      <c r="M65" s="76">
        <f t="shared" si="16"/>
        <v>1.1100000000000001</v>
      </c>
      <c r="N65" s="76">
        <f t="shared" si="16"/>
        <v>2.5499999999999998</v>
      </c>
      <c r="O65" s="76">
        <f t="shared" si="16"/>
        <v>0.36</v>
      </c>
      <c r="P65" s="76">
        <f t="shared" si="16"/>
        <v>0.3</v>
      </c>
      <c r="Q65" s="76">
        <f t="shared" si="16"/>
        <v>1.28</v>
      </c>
      <c r="R65" s="76">
        <f t="shared" si="16"/>
        <v>0.6</v>
      </c>
      <c r="S65" s="76">
        <f t="shared" si="16"/>
        <v>0.99</v>
      </c>
      <c r="T65" s="76">
        <f t="shared" si="16"/>
        <v>0.35000000000000003</v>
      </c>
      <c r="U65" s="76">
        <f t="shared" si="16"/>
        <v>0.49</v>
      </c>
      <c r="V65" s="76">
        <f t="shared" si="16"/>
        <v>0.37</v>
      </c>
      <c r="W65" s="76">
        <f t="shared" si="16"/>
        <v>0.39</v>
      </c>
    </row>
    <row r="66" spans="2:23" ht="16.2" thickBot="1" x14ac:dyDescent="0.35">
      <c r="B66" s="61" t="s">
        <v>100</v>
      </c>
      <c r="C66" s="94" t="str">
        <f>IF(C65&gt;$C$12,"φ"&amp;IF(VLOOKUP(VLOOKUP(C65,tablas!$R$3:$T$66,2,TRUE)&amp;VLOOKUP(C65,tablas!$R$3:$T$66,3,TRUE),tablas!$Q$3:$R$66,2,FALSE)&lt;C65,VLOOKUP(C65+0.1,tablas!$R$3:$T$66,2,TRUE),VLOOKUP(C65,tablas!$R$3:$T$66,2,TRUE))&amp;"@"&amp;IF(VLOOKUP(VLOOKUP(C65,tablas!$R$3:$T$66,2,TRUE)&amp;VLOOKUP(C65,tablas!$R$3:$T$66,3,TRUE),tablas!$Q$3:$R$66,2,FALSE)&lt;C65,VLOOKUP(C65+0.1,tablas!$R$3:$T$66,3,TRUE),VLOOKUP(C65,tablas!$R$3:$T$66,3,TRUE)),$C$13)</f>
        <v>φ8@17</v>
      </c>
      <c r="D66" s="94" t="str">
        <f>IF(D65&gt;$C$12,"φ"&amp;IF(VLOOKUP(VLOOKUP(D65,tablas!$R$3:$T$66,2,TRUE)&amp;VLOOKUP(D65,tablas!$R$3:$T$66,3,TRUE),tablas!$Q$3:$R$66,2,FALSE)&lt;D65,VLOOKUP(D65+0.1,tablas!$R$3:$T$66,2,TRUE),VLOOKUP(D65,tablas!$R$3:$T$66,2,TRUE))&amp;"@"&amp;IF(VLOOKUP(VLOOKUP(D65,tablas!$R$3:$T$66,2,TRUE)&amp;VLOOKUP(D65,tablas!$R$3:$T$66,3,TRUE),tablas!$Q$3:$R$66,2,FALSE)&lt;D65,VLOOKUP(D65+0.1,tablas!$R$3:$T$66,3,TRUE),VLOOKUP(D65,tablas!$R$3:$T$66,3,TRUE)),$C$13)</f>
        <v>φ8@17</v>
      </c>
      <c r="E66" s="94" t="str">
        <f>IF(E65&gt;$C$12,"φ"&amp;IF(VLOOKUP(VLOOKUP(E65,tablas!$R$3:$T$66,2,TRUE)&amp;VLOOKUP(E65,tablas!$R$3:$T$66,3,TRUE),tablas!$Q$3:$R$66,2,FALSE)&lt;E65,VLOOKUP(E65+0.1,tablas!$R$3:$T$66,2,TRUE),VLOOKUP(E65,tablas!$R$3:$T$66,2,TRUE))&amp;"@"&amp;IF(VLOOKUP(VLOOKUP(E65,tablas!$R$3:$T$66,2,TRUE)&amp;VLOOKUP(E65,tablas!$R$3:$T$66,3,TRUE),tablas!$Q$3:$R$66,2,FALSE)&lt;E65,VLOOKUP(E65+0.1,tablas!$R$3:$T$66,3,TRUE),VLOOKUP(E65,tablas!$R$3:$T$66,3,TRUE)),$C$13)</f>
        <v>φ8@17</v>
      </c>
      <c r="F66" s="94" t="str">
        <f>IF(F65&gt;$C$12,"φ"&amp;IF(VLOOKUP(VLOOKUP(F65,tablas!$R$3:$T$66,2,TRUE)&amp;VLOOKUP(F65,tablas!$R$3:$T$66,3,TRUE),tablas!$Q$3:$R$66,2,FALSE)&lt;F65,VLOOKUP(F65+0.1,tablas!$R$3:$T$66,2,TRUE),VLOOKUP(F65,tablas!$R$3:$T$66,2,TRUE))&amp;"@"&amp;IF(VLOOKUP(VLOOKUP(F65,tablas!$R$3:$T$66,2,TRUE)&amp;VLOOKUP(F65,tablas!$R$3:$T$66,3,TRUE),tablas!$Q$3:$R$66,2,FALSE)&lt;F65,VLOOKUP(F65+0.1,tablas!$R$3:$T$66,3,TRUE),VLOOKUP(F65,tablas!$R$3:$T$66,3,TRUE)),$C$13)</f>
        <v>φ8@17</v>
      </c>
      <c r="G66" s="94" t="str">
        <f>IF(G65&gt;$C$12,"φ"&amp;IF(VLOOKUP(VLOOKUP(G65,tablas!$R$3:$T$66,2,TRUE)&amp;VLOOKUP(G65,tablas!$R$3:$T$66,3,TRUE),tablas!$Q$3:$R$66,2,FALSE)&lt;G65,VLOOKUP(G65+0.1,tablas!$R$3:$T$66,2,TRUE),VLOOKUP(G65,tablas!$R$3:$T$66,2,TRUE))&amp;"@"&amp;IF(VLOOKUP(VLOOKUP(G65,tablas!$R$3:$T$66,2,TRUE)&amp;VLOOKUP(G65,tablas!$R$3:$T$66,3,TRUE),tablas!$Q$3:$R$66,2,FALSE)&lt;G65,VLOOKUP(G65+0.1,tablas!$R$3:$T$66,3,TRUE),VLOOKUP(G65,tablas!$R$3:$T$66,3,TRUE)),$C$13)</f>
        <v>φ8@17</v>
      </c>
      <c r="H66" s="94" t="str">
        <f>IF(H65&gt;$C$12,"φ"&amp;IF(VLOOKUP(VLOOKUP(H65,tablas!$R$3:$T$66,2,TRUE)&amp;VLOOKUP(H65,tablas!$R$3:$T$66,3,TRUE),tablas!$Q$3:$R$66,2,FALSE)&lt;H65,VLOOKUP(H65+0.1,tablas!$R$3:$T$66,2,TRUE),VLOOKUP(H65,tablas!$R$3:$T$66,2,TRUE))&amp;"@"&amp;IF(VLOOKUP(VLOOKUP(H65,tablas!$R$3:$T$66,2,TRUE)&amp;VLOOKUP(H65,tablas!$R$3:$T$66,3,TRUE),tablas!$Q$3:$R$66,2,FALSE)&lt;H65,VLOOKUP(H65+0.1,tablas!$R$3:$T$66,3,TRUE),VLOOKUP(H65,tablas!$R$3:$T$66,3,TRUE)),$C$13)</f>
        <v>φ8@17</v>
      </c>
      <c r="I66" s="94" t="str">
        <f>IF(I65&gt;$C$12,"φ"&amp;IF(VLOOKUP(VLOOKUP(I65,tablas!$R$3:$T$66,2,TRUE)&amp;VLOOKUP(I65,tablas!$R$3:$T$66,3,TRUE),tablas!$Q$3:$R$66,2,FALSE)&lt;I65,VLOOKUP(I65+0.1,tablas!$R$3:$T$66,2,TRUE),VLOOKUP(I65,tablas!$R$3:$T$66,2,TRUE))&amp;"@"&amp;IF(VLOOKUP(VLOOKUP(I65,tablas!$R$3:$T$66,2,TRUE)&amp;VLOOKUP(I65,tablas!$R$3:$T$66,3,TRUE),tablas!$Q$3:$R$66,2,FALSE)&lt;I65,VLOOKUP(I65+0.1,tablas!$R$3:$T$66,3,TRUE),VLOOKUP(I65,tablas!$R$3:$T$66,3,TRUE)),$C$13)</f>
        <v>φ8@17</v>
      </c>
      <c r="J66" s="94" t="str">
        <f>IF(J65&gt;$C$12,"φ"&amp;IF(VLOOKUP(VLOOKUP(J65,tablas!$R$3:$T$66,2,TRUE)&amp;VLOOKUP(J65,tablas!$R$3:$T$66,3,TRUE),tablas!$Q$3:$R$66,2,FALSE)&lt;J65,VLOOKUP(J65+0.1,tablas!$R$3:$T$66,2,TRUE),VLOOKUP(J65,tablas!$R$3:$T$66,2,TRUE))&amp;"@"&amp;IF(VLOOKUP(VLOOKUP(J65,tablas!$R$3:$T$66,2,TRUE)&amp;VLOOKUP(J65,tablas!$R$3:$T$66,3,TRUE),tablas!$Q$3:$R$66,2,FALSE)&lt;J65,VLOOKUP(J65+0.1,tablas!$R$3:$T$66,3,TRUE),VLOOKUP(J65,tablas!$R$3:$T$66,3,TRUE)),$C$13)</f>
        <v>φ8@17</v>
      </c>
      <c r="K66" s="94" t="str">
        <f>IF(K65&gt;$C$12,"φ"&amp;IF(VLOOKUP(VLOOKUP(K65,tablas!$R$3:$T$66,2,TRUE)&amp;VLOOKUP(K65,tablas!$R$3:$T$66,3,TRUE),tablas!$Q$3:$R$66,2,FALSE)&lt;K65,VLOOKUP(K65+0.1,tablas!$R$3:$T$66,2,TRUE),VLOOKUP(K65,tablas!$R$3:$T$66,2,TRUE))&amp;"@"&amp;IF(VLOOKUP(VLOOKUP(K65,tablas!$R$3:$T$66,2,TRUE)&amp;VLOOKUP(K65,tablas!$R$3:$T$66,3,TRUE),tablas!$Q$3:$R$66,2,FALSE)&lt;K65,VLOOKUP(K65+0.1,tablas!$R$3:$T$66,3,TRUE),VLOOKUP(K65,tablas!$R$3:$T$66,3,TRUE)),$C$13)</f>
        <v>φ8@17</v>
      </c>
      <c r="L66" s="94" t="str">
        <f>IF(L65&gt;$C$12,"φ"&amp;IF(VLOOKUP(VLOOKUP(L65,tablas!$R$3:$T$66,2,TRUE)&amp;VLOOKUP(L65,tablas!$R$3:$T$66,3,TRUE),tablas!$Q$3:$R$66,2,FALSE)&lt;L65,VLOOKUP(L65+0.1,tablas!$R$3:$T$66,2,TRUE),VLOOKUP(L65,tablas!$R$3:$T$66,2,TRUE))&amp;"@"&amp;IF(VLOOKUP(VLOOKUP(L65,tablas!$R$3:$T$66,2,TRUE)&amp;VLOOKUP(L65,tablas!$R$3:$T$66,3,TRUE),tablas!$Q$3:$R$66,2,FALSE)&lt;L65,VLOOKUP(L65+0.1,tablas!$R$3:$T$66,3,TRUE),VLOOKUP(L65,tablas!$R$3:$T$66,3,TRUE)),$C$13)</f>
        <v>φ8@17</v>
      </c>
      <c r="M66" s="94" t="str">
        <f>IF(M65&gt;$C$12,"φ"&amp;IF(VLOOKUP(VLOOKUP(M65,tablas!$R$3:$T$66,2,TRUE)&amp;VLOOKUP(M65,tablas!$R$3:$T$66,3,TRUE),tablas!$Q$3:$R$66,2,FALSE)&lt;M65,VLOOKUP(M65+0.1,tablas!$R$3:$T$66,2,TRUE),VLOOKUP(M65,tablas!$R$3:$T$66,2,TRUE))&amp;"@"&amp;IF(VLOOKUP(VLOOKUP(M65,tablas!$R$3:$T$66,2,TRUE)&amp;VLOOKUP(M65,tablas!$R$3:$T$66,3,TRUE),tablas!$Q$3:$R$66,2,FALSE)&lt;M65,VLOOKUP(M65+0.1,tablas!$R$3:$T$66,3,TRUE),VLOOKUP(M65,tablas!$R$3:$T$66,3,TRUE)),$C$13)</f>
        <v>φ8@17</v>
      </c>
      <c r="N66" s="94" t="str">
        <f>IF(N65&gt;$C$12,"φ"&amp;IF(VLOOKUP(VLOOKUP(N65,tablas!$R$3:$T$66,2,TRUE)&amp;VLOOKUP(N65,tablas!$R$3:$T$66,3,TRUE),tablas!$Q$3:$R$66,2,FALSE)&lt;N65,VLOOKUP(N65+0.1,tablas!$R$3:$T$66,2,TRUE),VLOOKUP(N65,tablas!$R$3:$T$66,2,TRUE))&amp;"@"&amp;IF(VLOOKUP(VLOOKUP(N65,tablas!$R$3:$T$66,2,TRUE)&amp;VLOOKUP(N65,tablas!$R$3:$T$66,3,TRUE),tablas!$Q$3:$R$66,2,FALSE)&lt;N65,VLOOKUP(N65+0.1,tablas!$R$3:$T$66,3,TRUE),VLOOKUP(N65,tablas!$R$3:$T$66,3,TRUE)),$C$13)</f>
        <v>φ8@17</v>
      </c>
      <c r="O66" s="94" t="str">
        <f>IF(O65&gt;$C$12,"φ"&amp;IF(VLOOKUP(VLOOKUP(O65,tablas!$R$3:$T$66,2,TRUE)&amp;VLOOKUP(O65,tablas!$R$3:$T$66,3,TRUE),tablas!$Q$3:$R$66,2,FALSE)&lt;O65,VLOOKUP(O65+0.1,tablas!$R$3:$T$66,2,TRUE),VLOOKUP(O65,tablas!$R$3:$T$66,2,TRUE))&amp;"@"&amp;IF(VLOOKUP(VLOOKUP(O65,tablas!$R$3:$T$66,2,TRUE)&amp;VLOOKUP(O65,tablas!$R$3:$T$66,3,TRUE),tablas!$Q$3:$R$66,2,FALSE)&lt;O65,VLOOKUP(O65+0.1,tablas!$R$3:$T$66,3,TRUE),VLOOKUP(O65,tablas!$R$3:$T$66,3,TRUE)),$C$13)</f>
        <v>φ8@17</v>
      </c>
      <c r="P66" s="94" t="str">
        <f>IF(P65&gt;$C$12,"φ"&amp;IF(VLOOKUP(VLOOKUP(P65,tablas!$R$3:$T$66,2,TRUE)&amp;VLOOKUP(P65,tablas!$R$3:$T$66,3,TRUE),tablas!$Q$3:$R$66,2,FALSE)&lt;P65,VLOOKUP(P65+0.1,tablas!$R$3:$T$66,2,TRUE),VLOOKUP(P65,tablas!$R$3:$T$66,2,TRUE))&amp;"@"&amp;IF(VLOOKUP(VLOOKUP(P65,tablas!$R$3:$T$66,2,TRUE)&amp;VLOOKUP(P65,tablas!$R$3:$T$66,3,TRUE),tablas!$Q$3:$R$66,2,FALSE)&lt;P65,VLOOKUP(P65+0.1,tablas!$R$3:$T$66,3,TRUE),VLOOKUP(P65,tablas!$R$3:$T$66,3,TRUE)),$C$13)</f>
        <v>φ8@17</v>
      </c>
      <c r="Q66" s="94" t="str">
        <f>IF(Q65&gt;$C$12,"φ"&amp;IF(VLOOKUP(VLOOKUP(Q65,tablas!$R$3:$T$66,2,TRUE)&amp;VLOOKUP(Q65,tablas!$R$3:$T$66,3,TRUE),tablas!$Q$3:$R$66,2,FALSE)&lt;Q65,VLOOKUP(Q65+0.1,tablas!$R$3:$T$66,2,TRUE),VLOOKUP(Q65,tablas!$R$3:$T$66,2,TRUE))&amp;"@"&amp;IF(VLOOKUP(VLOOKUP(Q65,tablas!$R$3:$T$66,2,TRUE)&amp;VLOOKUP(Q65,tablas!$R$3:$T$66,3,TRUE),tablas!$Q$3:$R$66,2,FALSE)&lt;Q65,VLOOKUP(Q65+0.1,tablas!$R$3:$T$66,3,TRUE),VLOOKUP(Q65,tablas!$R$3:$T$66,3,TRUE)),$C$13)</f>
        <v>φ8@17</v>
      </c>
      <c r="R66" s="94" t="str">
        <f>IF(R65&gt;$C$12,"φ"&amp;IF(VLOOKUP(VLOOKUP(R65,tablas!$R$3:$T$66,2,TRUE)&amp;VLOOKUP(R65,tablas!$R$3:$T$66,3,TRUE),tablas!$Q$3:$R$66,2,FALSE)&lt;R65,VLOOKUP(R65+0.1,tablas!$R$3:$T$66,2,TRUE),VLOOKUP(R65,tablas!$R$3:$T$66,2,TRUE))&amp;"@"&amp;IF(VLOOKUP(VLOOKUP(R65,tablas!$R$3:$T$66,2,TRUE)&amp;VLOOKUP(R65,tablas!$R$3:$T$66,3,TRUE),tablas!$Q$3:$R$66,2,FALSE)&lt;R65,VLOOKUP(R65+0.1,tablas!$R$3:$T$66,3,TRUE),VLOOKUP(R65,tablas!$R$3:$T$66,3,TRUE)),$C$13)</f>
        <v>φ8@17</v>
      </c>
      <c r="S66" s="94" t="str">
        <f>IF(S65&gt;$C$12,"φ"&amp;IF(VLOOKUP(VLOOKUP(S65,tablas!$R$3:$T$66,2,TRUE)&amp;VLOOKUP(S65,tablas!$R$3:$T$66,3,TRUE),tablas!$Q$3:$R$66,2,FALSE)&lt;S65,VLOOKUP(S65+0.1,tablas!$R$3:$T$66,2,TRUE),VLOOKUP(S65,tablas!$R$3:$T$66,2,TRUE))&amp;"@"&amp;IF(VLOOKUP(VLOOKUP(S65,tablas!$R$3:$T$66,2,TRUE)&amp;VLOOKUP(S65,tablas!$R$3:$T$66,3,TRUE),tablas!$Q$3:$R$66,2,FALSE)&lt;S65,VLOOKUP(S65+0.1,tablas!$R$3:$T$66,3,TRUE),VLOOKUP(S65,tablas!$R$3:$T$66,3,TRUE)),$C$13)</f>
        <v>φ8@17</v>
      </c>
      <c r="T66" s="94" t="str">
        <f>IF(T65&gt;$C$12,"φ"&amp;IF(VLOOKUP(VLOOKUP(T65,tablas!$R$3:$T$66,2,TRUE)&amp;VLOOKUP(T65,tablas!$R$3:$T$66,3,TRUE),tablas!$Q$3:$R$66,2,FALSE)&lt;T65,VLOOKUP(T65+0.1,tablas!$R$3:$T$66,2,TRUE),VLOOKUP(T65,tablas!$R$3:$T$66,2,TRUE))&amp;"@"&amp;IF(VLOOKUP(VLOOKUP(T65,tablas!$R$3:$T$66,2,TRUE)&amp;VLOOKUP(T65,tablas!$R$3:$T$66,3,TRUE),tablas!$Q$3:$R$66,2,FALSE)&lt;T65,VLOOKUP(T65+0.1,tablas!$R$3:$T$66,3,TRUE),VLOOKUP(T65,tablas!$R$3:$T$66,3,TRUE)),$C$13)</f>
        <v>φ8@17</v>
      </c>
      <c r="U66" s="94" t="str">
        <f>IF(U65&gt;$C$12,"φ"&amp;IF(VLOOKUP(VLOOKUP(U65,tablas!$R$3:$T$66,2,TRUE)&amp;VLOOKUP(U65,tablas!$R$3:$T$66,3,TRUE),tablas!$Q$3:$R$66,2,FALSE)&lt;U65,VLOOKUP(U65+0.1,tablas!$R$3:$T$66,2,TRUE),VLOOKUP(U65,tablas!$R$3:$T$66,2,TRUE))&amp;"@"&amp;IF(VLOOKUP(VLOOKUP(U65,tablas!$R$3:$T$66,2,TRUE)&amp;VLOOKUP(U65,tablas!$R$3:$T$66,3,TRUE),tablas!$Q$3:$R$66,2,FALSE)&lt;U65,VLOOKUP(U65+0.1,tablas!$R$3:$T$66,3,TRUE),VLOOKUP(U65,tablas!$R$3:$T$66,3,TRUE)),$C$13)</f>
        <v>φ8@17</v>
      </c>
      <c r="V66" s="94" t="str">
        <f>IF(V65&gt;$C$12,"φ"&amp;IF(VLOOKUP(VLOOKUP(V65,tablas!$R$3:$T$66,2,TRUE)&amp;VLOOKUP(V65,tablas!$R$3:$T$66,3,TRUE),tablas!$Q$3:$R$66,2,FALSE)&lt;V65,VLOOKUP(V65+0.1,tablas!$R$3:$T$66,2,TRUE),VLOOKUP(V65,tablas!$R$3:$T$66,2,TRUE))&amp;"@"&amp;IF(VLOOKUP(VLOOKUP(V65,tablas!$R$3:$T$66,2,TRUE)&amp;VLOOKUP(V65,tablas!$R$3:$T$66,3,TRUE),tablas!$Q$3:$R$66,2,FALSE)&lt;V65,VLOOKUP(V65+0.1,tablas!$R$3:$T$66,3,TRUE),VLOOKUP(V65,tablas!$R$3:$T$66,3,TRUE)),$C$13)</f>
        <v>φ8@17</v>
      </c>
      <c r="W66" s="94" t="str">
        <f>IF(W65&gt;$C$12,"φ"&amp;IF(VLOOKUP(VLOOKUP(W65,tablas!$R$3:$T$66,2,TRUE)&amp;VLOOKUP(W65,tablas!$R$3:$T$66,3,TRUE),tablas!$Q$3:$R$66,2,FALSE)&lt;W65,VLOOKUP(W65+0.1,tablas!$R$3:$T$66,2,TRUE),VLOOKUP(W65,tablas!$R$3:$T$66,2,TRUE))&amp;"@"&amp;IF(VLOOKUP(VLOOKUP(W65,tablas!$R$3:$T$66,2,TRUE)&amp;VLOOKUP(W65,tablas!$R$3:$T$66,3,TRUE),tablas!$Q$3:$R$66,2,FALSE)&lt;W65,VLOOKUP(W65+0.1,tablas!$R$3:$T$66,3,TRUE),VLOOKUP(W65,tablas!$R$3:$T$66,3,TRUE)),$C$13)</f>
        <v>φ8@17</v>
      </c>
    </row>
    <row r="67" spans="2:23" x14ac:dyDescent="0.3">
      <c r="B67" s="96" t="s">
        <v>102</v>
      </c>
      <c r="C67" s="89">
        <f>IF(C45&lt;=2,C59/C48*(1+C60*C52)*C46,"-")</f>
        <v>640.9453125</v>
      </c>
      <c r="D67" s="89">
        <f t="shared" ref="D67:W67" si="17">IF(D45&lt;=2,D59/D48*(1+D60*D52)*D46,"-")</f>
        <v>882.93243243243251</v>
      </c>
      <c r="E67" s="89">
        <f t="shared" si="17"/>
        <v>882.93243243243251</v>
      </c>
      <c r="F67" s="89">
        <f t="shared" si="17"/>
        <v>941.79387201735346</v>
      </c>
      <c r="G67" s="89">
        <f t="shared" si="17"/>
        <v>809.72838586956516</v>
      </c>
      <c r="H67" s="89">
        <f t="shared" si="17"/>
        <v>910.54067256637165</v>
      </c>
      <c r="I67" s="89">
        <f t="shared" si="17"/>
        <v>910.54067256637165</v>
      </c>
      <c r="J67" s="89">
        <f t="shared" si="17"/>
        <v>1072.0418439189189</v>
      </c>
      <c r="K67" s="89">
        <f t="shared" si="17"/>
        <v>720.78686440677973</v>
      </c>
      <c r="L67" s="89">
        <f t="shared" si="17"/>
        <v>523.93401769911509</v>
      </c>
      <c r="M67" s="89">
        <f t="shared" si="17"/>
        <v>594.42637168141596</v>
      </c>
      <c r="N67" s="89">
        <f t="shared" si="17"/>
        <v>1370.6622120390455</v>
      </c>
      <c r="O67" s="89">
        <f t="shared" si="17"/>
        <v>190.07075075075076</v>
      </c>
      <c r="P67" s="89" t="str">
        <f t="shared" si="17"/>
        <v>-</v>
      </c>
      <c r="Q67" s="89" t="str">
        <f t="shared" si="17"/>
        <v>-</v>
      </c>
      <c r="R67" s="89">
        <f t="shared" si="17"/>
        <v>319.93836291913209</v>
      </c>
      <c r="S67" s="89">
        <f t="shared" si="17"/>
        <v>528.80520000000013</v>
      </c>
      <c r="T67" s="89" t="str">
        <f t="shared" si="17"/>
        <v>-</v>
      </c>
      <c r="U67" s="89">
        <f t="shared" si="17"/>
        <v>258.93168000000003</v>
      </c>
      <c r="V67" s="89">
        <f t="shared" si="17"/>
        <v>197.77011147540981</v>
      </c>
      <c r="W67" s="89" t="str">
        <f t="shared" si="17"/>
        <v>-</v>
      </c>
    </row>
    <row r="68" spans="2:23" x14ac:dyDescent="0.3">
      <c r="B68" s="97" t="s">
        <v>15</v>
      </c>
      <c r="C68" s="90">
        <f>C62/(0.9*(0.9*($C$7/100))*($L$9*1000))</f>
        <v>1.3205782864807394</v>
      </c>
      <c r="D68" s="90">
        <f t="shared" ref="D68:W68" si="18">D62/(0.9*(0.9*($C$7/100))*($L$9*1000))</f>
        <v>1.8191589453271693</v>
      </c>
      <c r="E68" s="90">
        <f t="shared" si="18"/>
        <v>1.8191589453271693</v>
      </c>
      <c r="F68" s="90">
        <f t="shared" si="18"/>
        <v>1.9404347195795075</v>
      </c>
      <c r="G68" s="90">
        <f t="shared" si="18"/>
        <v>1.6683322328321815</v>
      </c>
      <c r="H68" s="90">
        <f t="shared" si="18"/>
        <v>1.8760418676885464</v>
      </c>
      <c r="I68" s="90">
        <f t="shared" si="18"/>
        <v>1.8760418676885464</v>
      </c>
      <c r="J68" s="90">
        <f t="shared" si="18"/>
        <v>2.2087924721004932</v>
      </c>
      <c r="K68" s="90">
        <f t="shared" si="18"/>
        <v>1.4850806515823145</v>
      </c>
      <c r="L68" s="90">
        <f t="shared" si="18"/>
        <v>1.0794928581712138</v>
      </c>
      <c r="M68" s="90">
        <f t="shared" si="18"/>
        <v>1.2247325068845205</v>
      </c>
      <c r="N68" s="90">
        <f t="shared" si="18"/>
        <v>2.8240580280683814</v>
      </c>
      <c r="O68" s="90">
        <f t="shared" si="18"/>
        <v>0.3916142320434462</v>
      </c>
      <c r="P68" s="90">
        <f t="shared" si="18"/>
        <v>0.33019092025872299</v>
      </c>
      <c r="Q68" s="90">
        <f t="shared" si="18"/>
        <v>1.4167885915182961</v>
      </c>
      <c r="R68" s="90">
        <f t="shared" si="18"/>
        <v>0.65918830646444637</v>
      </c>
      <c r="S68" s="90">
        <f t="shared" si="18"/>
        <v>1.0895292488750432</v>
      </c>
      <c r="T68" s="90">
        <f t="shared" si="18"/>
        <v>0.37920725576488806</v>
      </c>
      <c r="U68" s="90">
        <f t="shared" si="18"/>
        <v>0.53349255797853923</v>
      </c>
      <c r="V68" s="90">
        <f t="shared" si="18"/>
        <v>0.40747768933765544</v>
      </c>
      <c r="W68" s="90">
        <f t="shared" si="18"/>
        <v>0.43126977339914846</v>
      </c>
    </row>
    <row r="69" spans="2:23" x14ac:dyDescent="0.3">
      <c r="B69" s="97" t="s">
        <v>98</v>
      </c>
      <c r="C69" s="92">
        <f>(C68*($L$9))/(0.85*$L$6*100)</f>
        <v>1.8626050638120169E-2</v>
      </c>
      <c r="D69" s="92">
        <f t="shared" ref="D69:W69" si="19">(D68*($L$9))/(0.85*$L$6*100)</f>
        <v>2.5658264247817714E-2</v>
      </c>
      <c r="E69" s="92">
        <f t="shared" si="19"/>
        <v>2.5658264247817714E-2</v>
      </c>
      <c r="F69" s="92">
        <f t="shared" si="19"/>
        <v>2.7368794199374831E-2</v>
      </c>
      <c r="G69" s="92">
        <f t="shared" si="19"/>
        <v>2.3530934112775539E-2</v>
      </c>
      <c r="H69" s="92">
        <f t="shared" si="19"/>
        <v>2.6460567453310196E-2</v>
      </c>
      <c r="I69" s="92">
        <f t="shared" si="19"/>
        <v>2.6460567453310196E-2</v>
      </c>
      <c r="J69" s="92">
        <f t="shared" si="19"/>
        <v>3.11538368119628E-2</v>
      </c>
      <c r="K69" s="92">
        <f t="shared" si="19"/>
        <v>2.0946268541019303E-2</v>
      </c>
      <c r="L69" s="92">
        <f t="shared" si="19"/>
        <v>1.5225669576446848E-2</v>
      </c>
      <c r="M69" s="92">
        <f t="shared" si="19"/>
        <v>1.7274197164164604E-2</v>
      </c>
      <c r="N69" s="92">
        <f t="shared" si="19"/>
        <v>3.9831828505957068E-2</v>
      </c>
      <c r="O69" s="92">
        <f t="shared" si="19"/>
        <v>5.5235093529278296E-3</v>
      </c>
      <c r="P69" s="92">
        <f t="shared" si="19"/>
        <v>4.6571663822947253E-3</v>
      </c>
      <c r="Q69" s="92">
        <f t="shared" si="19"/>
        <v>1.9983045548519714E-2</v>
      </c>
      <c r="R69" s="92">
        <f t="shared" si="19"/>
        <v>9.2974986049360053E-3</v>
      </c>
      <c r="S69" s="92">
        <f t="shared" si="19"/>
        <v>1.5367227501022195E-2</v>
      </c>
      <c r="T69" s="92">
        <f t="shared" si="19"/>
        <v>5.3485155863362034E-3</v>
      </c>
      <c r="U69" s="92">
        <f t="shared" si="19"/>
        <v>7.5246272801059427E-3</v>
      </c>
      <c r="V69" s="92">
        <f t="shared" si="19"/>
        <v>5.7472549361185215E-3</v>
      </c>
      <c r="W69" s="92">
        <f t="shared" si="19"/>
        <v>6.0828295605482143E-3</v>
      </c>
    </row>
    <row r="70" spans="2:23" ht="15" thickBot="1" x14ac:dyDescent="0.35">
      <c r="B70" s="97" t="s">
        <v>15</v>
      </c>
      <c r="C70" s="76">
        <f>ROUNDUP(C62/(0.9*(($C$7-C64/2)/100)*($L$9*1000)),2)</f>
        <v>1.19</v>
      </c>
      <c r="D70" s="76">
        <f t="shared" ref="D70:W70" si="20">ROUNDUP(D62/(0.9*(($C$7-D64/2)/100)*($L$9*1000)),2)</f>
        <v>1.64</v>
      </c>
      <c r="E70" s="76">
        <f t="shared" si="20"/>
        <v>1.64</v>
      </c>
      <c r="F70" s="76">
        <f t="shared" si="20"/>
        <v>1.75</v>
      </c>
      <c r="G70" s="76">
        <f t="shared" si="20"/>
        <v>1.51</v>
      </c>
      <c r="H70" s="76">
        <f t="shared" si="20"/>
        <v>1.7</v>
      </c>
      <c r="I70" s="76">
        <f t="shared" si="20"/>
        <v>1.7</v>
      </c>
      <c r="J70" s="76">
        <f t="shared" si="20"/>
        <v>2</v>
      </c>
      <c r="K70" s="76">
        <f t="shared" si="20"/>
        <v>1.34</v>
      </c>
      <c r="L70" s="76">
        <f t="shared" si="20"/>
        <v>0.98</v>
      </c>
      <c r="M70" s="76">
        <f t="shared" si="20"/>
        <v>1.1100000000000001</v>
      </c>
      <c r="N70" s="76">
        <f t="shared" si="20"/>
        <v>2.5499999999999998</v>
      </c>
      <c r="O70" s="76">
        <f t="shared" si="20"/>
        <v>0.36</v>
      </c>
      <c r="P70" s="76">
        <f t="shared" si="20"/>
        <v>0.3</v>
      </c>
      <c r="Q70" s="76">
        <f t="shared" si="20"/>
        <v>1.28</v>
      </c>
      <c r="R70" s="76">
        <f t="shared" si="20"/>
        <v>0.6</v>
      </c>
      <c r="S70" s="76">
        <f t="shared" si="20"/>
        <v>0.99</v>
      </c>
      <c r="T70" s="76">
        <f t="shared" si="20"/>
        <v>0.35000000000000003</v>
      </c>
      <c r="U70" s="76">
        <f t="shared" si="20"/>
        <v>0.49</v>
      </c>
      <c r="V70" s="76">
        <f t="shared" si="20"/>
        <v>0.37</v>
      </c>
      <c r="W70" s="76">
        <f t="shared" si="20"/>
        <v>0.39</v>
      </c>
    </row>
    <row r="71" spans="2:23" ht="16.2" thickBot="1" x14ac:dyDescent="0.35">
      <c r="B71" s="61" t="s">
        <v>101</v>
      </c>
      <c r="C71" s="94" t="str">
        <f>IF(C70&gt;$C$12,"φ"&amp;IF(VLOOKUP(VLOOKUP(C70,tablas!$R$3:$T$66,2,TRUE)&amp;VLOOKUP(C70,tablas!$R$3:$T$66,3,TRUE),tablas!$Q$3:$R$66,2,FALSE)&lt;C70,VLOOKUP(C70+0.1,tablas!$R$3:$T$66,2,TRUE),VLOOKUP(C70,tablas!$R$3:$T$66,2,TRUE))&amp;"@"&amp;IF(VLOOKUP(VLOOKUP(C70,tablas!$R$3:$T$66,2,TRUE)&amp;VLOOKUP(C70,tablas!$R$3:$T$66,3,TRUE),tablas!$Q$3:$R$66,2,FALSE)&lt;C70,VLOOKUP(C70+0.1,tablas!$R$3:$T$66,3,TRUE),VLOOKUP(C70,tablas!$R$3:$T$66,3,TRUE)),$C$13)</f>
        <v>φ8@17</v>
      </c>
      <c r="D71" s="94" t="str">
        <f>IF(D70&gt;$C$12,"φ"&amp;IF(VLOOKUP(VLOOKUP(D70,tablas!$R$3:$T$66,2,TRUE)&amp;VLOOKUP(D70,tablas!$R$3:$T$66,3,TRUE),tablas!$Q$3:$R$66,2,FALSE)&lt;D70,VLOOKUP(D70+0.1,tablas!$R$3:$T$66,2,TRUE),VLOOKUP(D70,tablas!$R$3:$T$66,2,TRUE))&amp;"@"&amp;IF(VLOOKUP(VLOOKUP(D70,tablas!$R$3:$T$66,2,TRUE)&amp;VLOOKUP(D70,tablas!$R$3:$T$66,3,TRUE),tablas!$Q$3:$R$66,2,FALSE)&lt;D70,VLOOKUP(D70+0.1,tablas!$R$3:$T$66,3,TRUE),VLOOKUP(D70,tablas!$R$3:$T$66,3,TRUE)),$C$13)</f>
        <v>φ8@17</v>
      </c>
      <c r="E71" s="94" t="str">
        <f>IF(E70&gt;$C$12,"φ"&amp;IF(VLOOKUP(VLOOKUP(E70,tablas!$R$3:$T$66,2,TRUE)&amp;VLOOKUP(E70,tablas!$R$3:$T$66,3,TRUE),tablas!$Q$3:$R$66,2,FALSE)&lt;E70,VLOOKUP(E70+0.1,tablas!$R$3:$T$66,2,TRUE),VLOOKUP(E70,tablas!$R$3:$T$66,2,TRUE))&amp;"@"&amp;IF(VLOOKUP(VLOOKUP(E70,tablas!$R$3:$T$66,2,TRUE)&amp;VLOOKUP(E70,tablas!$R$3:$T$66,3,TRUE),tablas!$Q$3:$R$66,2,FALSE)&lt;E70,VLOOKUP(E70+0.1,tablas!$R$3:$T$66,3,TRUE),VLOOKUP(E70,tablas!$R$3:$T$66,3,TRUE)),$C$13)</f>
        <v>φ8@17</v>
      </c>
      <c r="F71" s="94" t="str">
        <f>IF(F70&gt;$C$12,"φ"&amp;IF(VLOOKUP(VLOOKUP(F70,tablas!$R$3:$T$66,2,TRUE)&amp;VLOOKUP(F70,tablas!$R$3:$T$66,3,TRUE),tablas!$Q$3:$R$66,2,FALSE)&lt;F70,VLOOKUP(F70+0.1,tablas!$R$3:$T$66,2,TRUE),VLOOKUP(F70,tablas!$R$3:$T$66,2,TRUE))&amp;"@"&amp;IF(VLOOKUP(VLOOKUP(F70,tablas!$R$3:$T$66,2,TRUE)&amp;VLOOKUP(F70,tablas!$R$3:$T$66,3,TRUE),tablas!$Q$3:$R$66,2,FALSE)&lt;F70,VLOOKUP(F70+0.1,tablas!$R$3:$T$66,3,TRUE),VLOOKUP(F70,tablas!$R$3:$T$66,3,TRUE)),$C$13)</f>
        <v>φ8@17</v>
      </c>
      <c r="G71" s="94" t="str">
        <f>IF(G70&gt;$C$12,"φ"&amp;IF(VLOOKUP(VLOOKUP(G70,tablas!$R$3:$T$66,2,TRUE)&amp;VLOOKUP(G70,tablas!$R$3:$T$66,3,TRUE),tablas!$Q$3:$R$66,2,FALSE)&lt;G70,VLOOKUP(G70+0.1,tablas!$R$3:$T$66,2,TRUE),VLOOKUP(G70,tablas!$R$3:$T$66,2,TRUE))&amp;"@"&amp;IF(VLOOKUP(VLOOKUP(G70,tablas!$R$3:$T$66,2,TRUE)&amp;VLOOKUP(G70,tablas!$R$3:$T$66,3,TRUE),tablas!$Q$3:$R$66,2,FALSE)&lt;G70,VLOOKUP(G70+0.1,tablas!$R$3:$T$66,3,TRUE),VLOOKUP(G70,tablas!$R$3:$T$66,3,TRUE)),$C$13)</f>
        <v>φ8@17</v>
      </c>
      <c r="H71" s="94" t="str">
        <f>IF(H70&gt;$C$12,"φ"&amp;IF(VLOOKUP(VLOOKUP(H70,tablas!$R$3:$T$66,2,TRUE)&amp;VLOOKUP(H70,tablas!$R$3:$T$66,3,TRUE),tablas!$Q$3:$R$66,2,FALSE)&lt;H70,VLOOKUP(H70+0.1,tablas!$R$3:$T$66,2,TRUE),VLOOKUP(H70,tablas!$R$3:$T$66,2,TRUE))&amp;"@"&amp;IF(VLOOKUP(VLOOKUP(H70,tablas!$R$3:$T$66,2,TRUE)&amp;VLOOKUP(H70,tablas!$R$3:$T$66,3,TRUE),tablas!$Q$3:$R$66,2,FALSE)&lt;H70,VLOOKUP(H70+0.1,tablas!$R$3:$T$66,3,TRUE),VLOOKUP(H70,tablas!$R$3:$T$66,3,TRUE)),$C$13)</f>
        <v>φ8@17</v>
      </c>
      <c r="I71" s="94" t="str">
        <f>IF(I70&gt;$C$12,"φ"&amp;IF(VLOOKUP(VLOOKUP(I70,tablas!$R$3:$T$66,2,TRUE)&amp;VLOOKUP(I70,tablas!$R$3:$T$66,3,TRUE),tablas!$Q$3:$R$66,2,FALSE)&lt;I70,VLOOKUP(I70+0.1,tablas!$R$3:$T$66,2,TRUE),VLOOKUP(I70,tablas!$R$3:$T$66,2,TRUE))&amp;"@"&amp;IF(VLOOKUP(VLOOKUP(I70,tablas!$R$3:$T$66,2,TRUE)&amp;VLOOKUP(I70,tablas!$R$3:$T$66,3,TRUE),tablas!$Q$3:$R$66,2,FALSE)&lt;I70,VLOOKUP(I70+0.1,tablas!$R$3:$T$66,3,TRUE),VLOOKUP(I70,tablas!$R$3:$T$66,3,TRUE)),$C$13)</f>
        <v>φ8@17</v>
      </c>
      <c r="J71" s="94" t="str">
        <f>IF(J70&gt;$C$12,"φ"&amp;IF(VLOOKUP(VLOOKUP(J70,tablas!$R$3:$T$66,2,TRUE)&amp;VLOOKUP(J70,tablas!$R$3:$T$66,3,TRUE),tablas!$Q$3:$R$66,2,FALSE)&lt;J70,VLOOKUP(J70+0.1,tablas!$R$3:$T$66,2,TRUE),VLOOKUP(J70,tablas!$R$3:$T$66,2,TRUE))&amp;"@"&amp;IF(VLOOKUP(VLOOKUP(J70,tablas!$R$3:$T$66,2,TRUE)&amp;VLOOKUP(J70,tablas!$R$3:$T$66,3,TRUE),tablas!$Q$3:$R$66,2,FALSE)&lt;J70,VLOOKUP(J70+0.1,tablas!$R$3:$T$66,3,TRUE),VLOOKUP(J70,tablas!$R$3:$T$66,3,TRUE)),$C$13)</f>
        <v>φ8@17</v>
      </c>
      <c r="K71" s="94" t="str">
        <f>IF(K70&gt;$C$12,"φ"&amp;IF(VLOOKUP(VLOOKUP(K70,tablas!$R$3:$T$66,2,TRUE)&amp;VLOOKUP(K70,tablas!$R$3:$T$66,3,TRUE),tablas!$Q$3:$R$66,2,FALSE)&lt;K70,VLOOKUP(K70+0.1,tablas!$R$3:$T$66,2,TRUE),VLOOKUP(K70,tablas!$R$3:$T$66,2,TRUE))&amp;"@"&amp;IF(VLOOKUP(VLOOKUP(K70,tablas!$R$3:$T$66,2,TRUE)&amp;VLOOKUP(K70,tablas!$R$3:$T$66,3,TRUE),tablas!$Q$3:$R$66,2,FALSE)&lt;K70,VLOOKUP(K70+0.1,tablas!$R$3:$T$66,3,TRUE),VLOOKUP(K70,tablas!$R$3:$T$66,3,TRUE)),$C$13)</f>
        <v>φ8@17</v>
      </c>
      <c r="L71" s="94" t="str">
        <f>IF(L70&gt;$C$12,"φ"&amp;IF(VLOOKUP(VLOOKUP(L70,tablas!$R$3:$T$66,2,TRUE)&amp;VLOOKUP(L70,tablas!$R$3:$T$66,3,TRUE),tablas!$Q$3:$R$66,2,FALSE)&lt;L70,VLOOKUP(L70+0.1,tablas!$R$3:$T$66,2,TRUE),VLOOKUP(L70,tablas!$R$3:$T$66,2,TRUE))&amp;"@"&amp;IF(VLOOKUP(VLOOKUP(L70,tablas!$R$3:$T$66,2,TRUE)&amp;VLOOKUP(L70,tablas!$R$3:$T$66,3,TRUE),tablas!$Q$3:$R$66,2,FALSE)&lt;L70,VLOOKUP(L70+0.1,tablas!$R$3:$T$66,3,TRUE),VLOOKUP(L70,tablas!$R$3:$T$66,3,TRUE)),$C$13)</f>
        <v>φ8@17</v>
      </c>
      <c r="M71" s="94" t="str">
        <f>IF(M70&gt;$C$12,"φ"&amp;IF(VLOOKUP(VLOOKUP(M70,tablas!$R$3:$T$66,2,TRUE)&amp;VLOOKUP(M70,tablas!$R$3:$T$66,3,TRUE),tablas!$Q$3:$R$66,2,FALSE)&lt;M70,VLOOKUP(M70+0.1,tablas!$R$3:$T$66,2,TRUE),VLOOKUP(M70,tablas!$R$3:$T$66,2,TRUE))&amp;"@"&amp;IF(VLOOKUP(VLOOKUP(M70,tablas!$R$3:$T$66,2,TRUE)&amp;VLOOKUP(M70,tablas!$R$3:$T$66,3,TRUE),tablas!$Q$3:$R$66,2,FALSE)&lt;M70,VLOOKUP(M70+0.1,tablas!$R$3:$T$66,3,TRUE),VLOOKUP(M70,tablas!$R$3:$T$66,3,TRUE)),$C$13)</f>
        <v>φ8@17</v>
      </c>
      <c r="N71" s="94" t="str">
        <f>IF(N70&gt;$C$12,"φ"&amp;IF(VLOOKUP(VLOOKUP(N70,tablas!$R$3:$T$66,2,TRUE)&amp;VLOOKUP(N70,tablas!$R$3:$T$66,3,TRUE),tablas!$Q$3:$R$66,2,FALSE)&lt;N70,VLOOKUP(N70+0.1,tablas!$R$3:$T$66,2,TRUE),VLOOKUP(N70,tablas!$R$3:$T$66,2,TRUE))&amp;"@"&amp;IF(VLOOKUP(VLOOKUP(N70,tablas!$R$3:$T$66,2,TRUE)&amp;VLOOKUP(N70,tablas!$R$3:$T$66,3,TRUE),tablas!$Q$3:$R$66,2,FALSE)&lt;N70,VLOOKUP(N70+0.1,tablas!$R$3:$T$66,3,TRUE),VLOOKUP(N70,tablas!$R$3:$T$66,3,TRUE)),$C$13)</f>
        <v>φ8@17</v>
      </c>
      <c r="O71" s="94" t="str">
        <f>IF(O70&gt;$C$12,"φ"&amp;IF(VLOOKUP(VLOOKUP(O70,tablas!$R$3:$T$66,2,TRUE)&amp;VLOOKUP(O70,tablas!$R$3:$T$66,3,TRUE),tablas!$Q$3:$R$66,2,FALSE)&lt;O70,VLOOKUP(O70+0.1,tablas!$R$3:$T$66,2,TRUE),VLOOKUP(O70,tablas!$R$3:$T$66,2,TRUE))&amp;"@"&amp;IF(VLOOKUP(VLOOKUP(O70,tablas!$R$3:$T$66,2,TRUE)&amp;VLOOKUP(O70,tablas!$R$3:$T$66,3,TRUE),tablas!$Q$3:$R$66,2,FALSE)&lt;O70,VLOOKUP(O70+0.1,tablas!$R$3:$T$66,3,TRUE),VLOOKUP(O70,tablas!$R$3:$T$66,3,TRUE)),$C$13)</f>
        <v>φ8@17</v>
      </c>
      <c r="P71" s="94" t="str">
        <f>IF(P70&gt;$C$12,"φ"&amp;IF(VLOOKUP(VLOOKUP(P70,tablas!$R$3:$T$66,2,TRUE)&amp;VLOOKUP(P70,tablas!$R$3:$T$66,3,TRUE),tablas!$Q$3:$R$66,2,FALSE)&lt;P70,VLOOKUP(P70+0.1,tablas!$R$3:$T$66,2,TRUE),VLOOKUP(P70,tablas!$R$3:$T$66,2,TRUE))&amp;"@"&amp;IF(VLOOKUP(VLOOKUP(P70,tablas!$R$3:$T$66,2,TRUE)&amp;VLOOKUP(P70,tablas!$R$3:$T$66,3,TRUE),tablas!$Q$3:$R$66,2,FALSE)&lt;P70,VLOOKUP(P70+0.1,tablas!$R$3:$T$66,3,TRUE),VLOOKUP(P70,tablas!$R$3:$T$66,3,TRUE)),$C$13)</f>
        <v>φ8@17</v>
      </c>
      <c r="Q71" s="94" t="str">
        <f>IF(Q70&gt;$C$12,"φ"&amp;IF(VLOOKUP(VLOOKUP(Q70,tablas!$R$3:$T$66,2,TRUE)&amp;VLOOKUP(Q70,tablas!$R$3:$T$66,3,TRUE),tablas!$Q$3:$R$66,2,FALSE)&lt;Q70,VLOOKUP(Q70+0.1,tablas!$R$3:$T$66,2,TRUE),VLOOKUP(Q70,tablas!$R$3:$T$66,2,TRUE))&amp;"@"&amp;IF(VLOOKUP(VLOOKUP(Q70,tablas!$R$3:$T$66,2,TRUE)&amp;VLOOKUP(Q70,tablas!$R$3:$T$66,3,TRUE),tablas!$Q$3:$R$66,2,FALSE)&lt;Q70,VLOOKUP(Q70+0.1,tablas!$R$3:$T$66,3,TRUE),VLOOKUP(Q70,tablas!$R$3:$T$66,3,TRUE)),$C$13)</f>
        <v>φ8@17</v>
      </c>
      <c r="R71" s="94" t="str">
        <f>IF(R70&gt;$C$12,"φ"&amp;IF(VLOOKUP(VLOOKUP(R70,tablas!$R$3:$T$66,2,TRUE)&amp;VLOOKUP(R70,tablas!$R$3:$T$66,3,TRUE),tablas!$Q$3:$R$66,2,FALSE)&lt;R70,VLOOKUP(R70+0.1,tablas!$R$3:$T$66,2,TRUE),VLOOKUP(R70,tablas!$R$3:$T$66,2,TRUE))&amp;"@"&amp;IF(VLOOKUP(VLOOKUP(R70,tablas!$R$3:$T$66,2,TRUE)&amp;VLOOKUP(R70,tablas!$R$3:$T$66,3,TRUE),tablas!$Q$3:$R$66,2,FALSE)&lt;R70,VLOOKUP(R70+0.1,tablas!$R$3:$T$66,3,TRUE),VLOOKUP(R70,tablas!$R$3:$T$66,3,TRUE)),$C$13)</f>
        <v>φ8@17</v>
      </c>
      <c r="S71" s="94" t="str">
        <f>IF(S70&gt;$C$12,"φ"&amp;IF(VLOOKUP(VLOOKUP(S70,tablas!$R$3:$T$66,2,TRUE)&amp;VLOOKUP(S70,tablas!$R$3:$T$66,3,TRUE),tablas!$Q$3:$R$66,2,FALSE)&lt;S70,VLOOKUP(S70+0.1,tablas!$R$3:$T$66,2,TRUE),VLOOKUP(S70,tablas!$R$3:$T$66,2,TRUE))&amp;"@"&amp;IF(VLOOKUP(VLOOKUP(S70,tablas!$R$3:$T$66,2,TRUE)&amp;VLOOKUP(S70,tablas!$R$3:$T$66,3,TRUE),tablas!$Q$3:$R$66,2,FALSE)&lt;S70,VLOOKUP(S70+0.1,tablas!$R$3:$T$66,3,TRUE),VLOOKUP(S70,tablas!$R$3:$T$66,3,TRUE)),$C$13)</f>
        <v>φ8@17</v>
      </c>
      <c r="T71" s="94" t="str">
        <f>IF(T70&gt;$C$12,"φ"&amp;IF(VLOOKUP(VLOOKUP(T70,tablas!$R$3:$T$66,2,TRUE)&amp;VLOOKUP(T70,tablas!$R$3:$T$66,3,TRUE),tablas!$Q$3:$R$66,2,FALSE)&lt;T70,VLOOKUP(T70+0.1,tablas!$R$3:$T$66,2,TRUE),VLOOKUP(T70,tablas!$R$3:$T$66,2,TRUE))&amp;"@"&amp;IF(VLOOKUP(VLOOKUP(T70,tablas!$R$3:$T$66,2,TRUE)&amp;VLOOKUP(T70,tablas!$R$3:$T$66,3,TRUE),tablas!$Q$3:$R$66,2,FALSE)&lt;T70,VLOOKUP(T70+0.1,tablas!$R$3:$T$66,3,TRUE),VLOOKUP(T70,tablas!$R$3:$T$66,3,TRUE)),$C$13)</f>
        <v>φ8@17</v>
      </c>
      <c r="U71" s="94" t="str">
        <f>IF(U70&gt;$C$12,"φ"&amp;IF(VLOOKUP(VLOOKUP(U70,tablas!$R$3:$T$66,2,TRUE)&amp;VLOOKUP(U70,tablas!$R$3:$T$66,3,TRUE),tablas!$Q$3:$R$66,2,FALSE)&lt;U70,VLOOKUP(U70+0.1,tablas!$R$3:$T$66,2,TRUE),VLOOKUP(U70,tablas!$R$3:$T$66,2,TRUE))&amp;"@"&amp;IF(VLOOKUP(VLOOKUP(U70,tablas!$R$3:$T$66,2,TRUE)&amp;VLOOKUP(U70,tablas!$R$3:$T$66,3,TRUE),tablas!$Q$3:$R$66,2,FALSE)&lt;U70,VLOOKUP(U70+0.1,tablas!$R$3:$T$66,3,TRUE),VLOOKUP(U70,tablas!$R$3:$T$66,3,TRUE)),$C$13)</f>
        <v>φ8@17</v>
      </c>
      <c r="V71" s="94" t="str">
        <f>IF(V70&gt;$C$12,"φ"&amp;IF(VLOOKUP(VLOOKUP(V70,tablas!$R$3:$T$66,2,TRUE)&amp;VLOOKUP(V70,tablas!$R$3:$T$66,3,TRUE),tablas!$Q$3:$R$66,2,FALSE)&lt;V70,VLOOKUP(V70+0.1,tablas!$R$3:$T$66,2,TRUE),VLOOKUP(V70,tablas!$R$3:$T$66,2,TRUE))&amp;"@"&amp;IF(VLOOKUP(VLOOKUP(V70,tablas!$R$3:$T$66,2,TRUE)&amp;VLOOKUP(V70,tablas!$R$3:$T$66,3,TRUE),tablas!$Q$3:$R$66,2,FALSE)&lt;V70,VLOOKUP(V70+0.1,tablas!$R$3:$T$66,3,TRUE),VLOOKUP(V70,tablas!$R$3:$T$66,3,TRUE)),$C$13)</f>
        <v>φ8@17</v>
      </c>
      <c r="W71" s="94" t="str">
        <f>IF(W70&gt;$C$12,"φ"&amp;IF(VLOOKUP(VLOOKUP(W70,tablas!$R$3:$T$66,2,TRUE)&amp;VLOOKUP(W70,tablas!$R$3:$T$66,3,TRUE),tablas!$Q$3:$R$66,2,FALSE)&lt;W70,VLOOKUP(W70+0.1,tablas!$R$3:$T$66,2,TRUE),VLOOKUP(W70,tablas!$R$3:$T$66,2,TRUE))&amp;"@"&amp;IF(VLOOKUP(VLOOKUP(W70,tablas!$R$3:$T$66,2,TRUE)&amp;VLOOKUP(W70,tablas!$R$3:$T$66,3,TRUE),tablas!$Q$3:$R$66,2,FALSE)&lt;W70,VLOOKUP(W70+0.1,tablas!$R$3:$T$66,3,TRUE),VLOOKUP(W70,tablas!$R$3:$T$66,3,TRUE)),$C$13)</f>
        <v>φ8@17</v>
      </c>
    </row>
    <row r="72" spans="2:23" x14ac:dyDescent="0.3">
      <c r="B72" s="96" t="s">
        <v>103</v>
      </c>
      <c r="C72" s="89">
        <f>IF(C45&lt;=2,C59/C50,IF(OR(C43=6,C43="5a",C43="3a"),C58*C40^2/12,(IF(OR(C43="2a",C43=4,C43="5b"),C58*C40^2/8,"-"))))</f>
        <v>2534.2024539877298</v>
      </c>
      <c r="D72" s="89">
        <f t="shared" ref="D72:W72" si="21">IF(D45&lt;=2,D59/D50,IF(OR(D43=6,D43="5a",D43="3a"),D58*D40^2/12,(IF(OR(D43="2a",D43=4,D43="5b"),D58*D40^2/8,"-"))))</f>
        <v>2818.181818181818</v>
      </c>
      <c r="E72" s="89">
        <f t="shared" si="21"/>
        <v>2818.181818181818</v>
      </c>
      <c r="F72" s="89">
        <f t="shared" si="21"/>
        <v>2982.8048780487807</v>
      </c>
      <c r="G72" s="89">
        <f t="shared" si="21"/>
        <v>2909.2282142857143</v>
      </c>
      <c r="H72" s="89">
        <f t="shared" si="21"/>
        <v>3288.6382978723404</v>
      </c>
      <c r="I72" s="89">
        <f t="shared" si="21"/>
        <v>3288.6382978723404</v>
      </c>
      <c r="J72" s="89">
        <f t="shared" si="21"/>
        <v>3421.7893939393934</v>
      </c>
      <c r="K72" s="89">
        <f t="shared" si="21"/>
        <v>2418.4905063291139</v>
      </c>
      <c r="L72" s="89">
        <f t="shared" si="21"/>
        <v>1925.2978723404258</v>
      </c>
      <c r="M72" s="89">
        <f t="shared" si="21"/>
        <v>2146.9148936170213</v>
      </c>
      <c r="N72" s="89">
        <f t="shared" si="21"/>
        <v>4341.0963414634152</v>
      </c>
      <c r="O72" s="89">
        <f t="shared" si="21"/>
        <v>545.38194444444446</v>
      </c>
      <c r="P72" s="89">
        <f t="shared" si="21"/>
        <v>227.0333333333333</v>
      </c>
      <c r="Q72" s="89">
        <f t="shared" si="21"/>
        <v>974.1583333333333</v>
      </c>
      <c r="R72" s="89">
        <f t="shared" si="21"/>
        <v>1428.5638297872338</v>
      </c>
      <c r="S72" s="89">
        <f t="shared" si="21"/>
        <v>2172.8938709677423</v>
      </c>
      <c r="T72" s="89">
        <f t="shared" si="21"/>
        <v>276.07350000000002</v>
      </c>
      <c r="U72" s="89">
        <f t="shared" si="21"/>
        <v>670.04318181818178</v>
      </c>
      <c r="V72" s="89">
        <f t="shared" si="21"/>
        <v>630.30181818181802</v>
      </c>
      <c r="W72" s="89">
        <f t="shared" si="21"/>
        <v>296.53333333333336</v>
      </c>
    </row>
    <row r="73" spans="2:23" x14ac:dyDescent="0.3">
      <c r="B73" s="97" t="s">
        <v>15</v>
      </c>
      <c r="C73" s="90">
        <f>C72/(0.9*(0.9*($C$7/100))*($L$9*1000))</f>
        <v>5.2213701684297771</v>
      </c>
      <c r="D73" s="90">
        <f t="shared" ref="D73:W73" si="22">D72/(0.9*(0.9*($C$7/100))*($L$9*1000))</f>
        <v>5.8064699809248079</v>
      </c>
      <c r="E73" s="90">
        <f t="shared" si="22"/>
        <v>5.8064699809248079</v>
      </c>
      <c r="F73" s="90">
        <f t="shared" si="22"/>
        <v>6.1456528005422451</v>
      </c>
      <c r="G73" s="90">
        <f t="shared" si="22"/>
        <v>5.9940583623549788</v>
      </c>
      <c r="H73" s="90">
        <f t="shared" si="22"/>
        <v>6.7757798419957878</v>
      </c>
      <c r="I73" s="90">
        <f t="shared" si="22"/>
        <v>6.7757798419957878</v>
      </c>
      <c r="J73" s="90">
        <f t="shared" si="22"/>
        <v>7.050119076339219</v>
      </c>
      <c r="K73" s="90">
        <f t="shared" si="22"/>
        <v>4.9829618634086463</v>
      </c>
      <c r="L73" s="90">
        <f t="shared" si="22"/>
        <v>3.9668073322875466</v>
      </c>
      <c r="M73" s="90">
        <f t="shared" si="22"/>
        <v>4.4234182482343138</v>
      </c>
      <c r="N73" s="90">
        <f t="shared" si="22"/>
        <v>8.9442226290680047</v>
      </c>
      <c r="O73" s="90">
        <f t="shared" si="22"/>
        <v>1.1236833152937338</v>
      </c>
      <c r="P73" s="90">
        <f t="shared" si="22"/>
        <v>0.46777047036652414</v>
      </c>
      <c r="Q73" s="90">
        <f t="shared" si="22"/>
        <v>2.0071171713175859</v>
      </c>
      <c r="R73" s="90">
        <f t="shared" si="22"/>
        <v>2.9433562234980659</v>
      </c>
      <c r="S73" s="90">
        <f t="shared" si="22"/>
        <v>4.476944302213119</v>
      </c>
      <c r="T73" s="90">
        <f t="shared" si="22"/>
        <v>0.56881088364733212</v>
      </c>
      <c r="U73" s="90">
        <f t="shared" si="22"/>
        <v>1.3805303816986054</v>
      </c>
      <c r="V73" s="90">
        <f t="shared" si="22"/>
        <v>1.2986488531659863</v>
      </c>
      <c r="W73" s="90">
        <f t="shared" si="22"/>
        <v>0.61096551231546026</v>
      </c>
    </row>
    <row r="74" spans="2:23" x14ac:dyDescent="0.3">
      <c r="B74" s="97" t="s">
        <v>98</v>
      </c>
      <c r="C74" s="92">
        <f>(C73*($L$9))/(0.85*$L$6*100)</f>
        <v>7.36446344402025E-2</v>
      </c>
      <c r="D74" s="92">
        <f t="shared" ref="D74:W74" si="23">(D73*($L$9))/(0.85*$L$6*100)</f>
        <v>8.189715445166644E-2</v>
      </c>
      <c r="E74" s="92">
        <f t="shared" si="23"/>
        <v>8.189715445166644E-2</v>
      </c>
      <c r="F74" s="92">
        <f t="shared" si="23"/>
        <v>8.6681146766586947E-2</v>
      </c>
      <c r="G74" s="92">
        <f t="shared" si="23"/>
        <v>8.4542988271146188E-2</v>
      </c>
      <c r="H74" s="92">
        <f t="shared" si="23"/>
        <v>9.5568751767151017E-2</v>
      </c>
      <c r="I74" s="92">
        <f t="shared" si="23"/>
        <v>9.5568751767151017E-2</v>
      </c>
      <c r="J74" s="92">
        <f t="shared" si="23"/>
        <v>9.943815998263919E-2</v>
      </c>
      <c r="K74" s="92">
        <f t="shared" si="23"/>
        <v>7.0282012771095762E-2</v>
      </c>
      <c r="L74" s="92">
        <f t="shared" si="23"/>
        <v>5.5949696431671449E-2</v>
      </c>
      <c r="M74" s="92">
        <f t="shared" si="23"/>
        <v>6.2389949258338656E-2</v>
      </c>
      <c r="N74" s="92">
        <f t="shared" si="23"/>
        <v>0.12615347784613962</v>
      </c>
      <c r="O74" s="92">
        <f t="shared" si="23"/>
        <v>1.58489523462092E-2</v>
      </c>
      <c r="P74" s="92">
        <f t="shared" si="23"/>
        <v>6.5976523749175274E-3</v>
      </c>
      <c r="Q74" s="92">
        <f t="shared" si="23"/>
        <v>2.8309314527069591E-2</v>
      </c>
      <c r="R74" s="92">
        <f t="shared" si="23"/>
        <v>4.1514465765601333E-2</v>
      </c>
      <c r="S74" s="92">
        <f t="shared" si="23"/>
        <v>6.3144905630160328E-2</v>
      </c>
      <c r="T74" s="92">
        <f t="shared" si="23"/>
        <v>8.0227733795043051E-3</v>
      </c>
      <c r="U74" s="92">
        <f t="shared" si="23"/>
        <v>1.9471642885714392E-2</v>
      </c>
      <c r="V74" s="92">
        <f t="shared" si="23"/>
        <v>1.8316747706542829E-2</v>
      </c>
      <c r="W74" s="92">
        <f t="shared" si="23"/>
        <v>8.6173418774433026E-3</v>
      </c>
    </row>
    <row r="75" spans="2:23" ht="15" thickBot="1" x14ac:dyDescent="0.35">
      <c r="B75" s="97" t="s">
        <v>15</v>
      </c>
      <c r="C75" s="76">
        <f>ROUNDUP(C72/(0.9*(($C$7-C74/2)/100)*($L$9*1000)),2)</f>
        <v>4.72</v>
      </c>
      <c r="D75" s="76">
        <f t="shared" ref="D75:W75" si="24">ROUNDUP(D72/(0.9*(($C$7-D74/2)/100)*($L$9*1000)),2)</f>
        <v>5.25</v>
      </c>
      <c r="E75" s="76">
        <f t="shared" si="24"/>
        <v>5.25</v>
      </c>
      <c r="F75" s="76">
        <f t="shared" si="24"/>
        <v>5.55</v>
      </c>
      <c r="G75" s="76">
        <f t="shared" si="24"/>
        <v>5.42</v>
      </c>
      <c r="H75" s="76">
        <f t="shared" si="24"/>
        <v>6.12</v>
      </c>
      <c r="I75" s="76">
        <f t="shared" si="24"/>
        <v>6.12</v>
      </c>
      <c r="J75" s="76">
        <f t="shared" si="24"/>
        <v>6.37</v>
      </c>
      <c r="K75" s="76">
        <f t="shared" si="24"/>
        <v>4.5</v>
      </c>
      <c r="L75" s="76">
        <f t="shared" si="24"/>
        <v>3.5799999999999996</v>
      </c>
      <c r="M75" s="76">
        <f t="shared" si="24"/>
        <v>3.9899999999999998</v>
      </c>
      <c r="N75" s="76">
        <f t="shared" si="24"/>
        <v>8.09</v>
      </c>
      <c r="O75" s="76">
        <f t="shared" si="24"/>
        <v>1.02</v>
      </c>
      <c r="P75" s="76">
        <f t="shared" si="24"/>
        <v>0.43</v>
      </c>
      <c r="Q75" s="76">
        <f t="shared" si="24"/>
        <v>1.81</v>
      </c>
      <c r="R75" s="76">
        <f t="shared" si="24"/>
        <v>2.6599999999999997</v>
      </c>
      <c r="S75" s="76">
        <f t="shared" si="24"/>
        <v>4.04</v>
      </c>
      <c r="T75" s="76">
        <f t="shared" si="24"/>
        <v>0.52</v>
      </c>
      <c r="U75" s="76">
        <f t="shared" si="24"/>
        <v>1.25</v>
      </c>
      <c r="V75" s="76">
        <f t="shared" si="24"/>
        <v>1.17</v>
      </c>
      <c r="W75" s="76">
        <f t="shared" si="24"/>
        <v>0.56000000000000005</v>
      </c>
    </row>
    <row r="76" spans="2:23" ht="16.2" thickBot="1" x14ac:dyDescent="0.35">
      <c r="B76" s="61" t="s">
        <v>105</v>
      </c>
      <c r="C76" s="94" t="str">
        <f>IF(C75&gt;$C$12,"φ"&amp;IF(VLOOKUP(VLOOKUP(C75,tablas!$R$3:$T$66,2,TRUE)&amp;VLOOKUP(C75,tablas!$R$3:$T$66,3,TRUE),tablas!$Q$3:$R$66,2,FALSE)&lt;C75,VLOOKUP(C75+0.1,tablas!$R$3:$T$66,2,TRUE),VLOOKUP(C75,tablas!$R$3:$T$66,2,TRUE))&amp;"@"&amp;IF(VLOOKUP(VLOOKUP(C75,tablas!$R$3:$T$66,2,TRUE)&amp;VLOOKUP(C75,tablas!$R$3:$T$66,3,TRUE),tablas!$Q$3:$R$66,2,FALSE)&lt;C75,VLOOKUP(C75+0.1,tablas!$R$3:$T$66,3,TRUE),VLOOKUP(C75,tablas!$R$3:$T$66,3,TRUE)),$C$13)</f>
        <v>φ12@24</v>
      </c>
      <c r="D76" s="94" t="str">
        <f>IF(D75&gt;$C$12,"φ"&amp;IF(VLOOKUP(VLOOKUP(D75,tablas!$R$3:$T$66,2,TRUE)&amp;VLOOKUP(D75,tablas!$R$3:$T$66,3,TRUE),tablas!$Q$3:$R$66,2,FALSE)&lt;D75,VLOOKUP(D75+0.1,tablas!$R$3:$T$66,2,TRUE),VLOOKUP(D75,tablas!$R$3:$T$66,2,TRUE))&amp;"@"&amp;IF(VLOOKUP(VLOOKUP(D75,tablas!$R$3:$T$66,2,TRUE)&amp;VLOOKUP(D75,tablas!$R$3:$T$66,3,TRUE),tablas!$Q$3:$R$66,2,FALSE)&lt;D75,VLOOKUP(D75+0.1,tablas!$R$3:$T$66,3,TRUE),VLOOKUP(D75,tablas!$R$3:$T$66,3,TRUE)),$C$13)</f>
        <v>φ10@15</v>
      </c>
      <c r="E76" s="94" t="str">
        <f>IF(E75&gt;$C$12,"φ"&amp;IF(VLOOKUP(VLOOKUP(E75,tablas!$R$3:$T$66,2,TRUE)&amp;VLOOKUP(E75,tablas!$R$3:$T$66,3,TRUE),tablas!$Q$3:$R$66,2,FALSE)&lt;E75,VLOOKUP(E75+0.1,tablas!$R$3:$T$66,2,TRUE),VLOOKUP(E75,tablas!$R$3:$T$66,2,TRUE))&amp;"@"&amp;IF(VLOOKUP(VLOOKUP(E75,tablas!$R$3:$T$66,2,TRUE)&amp;VLOOKUP(E75,tablas!$R$3:$T$66,3,TRUE),tablas!$Q$3:$R$66,2,FALSE)&lt;E75,VLOOKUP(E75+0.1,tablas!$R$3:$T$66,3,TRUE),VLOOKUP(E75,tablas!$R$3:$T$66,3,TRUE)),$C$13)</f>
        <v>φ10@15</v>
      </c>
      <c r="F76" s="94" t="str">
        <f>IF(F75&gt;$C$12,"φ"&amp;IF(VLOOKUP(VLOOKUP(F75,tablas!$R$3:$T$66,2,TRUE)&amp;VLOOKUP(F75,tablas!$R$3:$T$66,3,TRUE),tablas!$Q$3:$R$66,2,FALSE)&lt;F75,VLOOKUP(F75+0.1,tablas!$R$3:$T$66,2,TRUE),VLOOKUP(F75,tablas!$R$3:$T$66,2,TRUE))&amp;"@"&amp;IF(VLOOKUP(VLOOKUP(F75,tablas!$R$3:$T$66,2,TRUE)&amp;VLOOKUP(F75,tablas!$R$3:$T$66,3,TRUE),tablas!$Q$3:$R$66,2,FALSE)&lt;F75,VLOOKUP(F75+0.1,tablas!$R$3:$T$66,3,TRUE),VLOOKUP(F75,tablas!$R$3:$T$66,3,TRUE)),$C$13)</f>
        <v>φ10@14</v>
      </c>
      <c r="G76" s="94" t="str">
        <f>IF(G75&gt;$C$12,"φ"&amp;IF(VLOOKUP(VLOOKUP(G75,tablas!$R$3:$T$66,2,TRUE)&amp;VLOOKUP(G75,tablas!$R$3:$T$66,3,TRUE),tablas!$Q$3:$R$66,2,FALSE)&lt;G75,VLOOKUP(G75+0.1,tablas!$R$3:$T$66,2,TRUE),VLOOKUP(G75,tablas!$R$3:$T$66,2,TRUE))&amp;"@"&amp;IF(VLOOKUP(VLOOKUP(G75,tablas!$R$3:$T$66,2,TRUE)&amp;VLOOKUP(G75,tablas!$R$3:$T$66,3,TRUE),tablas!$Q$3:$R$66,2,FALSE)&lt;G75,VLOOKUP(G75+0.1,tablas!$R$3:$T$66,3,TRUE),VLOOKUP(G75,tablas!$R$3:$T$66,3,TRUE)),$C$13)</f>
        <v>φ12@21</v>
      </c>
      <c r="H76" s="94" t="str">
        <f>IF(H75&gt;$C$12,"φ"&amp;IF(VLOOKUP(VLOOKUP(H75,tablas!$R$3:$T$66,2,TRUE)&amp;VLOOKUP(H75,tablas!$R$3:$T$66,3,TRUE),tablas!$Q$3:$R$66,2,FALSE)&lt;H75,VLOOKUP(H75+0.1,tablas!$R$3:$T$66,2,TRUE),VLOOKUP(H75,tablas!$R$3:$T$66,2,TRUE))&amp;"@"&amp;IF(VLOOKUP(VLOOKUP(H75,tablas!$R$3:$T$66,2,TRUE)&amp;VLOOKUP(H75,tablas!$R$3:$T$66,3,TRUE),tablas!$Q$3:$R$66,2,FALSE)&lt;H75,VLOOKUP(H75+0.1,tablas!$R$3:$T$66,3,TRUE),VLOOKUP(H75,tablas!$R$3:$T$66,3,TRUE)),$C$13)</f>
        <v>φ10@13</v>
      </c>
      <c r="I76" s="94" t="str">
        <f>IF(I75&gt;$C$12,"φ"&amp;IF(VLOOKUP(VLOOKUP(I75,tablas!$R$3:$T$66,2,TRUE)&amp;VLOOKUP(I75,tablas!$R$3:$T$66,3,TRUE),tablas!$Q$3:$R$66,2,FALSE)&lt;I75,VLOOKUP(I75+0.1,tablas!$R$3:$T$66,2,TRUE),VLOOKUP(I75,tablas!$R$3:$T$66,2,TRUE))&amp;"@"&amp;IF(VLOOKUP(VLOOKUP(I75,tablas!$R$3:$T$66,2,TRUE)&amp;VLOOKUP(I75,tablas!$R$3:$T$66,3,TRUE),tablas!$Q$3:$R$66,2,FALSE)&lt;I75,VLOOKUP(I75+0.1,tablas!$R$3:$T$66,3,TRUE),VLOOKUP(I75,tablas!$R$3:$T$66,3,TRUE)),$C$13)</f>
        <v>φ10@13</v>
      </c>
      <c r="J76" s="94" t="str">
        <f>IF(J75&gt;$C$12,"φ"&amp;IF(VLOOKUP(VLOOKUP(J75,tablas!$R$3:$T$66,2,TRUE)&amp;VLOOKUP(J75,tablas!$R$3:$T$66,3,TRUE),tablas!$Q$3:$R$66,2,FALSE)&lt;J75,VLOOKUP(J75+0.1,tablas!$R$3:$T$66,2,TRUE),VLOOKUP(J75,tablas!$R$3:$T$66,2,TRUE))&amp;"@"&amp;IF(VLOOKUP(VLOOKUP(J75,tablas!$R$3:$T$66,2,TRUE)&amp;VLOOKUP(J75,tablas!$R$3:$T$66,3,TRUE),tablas!$Q$3:$R$66,2,FALSE)&lt;J75,VLOOKUP(J75+0.1,tablas!$R$3:$T$66,3,TRUE),VLOOKUP(J75,tablas!$R$3:$T$66,3,TRUE)),$C$13)</f>
        <v>φ12@18</v>
      </c>
      <c r="K76" s="94" t="str">
        <f>IF(K75&gt;$C$12,"φ"&amp;IF(VLOOKUP(VLOOKUP(K75,tablas!$R$3:$T$66,2,TRUE)&amp;VLOOKUP(K75,tablas!$R$3:$T$66,3,TRUE),tablas!$Q$3:$R$66,2,FALSE)&lt;K75,VLOOKUP(K75+0.1,tablas!$R$3:$T$66,2,TRUE),VLOOKUP(K75,tablas!$R$3:$T$66,2,TRUE))&amp;"@"&amp;IF(VLOOKUP(VLOOKUP(K75,tablas!$R$3:$T$66,2,TRUE)&amp;VLOOKUP(K75,tablas!$R$3:$T$66,3,TRUE),tablas!$Q$3:$R$66,2,FALSE)&lt;K75,VLOOKUP(K75+0.1,tablas!$R$3:$T$66,3,TRUE),VLOOKUP(K75,tablas!$R$3:$T$66,3,TRUE)),$C$13)</f>
        <v>φ8@11</v>
      </c>
      <c r="L76" s="94" t="str">
        <f>IF(L75&gt;$C$12,"φ"&amp;IF(VLOOKUP(VLOOKUP(L75,tablas!$R$3:$T$66,2,TRUE)&amp;VLOOKUP(L75,tablas!$R$3:$T$66,3,TRUE),tablas!$Q$3:$R$66,2,FALSE)&lt;L75,VLOOKUP(L75+0.1,tablas!$R$3:$T$66,2,TRUE),VLOOKUP(L75,tablas!$R$3:$T$66,2,TRUE))&amp;"@"&amp;IF(VLOOKUP(VLOOKUP(L75,tablas!$R$3:$T$66,2,TRUE)&amp;VLOOKUP(L75,tablas!$R$3:$T$66,3,TRUE),tablas!$Q$3:$R$66,2,FALSE)&lt;L75,VLOOKUP(L75+0.1,tablas!$R$3:$T$66,3,TRUE),VLOOKUP(L75,tablas!$R$3:$T$66,3,TRUE)),$C$13)</f>
        <v>φ8@14</v>
      </c>
      <c r="M76" s="94" t="str">
        <f>IF(M75&gt;$C$12,"φ"&amp;IF(VLOOKUP(VLOOKUP(M75,tablas!$R$3:$T$66,2,TRUE)&amp;VLOOKUP(M75,tablas!$R$3:$T$66,3,TRUE),tablas!$Q$3:$R$66,2,FALSE)&lt;M75,VLOOKUP(M75+0.1,tablas!$R$3:$T$66,2,TRUE),VLOOKUP(M75,tablas!$R$3:$T$66,2,TRUE))&amp;"@"&amp;IF(VLOOKUP(VLOOKUP(M75,tablas!$R$3:$T$66,2,TRUE)&amp;VLOOKUP(M75,tablas!$R$3:$T$66,3,TRUE),tablas!$Q$3:$R$66,2,FALSE)&lt;M75,VLOOKUP(M75+0.1,tablas!$R$3:$T$66,3,TRUE),VLOOKUP(M75,tablas!$R$3:$T$66,3,TRUE)),$C$13)</f>
        <v>φ10@20</v>
      </c>
      <c r="N76" s="94" t="str">
        <f>IF(N75&gt;$C$12,"φ"&amp;IF(VLOOKUP(VLOOKUP(N75,tablas!$R$3:$T$66,2,TRUE)&amp;VLOOKUP(N75,tablas!$R$3:$T$66,3,TRUE),tablas!$Q$3:$R$66,2,FALSE)&lt;N75,VLOOKUP(N75+0.1,tablas!$R$3:$T$66,2,TRUE),VLOOKUP(N75,tablas!$R$3:$T$66,2,TRUE))&amp;"@"&amp;IF(VLOOKUP(VLOOKUP(N75,tablas!$R$3:$T$66,2,TRUE)&amp;VLOOKUP(N75,tablas!$R$3:$T$66,3,TRUE),tablas!$Q$3:$R$66,2,FALSE)&lt;N75,VLOOKUP(N75+0.1,tablas!$R$3:$T$66,3,TRUE),VLOOKUP(N75,tablas!$R$3:$T$66,3,TRUE)),$C$13)</f>
        <v>φ12@14</v>
      </c>
      <c r="O76" s="94" t="str">
        <f>IF(O75&gt;$C$12,"φ"&amp;IF(VLOOKUP(VLOOKUP(O75,tablas!$R$3:$T$66,2,TRUE)&amp;VLOOKUP(O75,tablas!$R$3:$T$66,3,TRUE),tablas!$Q$3:$R$66,2,FALSE)&lt;O75,VLOOKUP(O75+0.1,tablas!$R$3:$T$66,2,TRUE),VLOOKUP(O75,tablas!$R$3:$T$66,2,TRUE))&amp;"@"&amp;IF(VLOOKUP(VLOOKUP(O75,tablas!$R$3:$T$66,2,TRUE)&amp;VLOOKUP(O75,tablas!$R$3:$T$66,3,TRUE),tablas!$Q$3:$R$66,2,FALSE)&lt;O75,VLOOKUP(O75+0.1,tablas!$R$3:$T$66,3,TRUE),VLOOKUP(O75,tablas!$R$3:$T$66,3,TRUE)),$C$13)</f>
        <v>φ8@17</v>
      </c>
      <c r="P76" s="94" t="str">
        <f>IF(P75&gt;$C$12,"φ"&amp;IF(VLOOKUP(VLOOKUP(P75,tablas!$R$3:$T$66,2,TRUE)&amp;VLOOKUP(P75,tablas!$R$3:$T$66,3,TRUE),tablas!$Q$3:$R$66,2,FALSE)&lt;P75,VLOOKUP(P75+0.1,tablas!$R$3:$T$66,2,TRUE),VLOOKUP(P75,tablas!$R$3:$T$66,2,TRUE))&amp;"@"&amp;IF(VLOOKUP(VLOOKUP(P75,tablas!$R$3:$T$66,2,TRUE)&amp;VLOOKUP(P75,tablas!$R$3:$T$66,3,TRUE),tablas!$Q$3:$R$66,2,FALSE)&lt;P75,VLOOKUP(P75+0.1,tablas!$R$3:$T$66,3,TRUE),VLOOKUP(P75,tablas!$R$3:$T$66,3,TRUE)),$C$13)</f>
        <v>φ8@17</v>
      </c>
      <c r="Q76" s="94" t="str">
        <f>IF(Q75&gt;$C$12,"φ"&amp;IF(VLOOKUP(VLOOKUP(Q75,tablas!$R$3:$T$66,2,TRUE)&amp;VLOOKUP(Q75,tablas!$R$3:$T$66,3,TRUE),tablas!$Q$3:$R$66,2,FALSE)&lt;Q75,VLOOKUP(Q75+0.1,tablas!$R$3:$T$66,2,TRUE),VLOOKUP(Q75,tablas!$R$3:$T$66,2,TRUE))&amp;"@"&amp;IF(VLOOKUP(VLOOKUP(Q75,tablas!$R$3:$T$66,2,TRUE)&amp;VLOOKUP(Q75,tablas!$R$3:$T$66,3,TRUE),tablas!$Q$3:$R$66,2,FALSE)&lt;Q75,VLOOKUP(Q75+0.1,tablas!$R$3:$T$66,3,TRUE),VLOOKUP(Q75,tablas!$R$3:$T$66,3,TRUE)),$C$13)</f>
        <v>φ8@17</v>
      </c>
      <c r="R76" s="94" t="str">
        <f>IF(R75&gt;$C$12,"φ"&amp;IF(VLOOKUP(VLOOKUP(R75,tablas!$R$3:$T$66,2,TRUE)&amp;VLOOKUP(R75,tablas!$R$3:$T$66,3,TRUE),tablas!$Q$3:$R$66,2,FALSE)&lt;R75,VLOOKUP(R75+0.1,tablas!$R$3:$T$66,2,TRUE),VLOOKUP(R75,tablas!$R$3:$T$66,2,TRUE))&amp;"@"&amp;IF(VLOOKUP(VLOOKUP(R75,tablas!$R$3:$T$66,2,TRUE)&amp;VLOOKUP(R75,tablas!$R$3:$T$66,3,TRUE),tablas!$Q$3:$R$66,2,FALSE)&lt;R75,VLOOKUP(R75+0.1,tablas!$R$3:$T$66,3,TRUE),VLOOKUP(R75,tablas!$R$3:$T$66,3,TRUE)),$C$13)</f>
        <v>φ8@17</v>
      </c>
      <c r="S76" s="94" t="str">
        <f>IF(S75&gt;$C$12,"φ"&amp;IF(VLOOKUP(VLOOKUP(S75,tablas!$R$3:$T$66,2,TRUE)&amp;VLOOKUP(S75,tablas!$R$3:$T$66,3,TRUE),tablas!$Q$3:$R$66,2,FALSE)&lt;S75,VLOOKUP(S75+0.1,tablas!$R$3:$T$66,2,TRUE),VLOOKUP(S75,tablas!$R$3:$T$66,2,TRUE))&amp;"@"&amp;IF(VLOOKUP(VLOOKUP(S75,tablas!$R$3:$T$66,2,TRUE)&amp;VLOOKUP(S75,tablas!$R$3:$T$66,3,TRUE),tablas!$Q$3:$R$66,2,FALSE)&lt;S75,VLOOKUP(S75+0.1,tablas!$R$3:$T$66,3,TRUE),VLOOKUP(S75,tablas!$R$3:$T$66,3,TRUE)),$C$13)</f>
        <v>φ10@19</v>
      </c>
      <c r="T76" s="94" t="str">
        <f>IF(T75&gt;$C$12,"φ"&amp;IF(VLOOKUP(VLOOKUP(T75,tablas!$R$3:$T$66,2,TRUE)&amp;VLOOKUP(T75,tablas!$R$3:$T$66,3,TRUE),tablas!$Q$3:$R$66,2,FALSE)&lt;T75,VLOOKUP(T75+0.1,tablas!$R$3:$T$66,2,TRUE),VLOOKUP(T75,tablas!$R$3:$T$66,2,TRUE))&amp;"@"&amp;IF(VLOOKUP(VLOOKUP(T75,tablas!$R$3:$T$66,2,TRUE)&amp;VLOOKUP(T75,tablas!$R$3:$T$66,3,TRUE),tablas!$Q$3:$R$66,2,FALSE)&lt;T75,VLOOKUP(T75+0.1,tablas!$R$3:$T$66,3,TRUE),VLOOKUP(T75,tablas!$R$3:$T$66,3,TRUE)),$C$13)</f>
        <v>φ8@17</v>
      </c>
      <c r="U76" s="94" t="str">
        <f>IF(U75&gt;$C$12,"φ"&amp;IF(VLOOKUP(VLOOKUP(U75,tablas!$R$3:$T$66,2,TRUE)&amp;VLOOKUP(U75,tablas!$R$3:$T$66,3,TRUE),tablas!$Q$3:$R$66,2,FALSE)&lt;U75,VLOOKUP(U75+0.1,tablas!$R$3:$T$66,2,TRUE),VLOOKUP(U75,tablas!$R$3:$T$66,2,TRUE))&amp;"@"&amp;IF(VLOOKUP(VLOOKUP(U75,tablas!$R$3:$T$66,2,TRUE)&amp;VLOOKUP(U75,tablas!$R$3:$T$66,3,TRUE),tablas!$Q$3:$R$66,2,FALSE)&lt;U75,VLOOKUP(U75+0.1,tablas!$R$3:$T$66,3,TRUE),VLOOKUP(U75,tablas!$R$3:$T$66,3,TRUE)),$C$13)</f>
        <v>φ8@17</v>
      </c>
      <c r="V76" s="94" t="str">
        <f>IF(V75&gt;$C$12,"φ"&amp;IF(VLOOKUP(VLOOKUP(V75,tablas!$R$3:$T$66,2,TRUE)&amp;VLOOKUP(V75,tablas!$R$3:$T$66,3,TRUE),tablas!$Q$3:$R$66,2,FALSE)&lt;V75,VLOOKUP(V75+0.1,tablas!$R$3:$T$66,2,TRUE),VLOOKUP(V75,tablas!$R$3:$T$66,2,TRUE))&amp;"@"&amp;IF(VLOOKUP(VLOOKUP(V75,tablas!$R$3:$T$66,2,TRUE)&amp;VLOOKUP(V75,tablas!$R$3:$T$66,3,TRUE),tablas!$Q$3:$R$66,2,FALSE)&lt;V75,VLOOKUP(V75+0.1,tablas!$R$3:$T$66,3,TRUE),VLOOKUP(V75,tablas!$R$3:$T$66,3,TRUE)),$C$13)</f>
        <v>φ8@17</v>
      </c>
      <c r="W76" s="94" t="str">
        <f>IF(W75&gt;$C$12,"φ"&amp;IF(VLOOKUP(VLOOKUP(W75,tablas!$R$3:$T$66,2,TRUE)&amp;VLOOKUP(W75,tablas!$R$3:$T$66,3,TRUE),tablas!$Q$3:$R$66,2,FALSE)&lt;W75,VLOOKUP(W75+0.1,tablas!$R$3:$T$66,2,TRUE),VLOOKUP(W75,tablas!$R$3:$T$66,2,TRUE))&amp;"@"&amp;IF(VLOOKUP(VLOOKUP(W75,tablas!$R$3:$T$66,2,TRUE)&amp;VLOOKUP(W75,tablas!$R$3:$T$66,3,TRUE),tablas!$Q$3:$R$66,2,FALSE)&lt;W75,VLOOKUP(W75+0.1,tablas!$R$3:$T$66,3,TRUE),VLOOKUP(W75,tablas!$R$3:$T$66,3,TRUE)),$C$13)</f>
        <v>φ8@17</v>
      </c>
    </row>
    <row r="77" spans="2:23" x14ac:dyDescent="0.3">
      <c r="B77" s="96" t="s">
        <v>104</v>
      </c>
      <c r="C77" s="89">
        <f>IF(C45&lt;=2,C59/C51,IF(OR(C43=6,C43="5a",C43="3a"),C58*C40^2/17.5,(IF(OR(C43="2a",C43=4,C43="5b"),C58*C40^2/11.25,IF(OR(C43=1,C43="2b",C43="3b"),C58*C40^2/8)))))</f>
        <v>2118.3333333333335</v>
      </c>
      <c r="D77" s="89">
        <f t="shared" ref="D77:W77" si="25">IF(D45&lt;=2,D59/D51,IF(OR(D43=6,D43="5a",D43="3a"),D58*D40^2/17.5,(IF(OR(D43="2a",D43=4,D43="5b"),D58*D40^2/11.25,IF(OR(D43=1,D43="2b",D43="3b"),D58*D40^2/8)))))</f>
        <v>2129.7709923664124</v>
      </c>
      <c r="E77" s="89">
        <f t="shared" si="25"/>
        <v>2129.7709923664124</v>
      </c>
      <c r="F77" s="89">
        <f t="shared" si="25"/>
        <v>2191.666666666667</v>
      </c>
      <c r="G77" s="89">
        <f t="shared" si="25"/>
        <v>2715.2796666666668</v>
      </c>
      <c r="H77" s="89">
        <f t="shared" si="25"/>
        <v>2699.8427947598257</v>
      </c>
      <c r="I77" s="89">
        <f t="shared" si="25"/>
        <v>2699.8427947598257</v>
      </c>
      <c r="J77" s="89">
        <f t="shared" si="25"/>
        <v>2585.9324427480915</v>
      </c>
      <c r="K77" s="89">
        <f t="shared" si="25"/>
        <v>2208.7947976878613</v>
      </c>
      <c r="L77" s="89">
        <f t="shared" si="25"/>
        <v>1580.5938864628824</v>
      </c>
      <c r="M77" s="89">
        <f t="shared" si="25"/>
        <v>1762.5327510917032</v>
      </c>
      <c r="N77" s="89">
        <f t="shared" si="25"/>
        <v>3189.6944444444448</v>
      </c>
      <c r="O77" s="89">
        <f t="shared" si="25"/>
        <v>422.23118279569894</v>
      </c>
      <c r="P77" s="89">
        <f t="shared" si="25"/>
        <v>155.67999999999998</v>
      </c>
      <c r="Q77" s="89">
        <f t="shared" si="25"/>
        <v>667.99428571428564</v>
      </c>
      <c r="R77" s="89">
        <f t="shared" si="25"/>
        <v>1323.0049261083741</v>
      </c>
      <c r="S77" s="89">
        <f t="shared" si="25"/>
        <v>1879.8058604651167</v>
      </c>
      <c r="T77" s="89">
        <f t="shared" si="25"/>
        <v>196.31893333333335</v>
      </c>
      <c r="U77" s="89">
        <f t="shared" si="25"/>
        <v>479.38048780487804</v>
      </c>
      <c r="V77" s="89">
        <f t="shared" si="25"/>
        <v>441.61273885350312</v>
      </c>
      <c r="W77" s="89">
        <f t="shared" si="25"/>
        <v>203.33714285714288</v>
      </c>
    </row>
    <row r="78" spans="2:23" x14ac:dyDescent="0.3">
      <c r="B78" s="97" t="s">
        <v>15</v>
      </c>
      <c r="C78" s="90">
        <f>C77/(0.9*(0.9*($C$7/100))*($L$9*1000))</f>
        <v>4.3645299356618139</v>
      </c>
      <c r="D78" s="91">
        <f>D77/(0.9*(0.9*($C$7/100))*($L$9*1000))</f>
        <v>4.3880956344393587</v>
      </c>
      <c r="E78" s="91">
        <f t="shared" ref="E78:W78" si="26">E77/(0.9*(0.9*($C$7/100))*($L$9*1000))</f>
        <v>4.3880956344393587</v>
      </c>
      <c r="F78" s="91">
        <f t="shared" si="26"/>
        <v>4.5156230254880301</v>
      </c>
      <c r="G78" s="91">
        <f t="shared" si="26"/>
        <v>5.5944544715313134</v>
      </c>
      <c r="H78" s="91">
        <f t="shared" si="26"/>
        <v>5.5626489532541843</v>
      </c>
      <c r="I78" s="91">
        <f t="shared" si="26"/>
        <v>5.5626489532541843</v>
      </c>
      <c r="J78" s="91">
        <f t="shared" si="26"/>
        <v>5.3279525844090285</v>
      </c>
      <c r="K78" s="91">
        <f t="shared" si="26"/>
        <v>4.5509131469281279</v>
      </c>
      <c r="L78" s="91">
        <f t="shared" si="26"/>
        <v>3.2565929190832259</v>
      </c>
      <c r="M78" s="91">
        <f t="shared" si="26"/>
        <v>3.6314525356683451</v>
      </c>
      <c r="N78" s="91">
        <f t="shared" si="26"/>
        <v>6.5719198528994296</v>
      </c>
      <c r="O78" s="91">
        <f t="shared" si="26"/>
        <v>0.86994837313063267</v>
      </c>
      <c r="P78" s="91">
        <f t="shared" si="26"/>
        <v>0.32075689396561657</v>
      </c>
      <c r="Q78" s="91">
        <f t="shared" si="26"/>
        <v>1.3763089174749159</v>
      </c>
      <c r="R78" s="91">
        <f t="shared" si="26"/>
        <v>2.7258668473775192</v>
      </c>
      <c r="S78" s="91">
        <f t="shared" si="26"/>
        <v>3.8730773963332101</v>
      </c>
      <c r="T78" s="91">
        <f t="shared" si="26"/>
        <v>0.40448773948254729</v>
      </c>
      <c r="U78" s="91">
        <f t="shared" si="26"/>
        <v>0.98769653324778284</v>
      </c>
      <c r="V78" s="91">
        <f t="shared" si="26"/>
        <v>0.9098813620908186</v>
      </c>
      <c r="W78" s="91">
        <f t="shared" si="26"/>
        <v>0.41894777987345849</v>
      </c>
    </row>
    <row r="79" spans="2:23" x14ac:dyDescent="0.3">
      <c r="B79" s="97" t="s">
        <v>98</v>
      </c>
      <c r="C79" s="92">
        <f>(C78*($L$9))/(0.85*$L$6*100)</f>
        <v>6.1559361096169274E-2</v>
      </c>
      <c r="D79" s="93">
        <f>(D78*($L$9))/(0.85*$L$6*100)</f>
        <v>6.1891742677213563E-2</v>
      </c>
      <c r="E79" s="93">
        <f t="shared" ref="E79:W79" si="27">(E78*($L$9))/(0.85*$L$6*100)</f>
        <v>6.1891742677213563E-2</v>
      </c>
      <c r="F79" s="93">
        <f t="shared" si="27"/>
        <v>6.3690448341040595E-2</v>
      </c>
      <c r="G79" s="93">
        <f t="shared" si="27"/>
        <v>7.8906789053069776E-2</v>
      </c>
      <c r="H79" s="93">
        <f t="shared" si="27"/>
        <v>7.8458189223687302E-2</v>
      </c>
      <c r="I79" s="93">
        <f t="shared" si="27"/>
        <v>7.8458189223687302E-2</v>
      </c>
      <c r="J79" s="93">
        <f t="shared" si="27"/>
        <v>7.5147922429628089E-2</v>
      </c>
      <c r="K79" s="93">
        <f t="shared" si="27"/>
        <v>6.4188196634873587E-2</v>
      </c>
      <c r="L79" s="93">
        <f t="shared" si="27"/>
        <v>4.5932501874035948E-2</v>
      </c>
      <c r="M79" s="93">
        <f t="shared" si="27"/>
        <v>5.1219696334356628E-2</v>
      </c>
      <c r="N79" s="93">
        <f t="shared" si="27"/>
        <v>9.2693415621715486E-2</v>
      </c>
      <c r="O79" s="93">
        <f t="shared" si="27"/>
        <v>1.2270156655129703E-2</v>
      </c>
      <c r="P79" s="93">
        <f t="shared" si="27"/>
        <v>4.5241044856577329E-3</v>
      </c>
      <c r="Q79" s="93">
        <f t="shared" si="27"/>
        <v>1.9412101389990579E-2</v>
      </c>
      <c r="R79" s="93">
        <f t="shared" si="27"/>
        <v>3.8446894403611084E-2</v>
      </c>
      <c r="S79" s="93">
        <f t="shared" si="27"/>
        <v>5.462768580097592E-2</v>
      </c>
      <c r="T79" s="93">
        <f t="shared" si="27"/>
        <v>5.705083292091951E-3</v>
      </c>
      <c r="U79" s="93">
        <f t="shared" si="27"/>
        <v>1.393093149547046E-2</v>
      </c>
      <c r="V79" s="93">
        <f t="shared" si="27"/>
        <v>1.2833390112864405E-2</v>
      </c>
      <c r="W79" s="93">
        <f t="shared" si="27"/>
        <v>5.9090344302468369E-3</v>
      </c>
    </row>
    <row r="80" spans="2:23" ht="15" thickBot="1" x14ac:dyDescent="0.35">
      <c r="B80" s="97" t="s">
        <v>15</v>
      </c>
      <c r="C80" s="76">
        <f>ROUNDUP(C77/(0.9*(($C$7-C79/2)/100)*($L$9*1000)),2)</f>
        <v>3.94</v>
      </c>
      <c r="D80" s="77">
        <f>ROUNDUP(D77/(0.9*(($C$7-D79/2)/100)*($L$9*1000)),2)</f>
        <v>3.96</v>
      </c>
      <c r="E80" s="77">
        <f t="shared" ref="E80:W80" si="28">ROUNDUP(E77/(0.9*(($C$7-E79/2)/100)*($L$9*1000)),2)</f>
        <v>3.96</v>
      </c>
      <c r="F80" s="77">
        <f t="shared" si="28"/>
        <v>4.08</v>
      </c>
      <c r="G80" s="77">
        <f t="shared" si="28"/>
        <v>5.05</v>
      </c>
      <c r="H80" s="77">
        <f t="shared" si="28"/>
        <v>5.0299999999999994</v>
      </c>
      <c r="I80" s="77">
        <f t="shared" si="28"/>
        <v>5.0299999999999994</v>
      </c>
      <c r="J80" s="77">
        <f t="shared" si="28"/>
        <v>4.8099999999999996</v>
      </c>
      <c r="K80" s="77">
        <f t="shared" si="28"/>
        <v>4.1099999999999994</v>
      </c>
      <c r="L80" s="77">
        <f t="shared" si="28"/>
        <v>2.94</v>
      </c>
      <c r="M80" s="77">
        <f t="shared" si="28"/>
        <v>3.28</v>
      </c>
      <c r="N80" s="77">
        <f t="shared" si="28"/>
        <v>5.9399999999999995</v>
      </c>
      <c r="O80" s="77">
        <f t="shared" si="28"/>
        <v>0.79</v>
      </c>
      <c r="P80" s="77">
        <f t="shared" si="28"/>
        <v>0.29000000000000004</v>
      </c>
      <c r="Q80" s="77">
        <f t="shared" si="28"/>
        <v>1.24</v>
      </c>
      <c r="R80" s="77">
        <f t="shared" si="28"/>
        <v>2.46</v>
      </c>
      <c r="S80" s="77">
        <f t="shared" si="28"/>
        <v>3.5</v>
      </c>
      <c r="T80" s="77">
        <f t="shared" si="28"/>
        <v>0.37</v>
      </c>
      <c r="U80" s="77">
        <f t="shared" si="28"/>
        <v>0.89</v>
      </c>
      <c r="V80" s="77">
        <f t="shared" si="28"/>
        <v>0.82000000000000006</v>
      </c>
      <c r="W80" s="77">
        <f t="shared" si="28"/>
        <v>0.38</v>
      </c>
    </row>
    <row r="81" spans="2:28" ht="16.2" thickBot="1" x14ac:dyDescent="0.35">
      <c r="B81" s="61" t="s">
        <v>106</v>
      </c>
      <c r="C81" s="94" t="str">
        <f>IF(C80&gt;$C$12,"φ"&amp;IF(VLOOKUP(VLOOKUP(C80,tablas!$R$3:$T$66,2,TRUE)&amp;VLOOKUP(C80,tablas!$R$3:$T$66,3,TRUE),tablas!$Q$3:$R$66,2,FALSE)&lt;C80,VLOOKUP(C80+0.1,tablas!$R$3:$T$66,2,TRUE),VLOOKUP(C80,tablas!$R$3:$T$66,2,TRUE))&amp;"@"&amp;IF(VLOOKUP(VLOOKUP(C80,tablas!$R$3:$T$66,2,TRUE)&amp;VLOOKUP(C80,tablas!$R$3:$T$66,3,TRUE),tablas!$Q$3:$R$66,2,FALSE)&lt;C80,VLOOKUP(C80+0.1,tablas!$R$3:$T$66,3,TRUE),VLOOKUP(C80,tablas!$R$3:$T$66,3,TRUE)),$C$13)</f>
        <v>φ10@20</v>
      </c>
      <c r="D81" s="95" t="str">
        <f>IF(D80&gt;$C$12,"φ"&amp;IF(VLOOKUP(VLOOKUP(D80,tablas!$R$3:$T$66,2,TRUE)&amp;VLOOKUP(D80,tablas!$R$3:$T$66,3,TRUE),tablas!$Q$3:$R$66,2,FALSE)&lt;D80,VLOOKUP(D80+0.1,tablas!$R$3:$T$66,2,TRUE),VLOOKUP(D80,tablas!$R$3:$T$66,2,TRUE))&amp;"@"&amp;IF(VLOOKUP(VLOOKUP(D80,tablas!$R$3:$T$66,2,TRUE)&amp;VLOOKUP(D80,tablas!$R$3:$T$66,3,TRUE),tablas!$Q$3:$R$66,2,FALSE)&lt;D80,VLOOKUP(D80+0.1,tablas!$R$3:$T$66,3,TRUE),VLOOKUP(D80,tablas!$R$3:$T$66,3,TRUE)),$C$13)</f>
        <v>φ10@20</v>
      </c>
      <c r="E81" s="95" t="str">
        <f>IF(E80&gt;$C$12,"φ"&amp;IF(VLOOKUP(VLOOKUP(E80,tablas!$R$3:$T$66,2,TRUE)&amp;VLOOKUP(E80,tablas!$R$3:$T$66,3,TRUE),tablas!$Q$3:$R$66,2,FALSE)&lt;E80,VLOOKUP(E80+0.1,tablas!$R$3:$T$66,2,TRUE),VLOOKUP(E80,tablas!$R$3:$T$66,2,TRUE))&amp;"@"&amp;IF(VLOOKUP(VLOOKUP(E80,tablas!$R$3:$T$66,2,TRUE)&amp;VLOOKUP(E80,tablas!$R$3:$T$66,3,TRUE),tablas!$Q$3:$R$66,2,FALSE)&lt;E80,VLOOKUP(E80+0.1,tablas!$R$3:$T$66,3,TRUE),VLOOKUP(E80,tablas!$R$3:$T$66,3,TRUE)),$C$13)</f>
        <v>φ10@20</v>
      </c>
      <c r="F81" s="95" t="str">
        <f>IF(F80&gt;$C$12,"φ"&amp;IF(VLOOKUP(VLOOKUP(F80,tablas!$R$3:$T$66,2,TRUE)&amp;VLOOKUP(F80,tablas!$R$3:$T$66,3,TRUE),tablas!$Q$3:$R$66,2,FALSE)&lt;F80,VLOOKUP(F80+0.1,tablas!$R$3:$T$66,2,TRUE),VLOOKUP(F80,tablas!$R$3:$T$66,2,TRUE))&amp;"@"&amp;IF(VLOOKUP(VLOOKUP(F80,tablas!$R$3:$T$66,2,TRUE)&amp;VLOOKUP(F80,tablas!$R$3:$T$66,3,TRUE),tablas!$Q$3:$R$66,2,FALSE)&lt;F80,VLOOKUP(F80+0.1,tablas!$R$3:$T$66,3,TRUE),VLOOKUP(F80,tablas!$R$3:$T$66,3,TRUE)),$C$13)</f>
        <v>φ10@19</v>
      </c>
      <c r="G81" s="95" t="str">
        <f>IF(G80&gt;$C$12,"φ"&amp;IF(VLOOKUP(VLOOKUP(G80,tablas!$R$3:$T$66,2,TRUE)&amp;VLOOKUP(G80,tablas!$R$3:$T$66,3,TRUE),tablas!$Q$3:$R$66,2,FALSE)&lt;G80,VLOOKUP(G80+0.1,tablas!$R$3:$T$66,2,TRUE),VLOOKUP(G80,tablas!$R$3:$T$66,2,TRUE))&amp;"@"&amp;IF(VLOOKUP(VLOOKUP(G80,tablas!$R$3:$T$66,2,TRUE)&amp;VLOOKUP(G80,tablas!$R$3:$T$66,3,TRUE),tablas!$Q$3:$R$66,2,FALSE)&lt;G80,VLOOKUP(G80+0.1,tablas!$R$3:$T$66,3,TRUE),VLOOKUP(G80,tablas!$R$3:$T$66,3,TRUE)),$C$13)</f>
        <v>φ12@22</v>
      </c>
      <c r="H81" s="95" t="str">
        <f>IF(H80&gt;$C$12,"φ"&amp;IF(VLOOKUP(VLOOKUP(H80,tablas!$R$3:$T$66,2,TRUE)&amp;VLOOKUP(H80,tablas!$R$3:$T$66,3,TRUE),tablas!$Q$3:$R$66,2,FALSE)&lt;H80,VLOOKUP(H80+0.1,tablas!$R$3:$T$66,2,TRUE),VLOOKUP(H80,tablas!$R$3:$T$66,2,TRUE))&amp;"@"&amp;IF(VLOOKUP(VLOOKUP(H80,tablas!$R$3:$T$66,2,TRUE)&amp;VLOOKUP(H80,tablas!$R$3:$T$66,3,TRUE),tablas!$Q$3:$R$66,2,FALSE)&lt;H80,VLOOKUP(H80+0.1,tablas!$R$3:$T$66,3,TRUE),VLOOKUP(H80,tablas!$R$3:$T$66,3,TRUE)),$C$13)</f>
        <v>φ8@10</v>
      </c>
      <c r="I81" s="95" t="str">
        <f>IF(I80&gt;$C$12,"φ"&amp;IF(VLOOKUP(VLOOKUP(I80,tablas!$R$3:$T$66,2,TRUE)&amp;VLOOKUP(I80,tablas!$R$3:$T$66,3,TRUE),tablas!$Q$3:$R$66,2,FALSE)&lt;I80,VLOOKUP(I80+0.1,tablas!$R$3:$T$66,2,TRUE),VLOOKUP(I80,tablas!$R$3:$T$66,2,TRUE))&amp;"@"&amp;IF(VLOOKUP(VLOOKUP(I80,tablas!$R$3:$T$66,2,TRUE)&amp;VLOOKUP(I80,tablas!$R$3:$T$66,3,TRUE),tablas!$Q$3:$R$66,2,FALSE)&lt;I80,VLOOKUP(I80+0.1,tablas!$R$3:$T$66,3,TRUE),VLOOKUP(I80,tablas!$R$3:$T$66,3,TRUE)),$C$13)</f>
        <v>φ8@10</v>
      </c>
      <c r="J81" s="95" t="str">
        <f>IF(J80&gt;$C$12,"φ"&amp;IF(VLOOKUP(VLOOKUP(J80,tablas!$R$3:$T$66,2,TRUE)&amp;VLOOKUP(J80,tablas!$R$3:$T$66,3,TRUE),tablas!$Q$3:$R$66,2,FALSE)&lt;J80,VLOOKUP(J80+0.1,tablas!$R$3:$T$66,2,TRUE),VLOOKUP(J80,tablas!$R$3:$T$66,2,TRUE))&amp;"@"&amp;IF(VLOOKUP(VLOOKUP(J80,tablas!$R$3:$T$66,2,TRUE)&amp;VLOOKUP(J80,tablas!$R$3:$T$66,3,TRUE),tablas!$Q$3:$R$66,2,FALSE)&lt;J80,VLOOKUP(J80+0.1,tablas!$R$3:$T$66,3,TRUE),VLOOKUP(J80,tablas!$R$3:$T$66,3,TRUE)),$C$13)</f>
        <v>φ12@24</v>
      </c>
      <c r="K81" s="95" t="str">
        <f>IF(K80&gt;$C$12,"φ"&amp;IF(VLOOKUP(VLOOKUP(K80,tablas!$R$3:$T$66,2,TRUE)&amp;VLOOKUP(K80,tablas!$R$3:$T$66,3,TRUE),tablas!$Q$3:$R$66,2,FALSE)&lt;K80,VLOOKUP(K80+0.1,tablas!$R$3:$T$66,2,TRUE),VLOOKUP(K80,tablas!$R$3:$T$66,2,TRUE))&amp;"@"&amp;IF(VLOOKUP(VLOOKUP(K80,tablas!$R$3:$T$66,2,TRUE)&amp;VLOOKUP(K80,tablas!$R$3:$T$66,3,TRUE),tablas!$Q$3:$R$66,2,FALSE)&lt;K80,VLOOKUP(K80+0.1,tablas!$R$3:$T$66,3,TRUE),VLOOKUP(K80,tablas!$R$3:$T$66,3,TRUE)),$C$13)</f>
        <v>φ8@12</v>
      </c>
      <c r="L81" s="95" t="str">
        <f>IF(L80&gt;$C$12,"φ"&amp;IF(VLOOKUP(VLOOKUP(L80,tablas!$R$3:$T$66,2,TRUE)&amp;VLOOKUP(L80,tablas!$R$3:$T$66,3,TRUE),tablas!$Q$3:$R$66,2,FALSE)&lt;L80,VLOOKUP(L80+0.1,tablas!$R$3:$T$66,2,TRUE),VLOOKUP(L80,tablas!$R$3:$T$66,2,TRUE))&amp;"@"&amp;IF(VLOOKUP(VLOOKUP(L80,tablas!$R$3:$T$66,2,TRUE)&amp;VLOOKUP(L80,tablas!$R$3:$T$66,3,TRUE),tablas!$Q$3:$R$66,2,FALSE)&lt;L80,VLOOKUP(L80+0.1,tablas!$R$3:$T$66,3,TRUE),VLOOKUP(L80,tablas!$R$3:$T$66,3,TRUE)),$C$13)</f>
        <v>φ8@17</v>
      </c>
      <c r="M81" s="95" t="str">
        <f>IF(M80&gt;$C$12,"φ"&amp;IF(VLOOKUP(VLOOKUP(M80,tablas!$R$3:$T$66,2,TRUE)&amp;VLOOKUP(M80,tablas!$R$3:$T$66,3,TRUE),tablas!$Q$3:$R$66,2,FALSE)&lt;M80,VLOOKUP(M80+0.1,tablas!$R$3:$T$66,2,TRUE),VLOOKUP(M80,tablas!$R$3:$T$66,2,TRUE))&amp;"@"&amp;IF(VLOOKUP(VLOOKUP(M80,tablas!$R$3:$T$66,2,TRUE)&amp;VLOOKUP(M80,tablas!$R$3:$T$66,3,TRUE),tablas!$Q$3:$R$66,2,FALSE)&lt;M80,VLOOKUP(M80+0.1,tablas!$R$3:$T$66,3,TRUE),VLOOKUP(M80,tablas!$R$3:$T$66,3,TRUE)),$C$13)</f>
        <v>φ8@15</v>
      </c>
      <c r="N81" s="95" t="str">
        <f>IF(N80&gt;$C$12,"φ"&amp;IF(VLOOKUP(VLOOKUP(N80,tablas!$R$3:$T$66,2,TRUE)&amp;VLOOKUP(N80,tablas!$R$3:$T$66,3,TRUE),tablas!$Q$3:$R$66,2,FALSE)&lt;N80,VLOOKUP(N80+0.1,tablas!$R$3:$T$66,2,TRUE),VLOOKUP(N80,tablas!$R$3:$T$66,2,TRUE))&amp;"@"&amp;IF(VLOOKUP(VLOOKUP(N80,tablas!$R$3:$T$66,2,TRUE)&amp;VLOOKUP(N80,tablas!$R$3:$T$66,3,TRUE),tablas!$Q$3:$R$66,2,FALSE)&lt;N80,VLOOKUP(N80+0.1,tablas!$R$3:$T$66,3,TRUE),VLOOKUP(N80,tablas!$R$3:$T$66,3,TRUE)),$C$13)</f>
        <v>φ12@19</v>
      </c>
      <c r="O81" s="95" t="str">
        <f>IF(O80&gt;$C$12,"φ"&amp;IF(VLOOKUP(VLOOKUP(O80,tablas!$R$3:$T$66,2,TRUE)&amp;VLOOKUP(O80,tablas!$R$3:$T$66,3,TRUE),tablas!$Q$3:$R$66,2,FALSE)&lt;O80,VLOOKUP(O80+0.1,tablas!$R$3:$T$66,2,TRUE),VLOOKUP(O80,tablas!$R$3:$T$66,2,TRUE))&amp;"@"&amp;IF(VLOOKUP(VLOOKUP(O80,tablas!$R$3:$T$66,2,TRUE)&amp;VLOOKUP(O80,tablas!$R$3:$T$66,3,TRUE),tablas!$Q$3:$R$66,2,FALSE)&lt;O80,VLOOKUP(O80+0.1,tablas!$R$3:$T$66,3,TRUE),VLOOKUP(O80,tablas!$R$3:$T$66,3,TRUE)),$C$13)</f>
        <v>φ8@17</v>
      </c>
      <c r="P81" s="95" t="str">
        <f>IF(P80&gt;$C$12,"φ"&amp;IF(VLOOKUP(VLOOKUP(P80,tablas!$R$3:$T$66,2,TRUE)&amp;VLOOKUP(P80,tablas!$R$3:$T$66,3,TRUE),tablas!$Q$3:$R$66,2,FALSE)&lt;P80,VLOOKUP(P80+0.1,tablas!$R$3:$T$66,2,TRUE),VLOOKUP(P80,tablas!$R$3:$T$66,2,TRUE))&amp;"@"&amp;IF(VLOOKUP(VLOOKUP(P80,tablas!$R$3:$T$66,2,TRUE)&amp;VLOOKUP(P80,tablas!$R$3:$T$66,3,TRUE),tablas!$Q$3:$R$66,2,FALSE)&lt;P80,VLOOKUP(P80+0.1,tablas!$R$3:$T$66,3,TRUE),VLOOKUP(P80,tablas!$R$3:$T$66,3,TRUE)),$C$13)</f>
        <v>φ8@17</v>
      </c>
      <c r="Q81" s="95" t="str">
        <f>IF(Q80&gt;$C$12,"φ"&amp;IF(VLOOKUP(VLOOKUP(Q80,tablas!$R$3:$T$66,2,TRUE)&amp;VLOOKUP(Q80,tablas!$R$3:$T$66,3,TRUE),tablas!$Q$3:$R$66,2,FALSE)&lt;Q80,VLOOKUP(Q80+0.1,tablas!$R$3:$T$66,2,TRUE),VLOOKUP(Q80,tablas!$R$3:$T$66,2,TRUE))&amp;"@"&amp;IF(VLOOKUP(VLOOKUP(Q80,tablas!$R$3:$T$66,2,TRUE)&amp;VLOOKUP(Q80,tablas!$R$3:$T$66,3,TRUE),tablas!$Q$3:$R$66,2,FALSE)&lt;Q80,VLOOKUP(Q80+0.1,tablas!$R$3:$T$66,3,TRUE),VLOOKUP(Q80,tablas!$R$3:$T$66,3,TRUE)),$C$13)</f>
        <v>φ8@17</v>
      </c>
      <c r="R81" s="95" t="str">
        <f>IF(R80&gt;$C$12,"φ"&amp;IF(VLOOKUP(VLOOKUP(R80,tablas!$R$3:$T$66,2,TRUE)&amp;VLOOKUP(R80,tablas!$R$3:$T$66,3,TRUE),tablas!$Q$3:$R$66,2,FALSE)&lt;R80,VLOOKUP(R80+0.1,tablas!$R$3:$T$66,2,TRUE),VLOOKUP(R80,tablas!$R$3:$T$66,2,TRUE))&amp;"@"&amp;IF(VLOOKUP(VLOOKUP(R80,tablas!$R$3:$T$66,2,TRUE)&amp;VLOOKUP(R80,tablas!$R$3:$T$66,3,TRUE),tablas!$Q$3:$R$66,2,FALSE)&lt;R80,VLOOKUP(R80+0.1,tablas!$R$3:$T$66,3,TRUE),VLOOKUP(R80,tablas!$R$3:$T$66,3,TRUE)),$C$13)</f>
        <v>φ8@17</v>
      </c>
      <c r="S81" s="95" t="str">
        <f>IF(S80&gt;$C$12,"φ"&amp;IF(VLOOKUP(VLOOKUP(S80,tablas!$R$3:$T$66,2,TRUE)&amp;VLOOKUP(S80,tablas!$R$3:$T$66,3,TRUE),tablas!$Q$3:$R$66,2,FALSE)&lt;S80,VLOOKUP(S80+0.1,tablas!$R$3:$T$66,2,TRUE),VLOOKUP(S80,tablas!$R$3:$T$66,2,TRUE))&amp;"@"&amp;IF(VLOOKUP(VLOOKUP(S80,tablas!$R$3:$T$66,2,TRUE)&amp;VLOOKUP(S80,tablas!$R$3:$T$66,3,TRUE),tablas!$Q$3:$R$66,2,FALSE)&lt;S80,VLOOKUP(S80+0.1,tablas!$R$3:$T$66,3,TRUE),VLOOKUP(S80,tablas!$R$3:$T$66,3,TRUE)),$C$13)</f>
        <v>φ8@14</v>
      </c>
      <c r="T81" s="95" t="str">
        <f>IF(T80&gt;$C$12,"φ"&amp;IF(VLOOKUP(VLOOKUP(T80,tablas!$R$3:$T$66,2,TRUE)&amp;VLOOKUP(T80,tablas!$R$3:$T$66,3,TRUE),tablas!$Q$3:$R$66,2,FALSE)&lt;T80,VLOOKUP(T80+0.1,tablas!$R$3:$T$66,2,TRUE),VLOOKUP(T80,tablas!$R$3:$T$66,2,TRUE))&amp;"@"&amp;IF(VLOOKUP(VLOOKUP(T80,tablas!$R$3:$T$66,2,TRUE)&amp;VLOOKUP(T80,tablas!$R$3:$T$66,3,TRUE),tablas!$Q$3:$R$66,2,FALSE)&lt;T80,VLOOKUP(T80+0.1,tablas!$R$3:$T$66,3,TRUE),VLOOKUP(T80,tablas!$R$3:$T$66,3,TRUE)),$C$13)</f>
        <v>φ8@17</v>
      </c>
      <c r="U81" s="95" t="str">
        <f>IF(U80&gt;$C$12,"φ"&amp;IF(VLOOKUP(VLOOKUP(U80,tablas!$R$3:$T$66,2,TRUE)&amp;VLOOKUP(U80,tablas!$R$3:$T$66,3,TRUE),tablas!$Q$3:$R$66,2,FALSE)&lt;U80,VLOOKUP(U80+0.1,tablas!$R$3:$T$66,2,TRUE),VLOOKUP(U80,tablas!$R$3:$T$66,2,TRUE))&amp;"@"&amp;IF(VLOOKUP(VLOOKUP(U80,tablas!$R$3:$T$66,2,TRUE)&amp;VLOOKUP(U80,tablas!$R$3:$T$66,3,TRUE),tablas!$Q$3:$R$66,2,FALSE)&lt;U80,VLOOKUP(U80+0.1,tablas!$R$3:$T$66,3,TRUE),VLOOKUP(U80,tablas!$R$3:$T$66,3,TRUE)),$C$13)</f>
        <v>φ8@17</v>
      </c>
      <c r="V81" s="95" t="str">
        <f>IF(V80&gt;$C$12,"φ"&amp;IF(VLOOKUP(VLOOKUP(V80,tablas!$R$3:$T$66,2,TRUE)&amp;VLOOKUP(V80,tablas!$R$3:$T$66,3,TRUE),tablas!$Q$3:$R$66,2,FALSE)&lt;V80,VLOOKUP(V80+0.1,tablas!$R$3:$T$66,2,TRUE),VLOOKUP(V80,tablas!$R$3:$T$66,2,TRUE))&amp;"@"&amp;IF(VLOOKUP(VLOOKUP(V80,tablas!$R$3:$T$66,2,TRUE)&amp;VLOOKUP(V80,tablas!$R$3:$T$66,3,TRUE),tablas!$Q$3:$R$66,2,FALSE)&lt;V80,VLOOKUP(V80+0.1,tablas!$R$3:$T$66,3,TRUE),VLOOKUP(V80,tablas!$R$3:$T$66,3,TRUE)),$C$13)</f>
        <v>φ8@17</v>
      </c>
      <c r="W81" s="95" t="str">
        <f>IF(W80&gt;$C$12,"φ"&amp;IF(VLOOKUP(VLOOKUP(W80,tablas!$R$3:$T$66,2,TRUE)&amp;VLOOKUP(W80,tablas!$R$3:$T$66,3,TRUE),tablas!$Q$3:$R$66,2,FALSE)&lt;W80,VLOOKUP(W80+0.1,tablas!$R$3:$T$66,2,TRUE),VLOOKUP(W80,tablas!$R$3:$T$66,2,TRUE))&amp;"@"&amp;IF(VLOOKUP(VLOOKUP(W80,tablas!$R$3:$T$66,2,TRUE)&amp;VLOOKUP(W80,tablas!$R$3:$T$66,3,TRUE),tablas!$Q$3:$R$66,2,FALSE)&lt;W80,VLOOKUP(W80+0.1,tablas!$R$3:$T$66,3,TRUE),VLOOKUP(W80,tablas!$R$3:$T$66,3,TRUE)),$C$13)</f>
        <v>φ8@17</v>
      </c>
    </row>
    <row r="82" spans="2:28" x14ac:dyDescent="0.3">
      <c r="P82" s="40"/>
      <c r="T82" s="40"/>
      <c r="U82" s="41"/>
    </row>
    <row r="83" spans="2:28" ht="15" thickBot="1" x14ac:dyDescent="0.35">
      <c r="B83" s="126" t="s">
        <v>107</v>
      </c>
      <c r="C83" s="126"/>
      <c r="P83" s="40"/>
      <c r="T83" s="40"/>
      <c r="U83" s="41"/>
    </row>
    <row r="84" spans="2:28" ht="15" thickBot="1" x14ac:dyDescent="0.35">
      <c r="B84" s="73" t="s">
        <v>43</v>
      </c>
      <c r="C84" s="74" t="s">
        <v>117</v>
      </c>
      <c r="D84" s="75" t="s">
        <v>118</v>
      </c>
      <c r="E84" s="74" t="s">
        <v>117</v>
      </c>
      <c r="F84" s="75" t="s">
        <v>121</v>
      </c>
      <c r="G84" s="74" t="s">
        <v>118</v>
      </c>
      <c r="H84" s="75" t="s">
        <v>122</v>
      </c>
      <c r="I84" s="74" t="s">
        <v>118</v>
      </c>
      <c r="J84" s="75" t="s">
        <v>119</v>
      </c>
      <c r="K84" s="74" t="s">
        <v>119</v>
      </c>
      <c r="L84" s="75" t="s">
        <v>123</v>
      </c>
      <c r="M84" s="74" t="s">
        <v>119</v>
      </c>
      <c r="N84" s="75" t="s">
        <v>120</v>
      </c>
      <c r="O84" s="74" t="s">
        <v>120</v>
      </c>
      <c r="P84" s="75" t="s">
        <v>124</v>
      </c>
      <c r="Q84" s="74" t="s">
        <v>121</v>
      </c>
      <c r="R84" s="75" t="s">
        <v>122</v>
      </c>
      <c r="S84" s="74" t="s">
        <v>122</v>
      </c>
      <c r="T84" s="75" t="s">
        <v>138</v>
      </c>
      <c r="U84" s="74" t="s">
        <v>122</v>
      </c>
      <c r="V84" s="75" t="s">
        <v>126</v>
      </c>
      <c r="W84" s="74" t="s">
        <v>122</v>
      </c>
      <c r="X84" s="75" t="s">
        <v>123</v>
      </c>
      <c r="Y84" s="74" t="s">
        <v>123</v>
      </c>
      <c r="Z84" s="75" t="s">
        <v>127</v>
      </c>
      <c r="AA84" s="74" t="s">
        <v>123</v>
      </c>
      <c r="AB84" s="75" t="s">
        <v>124</v>
      </c>
    </row>
    <row r="85" spans="2:28" x14ac:dyDescent="0.3">
      <c r="B85" s="105" t="s">
        <v>114</v>
      </c>
      <c r="C85" s="102" t="s">
        <v>109</v>
      </c>
      <c r="D85" s="103" t="s">
        <v>109</v>
      </c>
      <c r="E85" s="102" t="s">
        <v>108</v>
      </c>
      <c r="F85" s="103" t="s">
        <v>108</v>
      </c>
      <c r="G85" s="102" t="s">
        <v>108</v>
      </c>
      <c r="H85" s="103" t="s">
        <v>108</v>
      </c>
      <c r="I85" s="102" t="s">
        <v>109</v>
      </c>
      <c r="J85" s="103" t="s">
        <v>109</v>
      </c>
      <c r="K85" s="102" t="s">
        <v>108</v>
      </c>
      <c r="L85" s="103" t="s">
        <v>108</v>
      </c>
      <c r="M85" s="102" t="s">
        <v>109</v>
      </c>
      <c r="N85" s="103" t="s">
        <v>109</v>
      </c>
      <c r="O85" s="102" t="s">
        <v>108</v>
      </c>
      <c r="P85" s="103" t="s">
        <v>108</v>
      </c>
      <c r="Q85" s="102" t="s">
        <v>109</v>
      </c>
      <c r="R85" s="103" t="s">
        <v>109</v>
      </c>
      <c r="S85" s="102" t="s">
        <v>108</v>
      </c>
      <c r="T85" s="103" t="s">
        <v>109</v>
      </c>
      <c r="U85" s="102" t="s">
        <v>108</v>
      </c>
      <c r="V85" s="103" t="s">
        <v>108</v>
      </c>
      <c r="W85" s="102" t="s">
        <v>109</v>
      </c>
      <c r="X85" s="103" t="s">
        <v>109</v>
      </c>
      <c r="Y85" s="102" t="s">
        <v>108</v>
      </c>
      <c r="Z85" s="103" t="s">
        <v>108</v>
      </c>
      <c r="AA85" s="102" t="s">
        <v>109</v>
      </c>
      <c r="AB85" s="103" t="s">
        <v>109</v>
      </c>
    </row>
    <row r="86" spans="2:28" x14ac:dyDescent="0.3">
      <c r="B86" s="106" t="s">
        <v>110</v>
      </c>
      <c r="C86" s="104">
        <f t="shared" ref="C86:S86" si="29">HLOOKUP(C84,$B$38:$V$81,IF(C85="x",35,40),FALSE)</f>
        <v>2118.3333333333335</v>
      </c>
      <c r="D86" s="86">
        <f t="shared" si="29"/>
        <v>2129.7709923664124</v>
      </c>
      <c r="E86" s="104">
        <f t="shared" si="29"/>
        <v>2534.2024539877298</v>
      </c>
      <c r="F86" s="86">
        <f t="shared" si="29"/>
        <v>2909.2282142857143</v>
      </c>
      <c r="G86" s="104">
        <f t="shared" si="29"/>
        <v>2818.181818181818</v>
      </c>
      <c r="H86" s="86">
        <f t="shared" si="29"/>
        <v>3288.6382978723404</v>
      </c>
      <c r="I86" s="104">
        <f t="shared" si="29"/>
        <v>2129.7709923664124</v>
      </c>
      <c r="J86" s="86">
        <f t="shared" si="29"/>
        <v>2129.7709923664124</v>
      </c>
      <c r="K86" s="104">
        <f t="shared" si="29"/>
        <v>2818.181818181818</v>
      </c>
      <c r="L86" s="86">
        <f t="shared" si="29"/>
        <v>3288.6382978723404</v>
      </c>
      <c r="M86" s="104">
        <f t="shared" si="29"/>
        <v>2129.7709923664124</v>
      </c>
      <c r="N86" s="86">
        <f t="shared" si="29"/>
        <v>2191.666666666667</v>
      </c>
      <c r="O86" s="104">
        <f t="shared" si="29"/>
        <v>2982.8048780487807</v>
      </c>
      <c r="P86" s="86">
        <f t="shared" si="29"/>
        <v>3421.7893939393934</v>
      </c>
      <c r="Q86" s="104">
        <f t="shared" si="29"/>
        <v>2715.2796666666668</v>
      </c>
      <c r="R86" s="86">
        <f t="shared" si="29"/>
        <v>2699.8427947598257</v>
      </c>
      <c r="S86" s="104">
        <f t="shared" si="29"/>
        <v>3288.6382978723404</v>
      </c>
      <c r="T86" s="86">
        <f>HLOOKUP(T84,$B$38:$W$81,IF(T85="x",35,40),FALSE)</f>
        <v>203.33714285714288</v>
      </c>
      <c r="U86" s="104">
        <f t="shared" ref="U86:AB86" si="30">HLOOKUP(U84,$B$38:$V$81,IF(U85="x",35,40),FALSE)</f>
        <v>3288.6382978723404</v>
      </c>
      <c r="V86" s="86">
        <f t="shared" si="30"/>
        <v>1925.2978723404258</v>
      </c>
      <c r="W86" s="104">
        <f t="shared" si="30"/>
        <v>2699.8427947598257</v>
      </c>
      <c r="X86" s="86">
        <f t="shared" si="30"/>
        <v>2699.8427947598257</v>
      </c>
      <c r="Y86" s="104">
        <f t="shared" si="30"/>
        <v>3288.6382978723404</v>
      </c>
      <c r="Z86" s="86">
        <f t="shared" si="30"/>
        <v>2146.9148936170213</v>
      </c>
      <c r="AA86" s="104">
        <f t="shared" si="30"/>
        <v>2699.8427947598257</v>
      </c>
      <c r="AB86" s="86">
        <f t="shared" si="30"/>
        <v>2585.9324427480915</v>
      </c>
    </row>
    <row r="87" spans="2:28" x14ac:dyDescent="0.3">
      <c r="B87" s="106" t="s">
        <v>111</v>
      </c>
      <c r="C87" s="127">
        <f>(MAX(C86:D86)-MIN(C86:D86))/(MAX(C86:D86))</f>
        <v>5.3703703703703995E-3</v>
      </c>
      <c r="D87" s="128"/>
      <c r="E87" s="127">
        <f>(MAX(E86:F86)-MIN(E86:F86))/(MAX(E86:F86))</f>
        <v>0.12890902076929789</v>
      </c>
      <c r="F87" s="128"/>
      <c r="G87" s="127">
        <f>(MAX(G86:H86)-MIN(G86:H86))/(MAX(G86:H86))</f>
        <v>0.14305509973380015</v>
      </c>
      <c r="H87" s="128"/>
      <c r="I87" s="127">
        <f>(MAX(I86:J86)-MIN(I86:J86))/(MAX(I86:J86))</f>
        <v>0</v>
      </c>
      <c r="J87" s="128"/>
      <c r="K87" s="127">
        <f>(MAX(K86:L86)-MIN(K86:L86))/(MAX(K86:L86))</f>
        <v>0.14305509973380015</v>
      </c>
      <c r="L87" s="128"/>
      <c r="M87" s="127">
        <f>(MAX(M86:N86)-MIN(M86:N86))/(MAX(M86:N86))</f>
        <v>2.8241372304298646E-2</v>
      </c>
      <c r="N87" s="128"/>
      <c r="O87" s="127">
        <f>(MAX(O86:P86)-MIN(O86:P86))/(MAX(O86:P86))</f>
        <v>0.12829092189838848</v>
      </c>
      <c r="P87" s="128"/>
      <c r="Q87" s="127">
        <f>(MAX(Q86:R86)-MIN(Q86:R86))/(MAX(Q86:R86))</f>
        <v>5.685186721775792E-3</v>
      </c>
      <c r="R87" s="128"/>
      <c r="S87" s="127">
        <f>(MAX(S86:T86)-MIN(S86:T86))/(MAX(S86:T86))</f>
        <v>0.93816980633330938</v>
      </c>
      <c r="T87" s="128"/>
      <c r="U87" s="127">
        <f>(MAX(U86:V86)-MIN(U86:V86))/(MAX(U86:V86))</f>
        <v>0.41456077015643794</v>
      </c>
      <c r="V87" s="128"/>
      <c r="W87" s="127">
        <f>(MAX(W86:X86)-MIN(W86:X86))/(MAX(W86:X86))</f>
        <v>0</v>
      </c>
      <c r="X87" s="128"/>
      <c r="Y87" s="127">
        <f>(MAX(Y86:Z86)-MIN(Y86:Z86))/(MAX(Y86:Z86))</f>
        <v>0.34717208182912151</v>
      </c>
      <c r="Z87" s="128"/>
      <c r="AA87" s="127">
        <f>(MAX(AA86:AB86)-MIN(AA86:AB86))/(MAX(AA86:AB86))</f>
        <v>4.219147582697217E-2</v>
      </c>
      <c r="AB87" s="128"/>
    </row>
    <row r="88" spans="2:28" x14ac:dyDescent="0.3">
      <c r="B88" s="106" t="s">
        <v>112</v>
      </c>
      <c r="C88" s="129">
        <f>IF(C87&lt;25%,(C86*0.5+D86*0.5)*0.9,IF(C87&lt;50%,(MAX(C86:D86)*0.6+MIN(C86:D86)*0.4)*0.9,IF(C87&lt;70%,(MAX(C86:D86)*0.65+MIN(C86:D86)*0.35)*0.9,IF(C87&lt;100%,(MAX(C86:D86)*0.7+MIN(C86:D86)*0.3)*0.9,0.7*MAX(C86:D86)))))</f>
        <v>1911.6469465648854</v>
      </c>
      <c r="D88" s="130"/>
      <c r="E88" s="129">
        <f>IF(E87&lt;25%,(E86*0.5+F86*0.5)*0.9,IF(E87&lt;50%,(MAX(E86:F86)*0.6+MIN(E86:F86)*0.4)*0.9,IF(E87&lt;70%,(MAX(E86:F86)*0.65+MIN(E86:F86)*0.35)*0.9,IF(E87&lt;100%,(MAX(E86:F86)*0.7+MIN(E86:F86)*0.3)*0.9,0.7*MAX(E86:F86)))))</f>
        <v>2449.54380072305</v>
      </c>
      <c r="F88" s="130"/>
      <c r="G88" s="129">
        <f>IF(G87&lt;25%,(G86*0.5+H86*0.5)*0.9,IF(G87&lt;50%,(MAX(G86:H86)*0.6+MIN(G86:H86)*0.4)*0.9,IF(G87&lt;70%,(MAX(G86:H86)*0.65+MIN(G86:H86)*0.35)*0.9,IF(G87&lt;100%,(MAX(G86:H86)*0.7+MIN(G86:H86)*0.3)*0.9,0.7*MAX(G86:H86)))))</f>
        <v>2748.0690522243713</v>
      </c>
      <c r="H88" s="130"/>
      <c r="I88" s="129">
        <f>IF(I87&lt;25%,(I86*0.5+J86*0.5)*0.9,IF(I87&lt;50%,(MAX(I86:J86)*0.6+MIN(I86:J86)*0.4)*0.9,IF(I87&lt;70%,(MAX(I86:J86)*0.65+MIN(I86:J86)*0.35)*0.9,IF(I87&lt;100%,(MAX(I86:J86)*0.7+MIN(I86:J86)*0.3)*0.9,0.7*MAX(I86:J86)))))</f>
        <v>1916.7938931297713</v>
      </c>
      <c r="J88" s="130"/>
      <c r="K88" s="129">
        <f>IF(K87&lt;25%,(K86*0.5+L86*0.5)*0.9,IF(K87&lt;50%,(MAX(K86:L86)*0.6+MIN(K86:L86)*0.4)*0.9,IF(K87&lt;70%,(MAX(K86:L86)*0.65+MIN(K86:L86)*0.35)*0.9,IF(K87&lt;100%,(MAX(K86:L86)*0.7+MIN(K86:L86)*0.3)*0.9,0.7*MAX(K86:L86)))))</f>
        <v>2748.0690522243713</v>
      </c>
      <c r="L88" s="130"/>
      <c r="M88" s="129">
        <f>IF(M87&lt;25%,(M86*0.5+N86*0.5)*0.9,IF(M87&lt;50%,(MAX(M86:N86)*0.6+MIN(M86:N86)*0.4)*0.9,IF(M87&lt;70%,(MAX(M86:N86)*0.65+MIN(M86:N86)*0.35)*0.9,IF(M87&lt;100%,(MAX(M86:N86)*0.7+MIN(M86:N86)*0.3)*0.9,0.7*MAX(M86:N86)))))</f>
        <v>1944.6469465648859</v>
      </c>
      <c r="N88" s="130"/>
      <c r="O88" s="129">
        <f>IF(O87&lt;25%,(O86*0.5+P86*0.5)*0.9,IF(O87&lt;50%,(MAX(O86:P86)*0.6+MIN(O86:P86)*0.4)*0.9,IF(O87&lt;70%,(MAX(O86:P86)*0.65+MIN(O86:P86)*0.35)*0.9,IF(O87&lt;100%,(MAX(O86:P86)*0.7+MIN(O86:P86)*0.3)*0.9,0.7*MAX(O86:P86)))))</f>
        <v>2882.0674223946785</v>
      </c>
      <c r="P88" s="130"/>
      <c r="Q88" s="129">
        <f>IF(Q87&lt;25%,(Q86*0.5+R86*0.5)*0.9,IF(Q87&lt;50%,(MAX(Q86:R86)*0.6+MIN(Q86:R86)*0.4)*0.9,IF(Q87&lt;70%,(MAX(Q86:R86)*0.65+MIN(Q86:R86)*0.35)*0.9,IF(Q87&lt;100%,(MAX(Q86:R86)*0.7+MIN(Q86:R86)*0.3)*0.9,0.7*MAX(Q86:R86)))))</f>
        <v>2436.8051076419215</v>
      </c>
      <c r="R88" s="130"/>
      <c r="S88" s="129">
        <f>IF(S87&lt;25%,(S86*0.5+T86*0.5)*0.9,IF(S87&lt;50%,(MAX(S86:T86)*0.6+MIN(S86:T86)*0.4)*0.9,IF(S87&lt;70%,(MAX(S86:T86)*0.65+MIN(S86:T86)*0.35)*0.9,IF(S87&lt;100%,(MAX(S86:T86)*0.7+MIN(S86:T86)*0.3)*0.9,0.7*MAX(S86:T86)))))</f>
        <v>2126.743156231003</v>
      </c>
      <c r="T88" s="130"/>
      <c r="U88" s="129">
        <f>IF(U87&lt;25%,(U86*0.5+V86*0.5)*0.9,IF(U87&lt;50%,(MAX(U86:V86)*0.6+MIN(U86:V86)*0.4)*0.9,IF(U87&lt;70%,(MAX(U86:V86)*0.65+MIN(U86:V86)*0.35)*0.9,IF(U87&lt;100%,(MAX(U86:V86)*0.7+MIN(U86:V86)*0.3)*0.9,0.7*MAX(U86:V86)))))</f>
        <v>2468.9719148936174</v>
      </c>
      <c r="V88" s="130"/>
      <c r="W88" s="129">
        <f>IF(W87&lt;25%,(W86*0.5+X86*0.5)*0.9,IF(W87&lt;50%,(MAX(W86:X86)*0.6+MIN(W86:X86)*0.4)*0.9,IF(W87&lt;70%,(MAX(W86:X86)*0.65+MIN(W86:X86)*0.35)*0.9,IF(W87&lt;100%,(MAX(W86:X86)*0.7+MIN(W86:X86)*0.3)*0.9,0.7*MAX(W86:X86)))))</f>
        <v>2429.8585152838432</v>
      </c>
      <c r="X88" s="130"/>
      <c r="Y88" s="129">
        <f>IF(Y87&lt;25%,(Y86*0.5+Z86*0.5)*0.9,IF(Y87&lt;50%,(MAX(Y86:Z86)*0.6+MIN(Y86:Z86)*0.4)*0.9,IF(Y87&lt;70%,(MAX(Y86:Z86)*0.65+MIN(Y86:Z86)*0.35)*0.9,IF(Y87&lt;100%,(MAX(Y86:Z86)*0.7+MIN(Y86:Z86)*0.3)*0.9,0.7*MAX(Y86:Z86)))))</f>
        <v>2548.7540425531915</v>
      </c>
      <c r="Z88" s="130"/>
      <c r="AA88" s="129">
        <f>IF(AA87&lt;25%,(AA86*0.5+AB86*0.5)*0.9,IF(AA87&lt;50%,(MAX(AA86:AB86)*0.6+MIN(AA86:AB86)*0.4)*0.9,IF(AA87&lt;70%,(MAX(AA86:AB86)*0.65+MIN(AA86:AB86)*0.35)*0.9,IF(AA87&lt;100%,(MAX(AA86:AB86)*0.7+MIN(AA86:AB86)*0.3)*0.9,0.7*MAX(AA86:AB86)))))</f>
        <v>2378.5988568785629</v>
      </c>
      <c r="AB88" s="130"/>
    </row>
    <row r="89" spans="2:28" x14ac:dyDescent="0.3">
      <c r="B89" s="107" t="s">
        <v>15</v>
      </c>
      <c r="C89" s="131">
        <f>C88/(0.9*(0.9*($C$7/100))*($L$9*1000))</f>
        <v>3.9386815065455276</v>
      </c>
      <c r="D89" s="132"/>
      <c r="E89" s="131">
        <f>E88/(0.9*(0.9*($C$7/100))*($L$9*1000))</f>
        <v>5.0469428388531403</v>
      </c>
      <c r="F89" s="132"/>
      <c r="G89" s="131">
        <f>G88/(0.9*(0.9*($C$7/100))*($L$9*1000))</f>
        <v>5.6620124203142677</v>
      </c>
      <c r="H89" s="132"/>
      <c r="I89" s="131">
        <f>I88/(0.9*(0.9*($C$7/100))*($L$9*1000))</f>
        <v>3.9492860709954232</v>
      </c>
      <c r="J89" s="132"/>
      <c r="K89" s="131">
        <f>K88/(0.9*(0.9*($C$7/100))*($L$9*1000))</f>
        <v>5.6620124203142677</v>
      </c>
      <c r="L89" s="132"/>
      <c r="M89" s="131">
        <f>M88/(0.9*(0.9*($C$7/100))*($L$9*1000))</f>
        <v>4.0066733969673249</v>
      </c>
      <c r="N89" s="132"/>
      <c r="O89" s="131">
        <f>O88/(0.9*(0.9*($C$7/100))*($L$9*1000))</f>
        <v>5.9380973445966587</v>
      </c>
      <c r="P89" s="132"/>
      <c r="Q89" s="131">
        <f>Q88/(0.9*(0.9*($C$7/100))*($L$9*1000))</f>
        <v>5.0206965411534741</v>
      </c>
      <c r="R89" s="132"/>
      <c r="S89" s="131">
        <f>S88/(0.9*(0.9*($C$7/100))*($L$9*1000))</f>
        <v>4.3818572010231795</v>
      </c>
      <c r="T89" s="132"/>
      <c r="U89" s="131">
        <f>U88/(0.9*(0.9*($C$7/100))*($L$9*1000))</f>
        <v>5.0869717543012429</v>
      </c>
      <c r="V89" s="132"/>
      <c r="W89" s="131">
        <f>W88/(0.9*(0.9*($C$7/100))*($L$9*1000))</f>
        <v>5.0063840579287664</v>
      </c>
      <c r="X89" s="132"/>
      <c r="Y89" s="131">
        <f>Y88/(0.9*(0.9*($C$7/100))*($L$9*1000))</f>
        <v>5.2513516840420786</v>
      </c>
      <c r="Z89" s="132"/>
      <c r="AA89" s="131">
        <f>AA88/(0.9*(0.9*($C$7/100))*($L$9*1000))</f>
        <v>4.9007706919484457</v>
      </c>
      <c r="AB89" s="132"/>
    </row>
    <row r="90" spans="2:28" x14ac:dyDescent="0.3">
      <c r="B90" s="107" t="s">
        <v>98</v>
      </c>
      <c r="C90" s="133">
        <f>(C89*($L$9))/(0.85*$L$6*100)</f>
        <v>5.5552996698022279E-2</v>
      </c>
      <c r="D90" s="134"/>
      <c r="E90" s="133">
        <f>(E89*($L$9))/(0.85*$L$6*100)</f>
        <v>7.1184430220106912E-2</v>
      </c>
      <c r="F90" s="134"/>
      <c r="G90" s="133">
        <f>(G89*($L$9))/(0.85*$L$6*100)</f>
        <v>7.9859657798467848E-2</v>
      </c>
      <c r="H90" s="134"/>
      <c r="I90" s="133">
        <f>(I89*($L$9))/(0.85*$L$6*100)</f>
        <v>5.5702568409492212E-2</v>
      </c>
      <c r="J90" s="134"/>
      <c r="K90" s="133">
        <f>(K89*($L$9))/(0.85*$L$6*100)</f>
        <v>7.9859657798467848E-2</v>
      </c>
      <c r="L90" s="134"/>
      <c r="M90" s="133">
        <f>(M89*($L$9))/(0.85*$L$6*100)</f>
        <v>5.651198595821437E-2</v>
      </c>
      <c r="N90" s="134"/>
      <c r="O90" s="133">
        <f>(O89*($L$9))/(0.85*$L$6*100)</f>
        <v>8.3753688037151761E-2</v>
      </c>
      <c r="P90" s="134"/>
      <c r="Q90" s="133">
        <f>(Q89*($L$9))/(0.85*$L$6*100)</f>
        <v>7.0814240224540692E-2</v>
      </c>
      <c r="R90" s="134"/>
      <c r="S90" s="133">
        <f>(S89*($L$9))/(0.85*$L$6*100)</f>
        <v>6.1803752909471779E-2</v>
      </c>
      <c r="T90" s="134"/>
      <c r="U90" s="133">
        <f>(U89*($L$9))/(0.85*$L$6*100)</f>
        <v>7.1749016669663268E-2</v>
      </c>
      <c r="V90" s="134"/>
      <c r="W90" s="133">
        <f>(W89*($L$9))/(0.85*$L$6*100)</f>
        <v>7.0612370301318575E-2</v>
      </c>
      <c r="X90" s="134"/>
      <c r="Y90" s="133">
        <f>(Y89*($L$9))/(0.85*$L$6*100)</f>
        <v>7.4067507687263473E-2</v>
      </c>
      <c r="Z90" s="134"/>
      <c r="AA90" s="133">
        <f>(AA89*($L$9))/(0.85*$L$6*100)</f>
        <v>6.9122750243991934E-2</v>
      </c>
      <c r="AB90" s="134"/>
    </row>
    <row r="91" spans="2:28" ht="15" thickBot="1" x14ac:dyDescent="0.35">
      <c r="B91" s="108" t="s">
        <v>15</v>
      </c>
      <c r="C91" s="135">
        <f>ROUNDUP(C88/(0.9*(($C$7-C90/2)/100)*($L$9*1000)),2)</f>
        <v>3.5599999999999996</v>
      </c>
      <c r="D91" s="136"/>
      <c r="E91" s="135">
        <f>ROUNDUP(E88/(0.9*(($C$7-E90/2)/100)*($L$9*1000)),2)</f>
        <v>4.5599999999999996</v>
      </c>
      <c r="F91" s="136"/>
      <c r="G91" s="135">
        <f>ROUNDUP(G88/(0.9*(($C$7-G90/2)/100)*($L$9*1000)),2)</f>
        <v>5.12</v>
      </c>
      <c r="H91" s="136"/>
      <c r="I91" s="135">
        <f>ROUNDUP(I88/(0.9*(($C$7-I90/2)/100)*($L$9*1000)),2)</f>
        <v>3.57</v>
      </c>
      <c r="J91" s="136"/>
      <c r="K91" s="135">
        <f>ROUNDUP(K88/(0.9*(($C$7-K90/2)/100)*($L$9*1000)),2)</f>
        <v>5.12</v>
      </c>
      <c r="L91" s="136"/>
      <c r="M91" s="135">
        <f>ROUNDUP(M88/(0.9*(($C$7-M90/2)/100)*($L$9*1000)),2)</f>
        <v>3.6199999999999997</v>
      </c>
      <c r="N91" s="136"/>
      <c r="O91" s="135">
        <f>ROUNDUP(O88/(0.9*(($C$7-O90/2)/100)*($L$9*1000)),2)</f>
        <v>5.37</v>
      </c>
      <c r="P91" s="136"/>
      <c r="Q91" s="135">
        <f>ROUNDUP(Q88/(0.9*(($C$7-Q90/2)/100)*($L$9*1000)),2)</f>
        <v>4.54</v>
      </c>
      <c r="R91" s="136"/>
      <c r="S91" s="135">
        <f>ROUNDUP(S88/(0.9*(($C$7-S90/2)/100)*($L$9*1000)),2)</f>
        <v>3.96</v>
      </c>
      <c r="T91" s="136"/>
      <c r="U91" s="135">
        <f>ROUNDUP(U88/(0.9*(($C$7-U90/2)/100)*($L$9*1000)),2)</f>
        <v>4.5999999999999996</v>
      </c>
      <c r="V91" s="136"/>
      <c r="W91" s="135">
        <f>ROUNDUP(W88/(0.9*(($C$7-W90/2)/100)*($L$9*1000)),2)</f>
        <v>4.5199999999999996</v>
      </c>
      <c r="X91" s="136"/>
      <c r="Y91" s="135">
        <f>ROUNDUP(Y88/(0.9*(($C$7-Y90/2)/100)*($L$9*1000)),2)</f>
        <v>4.74</v>
      </c>
      <c r="Z91" s="136"/>
      <c r="AA91" s="135">
        <f>ROUNDUP(AA88/(0.9*(($C$7-AA90/2)/100)*($L$9*1000)),2)</f>
        <v>4.43</v>
      </c>
      <c r="AB91" s="136"/>
    </row>
    <row r="92" spans="2:28" ht="16.2" thickBot="1" x14ac:dyDescent="0.35">
      <c r="B92" s="61" t="s">
        <v>113</v>
      </c>
      <c r="C92" s="140" t="str">
        <f>IF(C91&gt;$C$12,"φ"&amp;IF(VLOOKUP(VLOOKUP(C91,tablas!$R$3:$T$66,2,TRUE)&amp;VLOOKUP(C91,tablas!$R$3:$T$66,3,TRUE),tablas!$Q$3:$R$66,2,FALSE)&lt;C91,VLOOKUP(C91+0.1,tablas!$R$3:$T$66,2,TRUE),VLOOKUP(C91,tablas!$R$3:$T$66,2,TRUE))&amp;"@"&amp;IF(VLOOKUP(VLOOKUP(C91,tablas!$R$3:$T$66,2,TRUE)&amp;VLOOKUP(C91,tablas!$R$3:$T$66,3,TRUE),tablas!$Q$3:$R$66,2,FALSE)&lt;C91,VLOOKUP(C91+0.1,tablas!$R$3:$T$66,3,TRUE),VLOOKUP(C91,tablas!$R$3:$T$66,3,TRUE)),$C$13)</f>
        <v>φ8@14</v>
      </c>
      <c r="D92" s="141"/>
      <c r="E92" s="140" t="str">
        <f>IF(E91&gt;$C$12,"φ"&amp;IF(VLOOKUP(VLOOKUP(E91,tablas!$R$3:$T$66,2,TRUE)&amp;VLOOKUP(E91,tablas!$R$3:$T$66,3,TRUE),tablas!$Q$3:$R$66,2,FALSE)&lt;E91,VLOOKUP(E91+0.1,tablas!$R$3:$T$66,2,TRUE),VLOOKUP(E91,tablas!$R$3:$T$66,2,TRUE))&amp;"@"&amp;IF(VLOOKUP(VLOOKUP(E91,tablas!$R$3:$T$66,2,TRUE)&amp;VLOOKUP(E91,tablas!$R$3:$T$66,3,TRUE),tablas!$Q$3:$R$66,2,FALSE)&lt;E91,VLOOKUP(E91+0.1,tablas!$R$3:$T$66,3,TRUE),VLOOKUP(E91,tablas!$R$3:$T$66,3,TRUE)),$C$13)</f>
        <v>φ10@17</v>
      </c>
      <c r="F92" s="141"/>
      <c r="G92" s="140" t="str">
        <f>IF(G91&gt;$C$12,"φ"&amp;IF(VLOOKUP(VLOOKUP(G91,tablas!$R$3:$T$66,2,TRUE)&amp;VLOOKUP(G91,tablas!$R$3:$T$66,3,TRUE),tablas!$Q$3:$R$66,2,FALSE)&lt;G91,VLOOKUP(G91+0.1,tablas!$R$3:$T$66,2,TRUE),VLOOKUP(G91,tablas!$R$3:$T$66,2,TRUE))&amp;"@"&amp;IF(VLOOKUP(VLOOKUP(G91,tablas!$R$3:$T$66,2,TRUE)&amp;VLOOKUP(G91,tablas!$R$3:$T$66,3,TRUE),tablas!$Q$3:$R$66,2,FALSE)&lt;G91,VLOOKUP(G91+0.1,tablas!$R$3:$T$66,3,TRUE),VLOOKUP(G91,tablas!$R$3:$T$66,3,TRUE)),$C$13)</f>
        <v>φ12@22</v>
      </c>
      <c r="H92" s="141"/>
      <c r="I92" s="140" t="str">
        <f>IF(I91&gt;$C$12,"φ"&amp;IF(VLOOKUP(VLOOKUP(I91,tablas!$R$3:$T$66,2,TRUE)&amp;VLOOKUP(I91,tablas!$R$3:$T$66,3,TRUE),tablas!$Q$3:$R$66,2,FALSE)&lt;I91,VLOOKUP(I91+0.1,tablas!$R$3:$T$66,2,TRUE),VLOOKUP(I91,tablas!$R$3:$T$66,2,TRUE))&amp;"@"&amp;IF(VLOOKUP(VLOOKUP(I91,tablas!$R$3:$T$66,2,TRUE)&amp;VLOOKUP(I91,tablas!$R$3:$T$66,3,TRUE),tablas!$Q$3:$R$66,2,FALSE)&lt;I91,VLOOKUP(I91+0.1,tablas!$R$3:$T$66,3,TRUE),VLOOKUP(I91,tablas!$R$3:$T$66,3,TRUE)),$C$13)</f>
        <v>φ10@22</v>
      </c>
      <c r="J92" s="141"/>
      <c r="K92" s="140" t="str">
        <f>IF(K91&gt;$C$12,"φ"&amp;IF(VLOOKUP(VLOOKUP(K91,tablas!$R$3:$T$66,2,TRUE)&amp;VLOOKUP(K91,tablas!$R$3:$T$66,3,TRUE),tablas!$Q$3:$R$66,2,FALSE)&lt;K91,VLOOKUP(K91+0.1,tablas!$R$3:$T$66,2,TRUE),VLOOKUP(K91,tablas!$R$3:$T$66,2,TRUE))&amp;"@"&amp;IF(VLOOKUP(VLOOKUP(K91,tablas!$R$3:$T$66,2,TRUE)&amp;VLOOKUP(K91,tablas!$R$3:$T$66,3,TRUE),tablas!$Q$3:$R$66,2,FALSE)&lt;K91,VLOOKUP(K91+0.1,tablas!$R$3:$T$66,3,TRUE),VLOOKUP(K91,tablas!$R$3:$T$66,3,TRUE)),$C$13)</f>
        <v>φ12@22</v>
      </c>
      <c r="L92" s="141"/>
      <c r="M92" s="140" t="str">
        <f>IF(M91&gt;$C$12,"φ"&amp;IF(VLOOKUP(VLOOKUP(M91,tablas!$R$3:$T$66,2,TRUE)&amp;VLOOKUP(M91,tablas!$R$3:$T$66,3,TRUE),tablas!$Q$3:$R$66,2,FALSE)&lt;M91,VLOOKUP(M91+0.1,tablas!$R$3:$T$66,2,TRUE),VLOOKUP(M91,tablas!$R$3:$T$66,2,TRUE))&amp;"@"&amp;IF(VLOOKUP(VLOOKUP(M91,tablas!$R$3:$T$66,2,TRUE)&amp;VLOOKUP(M91,tablas!$R$3:$T$66,3,TRUE),tablas!$Q$3:$R$66,2,FALSE)&lt;M91,VLOOKUP(M91+0.1,tablas!$R$3:$T$66,3,TRUE),VLOOKUP(M91,tablas!$R$3:$T$66,3,TRUE)),$C$13)</f>
        <v>φ8@14</v>
      </c>
      <c r="N92" s="141"/>
      <c r="O92" s="140" t="str">
        <f>IF(O91&gt;$C$12,"φ"&amp;IF(VLOOKUP(VLOOKUP(O91,tablas!$R$3:$T$66,2,TRUE)&amp;VLOOKUP(O91,tablas!$R$3:$T$66,3,TRUE),tablas!$Q$3:$R$66,2,FALSE)&lt;O91,VLOOKUP(O91+0.1,tablas!$R$3:$T$66,2,TRUE),VLOOKUP(O91,tablas!$R$3:$T$66,2,TRUE))&amp;"@"&amp;IF(VLOOKUP(VLOOKUP(O91,tablas!$R$3:$T$66,2,TRUE)&amp;VLOOKUP(O91,tablas!$R$3:$T$66,3,TRUE),tablas!$Q$3:$R$66,2,FALSE)&lt;O91,VLOOKUP(O91+0.1,tablas!$R$3:$T$66,3,TRUE),VLOOKUP(O91,tablas!$R$3:$T$66,3,TRUE)),$C$13)</f>
        <v>φ12@21</v>
      </c>
      <c r="P92" s="141"/>
      <c r="Q92" s="140" t="str">
        <f>IF(Q91&gt;$C$12,"φ"&amp;IF(VLOOKUP(VLOOKUP(Q91,tablas!$R$3:$T$66,2,TRUE)&amp;VLOOKUP(Q91,tablas!$R$3:$T$66,3,TRUE),tablas!$Q$3:$R$66,2,FALSE)&lt;Q91,VLOOKUP(Q91+0.1,tablas!$R$3:$T$66,2,TRUE),VLOOKUP(Q91,tablas!$R$3:$T$66,2,TRUE))&amp;"@"&amp;IF(VLOOKUP(VLOOKUP(Q91,tablas!$R$3:$T$66,2,TRUE)&amp;VLOOKUP(Q91,tablas!$R$3:$T$66,3,TRUE),tablas!$Q$3:$R$66,2,FALSE)&lt;Q91,VLOOKUP(Q91+0.1,tablas!$R$3:$T$66,3,TRUE),VLOOKUP(Q91,tablas!$R$3:$T$66,3,TRUE)),$C$13)</f>
        <v>φ10@17</v>
      </c>
      <c r="R92" s="141"/>
      <c r="S92" s="140" t="str">
        <f>IF(S91&gt;$C$12,"φ"&amp;IF(VLOOKUP(VLOOKUP(S91,tablas!$R$3:$T$66,2,TRUE)&amp;VLOOKUP(S91,tablas!$R$3:$T$66,3,TRUE),tablas!$Q$3:$R$66,2,FALSE)&lt;S91,VLOOKUP(S91+0.1,tablas!$R$3:$T$66,2,TRUE),VLOOKUP(S91,tablas!$R$3:$T$66,2,TRUE))&amp;"@"&amp;IF(VLOOKUP(VLOOKUP(S91,tablas!$R$3:$T$66,2,TRUE)&amp;VLOOKUP(S91,tablas!$R$3:$T$66,3,TRUE),tablas!$Q$3:$R$66,2,FALSE)&lt;S91,VLOOKUP(S91+0.1,tablas!$R$3:$T$66,3,TRUE),VLOOKUP(S91,tablas!$R$3:$T$66,3,TRUE)),$C$13)</f>
        <v>φ10@20</v>
      </c>
      <c r="T92" s="141"/>
      <c r="U92" s="140" t="str">
        <f>IF(U91&gt;$C$12,"φ"&amp;IF(VLOOKUP(VLOOKUP(U91,tablas!$R$3:$T$66,2,TRUE)&amp;VLOOKUP(U91,tablas!$R$3:$T$66,3,TRUE),tablas!$Q$3:$R$66,2,FALSE)&lt;U91,VLOOKUP(U91+0.1,tablas!$R$3:$T$66,2,TRUE),VLOOKUP(U91,tablas!$R$3:$T$66,2,TRUE))&amp;"@"&amp;IF(VLOOKUP(VLOOKUP(U91,tablas!$R$3:$T$66,2,TRUE)&amp;VLOOKUP(U91,tablas!$R$3:$T$66,3,TRUE),tablas!$Q$3:$R$66,2,FALSE)&lt;U91,VLOOKUP(U91+0.1,tablas!$R$3:$T$66,3,TRUE),VLOOKUP(U91,tablas!$R$3:$T$66,3,TRUE)),$C$13)</f>
        <v>φ10@17</v>
      </c>
      <c r="V92" s="141"/>
      <c r="W92" s="140" t="str">
        <f>IF(W91&gt;$C$12,"φ"&amp;IF(VLOOKUP(VLOOKUP(W91,tablas!$R$3:$T$66,2,TRUE)&amp;VLOOKUP(W91,tablas!$R$3:$T$66,3,TRUE),tablas!$Q$3:$R$66,2,FALSE)&lt;W91,VLOOKUP(W91+0.1,tablas!$R$3:$T$66,2,TRUE),VLOOKUP(W91,tablas!$R$3:$T$66,2,TRUE))&amp;"@"&amp;IF(VLOOKUP(VLOOKUP(W91,tablas!$R$3:$T$66,2,TRUE)&amp;VLOOKUP(W91,tablas!$R$3:$T$66,3,TRUE),tablas!$Q$3:$R$66,2,FALSE)&lt;W91,VLOOKUP(W91+0.1,tablas!$R$3:$T$66,3,TRUE),VLOOKUP(W91,tablas!$R$3:$T$66,3,TRUE)),$C$13)</f>
        <v>φ12@25</v>
      </c>
      <c r="X92" s="141"/>
      <c r="Y92" s="140" t="str">
        <f>IF(Y91&gt;$C$12,"φ"&amp;IF(VLOOKUP(VLOOKUP(Y91,tablas!$R$3:$T$66,2,TRUE)&amp;VLOOKUP(Y91,tablas!$R$3:$T$66,3,TRUE),tablas!$Q$3:$R$66,2,FALSE)&lt;Y91,VLOOKUP(Y91+0.1,tablas!$R$3:$T$66,2,TRUE),VLOOKUP(Y91,tablas!$R$3:$T$66,2,TRUE))&amp;"@"&amp;IF(VLOOKUP(VLOOKUP(Y91,tablas!$R$3:$T$66,2,TRUE)&amp;VLOOKUP(Y91,tablas!$R$3:$T$66,3,TRUE),tablas!$Q$3:$R$66,2,FALSE)&lt;Y91,VLOOKUP(Y91+0.1,tablas!$R$3:$T$66,3,TRUE),VLOOKUP(Y91,tablas!$R$3:$T$66,3,TRUE)),$C$13)</f>
        <v>φ12@24</v>
      </c>
      <c r="Z92" s="141"/>
      <c r="AA92" s="140" t="str">
        <f>IF(AA91&gt;$C$12,"φ"&amp;IF(VLOOKUP(VLOOKUP(AA91,tablas!$R$3:$T$66,2,TRUE)&amp;VLOOKUP(AA91,tablas!$R$3:$T$66,3,TRUE),tablas!$Q$3:$R$66,2,FALSE)&lt;AA91,VLOOKUP(AA91+0.1,tablas!$R$3:$T$66,2,TRUE),VLOOKUP(AA91,tablas!$R$3:$T$66,2,TRUE))&amp;"@"&amp;IF(VLOOKUP(VLOOKUP(AA91,tablas!$R$3:$T$66,2,TRUE)&amp;VLOOKUP(AA91,tablas!$R$3:$T$66,3,TRUE),tablas!$Q$3:$R$66,2,FALSE)&lt;AA91,VLOOKUP(AA91+0.1,tablas!$R$3:$T$66,3,TRUE),VLOOKUP(AA91,tablas!$R$3:$T$66,3,TRUE)),$C$13)</f>
        <v>φ12@25</v>
      </c>
      <c r="AB92" s="141"/>
    </row>
    <row r="93" spans="2:28" ht="15" thickBot="1" x14ac:dyDescent="0.35">
      <c r="P93" s="40"/>
      <c r="T93" s="40"/>
      <c r="U93" s="41"/>
    </row>
    <row r="94" spans="2:28" ht="15" thickBot="1" x14ac:dyDescent="0.35">
      <c r="B94" s="73" t="s">
        <v>43</v>
      </c>
      <c r="C94" s="74" t="s">
        <v>123</v>
      </c>
      <c r="D94" s="75" t="s">
        <v>128</v>
      </c>
      <c r="E94" s="74" t="s">
        <v>124</v>
      </c>
      <c r="F94" s="75" t="s">
        <v>128</v>
      </c>
      <c r="G94" s="74" t="s">
        <v>124</v>
      </c>
      <c r="H94" s="75" t="s">
        <v>125</v>
      </c>
      <c r="I94" s="74" t="s">
        <v>126</v>
      </c>
      <c r="J94" s="75" t="s">
        <v>138</v>
      </c>
      <c r="K94" s="74" t="s">
        <v>126</v>
      </c>
      <c r="L94" s="75" t="s">
        <v>129</v>
      </c>
      <c r="M94" s="74" t="s">
        <v>126</v>
      </c>
      <c r="N94" s="75" t="s">
        <v>130</v>
      </c>
      <c r="O94" s="74" t="s">
        <v>126</v>
      </c>
      <c r="P94" s="75" t="s">
        <v>126</v>
      </c>
      <c r="Q94" s="74" t="s">
        <v>127</v>
      </c>
      <c r="R94" s="75" t="s">
        <v>130</v>
      </c>
      <c r="S94" s="74" t="s">
        <v>127</v>
      </c>
      <c r="T94" s="75" t="s">
        <v>128</v>
      </c>
      <c r="U94" s="74" t="s">
        <v>128</v>
      </c>
      <c r="V94" s="75" t="s">
        <v>130</v>
      </c>
      <c r="W94" s="74" t="s">
        <v>128</v>
      </c>
      <c r="X94" s="75" t="s">
        <v>132</v>
      </c>
      <c r="Y94" s="74" t="s">
        <v>128</v>
      </c>
      <c r="Z94" s="75" t="s">
        <v>133</v>
      </c>
      <c r="AA94" s="74" t="s">
        <v>129</v>
      </c>
      <c r="AB94" s="75" t="s">
        <v>138</v>
      </c>
    </row>
    <row r="95" spans="2:28" x14ac:dyDescent="0.3">
      <c r="B95" s="105" t="s">
        <v>114</v>
      </c>
      <c r="C95" s="102" t="s">
        <v>108</v>
      </c>
      <c r="D95" s="103" t="s">
        <v>108</v>
      </c>
      <c r="E95" s="102" t="s">
        <v>108</v>
      </c>
      <c r="F95" s="103" t="s">
        <v>108</v>
      </c>
      <c r="G95" s="102" t="s">
        <v>109</v>
      </c>
      <c r="H95" s="103" t="s">
        <v>108</v>
      </c>
      <c r="I95" s="102" t="s">
        <v>109</v>
      </c>
      <c r="J95" s="103" t="s">
        <v>108</v>
      </c>
      <c r="K95" s="102" t="s">
        <v>108</v>
      </c>
      <c r="L95" s="103" t="s">
        <v>109</v>
      </c>
      <c r="M95" s="102" t="s">
        <v>108</v>
      </c>
      <c r="N95" s="103" t="s">
        <v>108</v>
      </c>
      <c r="O95" s="102" t="s">
        <v>109</v>
      </c>
      <c r="P95" s="103" t="s">
        <v>109</v>
      </c>
      <c r="Q95" s="102" t="s">
        <v>108</v>
      </c>
      <c r="R95" s="103" t="s">
        <v>108</v>
      </c>
      <c r="S95" s="102" t="s">
        <v>109</v>
      </c>
      <c r="T95" s="103" t="s">
        <v>109</v>
      </c>
      <c r="U95" s="102" t="s">
        <v>109</v>
      </c>
      <c r="V95" s="103" t="s">
        <v>109</v>
      </c>
      <c r="W95" s="102" t="s">
        <v>108</v>
      </c>
      <c r="X95" s="103" t="s">
        <v>108</v>
      </c>
      <c r="Y95" s="102" t="s">
        <v>108</v>
      </c>
      <c r="Z95" s="103" t="s">
        <v>108</v>
      </c>
      <c r="AA95" s="102" t="s">
        <v>108</v>
      </c>
      <c r="AB95" s="103" t="s">
        <v>108</v>
      </c>
    </row>
    <row r="96" spans="2:28" x14ac:dyDescent="0.3">
      <c r="B96" s="106" t="s">
        <v>110</v>
      </c>
      <c r="C96" s="104">
        <f t="shared" ref="C96:I96" si="31">HLOOKUP(C94,$B$38:$V$81,IF(C95="x",35,40),FALSE)</f>
        <v>3288.6382978723404</v>
      </c>
      <c r="D96" s="86">
        <f t="shared" si="31"/>
        <v>4341.0963414634152</v>
      </c>
      <c r="E96" s="104">
        <f t="shared" si="31"/>
        <v>3421.7893939393934</v>
      </c>
      <c r="F96" s="86">
        <f t="shared" si="31"/>
        <v>4341.0963414634152</v>
      </c>
      <c r="G96" s="104">
        <f t="shared" si="31"/>
        <v>2585.9324427480915</v>
      </c>
      <c r="H96" s="86">
        <f t="shared" si="31"/>
        <v>2418.4905063291139</v>
      </c>
      <c r="I96" s="104">
        <f t="shared" si="31"/>
        <v>1580.5938864628824</v>
      </c>
      <c r="J96" s="86">
        <f>HLOOKUP(J94,$B$38:$W$81,IF(J95="x",35,40),FALSE)</f>
        <v>296.53333333333336</v>
      </c>
      <c r="K96" s="104">
        <f t="shared" ref="K96:AA96" si="32">HLOOKUP(K94,$B$38:$V$81,IF(K95="x",35,40),FALSE)</f>
        <v>1925.2978723404258</v>
      </c>
      <c r="L96" s="86">
        <f t="shared" si="32"/>
        <v>422.23118279569894</v>
      </c>
      <c r="M96" s="104">
        <f t="shared" si="32"/>
        <v>1925.2978723404258</v>
      </c>
      <c r="N96" s="86">
        <f t="shared" si="32"/>
        <v>227.0333333333333</v>
      </c>
      <c r="O96" s="104">
        <f t="shared" si="32"/>
        <v>1580.5938864628824</v>
      </c>
      <c r="P96" s="86">
        <f t="shared" si="32"/>
        <v>1580.5938864628824</v>
      </c>
      <c r="Q96" s="104">
        <f t="shared" si="32"/>
        <v>2146.9148936170213</v>
      </c>
      <c r="R96" s="86">
        <f t="shared" si="32"/>
        <v>227.0333333333333</v>
      </c>
      <c r="S96" s="104">
        <f t="shared" si="32"/>
        <v>1762.5327510917032</v>
      </c>
      <c r="T96" s="86">
        <f t="shared" si="32"/>
        <v>3189.6944444444448</v>
      </c>
      <c r="U96" s="104">
        <f t="shared" si="32"/>
        <v>3189.6944444444448</v>
      </c>
      <c r="V96" s="86">
        <f t="shared" si="32"/>
        <v>155.67999999999998</v>
      </c>
      <c r="W96" s="104">
        <f t="shared" si="32"/>
        <v>4341.0963414634152</v>
      </c>
      <c r="X96" s="86">
        <f t="shared" si="32"/>
        <v>1428.5638297872338</v>
      </c>
      <c r="Y96" s="104">
        <f t="shared" si="32"/>
        <v>4341.0963414634152</v>
      </c>
      <c r="Z96" s="86">
        <f t="shared" si="32"/>
        <v>2172.8938709677423</v>
      </c>
      <c r="AA96" s="104">
        <f t="shared" si="32"/>
        <v>545.38194444444446</v>
      </c>
      <c r="AB96" s="86">
        <f>HLOOKUP(AB94,$B$38:$W$81,IF(AB95="x",35,40),FALSE)</f>
        <v>296.53333333333336</v>
      </c>
    </row>
    <row r="97" spans="2:28" x14ac:dyDescent="0.3">
      <c r="B97" s="106" t="s">
        <v>111</v>
      </c>
      <c r="C97" s="127">
        <f>(MAX(C96:D96)-MIN(C96:D96))/(MAX(C96:D96))</f>
        <v>0.24244060965398512</v>
      </c>
      <c r="D97" s="128"/>
      <c r="E97" s="127">
        <f>(MAX(E96:F96)-MIN(E96:F96))/(MAX(E96:F96))</f>
        <v>0.21176838181253466</v>
      </c>
      <c r="F97" s="128"/>
      <c r="G97" s="127">
        <f>(MAX(G96:H96)-MIN(G96:H96))/(MAX(G96:H96))</f>
        <v>6.4751086939083227E-2</v>
      </c>
      <c r="H97" s="128"/>
      <c r="I97" s="127">
        <f>(MAX(I96:J96)-MIN(I96:J96))/(MAX(I96:J96))</f>
        <v>0.81239119303635443</v>
      </c>
      <c r="J97" s="128"/>
      <c r="K97" s="127">
        <f>(MAX(K96:L96)-MIN(K96:L96))/(MAX(K96:L96))</f>
        <v>0.78069306113010595</v>
      </c>
      <c r="L97" s="128"/>
      <c r="M97" s="127">
        <f>(MAX(M96:N96)-MIN(M96:N96))/(MAX(M96:N96))</f>
        <v>0.88207885304659506</v>
      </c>
      <c r="N97" s="128"/>
      <c r="O97" s="127">
        <f>(MAX(O96:P96)-MIN(O96:P96))/(MAX(O96:P96))</f>
        <v>0</v>
      </c>
      <c r="P97" s="128"/>
      <c r="Q97" s="127">
        <f>(MAX(Q96:R96)-MIN(Q96:R96))/(MAX(Q96:R96))</f>
        <v>0.89425135853855942</v>
      </c>
      <c r="R97" s="128"/>
      <c r="S97" s="127">
        <f>(MAX(S96:T96)-MIN(S96:T96))/(MAX(S96:T96))</f>
        <v>0.44742896794972259</v>
      </c>
      <c r="T97" s="128"/>
      <c r="U97" s="127">
        <f>(MAX(U96:V96)-MIN(U96:V96))/(MAX(U96:V96))</f>
        <v>0.95119281714549464</v>
      </c>
      <c r="V97" s="128"/>
      <c r="W97" s="127">
        <f>(MAX(W96:X96)-MIN(W96:X96))/(MAX(W96:X96))</f>
        <v>0.67092095696138032</v>
      </c>
      <c r="X97" s="128"/>
      <c r="Y97" s="127">
        <f>(MAX(Y96:Z96)-MIN(Y96:Z96))/(MAX(Y96:Z96))</f>
        <v>0.49945965257356073</v>
      </c>
      <c r="Z97" s="128"/>
      <c r="AA97" s="127">
        <f>(MAX(AA96:AB96)-MIN(AA96:AB96))/(MAX(AA96:AB96))</f>
        <v>0.45628318584070793</v>
      </c>
      <c r="AB97" s="128"/>
    </row>
    <row r="98" spans="2:28" x14ac:dyDescent="0.3">
      <c r="B98" s="106" t="s">
        <v>112</v>
      </c>
      <c r="C98" s="129">
        <f>IF(C97&lt;25%,(C96*0.5+D96*0.5)*0.9,IF(C97&lt;50%,(MAX(C96:D96)*0.6+MIN(C96:D96)*0.4)*0.9,IF(C97&lt;70%,(MAX(C96:D96)*0.65+MIN(C96:D96)*0.35)*0.9,IF(C97&lt;100%,(MAX(C96:D96)*0.7+MIN(C96:D96)*0.3)*0.9,0.7*MAX(C96:D96)))))</f>
        <v>3433.38058770109</v>
      </c>
      <c r="D98" s="130"/>
      <c r="E98" s="129">
        <f>IF(E97&lt;25%,(E96*0.5+F96*0.5)*0.9,IF(E97&lt;50%,(MAX(E96:F96)*0.6+MIN(E96:F96)*0.4)*0.9,IF(E97&lt;70%,(MAX(E96:F96)*0.65+MIN(E96:F96)*0.35)*0.9,IF(E97&lt;100%,(MAX(E96:F96)*0.7+MIN(E96:F96)*0.3)*0.9,0.7*MAX(E96:F96)))))</f>
        <v>3493.298580931264</v>
      </c>
      <c r="F98" s="130"/>
      <c r="G98" s="129">
        <f>IF(G97&lt;25%,(G96*0.5+H96*0.5)*0.9,IF(G97&lt;50%,(MAX(G96:H96)*0.6+MIN(G96:H96)*0.4)*0.9,IF(G97&lt;70%,(MAX(G96:H96)*0.65+MIN(G96:H96)*0.35)*0.9,IF(G97&lt;100%,(MAX(G96:H96)*0.7+MIN(G96:H96)*0.3)*0.9,0.7*MAX(G96:H96)))))</f>
        <v>2251.9903270847421</v>
      </c>
      <c r="H98" s="130"/>
      <c r="I98" s="129">
        <f>IF(I97&lt;25%,(I96*0.5+J96*0.5)*0.9,IF(I97&lt;50%,(MAX(I96:J96)*0.6+MIN(I96:J96)*0.4)*0.9,IF(I97&lt;70%,(MAX(I96:J96)*0.65+MIN(I96:J96)*0.35)*0.9,IF(I97&lt;100%,(MAX(I96:J96)*0.7+MIN(I96:J96)*0.3)*0.9,0.7*MAX(I96:J96)))))</f>
        <v>1075.838148471616</v>
      </c>
      <c r="J98" s="130"/>
      <c r="K98" s="129">
        <f>IF(K97&lt;25%,(K96*0.5+L96*0.5)*0.9,IF(K97&lt;50%,(MAX(K96:L96)*0.6+MIN(K96:L96)*0.4)*0.9,IF(K97&lt;70%,(MAX(K96:L96)*0.65+MIN(K96:L96)*0.35)*0.9,IF(K97&lt;100%,(MAX(K96:L96)*0.7+MIN(K96:L96)*0.3)*0.9,0.7*MAX(K96:L96)))))</f>
        <v>1326.940078929307</v>
      </c>
      <c r="L98" s="130"/>
      <c r="M98" s="129">
        <f>IF(M97&lt;25%,(M96*0.5+N96*0.5)*0.9,IF(M97&lt;50%,(MAX(M96:N96)*0.6+MIN(M96:N96)*0.4)*0.9,IF(M97&lt;70%,(MAX(M96:N96)*0.65+MIN(M96:N96)*0.35)*0.9,IF(M97&lt;100%,(MAX(M96:N96)*0.7+MIN(M96:N96)*0.3)*0.9,0.7*MAX(M96:N96)))))</f>
        <v>1274.2366595744679</v>
      </c>
      <c r="N98" s="130"/>
      <c r="O98" s="129">
        <f>IF(O97&lt;25%,(O96*0.5+P96*0.5)*0.9,IF(O97&lt;50%,(MAX(O96:P96)*0.6+MIN(O96:P96)*0.4)*0.9,IF(O97&lt;70%,(MAX(O96:P96)*0.65+MIN(O96:P96)*0.35)*0.9,IF(O97&lt;100%,(MAX(O96:P96)*0.7+MIN(O96:P96)*0.3)*0.9,0.7*MAX(O96:P96)))))</f>
        <v>1422.5344978165942</v>
      </c>
      <c r="P98" s="130"/>
      <c r="Q98" s="129">
        <f>IF(Q97&lt;25%,(Q96*0.5+R96*0.5)*0.9,IF(Q97&lt;50%,(MAX(Q96:R96)*0.6+MIN(Q96:R96)*0.4)*0.9,IF(Q97&lt;70%,(MAX(Q96:R96)*0.65+MIN(Q96:R96)*0.35)*0.9,IF(Q97&lt;100%,(MAX(Q96:R96)*0.7+MIN(Q96:R96)*0.3)*0.9,0.7*MAX(Q96:R96)))))</f>
        <v>1413.8553829787234</v>
      </c>
      <c r="R98" s="130"/>
      <c r="S98" s="129">
        <f>IF(S97&lt;25%,(S96*0.5+T96*0.5)*0.9,IF(S97&lt;50%,(MAX(S96:T96)*0.6+MIN(S96:T96)*0.4)*0.9,IF(S97&lt;70%,(MAX(S96:T96)*0.65+MIN(S96:T96)*0.35)*0.9,IF(S97&lt;100%,(MAX(S96:T96)*0.7+MIN(S96:T96)*0.3)*0.9,0.7*MAX(S96:T96)))))</f>
        <v>2356.9467903930131</v>
      </c>
      <c r="T98" s="130"/>
      <c r="U98" s="129">
        <f>IF(U97&lt;25%,(U96*0.5+V96*0.5)*0.9,IF(U97&lt;50%,(MAX(U96:V96)*0.6+MIN(U96:V96)*0.4)*0.9,IF(U97&lt;70%,(MAX(U96:V96)*0.65+MIN(U96:V96)*0.35)*0.9,IF(U97&lt;100%,(MAX(U96:V96)*0.7+MIN(U96:V96)*0.3)*0.9,0.7*MAX(U96:V96)))))</f>
        <v>2051.5411000000004</v>
      </c>
      <c r="V98" s="130"/>
      <c r="W98" s="129">
        <f>IF(W97&lt;25%,(W96*0.5+X96*0.5)*0.9,IF(W97&lt;50%,(MAX(W96:X96)*0.6+MIN(W96:X96)*0.4)*0.9,IF(W97&lt;70%,(MAX(W96:X96)*0.65+MIN(W96:X96)*0.35)*0.9,IF(W97&lt;100%,(MAX(W96:X96)*0.7+MIN(W96:X96)*0.3)*0.9,0.7*MAX(W96:X96)))))</f>
        <v>2989.5389661390768</v>
      </c>
      <c r="X98" s="130"/>
      <c r="Y98" s="129">
        <f>IF(Y97&lt;25%,(Y96*0.5+Z96*0.5)*0.9,IF(Y97&lt;50%,(MAX(Y96:Z96)*0.6+MIN(Y96:Z96)*0.4)*0.9,IF(Y97&lt;70%,(MAX(Y96:Z96)*0.65+MIN(Y96:Z96)*0.35)*0.9,IF(Y97&lt;100%,(MAX(Y96:Z96)*0.7+MIN(Y96:Z96)*0.3)*0.9,0.7*MAX(Y96:Z96)))))</f>
        <v>3126.4338179386314</v>
      </c>
      <c r="Z98" s="130"/>
      <c r="AA98" s="129">
        <f>IF(AA97&lt;25%,(AA96*0.5+AB96*0.5)*0.9,IF(AA97&lt;50%,(MAX(AA96:AB96)*0.6+MIN(AA96:AB96)*0.4)*0.9,IF(AA97&lt;70%,(MAX(AA96:AB96)*0.65+MIN(AA96:AB96)*0.35)*0.9,IF(AA97&lt;100%,(MAX(AA96:AB96)*0.7+MIN(AA96:AB96)*0.3)*0.9,0.7*MAX(AA96:AB96)))))</f>
        <v>401.25825000000003</v>
      </c>
      <c r="AB98" s="130"/>
    </row>
    <row r="99" spans="2:28" x14ac:dyDescent="0.3">
      <c r="B99" s="107" t="s">
        <v>15</v>
      </c>
      <c r="C99" s="131">
        <f>C98/(0.9*(0.9*($C$7/100))*($L$9*1000))</f>
        <v>7.0740011119787063</v>
      </c>
      <c r="D99" s="132"/>
      <c r="E99" s="131">
        <f>E98/(0.9*(0.9*($C$7/100))*($L$9*1000))</f>
        <v>7.1974537674332506</v>
      </c>
      <c r="F99" s="132"/>
      <c r="G99" s="131">
        <f>G98/(0.9*(0.9*($C$7/100))*($L$9*1000))</f>
        <v>4.6399115015179531</v>
      </c>
      <c r="H99" s="132"/>
      <c r="I99" s="131">
        <f>I98/(0.9*(0.9*($C$7/100))*($L$9*1000))</f>
        <v>2.2166142273476068</v>
      </c>
      <c r="J99" s="132"/>
      <c r="K99" s="131">
        <f>K98/(0.9*(0.9*($C$7/100))*($L$9*1000))</f>
        <v>2.7339746800864253</v>
      </c>
      <c r="L99" s="132"/>
      <c r="M99" s="131">
        <f>M98/(0.9*(0.9*($C$7/100))*($L$9*1000))</f>
        <v>2.625386646340115</v>
      </c>
      <c r="N99" s="132"/>
      <c r="O99" s="131">
        <f>O98/(0.9*(0.9*($C$7/100))*($L$9*1000))</f>
        <v>2.9309336271749036</v>
      </c>
      <c r="P99" s="132"/>
      <c r="Q99" s="131">
        <f>Q98/(0.9*(0.9*($C$7/100))*($L$9*1000))</f>
        <v>2.9130515233865792</v>
      </c>
      <c r="R99" s="132"/>
      <c r="S99" s="131">
        <f>S98/(0.9*(0.9*($C$7/100))*($L$9*1000))</f>
        <v>4.8561596334062953</v>
      </c>
      <c r="T99" s="132"/>
      <c r="U99" s="131">
        <f>U98/(0.9*(0.9*($C$7/100))*($L$9*1000))</f>
        <v>4.2269138686973573</v>
      </c>
      <c r="V99" s="132"/>
      <c r="W99" s="131">
        <f>W98/(0.9*(0.9*($C$7/100))*($L$9*1000))</f>
        <v>6.1595274484066733</v>
      </c>
      <c r="X99" s="132"/>
      <c r="Y99" s="131">
        <f>Y98/(0.9*(0.9*($C$7/100))*($L$9*1000))</f>
        <v>6.4415801684934451</v>
      </c>
      <c r="Z99" s="132"/>
      <c r="AA99" s="131">
        <f>AA98/(0.9*(0.9*($C$7/100))*($L$9*1000))</f>
        <v>0.82673657469218198</v>
      </c>
      <c r="AB99" s="132"/>
    </row>
    <row r="100" spans="2:28" x14ac:dyDescent="0.3">
      <c r="B100" s="107" t="s">
        <v>98</v>
      </c>
      <c r="C100" s="133">
        <f>(C99*($L$9))/(0.85*$L$6*100)</f>
        <v>9.9775003325980785E-2</v>
      </c>
      <c r="D100" s="134"/>
      <c r="E100" s="133">
        <f>(E99*($L$9))/(0.85*$L$6*100)</f>
        <v>0.10151623702295046</v>
      </c>
      <c r="F100" s="134"/>
      <c r="G100" s="133">
        <f>(G99*($L$9))/(0.85*$L$6*100)</f>
        <v>6.5443470840325729E-2</v>
      </c>
      <c r="H100" s="134"/>
      <c r="I100" s="133">
        <f>(I99*($L$9))/(0.85*$L$6*100)</f>
        <v>3.1264158487552339E-2</v>
      </c>
      <c r="J100" s="134"/>
      <c r="K100" s="133">
        <f>(K99*($L$9))/(0.85*$L$6*100)</f>
        <v>3.8561251048838036E-2</v>
      </c>
      <c r="L100" s="134"/>
      <c r="M100" s="133">
        <f>(M99*($L$9))/(0.85*$L$6*100)</f>
        <v>3.7029674893180729E-2</v>
      </c>
      <c r="N100" s="134"/>
      <c r="O100" s="133">
        <f>(O99*($L$9))/(0.85*$L$6*100)</f>
        <v>4.1339251686632356E-2</v>
      </c>
      <c r="P100" s="134"/>
      <c r="Q100" s="133">
        <f>(Q99*($L$9))/(0.85*$L$6*100)</f>
        <v>4.1087034173981081E-2</v>
      </c>
      <c r="R100" s="134"/>
      <c r="S100" s="133">
        <f>(S99*($L$9))/(0.85*$L$6*100)</f>
        <v>6.8493535116094725E-2</v>
      </c>
      <c r="T100" s="134"/>
      <c r="U100" s="133">
        <f>(U99*($L$9))/(0.85*$L$6*100)</f>
        <v>5.9618360052808343E-2</v>
      </c>
      <c r="V100" s="134"/>
      <c r="W100" s="133">
        <f>(W99*($L$9))/(0.85*$L$6*100)</f>
        <v>8.6876841256156093E-2</v>
      </c>
      <c r="X100" s="134"/>
      <c r="Y100" s="133">
        <f>(Y99*($L$9))/(0.85*$L$6*100)</f>
        <v>9.0855044063773108E-2</v>
      </c>
      <c r="Z100" s="134"/>
      <c r="AA100" s="133">
        <f>(AA99*($L$9))/(0.85*$L$6*100)</f>
        <v>1.1660677342832555E-2</v>
      </c>
      <c r="AB100" s="134"/>
    </row>
    <row r="101" spans="2:28" ht="15" thickBot="1" x14ac:dyDescent="0.35">
      <c r="B101" s="108" t="s">
        <v>15</v>
      </c>
      <c r="C101" s="135">
        <f>ROUNDUP(C98/(0.9*(($C$7-C100/2)/100)*($L$9*1000)),2)</f>
        <v>6.39</v>
      </c>
      <c r="D101" s="136"/>
      <c r="E101" s="135">
        <f>ROUNDUP(E98/(0.9*(($C$7-E100/2)/100)*($L$9*1000)),2)</f>
        <v>6.51</v>
      </c>
      <c r="F101" s="136"/>
      <c r="G101" s="135">
        <f>ROUNDUP(G98/(0.9*(($C$7-G100/2)/100)*($L$9*1000)),2)</f>
        <v>4.1899999999999995</v>
      </c>
      <c r="H101" s="136"/>
      <c r="I101" s="135">
        <f>ROUNDUP(I98/(0.9*(($C$7-I100/2)/100)*($L$9*1000)),2)</f>
        <v>2</v>
      </c>
      <c r="J101" s="136"/>
      <c r="K101" s="135">
        <f>ROUNDUP(K98/(0.9*(($C$7-K100/2)/100)*($L$9*1000)),2)</f>
        <v>2.4699999999999998</v>
      </c>
      <c r="L101" s="136"/>
      <c r="M101" s="135">
        <f>ROUNDUP(M98/(0.9*(($C$7-M100/2)/100)*($L$9*1000)),2)</f>
        <v>2.3699999999999997</v>
      </c>
      <c r="N101" s="136"/>
      <c r="O101" s="135">
        <f>ROUNDUP(O98/(0.9*(($C$7-O100/2)/100)*($L$9*1000)),2)</f>
        <v>2.65</v>
      </c>
      <c r="P101" s="136"/>
      <c r="Q101" s="135">
        <f>ROUNDUP(Q98/(0.9*(($C$7-Q100/2)/100)*($L$9*1000)),2)</f>
        <v>2.63</v>
      </c>
      <c r="R101" s="136"/>
      <c r="S101" s="135">
        <f>ROUNDUP(S98/(0.9*(($C$7-S100/2)/100)*($L$9*1000)),2)</f>
        <v>4.3899999999999997</v>
      </c>
      <c r="T101" s="136"/>
      <c r="U101" s="135">
        <f>ROUNDUP(U98/(0.9*(($C$7-U100/2)/100)*($L$9*1000)),2)</f>
        <v>3.82</v>
      </c>
      <c r="V101" s="136"/>
      <c r="W101" s="135">
        <f>ROUNDUP(W98/(0.9*(($C$7-W100/2)/100)*($L$9*1000)),2)</f>
        <v>5.5699999999999994</v>
      </c>
      <c r="X101" s="136"/>
      <c r="Y101" s="135">
        <f>ROUNDUP(Y98/(0.9*(($C$7-Y100/2)/100)*($L$9*1000)),2)</f>
        <v>5.8199999999999994</v>
      </c>
      <c r="Z101" s="136"/>
      <c r="AA101" s="135">
        <f>ROUNDUP(AA98/(0.9*(($C$7-AA100/2)/100)*($L$9*1000)),2)</f>
        <v>0.75</v>
      </c>
      <c r="AB101" s="136"/>
    </row>
    <row r="102" spans="2:28" ht="16.2" thickBot="1" x14ac:dyDescent="0.35">
      <c r="B102" s="61" t="s">
        <v>113</v>
      </c>
      <c r="C102" s="140" t="str">
        <f>IF(C101&gt;$C$12,"φ"&amp;IF(VLOOKUP(VLOOKUP(C101,tablas!$R$3:$T$66,2,TRUE)&amp;VLOOKUP(C101,tablas!$R$3:$T$66,3,TRUE),tablas!$Q$3:$R$66,2,FALSE)&lt;C101,VLOOKUP(C101+0.1,tablas!$R$3:$T$66,2,TRUE),VLOOKUP(C101,tablas!$R$3:$T$66,2,TRUE))&amp;"@"&amp;IF(VLOOKUP(VLOOKUP(C101,tablas!$R$3:$T$66,2,TRUE)&amp;VLOOKUP(C101,tablas!$R$3:$T$66,3,TRUE),tablas!$Q$3:$R$66,2,FALSE)&lt;C101,VLOOKUP(C101+0.1,tablas!$R$3:$T$66,3,TRUE),VLOOKUP(C101,tablas!$R$3:$T$66,3,TRUE)),$C$13)</f>
        <v>φ12@18</v>
      </c>
      <c r="D102" s="141"/>
      <c r="E102" s="140" t="str">
        <f>IF(E101&gt;$C$12,"φ"&amp;IF(VLOOKUP(VLOOKUP(E101,tablas!$R$3:$T$66,2,TRUE)&amp;VLOOKUP(E101,tablas!$R$3:$T$66,3,TRUE),tablas!$Q$3:$R$66,2,FALSE)&lt;E101,VLOOKUP(E101+0.1,tablas!$R$3:$T$66,2,TRUE),VLOOKUP(E101,tablas!$R$3:$T$66,2,TRUE))&amp;"@"&amp;IF(VLOOKUP(VLOOKUP(E101,tablas!$R$3:$T$66,2,TRUE)&amp;VLOOKUP(E101,tablas!$R$3:$T$66,3,TRUE),tablas!$Q$3:$R$66,2,FALSE)&lt;E101,VLOOKUP(E101+0.1,tablas!$R$3:$T$66,3,TRUE),VLOOKUP(E101,tablas!$R$3:$T$66,3,TRUE)),$C$13)</f>
        <v>φ10@12</v>
      </c>
      <c r="F102" s="141"/>
      <c r="G102" s="140" t="str">
        <f>IF(G101&gt;$C$12,"φ"&amp;IF(VLOOKUP(VLOOKUP(G101,tablas!$R$3:$T$66,2,TRUE)&amp;VLOOKUP(G101,tablas!$R$3:$T$66,3,TRUE),tablas!$Q$3:$R$66,2,FALSE)&lt;G101,VLOOKUP(G101+0.1,tablas!$R$3:$T$66,2,TRUE),VLOOKUP(G101,tablas!$R$3:$T$66,2,TRUE))&amp;"@"&amp;IF(VLOOKUP(VLOOKUP(G101,tablas!$R$3:$T$66,2,TRUE)&amp;VLOOKUP(G101,tablas!$R$3:$T$66,3,TRUE),tablas!$Q$3:$R$66,2,FALSE)&lt;G101,VLOOKUP(G101+0.1,tablas!$R$3:$T$66,3,TRUE),VLOOKUP(G101,tablas!$R$3:$T$66,3,TRUE)),$C$13)</f>
        <v>φ8@12</v>
      </c>
      <c r="H102" s="141"/>
      <c r="I102" s="140" t="str">
        <f>IF(I101&gt;$C$12,"φ"&amp;IF(VLOOKUP(VLOOKUP(I101,tablas!$R$3:$T$66,2,TRUE)&amp;VLOOKUP(I101,tablas!$R$3:$T$66,3,TRUE),tablas!$Q$3:$R$66,2,FALSE)&lt;I101,VLOOKUP(I101+0.1,tablas!$R$3:$T$66,2,TRUE),VLOOKUP(I101,tablas!$R$3:$T$66,2,TRUE))&amp;"@"&amp;IF(VLOOKUP(VLOOKUP(I101,tablas!$R$3:$T$66,2,TRUE)&amp;VLOOKUP(I101,tablas!$R$3:$T$66,3,TRUE),tablas!$Q$3:$R$66,2,FALSE)&lt;I101,VLOOKUP(I101+0.1,tablas!$R$3:$T$66,3,TRUE),VLOOKUP(I101,tablas!$R$3:$T$66,3,TRUE)),$C$13)</f>
        <v>φ8@17</v>
      </c>
      <c r="J102" s="141"/>
      <c r="K102" s="140" t="str">
        <f>IF(K101&gt;$C$12,"φ"&amp;IF(VLOOKUP(VLOOKUP(K101,tablas!$R$3:$T$66,2,TRUE)&amp;VLOOKUP(K101,tablas!$R$3:$T$66,3,TRUE),tablas!$Q$3:$R$66,2,FALSE)&lt;K101,VLOOKUP(K101+0.1,tablas!$R$3:$T$66,2,TRUE),VLOOKUP(K101,tablas!$R$3:$T$66,2,TRUE))&amp;"@"&amp;IF(VLOOKUP(VLOOKUP(K101,tablas!$R$3:$T$66,2,TRUE)&amp;VLOOKUP(K101,tablas!$R$3:$T$66,3,TRUE),tablas!$Q$3:$R$66,2,FALSE)&lt;K101,VLOOKUP(K101+0.1,tablas!$R$3:$T$66,3,TRUE),VLOOKUP(K101,tablas!$R$3:$T$66,3,TRUE)),$C$13)</f>
        <v>φ8@17</v>
      </c>
      <c r="L102" s="141"/>
      <c r="M102" s="140" t="str">
        <f>IF(M101&gt;$C$12,"φ"&amp;IF(VLOOKUP(VLOOKUP(M101,tablas!$R$3:$T$66,2,TRUE)&amp;VLOOKUP(M101,tablas!$R$3:$T$66,3,TRUE),tablas!$Q$3:$R$66,2,FALSE)&lt;M101,VLOOKUP(M101+0.1,tablas!$R$3:$T$66,2,TRUE),VLOOKUP(M101,tablas!$R$3:$T$66,2,TRUE))&amp;"@"&amp;IF(VLOOKUP(VLOOKUP(M101,tablas!$R$3:$T$66,2,TRUE)&amp;VLOOKUP(M101,tablas!$R$3:$T$66,3,TRUE),tablas!$Q$3:$R$66,2,FALSE)&lt;M101,VLOOKUP(M101+0.1,tablas!$R$3:$T$66,3,TRUE),VLOOKUP(M101,tablas!$R$3:$T$66,3,TRUE)),$C$13)</f>
        <v>φ8@17</v>
      </c>
      <c r="N102" s="141"/>
      <c r="O102" s="140" t="str">
        <f>IF(O101&gt;$C$12,"φ"&amp;IF(VLOOKUP(VLOOKUP(O101,tablas!$R$3:$T$66,2,TRUE)&amp;VLOOKUP(O101,tablas!$R$3:$T$66,3,TRUE),tablas!$Q$3:$R$66,2,FALSE)&lt;O101,VLOOKUP(O101+0.1,tablas!$R$3:$T$66,2,TRUE),VLOOKUP(O101,tablas!$R$3:$T$66,2,TRUE))&amp;"@"&amp;IF(VLOOKUP(VLOOKUP(O101,tablas!$R$3:$T$66,2,TRUE)&amp;VLOOKUP(O101,tablas!$R$3:$T$66,3,TRUE),tablas!$Q$3:$R$66,2,FALSE)&lt;O101,VLOOKUP(O101+0.1,tablas!$R$3:$T$66,3,TRUE),VLOOKUP(O101,tablas!$R$3:$T$66,3,TRUE)),$C$13)</f>
        <v>φ8@17</v>
      </c>
      <c r="P102" s="141"/>
      <c r="Q102" s="140" t="str">
        <f>IF(Q101&gt;$C$12,"φ"&amp;IF(VLOOKUP(VLOOKUP(Q101,tablas!$R$3:$T$66,2,TRUE)&amp;VLOOKUP(Q101,tablas!$R$3:$T$66,3,TRUE),tablas!$Q$3:$R$66,2,FALSE)&lt;Q101,VLOOKUP(Q101+0.1,tablas!$R$3:$T$66,2,TRUE),VLOOKUP(Q101,tablas!$R$3:$T$66,2,TRUE))&amp;"@"&amp;IF(VLOOKUP(VLOOKUP(Q101,tablas!$R$3:$T$66,2,TRUE)&amp;VLOOKUP(Q101,tablas!$R$3:$T$66,3,TRUE),tablas!$Q$3:$R$66,2,FALSE)&lt;Q101,VLOOKUP(Q101+0.1,tablas!$R$3:$T$66,3,TRUE),VLOOKUP(Q101,tablas!$R$3:$T$66,3,TRUE)),$C$13)</f>
        <v>φ8@17</v>
      </c>
      <c r="R102" s="141"/>
      <c r="S102" s="140" t="str">
        <f>IF(S101&gt;$C$12,"φ"&amp;IF(VLOOKUP(VLOOKUP(S101,tablas!$R$3:$T$66,2,TRUE)&amp;VLOOKUP(S101,tablas!$R$3:$T$66,3,TRUE),tablas!$Q$3:$R$66,2,FALSE)&lt;S101,VLOOKUP(S101+0.1,tablas!$R$3:$T$66,2,TRUE),VLOOKUP(S101,tablas!$R$3:$T$66,2,TRUE))&amp;"@"&amp;IF(VLOOKUP(VLOOKUP(S101,tablas!$R$3:$T$66,2,TRUE)&amp;VLOOKUP(S101,tablas!$R$3:$T$66,3,TRUE),tablas!$Q$3:$R$66,2,FALSE)&lt;S101,VLOOKUP(S101+0.1,tablas!$R$3:$T$66,3,TRUE),VLOOKUP(S101,tablas!$R$3:$T$66,3,TRUE)),$C$13)</f>
        <v>φ10@18</v>
      </c>
      <c r="T102" s="141"/>
      <c r="U102" s="140" t="str">
        <f>IF(U101&gt;$C$12,"φ"&amp;IF(VLOOKUP(VLOOKUP(U101,tablas!$R$3:$T$66,2,TRUE)&amp;VLOOKUP(U101,tablas!$R$3:$T$66,3,TRUE),tablas!$Q$3:$R$66,2,FALSE)&lt;U101,VLOOKUP(U101+0.1,tablas!$R$3:$T$66,2,TRUE),VLOOKUP(U101,tablas!$R$3:$T$66,2,TRUE))&amp;"@"&amp;IF(VLOOKUP(VLOOKUP(U101,tablas!$R$3:$T$66,2,TRUE)&amp;VLOOKUP(U101,tablas!$R$3:$T$66,3,TRUE),tablas!$Q$3:$R$66,2,FALSE)&lt;U101,VLOOKUP(U101+0.1,tablas!$R$3:$T$66,3,TRUE),VLOOKUP(U101,tablas!$R$3:$T$66,3,TRUE)),$C$13)</f>
        <v>φ8@13</v>
      </c>
      <c r="V102" s="141"/>
      <c r="W102" s="140" t="str">
        <f>IF(W101&gt;$C$12,"φ"&amp;IF(VLOOKUP(VLOOKUP(W101,tablas!$R$3:$T$66,2,TRUE)&amp;VLOOKUP(W101,tablas!$R$3:$T$66,3,TRUE),tablas!$Q$3:$R$66,2,FALSE)&lt;W101,VLOOKUP(W101+0.1,tablas!$R$3:$T$66,2,TRUE),VLOOKUP(W101,tablas!$R$3:$T$66,2,TRUE))&amp;"@"&amp;IF(VLOOKUP(VLOOKUP(W101,tablas!$R$3:$T$66,2,TRUE)&amp;VLOOKUP(W101,tablas!$R$3:$T$66,3,TRUE),tablas!$Q$3:$R$66,2,FALSE)&lt;W101,VLOOKUP(W101+0.1,tablas!$R$3:$T$66,3,TRUE),VLOOKUP(W101,tablas!$R$3:$T$66,3,TRUE)),$C$13)</f>
        <v>φ12@20</v>
      </c>
      <c r="X102" s="141"/>
      <c r="Y102" s="140" t="str">
        <f>IF(Y101&gt;$C$12,"φ"&amp;IF(VLOOKUP(VLOOKUP(Y101,tablas!$R$3:$T$66,2,TRUE)&amp;VLOOKUP(Y101,tablas!$R$3:$T$66,3,TRUE),tablas!$Q$3:$R$66,2,FALSE)&lt;Y101,VLOOKUP(Y101+0.1,tablas!$R$3:$T$66,2,TRUE),VLOOKUP(Y101,tablas!$R$3:$T$66,2,TRUE))&amp;"@"&amp;IF(VLOOKUP(VLOOKUP(Y101,tablas!$R$3:$T$66,2,TRUE)&amp;VLOOKUP(Y101,tablas!$R$3:$T$66,3,TRUE),tablas!$Q$3:$R$66,2,FALSE)&lt;Y101,VLOOKUP(Y101+0.1,tablas!$R$3:$T$66,3,TRUE),VLOOKUP(Y101,tablas!$R$3:$T$66,3,TRUE)),$C$13)</f>
        <v>φ12@20</v>
      </c>
      <c r="Z102" s="141"/>
      <c r="AA102" s="140" t="str">
        <f>IF(AA101&gt;$C$12,"φ"&amp;IF(VLOOKUP(VLOOKUP(AA101,tablas!$R$3:$T$66,2,TRUE)&amp;VLOOKUP(AA101,tablas!$R$3:$T$66,3,TRUE),tablas!$Q$3:$R$66,2,FALSE)&lt;AA101,VLOOKUP(AA101+0.1,tablas!$R$3:$T$66,2,TRUE),VLOOKUP(AA101,tablas!$R$3:$T$66,2,TRUE))&amp;"@"&amp;IF(VLOOKUP(VLOOKUP(AA101,tablas!$R$3:$T$66,2,TRUE)&amp;VLOOKUP(AA101,tablas!$R$3:$T$66,3,TRUE),tablas!$Q$3:$R$66,2,FALSE)&lt;AA101,VLOOKUP(AA101+0.1,tablas!$R$3:$T$66,3,TRUE),VLOOKUP(AA101,tablas!$R$3:$T$66,3,TRUE)),$C$13)</f>
        <v>φ8@17</v>
      </c>
      <c r="AB102" s="141"/>
    </row>
    <row r="103" spans="2:28" ht="15" thickBot="1" x14ac:dyDescent="0.35">
      <c r="P103" s="40"/>
      <c r="T103" s="40"/>
      <c r="U103" s="41"/>
    </row>
    <row r="104" spans="2:28" ht="15" thickBot="1" x14ac:dyDescent="0.35">
      <c r="B104" s="73" t="s">
        <v>43</v>
      </c>
      <c r="C104" s="74" t="s">
        <v>129</v>
      </c>
      <c r="D104" s="75" t="s">
        <v>130</v>
      </c>
      <c r="E104" s="74" t="s">
        <v>129</v>
      </c>
      <c r="F104" s="75" t="s">
        <v>135</v>
      </c>
      <c r="G104" s="74" t="s">
        <v>130</v>
      </c>
      <c r="H104" s="75" t="s">
        <v>135</v>
      </c>
      <c r="I104" s="74" t="s">
        <v>130</v>
      </c>
      <c r="J104" s="75" t="s">
        <v>131</v>
      </c>
      <c r="K104" s="74" t="s">
        <v>130</v>
      </c>
      <c r="L104" s="75" t="s">
        <v>132</v>
      </c>
      <c r="M104" s="74" t="s">
        <v>131</v>
      </c>
      <c r="N104" s="75" t="s">
        <v>136</v>
      </c>
      <c r="O104" s="74" t="s">
        <v>131</v>
      </c>
      <c r="P104" s="75" t="s">
        <v>132</v>
      </c>
      <c r="Q104" s="74" t="s">
        <v>132</v>
      </c>
      <c r="R104" s="75" t="s">
        <v>134</v>
      </c>
      <c r="S104" s="74" t="s">
        <v>132</v>
      </c>
      <c r="T104" s="75" t="s">
        <v>133</v>
      </c>
      <c r="U104" s="74" t="s">
        <v>133</v>
      </c>
      <c r="V104" s="75" t="s">
        <v>134</v>
      </c>
      <c r="W104" s="74" t="s">
        <v>135</v>
      </c>
      <c r="X104" s="75" t="s">
        <v>136</v>
      </c>
    </row>
    <row r="105" spans="2:28" x14ac:dyDescent="0.3">
      <c r="B105" s="105" t="s">
        <v>114</v>
      </c>
      <c r="C105" s="102" t="s">
        <v>108</v>
      </c>
      <c r="D105" s="103" t="s">
        <v>109</v>
      </c>
      <c r="E105" s="102" t="s">
        <v>108</v>
      </c>
      <c r="F105" s="103" t="s">
        <v>108</v>
      </c>
      <c r="G105" s="102" t="s">
        <v>108</v>
      </c>
      <c r="H105" s="103" t="s">
        <v>109</v>
      </c>
      <c r="I105" s="102" t="s">
        <v>108</v>
      </c>
      <c r="J105" s="103" t="s">
        <v>109</v>
      </c>
      <c r="K105" s="102" t="s">
        <v>108</v>
      </c>
      <c r="L105" s="103" t="s">
        <v>108</v>
      </c>
      <c r="M105" s="102" t="s">
        <v>108</v>
      </c>
      <c r="N105" s="103" t="s">
        <v>109</v>
      </c>
      <c r="O105" s="102" t="s">
        <v>108</v>
      </c>
      <c r="P105" s="103" t="s">
        <v>109</v>
      </c>
      <c r="Q105" s="102" t="s">
        <v>108</v>
      </c>
      <c r="R105" s="103" t="s">
        <v>108</v>
      </c>
      <c r="S105" s="102" t="s">
        <v>109</v>
      </c>
      <c r="T105" s="103" t="s">
        <v>109</v>
      </c>
      <c r="U105" s="102" t="s">
        <v>108</v>
      </c>
      <c r="V105" s="103" t="s">
        <v>108</v>
      </c>
      <c r="W105" s="102" t="s">
        <v>109</v>
      </c>
      <c r="X105" s="103" t="s">
        <v>108</v>
      </c>
    </row>
    <row r="106" spans="2:28" x14ac:dyDescent="0.3">
      <c r="B106" s="106" t="s">
        <v>110</v>
      </c>
      <c r="C106" s="104">
        <f t="shared" ref="C106:X106" si="33">HLOOKUP(C104,$B$38:$V$81,IF(C105="x",35,40),FALSE)</f>
        <v>545.38194444444446</v>
      </c>
      <c r="D106" s="86">
        <f t="shared" si="33"/>
        <v>155.67999999999998</v>
      </c>
      <c r="E106" s="104">
        <f t="shared" si="33"/>
        <v>545.38194444444446</v>
      </c>
      <c r="F106" s="86">
        <f t="shared" si="33"/>
        <v>670.04318181818178</v>
      </c>
      <c r="G106" s="104">
        <f t="shared" si="33"/>
        <v>227.0333333333333</v>
      </c>
      <c r="H106" s="86">
        <f t="shared" si="33"/>
        <v>479.38048780487804</v>
      </c>
      <c r="I106" s="104">
        <f t="shared" si="33"/>
        <v>227.0333333333333</v>
      </c>
      <c r="J106" s="86">
        <f t="shared" si="33"/>
        <v>667.99428571428564</v>
      </c>
      <c r="K106" s="104">
        <f t="shared" si="33"/>
        <v>227.0333333333333</v>
      </c>
      <c r="L106" s="86">
        <f t="shared" si="33"/>
        <v>1428.5638297872338</v>
      </c>
      <c r="M106" s="104">
        <f t="shared" si="33"/>
        <v>974.1583333333333</v>
      </c>
      <c r="N106" s="86">
        <f t="shared" si="33"/>
        <v>441.61273885350312</v>
      </c>
      <c r="O106" s="104">
        <f t="shared" si="33"/>
        <v>974.1583333333333</v>
      </c>
      <c r="P106" s="86">
        <f t="shared" si="33"/>
        <v>1323.0049261083741</v>
      </c>
      <c r="Q106" s="104">
        <f t="shared" si="33"/>
        <v>1428.5638297872338</v>
      </c>
      <c r="R106" s="86">
        <f t="shared" si="33"/>
        <v>276.07350000000002</v>
      </c>
      <c r="S106" s="104">
        <f t="shared" si="33"/>
        <v>1323.0049261083741</v>
      </c>
      <c r="T106" s="86">
        <f t="shared" si="33"/>
        <v>1879.8058604651167</v>
      </c>
      <c r="U106" s="104">
        <f t="shared" si="33"/>
        <v>2172.8938709677423</v>
      </c>
      <c r="V106" s="86">
        <f t="shared" si="33"/>
        <v>276.07350000000002</v>
      </c>
      <c r="W106" s="104">
        <f t="shared" si="33"/>
        <v>479.38048780487804</v>
      </c>
      <c r="X106" s="86">
        <f t="shared" si="33"/>
        <v>630.30181818181802</v>
      </c>
    </row>
    <row r="107" spans="2:28" x14ac:dyDescent="0.3">
      <c r="B107" s="106" t="s">
        <v>111</v>
      </c>
      <c r="C107" s="127">
        <f>(MAX(C106:D106)-MIN(C106:D106))/(MAX(C106:D106))</f>
        <v>0.71454867256637178</v>
      </c>
      <c r="D107" s="128"/>
      <c r="E107" s="127">
        <f>(MAX(E106:F106)-MIN(E106:F106))/(MAX(E106:F106))</f>
        <v>0.18604955733668599</v>
      </c>
      <c r="F107" s="128"/>
      <c r="G107" s="127">
        <f>(MAX(G106:H106)-MIN(G106:H106))/(MAX(G106:H106))</f>
        <v>0.5264026402640265</v>
      </c>
      <c r="H107" s="128"/>
      <c r="I107" s="127">
        <f>(MAX(I106:J106)-MIN(I106:J106))/(MAX(I106:J106))</f>
        <v>0.66012683313515652</v>
      </c>
      <c r="J107" s="128"/>
      <c r="K107" s="127">
        <f>(MAX(K106:L106)-MIN(K106:L106))/(MAX(K106:L106))</f>
        <v>0.84107582132529068</v>
      </c>
      <c r="L107" s="128"/>
      <c r="M107" s="127">
        <f>(MAX(M106:N106)-MIN(M106:N106))/(MAX(M106:N106))</f>
        <v>0.5466725236108062</v>
      </c>
      <c r="N107" s="128"/>
      <c r="O107" s="127">
        <f>(MAX(O106:P106)-MIN(O106:P106))/(MAX(O106:P106))</f>
        <v>0.26367747080214954</v>
      </c>
      <c r="P107" s="128"/>
      <c r="Q107" s="127">
        <f>(MAX(Q106:R106)-MIN(Q106:R106))/(MAX(Q106:R106))</f>
        <v>0.80674752206128753</v>
      </c>
      <c r="R107" s="128"/>
      <c r="S107" s="127">
        <f>(MAX(S106:T106)-MIN(S106:T106))/(MAX(S106:T106))</f>
        <v>0.29620129720149635</v>
      </c>
      <c r="T107" s="128"/>
      <c r="U107" s="127">
        <f>(MAX(U106:V106)-MIN(U106:V106))/(MAX(U106:V106))</f>
        <v>0.87294662491866437</v>
      </c>
      <c r="V107" s="128"/>
      <c r="W107" s="127">
        <f>(MAX(W106:X106)-MIN(W106:X106))/(MAX(W106:X106))</f>
        <v>0.23944295577679095</v>
      </c>
      <c r="X107" s="128"/>
    </row>
    <row r="108" spans="2:28" x14ac:dyDescent="0.3">
      <c r="B108" s="106" t="s">
        <v>112</v>
      </c>
      <c r="C108" s="129">
        <f>IF(C107&lt;25%,(C106*0.5+D106*0.5)*0.9,IF(C107&lt;50%,(MAX(C106:D106)*0.6+MIN(C106:D106)*0.4)*0.9,IF(C107&lt;70%,(MAX(C106:D106)*0.65+MIN(C106:D106)*0.35)*0.9,IF(C107&lt;100%,(MAX(C106:D106)*0.7+MIN(C106:D106)*0.3)*0.9,0.7*MAX(C106:D106)))))</f>
        <v>385.62422499999997</v>
      </c>
      <c r="D108" s="130"/>
      <c r="E108" s="129">
        <f>IF(E107&lt;25%,(E106*0.5+F106*0.5)*0.9,IF(E107&lt;50%,(MAX(E106:F106)*0.6+MIN(E106:F106)*0.4)*0.9,IF(E107&lt;70%,(MAX(E106:F106)*0.65+MIN(E106:F106)*0.35)*0.9,IF(E107&lt;100%,(MAX(E106:F106)*0.7+MIN(E106:F106)*0.3)*0.9,0.7*MAX(E106:F106)))))</f>
        <v>546.94130681818183</v>
      </c>
      <c r="F108" s="130"/>
      <c r="G108" s="129">
        <f>IF(G107&lt;25%,(G106*0.5+H106*0.5)*0.9,IF(G107&lt;50%,(MAX(G106:H106)*0.6+MIN(G106:H106)*0.4)*0.9,IF(G107&lt;70%,(MAX(G106:H106)*0.65+MIN(G106:H106)*0.35)*0.9,IF(G107&lt;100%,(MAX(G106:H106)*0.7+MIN(G106:H106)*0.3)*0.9,0.7*MAX(G106:H106)))))</f>
        <v>351.95308536585367</v>
      </c>
      <c r="H108" s="130"/>
      <c r="I108" s="129">
        <f>IF(I107&lt;25%,(I106*0.5+J106*0.5)*0.9,IF(I107&lt;50%,(MAX(I106:J106)*0.6+MIN(I106:J106)*0.4)*0.9,IF(I107&lt;70%,(MAX(I106:J106)*0.65+MIN(I106:J106)*0.35)*0.9,IF(I107&lt;100%,(MAX(I106:J106)*0.7+MIN(I106:J106)*0.3)*0.9,0.7*MAX(I106:J106)))))</f>
        <v>462.29215714285709</v>
      </c>
      <c r="J108" s="130"/>
      <c r="K108" s="129">
        <f>IF(K107&lt;25%,(K106*0.5+L106*0.5)*0.9,IF(K107&lt;50%,(MAX(K106:L106)*0.6+MIN(K106:L106)*0.4)*0.9,IF(K107&lt;70%,(MAX(K106:L106)*0.65+MIN(K106:L106)*0.35)*0.9,IF(K107&lt;100%,(MAX(K106:L106)*0.7+MIN(K106:L106)*0.3)*0.9,0.7*MAX(K106:L106)))))</f>
        <v>961.29421276595713</v>
      </c>
      <c r="L108" s="130"/>
      <c r="M108" s="129">
        <f>IF(M107&lt;25%,(M106*0.5+N106*0.5)*0.9,IF(M107&lt;50%,(MAX(M106:N106)*0.6+MIN(M106:N106)*0.4)*0.9,IF(M107&lt;70%,(MAX(M106:N106)*0.65+MIN(M106:N106)*0.35)*0.9,IF(M107&lt;100%,(MAX(M106:N106)*0.7+MIN(M106:N106)*0.3)*0.9,0.7*MAX(M106:N106)))))</f>
        <v>708.99063773885348</v>
      </c>
      <c r="N108" s="130"/>
      <c r="O108" s="129">
        <f>IF(O107&lt;25%,(O106*0.5+P106*0.5)*0.9,IF(O107&lt;50%,(MAX(O106:P106)*0.6+MIN(O106:P106)*0.4)*0.9,IF(O107&lt;70%,(MAX(O106:P106)*0.65+MIN(O106:P106)*0.35)*0.9,IF(O107&lt;100%,(MAX(O106:P106)*0.7+MIN(O106:P106)*0.3)*0.9,0.7*MAX(O106:P106)))))</f>
        <v>1065.1196600985222</v>
      </c>
      <c r="P108" s="130"/>
      <c r="Q108" s="129">
        <f>IF(Q107&lt;25%,(Q106*0.5+R106*0.5)*0.9,IF(Q107&lt;50%,(MAX(Q106:R106)*0.6+MIN(Q106:R106)*0.4)*0.9,IF(Q107&lt;70%,(MAX(Q106:R106)*0.65+MIN(Q106:R106)*0.35)*0.9,IF(Q107&lt;100%,(MAX(Q106:R106)*0.7+MIN(Q106:R106)*0.3)*0.9,0.7*MAX(Q106:R106)))))</f>
        <v>974.53505776595716</v>
      </c>
      <c r="R108" s="130"/>
      <c r="S108" s="129">
        <f>IF(S107&lt;25%,(S106*0.5+T106*0.5)*0.9,IF(S107&lt;50%,(MAX(S106:T106)*0.6+MIN(S106:T106)*0.4)*0.9,IF(S107&lt;70%,(MAX(S106:T106)*0.65+MIN(S106:T106)*0.35)*0.9,IF(S107&lt;100%,(MAX(S106:T106)*0.7+MIN(S106:T106)*0.3)*0.9,0.7*MAX(S106:T106)))))</f>
        <v>1491.3769380501776</v>
      </c>
      <c r="T108" s="130"/>
      <c r="U108" s="129">
        <f>IF(U107&lt;25%,(U106*0.5+V106*0.5)*0.9,IF(U107&lt;50%,(MAX(U106:V106)*0.6+MIN(U106:V106)*0.4)*0.9,IF(U107&lt;70%,(MAX(U106:V106)*0.65+MIN(U106:V106)*0.35)*0.9,IF(U107&lt;100%,(MAX(U106:V106)*0.7+MIN(U106:V106)*0.3)*0.9,0.7*MAX(U106:V106)))))</f>
        <v>1443.4629837096775</v>
      </c>
      <c r="V108" s="130"/>
      <c r="W108" s="129">
        <f>IF(W107&lt;25%,(W106*0.5+X106*0.5)*0.9,IF(W107&lt;50%,(MAX(W106:X106)*0.6+MIN(W106:X106)*0.4)*0.9,IF(W107&lt;70%,(MAX(W106:X106)*0.65+MIN(W106:X106)*0.35)*0.9,IF(W107&lt;100%,(MAX(W106:X106)*0.7+MIN(W106:X106)*0.3)*0.9,0.7*MAX(W106:X106)))))</f>
        <v>499.35703769401323</v>
      </c>
      <c r="X108" s="130"/>
    </row>
    <row r="109" spans="2:28" x14ac:dyDescent="0.3">
      <c r="B109" s="107" t="s">
        <v>15</v>
      </c>
      <c r="C109" s="131">
        <f>C108/(0.9*(0.9*($C$7/100))*($L$9*1000))</f>
        <v>0.79452485000576867</v>
      </c>
      <c r="D109" s="132"/>
      <c r="E109" s="131">
        <f>E108/(0.9*(0.9*($C$7/100))*($L$9*1000))</f>
        <v>1.1268961636465527</v>
      </c>
      <c r="F109" s="132"/>
      <c r="G109" s="131">
        <f>G108/(0.9*(0.9*($C$7/100))*($L$9*1000))</f>
        <v>0.72515017011540817</v>
      </c>
      <c r="H109" s="132"/>
      <c r="I109" s="131">
        <f>I108/(0.9*(0.9*($C$7/100))*($L$9*1000))</f>
        <v>0.95248841488828095</v>
      </c>
      <c r="J109" s="132"/>
      <c r="K109" s="131">
        <f>K108/(0.9*(0.9*($C$7/100))*($L$9*1000))</f>
        <v>1.9806124478027429</v>
      </c>
      <c r="L109" s="132"/>
      <c r="M109" s="131">
        <f>M108/(0.9*(0.9*($C$7/100))*($L$9*1000))</f>
        <v>1.4607761742793957</v>
      </c>
      <c r="N109" s="132"/>
      <c r="O109" s="131">
        <f>O108/(0.9*(0.9*($C$7/100))*($L$9*1000))</f>
        <v>2.194530279258192</v>
      </c>
      <c r="P109" s="132"/>
      <c r="Q109" s="131">
        <f>Q108/(0.9*(0.9*($C$7/100))*($L$9*1000))</f>
        <v>2.0078933593885608</v>
      </c>
      <c r="R109" s="132"/>
      <c r="S109" s="131">
        <f>S108/(0.9*(0.9*($C$7/100))*($L$9*1000))</f>
        <v>3.07277385907584</v>
      </c>
      <c r="T109" s="132"/>
      <c r="U109" s="131">
        <f>U108/(0.9*(0.9*($C$7/100))*($L$9*1000))</f>
        <v>2.974053848979044</v>
      </c>
      <c r="V109" s="132"/>
      <c r="W109" s="131">
        <f>W108/(0.9*(0.9*($C$7/100))*($L$9*1000))</f>
        <v>1.0288554238861962</v>
      </c>
      <c r="X109" s="132"/>
    </row>
    <row r="110" spans="2:28" x14ac:dyDescent="0.3">
      <c r="B110" s="107" t="s">
        <v>98</v>
      </c>
      <c r="C110" s="133">
        <f>(C109*($L$9))/(0.85*$L$6*100)</f>
        <v>1.1206348189239383E-2</v>
      </c>
      <c r="D110" s="134"/>
      <c r="E110" s="133">
        <f>(E109*($L$9))/(0.85*$L$6*100)</f>
        <v>1.5894267854365613E-2</v>
      </c>
      <c r="F110" s="134"/>
      <c r="G110" s="133">
        <f>(G109*($L$9))/(0.85*$L$6*100)</f>
        <v>1.0227855422949241E-2</v>
      </c>
      <c r="H110" s="134"/>
      <c r="I110" s="133">
        <f>(I109*($L$9))/(0.85*$L$6*100)</f>
        <v>1.3434339811243508E-2</v>
      </c>
      <c r="J110" s="134"/>
      <c r="K110" s="133">
        <f>(K109*($L$9))/(0.85*$L$6*100)</f>
        <v>2.7935479573556569E-2</v>
      </c>
      <c r="L110" s="134"/>
      <c r="M110" s="133">
        <f>(M109*($L$9))/(0.85*$L$6*100)</f>
        <v>2.0603466883888002E-2</v>
      </c>
      <c r="N110" s="134"/>
      <c r="O110" s="133">
        <f>(O109*($L$9))/(0.85*$L$6*100)</f>
        <v>3.0952676207695051E-2</v>
      </c>
      <c r="P110" s="134"/>
      <c r="Q110" s="133">
        <f>(Q109*($L$9))/(0.85*$L$6*100)</f>
        <v>2.8320262244794996E-2</v>
      </c>
      <c r="R110" s="134"/>
      <c r="S110" s="133">
        <f>(S109*($L$9))/(0.85*$L$6*100)</f>
        <v>4.3339832317826982E-2</v>
      </c>
      <c r="T110" s="134"/>
      <c r="U110" s="133">
        <f>(U109*($L$9))/(0.85*$L$6*100)</f>
        <v>4.194743935946716E-2</v>
      </c>
      <c r="V110" s="134"/>
      <c r="W110" s="133">
        <f>(W109*($L$9))/(0.85*$L$6*100)</f>
        <v>1.4511455640905981E-2</v>
      </c>
      <c r="X110" s="134"/>
    </row>
    <row r="111" spans="2:28" ht="15" thickBot="1" x14ac:dyDescent="0.35">
      <c r="B111" s="108" t="s">
        <v>15</v>
      </c>
      <c r="C111" s="135">
        <f>ROUNDUP(C108/(0.9*(($C$7-C110/2)/100)*($L$9*1000)),2)</f>
        <v>0.72</v>
      </c>
      <c r="D111" s="136"/>
      <c r="E111" s="135">
        <f>ROUNDUP(E108/(0.9*(($C$7-E110/2)/100)*($L$9*1000)),2)</f>
        <v>1.02</v>
      </c>
      <c r="F111" s="136"/>
      <c r="G111" s="135">
        <f>ROUNDUP(G108/(0.9*(($C$7-G110/2)/100)*($L$9*1000)),2)</f>
        <v>0.66</v>
      </c>
      <c r="H111" s="136"/>
      <c r="I111" s="135">
        <f>ROUNDUP(I108/(0.9*(($C$7-I110/2)/100)*($L$9*1000)),2)</f>
        <v>0.86</v>
      </c>
      <c r="J111" s="136"/>
      <c r="K111" s="135">
        <f>ROUNDUP(K108/(0.9*(($C$7-K110/2)/100)*($L$9*1000)),2)</f>
        <v>1.79</v>
      </c>
      <c r="L111" s="136"/>
      <c r="M111" s="135">
        <f>ROUNDUP(M108/(0.9*(($C$7-M110/2)/100)*($L$9*1000)),2)</f>
        <v>1.32</v>
      </c>
      <c r="N111" s="136"/>
      <c r="O111" s="135">
        <f>ROUNDUP(O108/(0.9*(($C$7-O110/2)/100)*($L$9*1000)),2)</f>
        <v>1.98</v>
      </c>
      <c r="P111" s="136"/>
      <c r="Q111" s="135">
        <f>ROUNDUP(Q108/(0.9*(($C$7-Q110/2)/100)*($L$9*1000)),2)</f>
        <v>1.81</v>
      </c>
      <c r="R111" s="136"/>
      <c r="S111" s="135">
        <f>ROUNDUP(S108/(0.9*(($C$7-S110/2)/100)*($L$9*1000)),2)</f>
        <v>2.7699999999999996</v>
      </c>
      <c r="T111" s="136"/>
      <c r="U111" s="135">
        <f>ROUNDUP(U108/(0.9*(($C$7-U110/2)/100)*($L$9*1000)),2)</f>
        <v>2.69</v>
      </c>
      <c r="V111" s="136"/>
      <c r="W111" s="135">
        <f>ROUNDUP(W108/(0.9*(($C$7-W110/2)/100)*($L$9*1000)),2)</f>
        <v>0.93</v>
      </c>
      <c r="X111" s="136"/>
    </row>
    <row r="112" spans="2:28" ht="16.2" thickBot="1" x14ac:dyDescent="0.35">
      <c r="B112" s="61" t="s">
        <v>113</v>
      </c>
      <c r="C112" s="140" t="str">
        <f>IF(C111&gt;$C$12,"φ"&amp;IF(VLOOKUP(VLOOKUP(C111,tablas!$R$3:$T$66,2,TRUE)&amp;VLOOKUP(C111,tablas!$R$3:$T$66,3,TRUE),tablas!$Q$3:$R$66,2,FALSE)&lt;C111,VLOOKUP(C111+0.1,tablas!$R$3:$T$66,2,TRUE),VLOOKUP(C111,tablas!$R$3:$T$66,2,TRUE))&amp;"@"&amp;IF(VLOOKUP(VLOOKUP(C111,tablas!$R$3:$T$66,2,TRUE)&amp;VLOOKUP(C111,tablas!$R$3:$T$66,3,TRUE),tablas!$Q$3:$R$66,2,FALSE)&lt;C111,VLOOKUP(C111+0.1,tablas!$R$3:$T$66,3,TRUE),VLOOKUP(C111,tablas!$R$3:$T$66,3,TRUE)),$C$13)</f>
        <v>φ8@17</v>
      </c>
      <c r="D112" s="141"/>
      <c r="E112" s="140" t="str">
        <f>IF(E111&gt;$C$12,"φ"&amp;IF(VLOOKUP(VLOOKUP(E111,tablas!$R$3:$T$66,2,TRUE)&amp;VLOOKUP(E111,tablas!$R$3:$T$66,3,TRUE),tablas!$Q$3:$R$66,2,FALSE)&lt;E111,VLOOKUP(E111+0.1,tablas!$R$3:$T$66,2,TRUE),VLOOKUP(E111,tablas!$R$3:$T$66,2,TRUE))&amp;"@"&amp;IF(VLOOKUP(VLOOKUP(E111,tablas!$R$3:$T$66,2,TRUE)&amp;VLOOKUP(E111,tablas!$R$3:$T$66,3,TRUE),tablas!$Q$3:$R$66,2,FALSE)&lt;E111,VLOOKUP(E111+0.1,tablas!$R$3:$T$66,3,TRUE),VLOOKUP(E111,tablas!$R$3:$T$66,3,TRUE)),$C$13)</f>
        <v>φ8@17</v>
      </c>
      <c r="F112" s="141"/>
      <c r="G112" s="140" t="str">
        <f>IF(G111&gt;$C$12,"φ"&amp;IF(VLOOKUP(VLOOKUP(G111,tablas!$R$3:$T$66,2,TRUE)&amp;VLOOKUP(G111,tablas!$R$3:$T$66,3,TRUE),tablas!$Q$3:$R$66,2,FALSE)&lt;G111,VLOOKUP(G111+0.1,tablas!$R$3:$T$66,2,TRUE),VLOOKUP(G111,tablas!$R$3:$T$66,2,TRUE))&amp;"@"&amp;IF(VLOOKUP(VLOOKUP(G111,tablas!$R$3:$T$66,2,TRUE)&amp;VLOOKUP(G111,tablas!$R$3:$T$66,3,TRUE),tablas!$Q$3:$R$66,2,FALSE)&lt;G111,VLOOKUP(G111+0.1,tablas!$R$3:$T$66,3,TRUE),VLOOKUP(G111,tablas!$R$3:$T$66,3,TRUE)),$C$13)</f>
        <v>φ8@17</v>
      </c>
      <c r="H112" s="141"/>
      <c r="I112" s="140" t="str">
        <f>IF(I111&gt;$C$12,"φ"&amp;IF(VLOOKUP(VLOOKUP(I111,tablas!$R$3:$T$66,2,TRUE)&amp;VLOOKUP(I111,tablas!$R$3:$T$66,3,TRUE),tablas!$Q$3:$R$66,2,FALSE)&lt;I111,VLOOKUP(I111+0.1,tablas!$R$3:$T$66,2,TRUE),VLOOKUP(I111,tablas!$R$3:$T$66,2,TRUE))&amp;"@"&amp;IF(VLOOKUP(VLOOKUP(I111,tablas!$R$3:$T$66,2,TRUE)&amp;VLOOKUP(I111,tablas!$R$3:$T$66,3,TRUE),tablas!$Q$3:$R$66,2,FALSE)&lt;I111,VLOOKUP(I111+0.1,tablas!$R$3:$T$66,3,TRUE),VLOOKUP(I111,tablas!$R$3:$T$66,3,TRUE)),$C$13)</f>
        <v>φ8@17</v>
      </c>
      <c r="J112" s="141"/>
      <c r="K112" s="140" t="str">
        <f>IF(K111&gt;$C$12,"φ"&amp;IF(VLOOKUP(VLOOKUP(K111,tablas!$R$3:$T$66,2,TRUE)&amp;VLOOKUP(K111,tablas!$R$3:$T$66,3,TRUE),tablas!$Q$3:$R$66,2,FALSE)&lt;K111,VLOOKUP(K111+0.1,tablas!$R$3:$T$66,2,TRUE),VLOOKUP(K111,tablas!$R$3:$T$66,2,TRUE))&amp;"@"&amp;IF(VLOOKUP(VLOOKUP(K111,tablas!$R$3:$T$66,2,TRUE)&amp;VLOOKUP(K111,tablas!$R$3:$T$66,3,TRUE),tablas!$Q$3:$R$66,2,FALSE)&lt;K111,VLOOKUP(K111+0.1,tablas!$R$3:$T$66,3,TRUE),VLOOKUP(K111,tablas!$R$3:$T$66,3,TRUE)),$C$13)</f>
        <v>φ8@17</v>
      </c>
      <c r="L112" s="141"/>
      <c r="M112" s="140" t="str">
        <f>IF(M111&gt;$C$12,"φ"&amp;IF(VLOOKUP(VLOOKUP(M111,tablas!$R$3:$T$66,2,TRUE)&amp;VLOOKUP(M111,tablas!$R$3:$T$66,3,TRUE),tablas!$Q$3:$R$66,2,FALSE)&lt;M111,VLOOKUP(M111+0.1,tablas!$R$3:$T$66,2,TRUE),VLOOKUP(M111,tablas!$R$3:$T$66,2,TRUE))&amp;"@"&amp;IF(VLOOKUP(VLOOKUP(M111,tablas!$R$3:$T$66,2,TRUE)&amp;VLOOKUP(M111,tablas!$R$3:$T$66,3,TRUE),tablas!$Q$3:$R$66,2,FALSE)&lt;M111,VLOOKUP(M111+0.1,tablas!$R$3:$T$66,3,TRUE),VLOOKUP(M111,tablas!$R$3:$T$66,3,TRUE)),$C$13)</f>
        <v>φ8@17</v>
      </c>
      <c r="N112" s="141"/>
      <c r="O112" s="140" t="str">
        <f>IF(O111&gt;$C$12,"φ"&amp;IF(VLOOKUP(VLOOKUP(O111,tablas!$R$3:$T$66,2,TRUE)&amp;VLOOKUP(O111,tablas!$R$3:$T$66,3,TRUE),tablas!$Q$3:$R$66,2,FALSE)&lt;O111,VLOOKUP(O111+0.1,tablas!$R$3:$T$66,2,TRUE),VLOOKUP(O111,tablas!$R$3:$T$66,2,TRUE))&amp;"@"&amp;IF(VLOOKUP(VLOOKUP(O111,tablas!$R$3:$T$66,2,TRUE)&amp;VLOOKUP(O111,tablas!$R$3:$T$66,3,TRUE),tablas!$Q$3:$R$66,2,FALSE)&lt;O111,VLOOKUP(O111+0.1,tablas!$R$3:$T$66,3,TRUE),VLOOKUP(O111,tablas!$R$3:$T$66,3,TRUE)),$C$13)</f>
        <v>φ8@17</v>
      </c>
      <c r="P112" s="141"/>
      <c r="Q112" s="140" t="str">
        <f>IF(Q111&gt;$C$12,"φ"&amp;IF(VLOOKUP(VLOOKUP(Q111,tablas!$R$3:$T$66,2,TRUE)&amp;VLOOKUP(Q111,tablas!$R$3:$T$66,3,TRUE),tablas!$Q$3:$R$66,2,FALSE)&lt;Q111,VLOOKUP(Q111+0.1,tablas!$R$3:$T$66,2,TRUE),VLOOKUP(Q111,tablas!$R$3:$T$66,2,TRUE))&amp;"@"&amp;IF(VLOOKUP(VLOOKUP(Q111,tablas!$R$3:$T$66,2,TRUE)&amp;VLOOKUP(Q111,tablas!$R$3:$T$66,3,TRUE),tablas!$Q$3:$R$66,2,FALSE)&lt;Q111,VLOOKUP(Q111+0.1,tablas!$R$3:$T$66,3,TRUE),VLOOKUP(Q111,tablas!$R$3:$T$66,3,TRUE)),$C$13)</f>
        <v>φ8@17</v>
      </c>
      <c r="R112" s="141"/>
      <c r="S112" s="140" t="str">
        <f>IF(S111&gt;$C$12,"φ"&amp;IF(VLOOKUP(VLOOKUP(S111,tablas!$R$3:$T$66,2,TRUE)&amp;VLOOKUP(S111,tablas!$R$3:$T$66,3,TRUE),tablas!$Q$3:$R$66,2,FALSE)&lt;S111,VLOOKUP(S111+0.1,tablas!$R$3:$T$66,2,TRUE),VLOOKUP(S111,tablas!$R$3:$T$66,2,TRUE))&amp;"@"&amp;IF(VLOOKUP(VLOOKUP(S111,tablas!$R$3:$T$66,2,TRUE)&amp;VLOOKUP(S111,tablas!$R$3:$T$66,3,TRUE),tablas!$Q$3:$R$66,2,FALSE)&lt;S111,VLOOKUP(S111+0.1,tablas!$R$3:$T$66,3,TRUE),VLOOKUP(S111,tablas!$R$3:$T$66,3,TRUE)),$C$13)</f>
        <v>φ8@17</v>
      </c>
      <c r="T112" s="141"/>
      <c r="U112" s="140" t="str">
        <f>IF(U111&gt;$C$12,"φ"&amp;IF(VLOOKUP(VLOOKUP(U111,tablas!$R$3:$T$66,2,TRUE)&amp;VLOOKUP(U111,tablas!$R$3:$T$66,3,TRUE),tablas!$Q$3:$R$66,2,FALSE)&lt;U111,VLOOKUP(U111+0.1,tablas!$R$3:$T$66,2,TRUE),VLOOKUP(U111,tablas!$R$3:$T$66,2,TRUE))&amp;"@"&amp;IF(VLOOKUP(VLOOKUP(U111,tablas!$R$3:$T$66,2,TRUE)&amp;VLOOKUP(U111,tablas!$R$3:$T$66,3,TRUE),tablas!$Q$3:$R$66,2,FALSE)&lt;U111,VLOOKUP(U111+0.1,tablas!$R$3:$T$66,3,TRUE),VLOOKUP(U111,tablas!$R$3:$T$66,3,TRUE)),$C$13)</f>
        <v>φ8@17</v>
      </c>
      <c r="V112" s="141"/>
      <c r="W112" s="140" t="str">
        <f>IF(W111&gt;$C$12,"φ"&amp;IF(VLOOKUP(VLOOKUP(W111,tablas!$R$3:$T$66,2,TRUE)&amp;VLOOKUP(W111,tablas!$R$3:$T$66,3,TRUE),tablas!$Q$3:$R$66,2,FALSE)&lt;W111,VLOOKUP(W111+0.1,tablas!$R$3:$T$66,2,TRUE),VLOOKUP(W111,tablas!$R$3:$T$66,2,TRUE))&amp;"@"&amp;IF(VLOOKUP(VLOOKUP(W111,tablas!$R$3:$T$66,2,TRUE)&amp;VLOOKUP(W111,tablas!$R$3:$T$66,3,TRUE),tablas!$Q$3:$R$66,2,FALSE)&lt;W111,VLOOKUP(W111+0.1,tablas!$R$3:$T$66,3,TRUE),VLOOKUP(W111,tablas!$R$3:$T$66,3,TRUE)),$C$13)</f>
        <v>φ8@17</v>
      </c>
      <c r="X112" s="141"/>
    </row>
  </sheetData>
  <mergeCells count="230">
    <mergeCell ref="S112:T112"/>
    <mergeCell ref="U112:V112"/>
    <mergeCell ref="W112:X112"/>
    <mergeCell ref="Q111:R111"/>
    <mergeCell ref="S111:T111"/>
    <mergeCell ref="U111:V111"/>
    <mergeCell ref="W111:X111"/>
    <mergeCell ref="Q110:R110"/>
    <mergeCell ref="S110:T110"/>
    <mergeCell ref="U110:V110"/>
    <mergeCell ref="W110:X110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07:R107"/>
    <mergeCell ref="M112:N112"/>
    <mergeCell ref="O112:P112"/>
    <mergeCell ref="Q112:R112"/>
    <mergeCell ref="Q109:R109"/>
    <mergeCell ref="Q108:R108"/>
    <mergeCell ref="C111:D111"/>
    <mergeCell ref="E111:F111"/>
    <mergeCell ref="G111:H111"/>
    <mergeCell ref="I111:J111"/>
    <mergeCell ref="I110:J110"/>
    <mergeCell ref="K110:L110"/>
    <mergeCell ref="M110:N110"/>
    <mergeCell ref="O110:P110"/>
    <mergeCell ref="AA102:AB102"/>
    <mergeCell ref="S107:T107"/>
    <mergeCell ref="U107:V107"/>
    <mergeCell ref="W107:X107"/>
    <mergeCell ref="U102:V102"/>
    <mergeCell ref="W102:X102"/>
    <mergeCell ref="Y102:Z102"/>
    <mergeCell ref="S109:T109"/>
    <mergeCell ref="U109:V109"/>
    <mergeCell ref="W109:X109"/>
    <mergeCell ref="S108:T108"/>
    <mergeCell ref="U108:V108"/>
    <mergeCell ref="W108:X108"/>
    <mergeCell ref="C110:D110"/>
    <mergeCell ref="E110:F110"/>
    <mergeCell ref="G110:H110"/>
    <mergeCell ref="G109:H109"/>
    <mergeCell ref="I109:J109"/>
    <mergeCell ref="K109:L109"/>
    <mergeCell ref="M109:N109"/>
    <mergeCell ref="O109:P109"/>
    <mergeCell ref="U101:V101"/>
    <mergeCell ref="C109:D109"/>
    <mergeCell ref="E109:F109"/>
    <mergeCell ref="M108:N108"/>
    <mergeCell ref="O108:P108"/>
    <mergeCell ref="U98:V98"/>
    <mergeCell ref="W98:X98"/>
    <mergeCell ref="Y98:Z98"/>
    <mergeCell ref="AA98:AB98"/>
    <mergeCell ref="C108:D108"/>
    <mergeCell ref="E108:F108"/>
    <mergeCell ref="G108:H108"/>
    <mergeCell ref="I108:J108"/>
    <mergeCell ref="K108:L108"/>
    <mergeCell ref="K107:L107"/>
    <mergeCell ref="M107:N107"/>
    <mergeCell ref="O107:P107"/>
    <mergeCell ref="U100:V100"/>
    <mergeCell ref="W100:X100"/>
    <mergeCell ref="Y100:Z100"/>
    <mergeCell ref="AA100:AB100"/>
    <mergeCell ref="W101:X101"/>
    <mergeCell ref="Y101:Z101"/>
    <mergeCell ref="AA101:AB101"/>
    <mergeCell ref="W97:X97"/>
    <mergeCell ref="Y97:Z97"/>
    <mergeCell ref="AA97:AB97"/>
    <mergeCell ref="C107:D107"/>
    <mergeCell ref="E107:F107"/>
    <mergeCell ref="G107:H107"/>
    <mergeCell ref="I107:J107"/>
    <mergeCell ref="M102:N102"/>
    <mergeCell ref="O102:P102"/>
    <mergeCell ref="Q102:R102"/>
    <mergeCell ref="S102:T102"/>
    <mergeCell ref="U99:V99"/>
    <mergeCell ref="W99:X99"/>
    <mergeCell ref="Y99:Z99"/>
    <mergeCell ref="AA99:AB99"/>
    <mergeCell ref="C102:D102"/>
    <mergeCell ref="E102:F102"/>
    <mergeCell ref="G102:H102"/>
    <mergeCell ref="I102:J102"/>
    <mergeCell ref="K102:L102"/>
    <mergeCell ref="K101:L101"/>
    <mergeCell ref="M101:N101"/>
    <mergeCell ref="O101:P101"/>
    <mergeCell ref="Q101:R101"/>
    <mergeCell ref="Y91:Z91"/>
    <mergeCell ref="AA91:AB91"/>
    <mergeCell ref="C101:D101"/>
    <mergeCell ref="E101:F101"/>
    <mergeCell ref="G101:H101"/>
    <mergeCell ref="I101:J101"/>
    <mergeCell ref="Q100:R100"/>
    <mergeCell ref="S100:T100"/>
    <mergeCell ref="Y90:Z90"/>
    <mergeCell ref="AA90:AB90"/>
    <mergeCell ref="C100:D100"/>
    <mergeCell ref="E100:F100"/>
    <mergeCell ref="G100:H100"/>
    <mergeCell ref="I100:J100"/>
    <mergeCell ref="K100:L100"/>
    <mergeCell ref="M100:N100"/>
    <mergeCell ref="O100:P100"/>
    <mergeCell ref="O99:P99"/>
    <mergeCell ref="Q99:R99"/>
    <mergeCell ref="S99:T99"/>
    <mergeCell ref="Y92:Z92"/>
    <mergeCell ref="AA92:AB92"/>
    <mergeCell ref="S101:T101"/>
    <mergeCell ref="U97:V97"/>
    <mergeCell ref="Y89:Z89"/>
    <mergeCell ref="AA89:AB89"/>
    <mergeCell ref="C99:D99"/>
    <mergeCell ref="E99:F99"/>
    <mergeCell ref="G99:H99"/>
    <mergeCell ref="I99:J99"/>
    <mergeCell ref="K99:L99"/>
    <mergeCell ref="M99:N99"/>
    <mergeCell ref="M98:N98"/>
    <mergeCell ref="O98:P98"/>
    <mergeCell ref="Q98:R98"/>
    <mergeCell ref="S98:T98"/>
    <mergeCell ref="K90:L90"/>
    <mergeCell ref="M90:N90"/>
    <mergeCell ref="O90:P90"/>
    <mergeCell ref="O89:P89"/>
    <mergeCell ref="Q89:R89"/>
    <mergeCell ref="S89:T89"/>
    <mergeCell ref="U89:V89"/>
    <mergeCell ref="W89:X89"/>
    <mergeCell ref="C89:D89"/>
    <mergeCell ref="E89:F89"/>
    <mergeCell ref="G89:H89"/>
    <mergeCell ref="I89:J89"/>
    <mergeCell ref="Y88:Z88"/>
    <mergeCell ref="AA88:AB88"/>
    <mergeCell ref="C98:D98"/>
    <mergeCell ref="E98:F98"/>
    <mergeCell ref="G98:H98"/>
    <mergeCell ref="I98:J98"/>
    <mergeCell ref="K98:L98"/>
    <mergeCell ref="K97:L97"/>
    <mergeCell ref="M97:N97"/>
    <mergeCell ref="O97:P97"/>
    <mergeCell ref="Q97:R97"/>
    <mergeCell ref="S97:T97"/>
    <mergeCell ref="K91:L91"/>
    <mergeCell ref="M91:N91"/>
    <mergeCell ref="O91:P91"/>
    <mergeCell ref="Q91:R91"/>
    <mergeCell ref="Q90:R90"/>
    <mergeCell ref="S90:T90"/>
    <mergeCell ref="U90:V90"/>
    <mergeCell ref="W90:X90"/>
    <mergeCell ref="C90:D90"/>
    <mergeCell ref="E90:F90"/>
    <mergeCell ref="G90:H90"/>
    <mergeCell ref="I90:J90"/>
    <mergeCell ref="Y87:Z87"/>
    <mergeCell ref="AA87:AB87"/>
    <mergeCell ref="C97:D97"/>
    <mergeCell ref="E97:F97"/>
    <mergeCell ref="G97:H97"/>
    <mergeCell ref="I97:J97"/>
    <mergeCell ref="U92:V92"/>
    <mergeCell ref="W92:X92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S91:T91"/>
    <mergeCell ref="U91:V91"/>
    <mergeCell ref="W91:X91"/>
    <mergeCell ref="C91:D91"/>
    <mergeCell ref="E91:F91"/>
    <mergeCell ref="G91:H91"/>
    <mergeCell ref="I91:J91"/>
    <mergeCell ref="K89:L89"/>
    <mergeCell ref="M89:N89"/>
    <mergeCell ref="U88:V88"/>
    <mergeCell ref="W88:X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E4:F4"/>
    <mergeCell ref="H4:I4"/>
    <mergeCell ref="K4:L4"/>
    <mergeCell ref="S87:T87"/>
    <mergeCell ref="U87:V87"/>
    <mergeCell ref="W87:X87"/>
    <mergeCell ref="B83:C83"/>
    <mergeCell ref="C87:D87"/>
    <mergeCell ref="E87:F87"/>
    <mergeCell ref="G87:H87"/>
    <mergeCell ref="I87:J87"/>
    <mergeCell ref="K87:L87"/>
    <mergeCell ref="M87:N87"/>
    <mergeCell ref="O87:P87"/>
    <mergeCell ref="Q87:R87"/>
    <mergeCell ref="B61:W61"/>
    <mergeCell ref="B54:W54"/>
    <mergeCell ref="B44:W44"/>
    <mergeCell ref="B39:W3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L25"/>
  <sheetViews>
    <sheetView workbookViewId="0">
      <selection activeCell="L25" sqref="B2:L25"/>
    </sheetView>
  </sheetViews>
  <sheetFormatPr baseColWidth="10" defaultRowHeight="14.4" x14ac:dyDescent="0.3"/>
  <sheetData>
    <row r="1" spans="2:12" ht="15" thickBot="1" x14ac:dyDescent="0.35"/>
    <row r="2" spans="2:12" ht="15" thickBot="1" x14ac:dyDescent="0.35">
      <c r="B2" s="150" t="s">
        <v>283</v>
      </c>
      <c r="C2" s="149"/>
      <c r="D2" s="149"/>
      <c r="E2" s="149"/>
      <c r="F2" s="151"/>
      <c r="G2" s="168"/>
      <c r="H2" s="168"/>
      <c r="I2" s="168"/>
      <c r="J2" s="168"/>
      <c r="K2" s="168"/>
      <c r="L2" s="168"/>
    </row>
    <row r="3" spans="2:12" ht="15" thickBot="1" x14ac:dyDescent="0.35">
      <c r="B3" s="152" t="s">
        <v>43</v>
      </c>
      <c r="C3" s="152" t="s">
        <v>246</v>
      </c>
      <c r="D3" s="152" t="s">
        <v>244</v>
      </c>
      <c r="E3" s="156" t="s">
        <v>240</v>
      </c>
      <c r="F3" s="157"/>
      <c r="G3" s="166" t="s">
        <v>241</v>
      </c>
      <c r="H3" s="167"/>
      <c r="I3" s="166" t="s">
        <v>253</v>
      </c>
      <c r="J3" s="167"/>
      <c r="K3" s="166" t="s">
        <v>254</v>
      </c>
      <c r="L3" s="167"/>
    </row>
    <row r="4" spans="2:12" ht="43.8" thickBot="1" x14ac:dyDescent="0.35">
      <c r="B4" s="153"/>
      <c r="C4" s="153"/>
      <c r="D4" s="153"/>
      <c r="E4" s="158" t="s">
        <v>245</v>
      </c>
      <c r="F4" s="159" t="s">
        <v>242</v>
      </c>
      <c r="G4" s="158" t="s">
        <v>245</v>
      </c>
      <c r="H4" s="159" t="s">
        <v>242</v>
      </c>
      <c r="I4" s="158" t="s">
        <v>245</v>
      </c>
      <c r="J4" s="159" t="s">
        <v>242</v>
      </c>
      <c r="K4" s="158" t="s">
        <v>245</v>
      </c>
      <c r="L4" s="159" t="s">
        <v>242</v>
      </c>
    </row>
    <row r="5" spans="2:12" x14ac:dyDescent="0.3">
      <c r="B5" s="154" t="s">
        <v>117</v>
      </c>
      <c r="C5" s="154">
        <f>'1'!$C$12</f>
        <v>2.88</v>
      </c>
      <c r="D5" s="155">
        <v>1550</v>
      </c>
      <c r="E5" s="160">
        <v>1.19</v>
      </c>
      <c r="F5" s="161" t="s">
        <v>277</v>
      </c>
      <c r="G5" s="160">
        <v>1.19</v>
      </c>
      <c r="H5" s="161" t="s">
        <v>277</v>
      </c>
      <c r="I5" s="160">
        <v>4.72</v>
      </c>
      <c r="J5" s="161" t="s">
        <v>271</v>
      </c>
      <c r="K5" s="160">
        <v>3.94</v>
      </c>
      <c r="L5" s="161" t="s">
        <v>255</v>
      </c>
    </row>
    <row r="6" spans="2:12" x14ac:dyDescent="0.3">
      <c r="B6" s="154" t="s">
        <v>118</v>
      </c>
      <c r="C6" s="154">
        <f>'1'!$C$12</f>
        <v>2.88</v>
      </c>
      <c r="D6" s="155">
        <v>1550</v>
      </c>
      <c r="E6" s="160">
        <v>1.64</v>
      </c>
      <c r="F6" s="161" t="s">
        <v>277</v>
      </c>
      <c r="G6" s="160">
        <v>1.64</v>
      </c>
      <c r="H6" s="161" t="s">
        <v>277</v>
      </c>
      <c r="I6" s="160">
        <v>5.25</v>
      </c>
      <c r="J6" s="161" t="s">
        <v>256</v>
      </c>
      <c r="K6" s="160">
        <v>3.96</v>
      </c>
      <c r="L6" s="161" t="s">
        <v>255</v>
      </c>
    </row>
    <row r="7" spans="2:12" x14ac:dyDescent="0.3">
      <c r="B7" s="154" t="s">
        <v>119</v>
      </c>
      <c r="C7" s="154">
        <f>'1'!$C$12</f>
        <v>2.88</v>
      </c>
      <c r="D7" s="155">
        <v>1550</v>
      </c>
      <c r="E7" s="160">
        <v>1.64</v>
      </c>
      <c r="F7" s="161" t="s">
        <v>277</v>
      </c>
      <c r="G7" s="160">
        <v>1.64</v>
      </c>
      <c r="H7" s="161" t="s">
        <v>277</v>
      </c>
      <c r="I7" s="160">
        <v>5.25</v>
      </c>
      <c r="J7" s="161" t="s">
        <v>256</v>
      </c>
      <c r="K7" s="160">
        <v>3.96</v>
      </c>
      <c r="L7" s="161" t="s">
        <v>255</v>
      </c>
    </row>
    <row r="8" spans="2:12" x14ac:dyDescent="0.3">
      <c r="B8" s="154" t="s">
        <v>120</v>
      </c>
      <c r="C8" s="154">
        <f>'1'!$C$12</f>
        <v>2.88</v>
      </c>
      <c r="D8" s="155">
        <v>1550</v>
      </c>
      <c r="E8" s="160">
        <v>1.75</v>
      </c>
      <c r="F8" s="161" t="s">
        <v>277</v>
      </c>
      <c r="G8" s="160">
        <v>1.75</v>
      </c>
      <c r="H8" s="161" t="s">
        <v>277</v>
      </c>
      <c r="I8" s="160">
        <v>5.55</v>
      </c>
      <c r="J8" s="161" t="s">
        <v>267</v>
      </c>
      <c r="K8" s="160">
        <v>4.08</v>
      </c>
      <c r="L8" s="161" t="s">
        <v>274</v>
      </c>
    </row>
    <row r="9" spans="2:12" x14ac:dyDescent="0.3">
      <c r="B9" s="154" t="s">
        <v>121</v>
      </c>
      <c r="C9" s="154">
        <f>'1'!$C$12</f>
        <v>2.88</v>
      </c>
      <c r="D9" s="155">
        <v>1550</v>
      </c>
      <c r="E9" s="160">
        <v>1.51</v>
      </c>
      <c r="F9" s="161" t="s">
        <v>277</v>
      </c>
      <c r="G9" s="160">
        <v>1.51</v>
      </c>
      <c r="H9" s="161" t="s">
        <v>277</v>
      </c>
      <c r="I9" s="160">
        <v>5.42</v>
      </c>
      <c r="J9" s="161" t="s">
        <v>278</v>
      </c>
      <c r="K9" s="160">
        <v>5.05</v>
      </c>
      <c r="L9" s="161" t="s">
        <v>281</v>
      </c>
    </row>
    <row r="10" spans="2:12" x14ac:dyDescent="0.3">
      <c r="B10" s="154" t="s">
        <v>122</v>
      </c>
      <c r="C10" s="154">
        <f>'1'!$C$12</f>
        <v>2.88</v>
      </c>
      <c r="D10" s="155">
        <v>1550</v>
      </c>
      <c r="E10" s="160">
        <v>1.7</v>
      </c>
      <c r="F10" s="161" t="s">
        <v>277</v>
      </c>
      <c r="G10" s="160">
        <v>1.7</v>
      </c>
      <c r="H10" s="161" t="s">
        <v>277</v>
      </c>
      <c r="I10" s="160">
        <v>6.12</v>
      </c>
      <c r="J10" s="161" t="s">
        <v>279</v>
      </c>
      <c r="K10" s="160">
        <v>5.0299999999999994</v>
      </c>
      <c r="L10" s="161" t="s">
        <v>248</v>
      </c>
    </row>
    <row r="11" spans="2:12" x14ac:dyDescent="0.3">
      <c r="B11" s="154" t="s">
        <v>123</v>
      </c>
      <c r="C11" s="154">
        <f>'1'!$C$12</f>
        <v>2.88</v>
      </c>
      <c r="D11" s="155">
        <v>1550</v>
      </c>
      <c r="E11" s="160">
        <v>1.7</v>
      </c>
      <c r="F11" s="161" t="s">
        <v>277</v>
      </c>
      <c r="G11" s="160">
        <v>1.7</v>
      </c>
      <c r="H11" s="161" t="s">
        <v>277</v>
      </c>
      <c r="I11" s="160">
        <v>6.12</v>
      </c>
      <c r="J11" s="161" t="s">
        <v>279</v>
      </c>
      <c r="K11" s="160">
        <v>5.0299999999999994</v>
      </c>
      <c r="L11" s="161" t="s">
        <v>248</v>
      </c>
    </row>
    <row r="12" spans="2:12" x14ac:dyDescent="0.3">
      <c r="B12" s="154" t="s">
        <v>124</v>
      </c>
      <c r="C12" s="154">
        <f>'1'!$C$12</f>
        <v>2.88</v>
      </c>
      <c r="D12" s="155">
        <v>1550</v>
      </c>
      <c r="E12" s="160">
        <v>2</v>
      </c>
      <c r="F12" s="161" t="s">
        <v>277</v>
      </c>
      <c r="G12" s="160">
        <v>2</v>
      </c>
      <c r="H12" s="161" t="s">
        <v>277</v>
      </c>
      <c r="I12" s="160">
        <v>6.37</v>
      </c>
      <c r="J12" s="161" t="s">
        <v>268</v>
      </c>
      <c r="K12" s="160">
        <v>4.8099999999999996</v>
      </c>
      <c r="L12" s="161" t="s">
        <v>271</v>
      </c>
    </row>
    <row r="13" spans="2:12" x14ac:dyDescent="0.3">
      <c r="B13" s="154" t="s">
        <v>125</v>
      </c>
      <c r="C13" s="154">
        <f>'1'!$C$12</f>
        <v>2.88</v>
      </c>
      <c r="D13" s="155">
        <v>1550</v>
      </c>
      <c r="E13" s="160">
        <v>1.34</v>
      </c>
      <c r="F13" s="161" t="s">
        <v>277</v>
      </c>
      <c r="G13" s="160">
        <v>1.34</v>
      </c>
      <c r="H13" s="161" t="s">
        <v>277</v>
      </c>
      <c r="I13" s="160">
        <v>4.5</v>
      </c>
      <c r="J13" s="161" t="s">
        <v>280</v>
      </c>
      <c r="K13" s="160">
        <v>4.1099999999999994</v>
      </c>
      <c r="L13" s="161" t="s">
        <v>282</v>
      </c>
    </row>
    <row r="14" spans="2:12" x14ac:dyDescent="0.3">
      <c r="B14" s="154" t="s">
        <v>126</v>
      </c>
      <c r="C14" s="154">
        <f>'1'!$C$12</f>
        <v>2.88</v>
      </c>
      <c r="D14" s="155">
        <v>1390</v>
      </c>
      <c r="E14" s="160">
        <v>0.98</v>
      </c>
      <c r="F14" s="161" t="s">
        <v>277</v>
      </c>
      <c r="G14" s="160">
        <v>0.98</v>
      </c>
      <c r="H14" s="161" t="s">
        <v>277</v>
      </c>
      <c r="I14" s="160">
        <v>3.5799999999999996</v>
      </c>
      <c r="J14" s="161" t="s">
        <v>270</v>
      </c>
      <c r="K14" s="160">
        <v>2.94</v>
      </c>
      <c r="L14" s="161" t="s">
        <v>277</v>
      </c>
    </row>
    <row r="15" spans="2:12" x14ac:dyDescent="0.3">
      <c r="B15" s="154" t="s">
        <v>127</v>
      </c>
      <c r="C15" s="154">
        <f>'1'!$C$12</f>
        <v>2.88</v>
      </c>
      <c r="D15" s="155">
        <v>1550</v>
      </c>
      <c r="E15" s="160">
        <v>1.1100000000000001</v>
      </c>
      <c r="F15" s="161" t="s">
        <v>277</v>
      </c>
      <c r="G15" s="160">
        <v>1.1100000000000001</v>
      </c>
      <c r="H15" s="161" t="s">
        <v>277</v>
      </c>
      <c r="I15" s="160">
        <v>3.9899999999999998</v>
      </c>
      <c r="J15" s="161" t="s">
        <v>255</v>
      </c>
      <c r="K15" s="160">
        <v>3.28</v>
      </c>
      <c r="L15" s="161" t="s">
        <v>257</v>
      </c>
    </row>
    <row r="16" spans="2:12" x14ac:dyDescent="0.3">
      <c r="B16" s="154" t="s">
        <v>128</v>
      </c>
      <c r="C16" s="154">
        <f>'1'!$C$12</f>
        <v>2.88</v>
      </c>
      <c r="D16" s="155">
        <v>1550</v>
      </c>
      <c r="E16" s="160">
        <v>2.5499999999999998</v>
      </c>
      <c r="F16" s="161" t="s">
        <v>277</v>
      </c>
      <c r="G16" s="160">
        <v>2.5499999999999998</v>
      </c>
      <c r="H16" s="161" t="s">
        <v>277</v>
      </c>
      <c r="I16" s="160">
        <v>8.09</v>
      </c>
      <c r="J16" s="161" t="s">
        <v>272</v>
      </c>
      <c r="K16" s="160">
        <v>5.9399999999999995</v>
      </c>
      <c r="L16" s="161" t="s">
        <v>273</v>
      </c>
    </row>
    <row r="17" spans="2:12" x14ac:dyDescent="0.3">
      <c r="B17" s="154" t="s">
        <v>129</v>
      </c>
      <c r="C17" s="154">
        <f>'1'!$C$12</f>
        <v>2.88</v>
      </c>
      <c r="D17" s="155">
        <v>1390</v>
      </c>
      <c r="E17" s="160">
        <v>0.36</v>
      </c>
      <c r="F17" s="161" t="s">
        <v>277</v>
      </c>
      <c r="G17" s="160">
        <v>0.36</v>
      </c>
      <c r="H17" s="161" t="s">
        <v>277</v>
      </c>
      <c r="I17" s="160">
        <v>1.02</v>
      </c>
      <c r="J17" s="161" t="s">
        <v>277</v>
      </c>
      <c r="K17" s="160">
        <v>0.79</v>
      </c>
      <c r="L17" s="161" t="s">
        <v>277</v>
      </c>
    </row>
    <row r="18" spans="2:12" x14ac:dyDescent="0.3">
      <c r="B18" s="154" t="s">
        <v>130</v>
      </c>
      <c r="C18" s="154">
        <f>'1'!$C$12</f>
        <v>2.88</v>
      </c>
      <c r="D18" s="155">
        <v>1390</v>
      </c>
      <c r="E18" s="160">
        <v>0.3</v>
      </c>
      <c r="F18" s="161" t="s">
        <v>277</v>
      </c>
      <c r="G18" s="160">
        <v>0.3</v>
      </c>
      <c r="H18" s="161" t="s">
        <v>277</v>
      </c>
      <c r="I18" s="160">
        <v>0.43</v>
      </c>
      <c r="J18" s="161" t="s">
        <v>277</v>
      </c>
      <c r="K18" s="160">
        <v>0.29000000000000004</v>
      </c>
      <c r="L18" s="161" t="s">
        <v>277</v>
      </c>
    </row>
    <row r="19" spans="2:12" x14ac:dyDescent="0.3">
      <c r="B19" s="154" t="s">
        <v>131</v>
      </c>
      <c r="C19" s="154">
        <f>'1'!$C$12</f>
        <v>2.88</v>
      </c>
      <c r="D19" s="155">
        <v>1390</v>
      </c>
      <c r="E19" s="160">
        <v>1.28</v>
      </c>
      <c r="F19" s="161" t="s">
        <v>277</v>
      </c>
      <c r="G19" s="160">
        <v>1.28</v>
      </c>
      <c r="H19" s="161" t="s">
        <v>277</v>
      </c>
      <c r="I19" s="160">
        <v>1.81</v>
      </c>
      <c r="J19" s="161" t="s">
        <v>277</v>
      </c>
      <c r="K19" s="160">
        <v>1.24</v>
      </c>
      <c r="L19" s="161" t="s">
        <v>277</v>
      </c>
    </row>
    <row r="20" spans="2:12" x14ac:dyDescent="0.3">
      <c r="B20" s="154" t="s">
        <v>132</v>
      </c>
      <c r="C20" s="154">
        <f>'1'!$C$12</f>
        <v>2.88</v>
      </c>
      <c r="D20" s="155">
        <v>1070</v>
      </c>
      <c r="E20" s="160">
        <v>0.6</v>
      </c>
      <c r="F20" s="161" t="s">
        <v>277</v>
      </c>
      <c r="G20" s="160">
        <v>0.6</v>
      </c>
      <c r="H20" s="161" t="s">
        <v>277</v>
      </c>
      <c r="I20" s="160">
        <v>2.6599999999999997</v>
      </c>
      <c r="J20" s="161" t="s">
        <v>277</v>
      </c>
      <c r="K20" s="160">
        <v>2.46</v>
      </c>
      <c r="L20" s="161" t="s">
        <v>277</v>
      </c>
    </row>
    <row r="21" spans="2:12" x14ac:dyDescent="0.3">
      <c r="B21" s="154" t="s">
        <v>133</v>
      </c>
      <c r="C21" s="154">
        <f>'1'!$C$12</f>
        <v>2.88</v>
      </c>
      <c r="D21" s="155">
        <v>1070</v>
      </c>
      <c r="E21" s="160">
        <v>0.99</v>
      </c>
      <c r="F21" s="161" t="s">
        <v>277</v>
      </c>
      <c r="G21" s="160">
        <v>0.99</v>
      </c>
      <c r="H21" s="161" t="s">
        <v>277</v>
      </c>
      <c r="I21" s="160">
        <v>4.04</v>
      </c>
      <c r="J21" s="161" t="s">
        <v>274</v>
      </c>
      <c r="K21" s="160">
        <v>3.5</v>
      </c>
      <c r="L21" s="161" t="s">
        <v>270</v>
      </c>
    </row>
    <row r="22" spans="2:12" x14ac:dyDescent="0.3">
      <c r="B22" s="154" t="s">
        <v>134</v>
      </c>
      <c r="C22" s="154">
        <f>'1'!$C$12</f>
        <v>2.88</v>
      </c>
      <c r="D22" s="155">
        <v>1230</v>
      </c>
      <c r="E22" s="160">
        <v>0.35000000000000003</v>
      </c>
      <c r="F22" s="161" t="s">
        <v>277</v>
      </c>
      <c r="G22" s="160">
        <v>0.35000000000000003</v>
      </c>
      <c r="H22" s="161" t="s">
        <v>277</v>
      </c>
      <c r="I22" s="160">
        <v>0.52</v>
      </c>
      <c r="J22" s="161" t="s">
        <v>277</v>
      </c>
      <c r="K22" s="160">
        <v>0.37</v>
      </c>
      <c r="L22" s="161" t="s">
        <v>277</v>
      </c>
    </row>
    <row r="23" spans="2:12" x14ac:dyDescent="0.3">
      <c r="B23" s="154" t="s">
        <v>135</v>
      </c>
      <c r="C23" s="154">
        <f>'1'!$C$12</f>
        <v>2.88</v>
      </c>
      <c r="D23" s="155">
        <v>1390</v>
      </c>
      <c r="E23" s="160">
        <v>0.49</v>
      </c>
      <c r="F23" s="161" t="s">
        <v>277</v>
      </c>
      <c r="G23" s="160">
        <v>0.49</v>
      </c>
      <c r="H23" s="161" t="s">
        <v>277</v>
      </c>
      <c r="I23" s="160">
        <v>1.25</v>
      </c>
      <c r="J23" s="161" t="s">
        <v>277</v>
      </c>
      <c r="K23" s="160">
        <v>0.89</v>
      </c>
      <c r="L23" s="161" t="s">
        <v>277</v>
      </c>
    </row>
    <row r="24" spans="2:12" x14ac:dyDescent="0.3">
      <c r="B24" s="154" t="s">
        <v>136</v>
      </c>
      <c r="C24" s="154">
        <f>'1'!$C$12</f>
        <v>2.88</v>
      </c>
      <c r="D24" s="155">
        <v>1390</v>
      </c>
      <c r="E24" s="160">
        <v>0.37</v>
      </c>
      <c r="F24" s="161" t="s">
        <v>277</v>
      </c>
      <c r="G24" s="160">
        <v>0.37</v>
      </c>
      <c r="H24" s="161" t="s">
        <v>277</v>
      </c>
      <c r="I24" s="160">
        <v>1.17</v>
      </c>
      <c r="J24" s="161" t="s">
        <v>277</v>
      </c>
      <c r="K24" s="160">
        <v>0.82000000000000006</v>
      </c>
      <c r="L24" s="161" t="s">
        <v>277</v>
      </c>
    </row>
    <row r="25" spans="2:12" ht="15" thickBot="1" x14ac:dyDescent="0.35">
      <c r="B25" s="162" t="s">
        <v>138</v>
      </c>
      <c r="C25" s="162">
        <f>'1'!$C$12</f>
        <v>2.88</v>
      </c>
      <c r="D25" s="163">
        <v>1390</v>
      </c>
      <c r="E25" s="164">
        <v>0.39</v>
      </c>
      <c r="F25" s="165" t="s">
        <v>277</v>
      </c>
      <c r="G25" s="164">
        <v>0.39</v>
      </c>
      <c r="H25" s="165" t="s">
        <v>277</v>
      </c>
      <c r="I25" s="164">
        <v>0.56000000000000005</v>
      </c>
      <c r="J25" s="165" t="s">
        <v>277</v>
      </c>
      <c r="K25" s="164">
        <v>0.38</v>
      </c>
      <c r="L25" s="165" t="s">
        <v>277</v>
      </c>
    </row>
  </sheetData>
  <mergeCells count="10">
    <mergeCell ref="B2:F2"/>
    <mergeCell ref="G2:I2"/>
    <mergeCell ref="J2:L2"/>
    <mergeCell ref="B3:B4"/>
    <mergeCell ref="C3:C4"/>
    <mergeCell ref="D3:D4"/>
    <mergeCell ref="E3:F3"/>
    <mergeCell ref="G3:H3"/>
    <mergeCell ref="I3:J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B2:Z113"/>
  <sheetViews>
    <sheetView showGridLines="0" topLeftCell="L53" zoomScale="80" zoomScaleNormal="80" workbookViewId="0">
      <selection activeCell="C82" sqref="C82:X82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4" width="17.109375" customWidth="1"/>
  </cols>
  <sheetData>
    <row r="2" spans="2:21" ht="18" x14ac:dyDescent="0.35">
      <c r="B2" s="52" t="s">
        <v>140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41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3.57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idden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159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161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139</v>
      </c>
      <c r="D39" s="74" t="s">
        <v>141</v>
      </c>
      <c r="E39" s="74" t="s">
        <v>142</v>
      </c>
      <c r="F39" s="74" t="s">
        <v>143</v>
      </c>
      <c r="G39" s="74" t="s">
        <v>144</v>
      </c>
      <c r="H39" s="74" t="s">
        <v>145</v>
      </c>
      <c r="I39" s="74" t="s">
        <v>146</v>
      </c>
      <c r="J39" s="74" t="s">
        <v>147</v>
      </c>
      <c r="K39" s="74" t="s">
        <v>148</v>
      </c>
      <c r="L39" s="74" t="s">
        <v>149</v>
      </c>
      <c r="M39" s="74" t="s">
        <v>150</v>
      </c>
      <c r="N39" s="74" t="s">
        <v>151</v>
      </c>
      <c r="O39" s="74" t="s">
        <v>152</v>
      </c>
      <c r="P39" s="74" t="s">
        <v>153</v>
      </c>
      <c r="Q39" s="74" t="s">
        <v>154</v>
      </c>
      <c r="R39" s="74" t="s">
        <v>155</v>
      </c>
      <c r="S39" s="74" t="s">
        <v>156</v>
      </c>
      <c r="T39" s="74" t="s">
        <v>157</v>
      </c>
      <c r="U39" s="74" t="s">
        <v>158</v>
      </c>
      <c r="V39" s="74" t="s">
        <v>159</v>
      </c>
      <c r="W39" s="74" t="s">
        <v>160</v>
      </c>
      <c r="X39" s="74" t="s">
        <v>161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W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ref="X46" si="5">ROUNDUP(X42/X41,1)</f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IF(C46&lt;=2,VLOOKUP(C44&amp;C46-0.1,tablas!$B$3:$J$92,8,FALSE),"Franja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IF(C46&lt;=2,VLOOKUP(C44&amp;C46-0.1,tablas!$B$3:$J$92,9,FALSE),"Franja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IF(C46&lt;=2,VLOOKUP(C44&amp;C46-0.1,tablas!$B$3:$J$92,4,FALSE),"Franja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IF(C46&lt;=2,VLOOKUP(C44&amp;C46-0.1,tablas!$B$3:$J$92,5,FALSE),"Franja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6">VLOOKUP(D$39,$B$16:$H$35,6)</f>
        <v>200</v>
      </c>
      <c r="E56" s="84">
        <f t="shared" si="6"/>
        <v>200</v>
      </c>
      <c r="F56" s="84">
        <f t="shared" si="6"/>
        <v>200</v>
      </c>
      <c r="G56" s="84">
        <f t="shared" si="6"/>
        <v>200</v>
      </c>
      <c r="H56" s="84">
        <f t="shared" si="6"/>
        <v>200</v>
      </c>
      <c r="I56" s="84">
        <f t="shared" si="6"/>
        <v>400</v>
      </c>
      <c r="J56" s="84">
        <f t="shared" si="6"/>
        <v>400</v>
      </c>
      <c r="K56" s="84">
        <f t="shared" si="6"/>
        <v>400</v>
      </c>
      <c r="L56" s="84">
        <f t="shared" si="6"/>
        <v>200</v>
      </c>
      <c r="M56" s="84">
        <f t="shared" si="6"/>
        <v>200</v>
      </c>
      <c r="N56" s="84">
        <f t="shared" si="6"/>
        <v>300</v>
      </c>
      <c r="O56" s="84">
        <f t="shared" si="6"/>
        <v>300</v>
      </c>
      <c r="P56" s="84">
        <f t="shared" si="6"/>
        <v>300</v>
      </c>
      <c r="Q56" s="84">
        <f t="shared" si="6"/>
        <v>300</v>
      </c>
      <c r="R56" s="84">
        <f t="shared" si="6"/>
        <v>300</v>
      </c>
      <c r="S56" s="84">
        <f t="shared" si="6"/>
        <v>300</v>
      </c>
      <c r="T56" s="84">
        <f t="shared" si="6"/>
        <v>300</v>
      </c>
      <c r="U56" s="84">
        <f t="shared" si="6"/>
        <v>300</v>
      </c>
      <c r="V56" s="84">
        <f t="shared" si="6"/>
        <v>300</v>
      </c>
      <c r="W56" s="84">
        <f t="shared" si="6"/>
        <v>300</v>
      </c>
      <c r="X56" s="84">
        <f t="shared" si="6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7">$L$7*($C$4/100)</f>
        <v>400</v>
      </c>
      <c r="F57" s="77">
        <f t="shared" si="7"/>
        <v>400</v>
      </c>
      <c r="G57" s="77">
        <f t="shared" si="7"/>
        <v>400</v>
      </c>
      <c r="H57" s="77">
        <f t="shared" si="7"/>
        <v>400</v>
      </c>
      <c r="I57" s="77">
        <f t="shared" si="7"/>
        <v>400</v>
      </c>
      <c r="J57" s="77">
        <f t="shared" si="7"/>
        <v>400</v>
      </c>
      <c r="K57" s="77">
        <f t="shared" si="7"/>
        <v>400</v>
      </c>
      <c r="L57" s="77">
        <f t="shared" si="7"/>
        <v>400</v>
      </c>
      <c r="M57" s="77">
        <f t="shared" si="7"/>
        <v>400</v>
      </c>
      <c r="N57" s="77">
        <f t="shared" si="7"/>
        <v>400</v>
      </c>
      <c r="O57" s="77">
        <f t="shared" si="7"/>
        <v>400</v>
      </c>
      <c r="P57" s="77">
        <f>$L$7*($C$4/100)</f>
        <v>400</v>
      </c>
      <c r="Q57" s="77">
        <f t="shared" si="7"/>
        <v>400</v>
      </c>
      <c r="R57" s="77">
        <f t="shared" si="7"/>
        <v>400</v>
      </c>
      <c r="S57" s="77">
        <f t="shared" si="7"/>
        <v>400</v>
      </c>
      <c r="T57" s="77">
        <f t="shared" si="7"/>
        <v>400</v>
      </c>
      <c r="U57" s="77">
        <f t="shared" si="7"/>
        <v>400</v>
      </c>
      <c r="V57" s="77">
        <f t="shared" si="7"/>
        <v>400</v>
      </c>
      <c r="W57" s="77">
        <f t="shared" si="7"/>
        <v>400</v>
      </c>
      <c r="X57" s="77">
        <f t="shared" si="7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8">E57+$I$8</f>
        <v>625</v>
      </c>
      <c r="F58" s="77">
        <f t="shared" si="8"/>
        <v>625</v>
      </c>
      <c r="G58" s="77">
        <f t="shared" si="8"/>
        <v>625</v>
      </c>
      <c r="H58" s="77">
        <f t="shared" si="8"/>
        <v>625</v>
      </c>
      <c r="I58" s="77">
        <f t="shared" si="8"/>
        <v>625</v>
      </c>
      <c r="J58" s="77">
        <f t="shared" si="8"/>
        <v>625</v>
      </c>
      <c r="K58" s="77">
        <f t="shared" si="8"/>
        <v>625</v>
      </c>
      <c r="L58" s="77">
        <f t="shared" si="8"/>
        <v>625</v>
      </c>
      <c r="M58" s="77">
        <f t="shared" si="8"/>
        <v>625</v>
      </c>
      <c r="N58" s="77">
        <f t="shared" si="8"/>
        <v>625</v>
      </c>
      <c r="O58" s="77">
        <f t="shared" si="8"/>
        <v>625</v>
      </c>
      <c r="P58" s="77">
        <f t="shared" si="8"/>
        <v>625</v>
      </c>
      <c r="Q58" s="77">
        <f t="shared" si="8"/>
        <v>625</v>
      </c>
      <c r="R58" s="77">
        <f t="shared" si="8"/>
        <v>625</v>
      </c>
      <c r="S58" s="77">
        <f t="shared" si="8"/>
        <v>625</v>
      </c>
      <c r="T58" s="77">
        <f t="shared" si="8"/>
        <v>625</v>
      </c>
      <c r="U58" s="77">
        <f t="shared" si="8"/>
        <v>625</v>
      </c>
      <c r="V58" s="77">
        <f t="shared" si="8"/>
        <v>625</v>
      </c>
      <c r="W58" s="77">
        <f t="shared" si="8"/>
        <v>625</v>
      </c>
      <c r="X58" s="77">
        <f t="shared" si="8"/>
        <v>625</v>
      </c>
    </row>
    <row r="59" spans="2:24" x14ac:dyDescent="0.3">
      <c r="B59" s="97" t="s">
        <v>91</v>
      </c>
      <c r="C59" s="76">
        <f>1.2*C58+1.6*C56</f>
        <v>1070</v>
      </c>
      <c r="D59" s="76">
        <f t="shared" ref="D59:X59" si="9">1.2*D58+1.6*D56</f>
        <v>1070</v>
      </c>
      <c r="E59" s="76">
        <f t="shared" si="9"/>
        <v>1070</v>
      </c>
      <c r="F59" s="76">
        <f t="shared" si="9"/>
        <v>1070</v>
      </c>
      <c r="G59" s="76">
        <f t="shared" si="9"/>
        <v>1070</v>
      </c>
      <c r="H59" s="76">
        <f t="shared" si="9"/>
        <v>1070</v>
      </c>
      <c r="I59" s="76">
        <f t="shared" si="9"/>
        <v>1390</v>
      </c>
      <c r="J59" s="76">
        <f t="shared" si="9"/>
        <v>1390</v>
      </c>
      <c r="K59" s="76">
        <f t="shared" si="9"/>
        <v>1390</v>
      </c>
      <c r="L59" s="76">
        <f t="shared" si="9"/>
        <v>1070</v>
      </c>
      <c r="M59" s="76">
        <f t="shared" si="9"/>
        <v>1070</v>
      </c>
      <c r="N59" s="76">
        <f t="shared" si="9"/>
        <v>1230</v>
      </c>
      <c r="O59" s="76">
        <f t="shared" si="9"/>
        <v>1230</v>
      </c>
      <c r="P59" s="76">
        <f t="shared" si="9"/>
        <v>1230</v>
      </c>
      <c r="Q59" s="76">
        <f t="shared" si="9"/>
        <v>1230</v>
      </c>
      <c r="R59" s="76">
        <f t="shared" si="9"/>
        <v>1230</v>
      </c>
      <c r="S59" s="76">
        <f t="shared" si="9"/>
        <v>1230</v>
      </c>
      <c r="T59" s="76">
        <f t="shared" si="9"/>
        <v>1230</v>
      </c>
      <c r="U59" s="76">
        <f t="shared" si="9"/>
        <v>1230</v>
      </c>
      <c r="V59" s="76">
        <f t="shared" si="9"/>
        <v>1230</v>
      </c>
      <c r="W59" s="76">
        <f t="shared" si="9"/>
        <v>1230</v>
      </c>
      <c r="X59" s="76">
        <f t="shared" si="9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10">E59*E41*E42</f>
        <v>27862.799999999999</v>
      </c>
      <c r="F60" s="86">
        <f t="shared" si="10"/>
        <v>51075.915000000001</v>
      </c>
      <c r="G60" s="86">
        <f t="shared" si="10"/>
        <v>43342.704000000005</v>
      </c>
      <c r="H60" s="86">
        <f t="shared" si="10"/>
        <v>26856.999999999996</v>
      </c>
      <c r="I60" s="86">
        <f t="shared" si="10"/>
        <v>11792.76</v>
      </c>
      <c r="J60" s="86">
        <f t="shared" si="10"/>
        <v>21795.199999999997</v>
      </c>
      <c r="K60" s="86">
        <f t="shared" si="10"/>
        <v>25637.16</v>
      </c>
      <c r="L60" s="86">
        <f>L59*L41*L42</f>
        <v>26856.999999999996</v>
      </c>
      <c r="M60" s="86">
        <f t="shared" si="10"/>
        <v>40415.826000000008</v>
      </c>
      <c r="N60" s="86">
        <f t="shared" si="10"/>
        <v>9899.4089999999997</v>
      </c>
      <c r="O60" s="86">
        <f t="shared" si="10"/>
        <v>10400.879999999999</v>
      </c>
      <c r="P60" s="86">
        <f t="shared" si="10"/>
        <v>10400.879999999999</v>
      </c>
      <c r="Q60" s="86">
        <f t="shared" si="10"/>
        <v>9750.8249999999989</v>
      </c>
      <c r="R60" s="86">
        <f t="shared" si="10"/>
        <v>4899.3360000000002</v>
      </c>
      <c r="S60" s="86">
        <f t="shared" si="10"/>
        <v>4899.3360000000002</v>
      </c>
      <c r="T60" s="86">
        <f t="shared" si="10"/>
        <v>11553.882</v>
      </c>
      <c r="U60" s="86">
        <f t="shared" si="10"/>
        <v>11685.737999999999</v>
      </c>
      <c r="V60" s="86">
        <f t="shared" si="10"/>
        <v>3486.0660000000003</v>
      </c>
      <c r="W60" s="86">
        <f t="shared" si="10"/>
        <v>3297.63</v>
      </c>
      <c r="X60" s="86">
        <f t="shared" si="10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W61" si="11">E56/(2*E59)</f>
        <v>9.3457943925233641E-2</v>
      </c>
      <c r="F61" s="88">
        <f t="shared" si="11"/>
        <v>9.3457943925233641E-2</v>
      </c>
      <c r="G61" s="88">
        <f t="shared" si="11"/>
        <v>9.3457943925233641E-2</v>
      </c>
      <c r="H61" s="88">
        <f t="shared" si="11"/>
        <v>9.3457943925233641E-2</v>
      </c>
      <c r="I61" s="88">
        <f t="shared" si="11"/>
        <v>0.14388489208633093</v>
      </c>
      <c r="J61" s="88">
        <f t="shared" si="11"/>
        <v>0.14388489208633093</v>
      </c>
      <c r="K61" s="88">
        <f t="shared" si="11"/>
        <v>0.14388489208633093</v>
      </c>
      <c r="L61" s="88">
        <f t="shared" si="11"/>
        <v>9.3457943925233641E-2</v>
      </c>
      <c r="M61" s="88">
        <f t="shared" si="11"/>
        <v>9.3457943925233641E-2</v>
      </c>
      <c r="N61" s="88">
        <f t="shared" si="11"/>
        <v>0.12195121951219512</v>
      </c>
      <c r="O61" s="88">
        <f t="shared" si="11"/>
        <v>0.12195121951219512</v>
      </c>
      <c r="P61" s="88">
        <f t="shared" si="11"/>
        <v>0.12195121951219512</v>
      </c>
      <c r="Q61" s="88">
        <f t="shared" si="11"/>
        <v>0.12195121951219512</v>
      </c>
      <c r="R61" s="88">
        <f t="shared" si="11"/>
        <v>0.12195121951219512</v>
      </c>
      <c r="S61" s="88">
        <f t="shared" si="11"/>
        <v>0.12195121951219512</v>
      </c>
      <c r="T61" s="88">
        <f t="shared" si="11"/>
        <v>0.12195121951219512</v>
      </c>
      <c r="U61" s="88">
        <f t="shared" si="11"/>
        <v>0.12195121951219512</v>
      </c>
      <c r="V61" s="88">
        <f t="shared" si="11"/>
        <v>0.12195121951219512</v>
      </c>
      <c r="W61" s="88">
        <f t="shared" si="11"/>
        <v>0.12195121951219512</v>
      </c>
      <c r="X61" s="88">
        <f t="shared" ref="X61" si="12">X56/(2*X59)</f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3">IF(D46&lt;=2,D60/D49*(1+D61*D53)*D47,IF(OR(D44=6,D44="5a",D44="3a"),D59*D41^2/17,(IF(OR(D44="2a",D44=4,D44="5b"),D59*D41^2/12,IF(OR(D44=1,D44="2b",D44="3b"),D59*D41^2/8)))))</f>
        <v>382.94930973451329</v>
      </c>
      <c r="E63" s="89">
        <f t="shared" si="13"/>
        <v>382.94930973451329</v>
      </c>
      <c r="F63" s="89">
        <f t="shared" si="13"/>
        <v>728.41134551569496</v>
      </c>
      <c r="G63" s="89">
        <f t="shared" si="13"/>
        <v>567.10080000000005</v>
      </c>
      <c r="H63" s="89">
        <f t="shared" si="13"/>
        <v>319.93836291913209</v>
      </c>
      <c r="I63" s="89">
        <f t="shared" si="13"/>
        <v>258.93168000000003</v>
      </c>
      <c r="J63" s="89">
        <f t="shared" si="13"/>
        <v>160.25882352941176</v>
      </c>
      <c r="K63" s="89">
        <f t="shared" si="13"/>
        <v>687.64117647058822</v>
      </c>
      <c r="L63" s="89">
        <f t="shared" si="13"/>
        <v>319.93836291913209</v>
      </c>
      <c r="M63" s="89">
        <f t="shared" si="13"/>
        <v>528.80520000000013</v>
      </c>
      <c r="N63" s="89">
        <f t="shared" si="13"/>
        <v>233.71025</v>
      </c>
      <c r="O63" s="89">
        <f t="shared" si="13"/>
        <v>233.71025</v>
      </c>
      <c r="P63" s="89">
        <f t="shared" si="13"/>
        <v>233.71025</v>
      </c>
      <c r="Q63" s="89">
        <f t="shared" si="13"/>
        <v>233.71025</v>
      </c>
      <c r="R63" s="89">
        <f t="shared" si="13"/>
        <v>110.86400000000002</v>
      </c>
      <c r="S63" s="89">
        <f t="shared" si="13"/>
        <v>110.86400000000002</v>
      </c>
      <c r="T63" s="89">
        <f t="shared" si="13"/>
        <v>184.04900000000001</v>
      </c>
      <c r="U63" s="89">
        <f t="shared" si="13"/>
        <v>184.04900000000001</v>
      </c>
      <c r="V63" s="89">
        <f t="shared" si="13"/>
        <v>56.128999999999998</v>
      </c>
      <c r="W63" s="89">
        <f t="shared" si="13"/>
        <v>50.224999999999994</v>
      </c>
      <c r="X63" s="89">
        <f t="shared" si="13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4">D63/(0.9*(0.9*($C$7/100))*($L$9*1000))</f>
        <v>0.78901356074460016</v>
      </c>
      <c r="E64" s="90">
        <f t="shared" si="14"/>
        <v>0.78901356074460016</v>
      </c>
      <c r="F64" s="90">
        <f t="shared" si="14"/>
        <v>1.500789829887782</v>
      </c>
      <c r="G64" s="90">
        <f t="shared" si="14"/>
        <v>1.1684319833852541</v>
      </c>
      <c r="H64" s="90">
        <f t="shared" si="14"/>
        <v>0.65918830646444637</v>
      </c>
      <c r="I64" s="90">
        <f t="shared" si="14"/>
        <v>0.53349255797853923</v>
      </c>
      <c r="J64" s="90">
        <f t="shared" si="14"/>
        <v>0.33019092025872299</v>
      </c>
      <c r="K64" s="90">
        <f t="shared" si="14"/>
        <v>1.4167885915182961</v>
      </c>
      <c r="L64" s="90">
        <f t="shared" si="14"/>
        <v>0.65918830646444637</v>
      </c>
      <c r="M64" s="90">
        <f t="shared" si="14"/>
        <v>1.0895292488750432</v>
      </c>
      <c r="N64" s="90">
        <f t="shared" si="14"/>
        <v>0.48152732449850816</v>
      </c>
      <c r="O64" s="90">
        <f t="shared" si="14"/>
        <v>0.48152732449850816</v>
      </c>
      <c r="P64" s="90">
        <f t="shared" si="14"/>
        <v>0.48152732449850816</v>
      </c>
      <c r="Q64" s="90">
        <f t="shared" si="14"/>
        <v>0.48152732449850816</v>
      </c>
      <c r="R64" s="90">
        <f t="shared" si="14"/>
        <v>0.22841978605218477</v>
      </c>
      <c r="S64" s="90">
        <f t="shared" si="14"/>
        <v>0.22841978605218477</v>
      </c>
      <c r="T64" s="90">
        <f t="shared" si="14"/>
        <v>0.37920725576488806</v>
      </c>
      <c r="U64" s="90">
        <f t="shared" si="14"/>
        <v>0.37920725576488806</v>
      </c>
      <c r="V64" s="90">
        <f t="shared" si="14"/>
        <v>0.11564596416621335</v>
      </c>
      <c r="W64" s="90">
        <f t="shared" si="14"/>
        <v>0.10348159686165913</v>
      </c>
      <c r="X64" s="90">
        <f t="shared" si="14"/>
        <v>0.54610639244761316</v>
      </c>
    </row>
    <row r="65" spans="2:24" x14ac:dyDescent="0.3">
      <c r="B65" s="97" t="s">
        <v>98</v>
      </c>
      <c r="C65" s="92">
        <f>(C64*($L$9))/(0.85*$L$6*100)</f>
        <v>2.674290288991649E-2</v>
      </c>
      <c r="D65" s="92">
        <f t="shared" ref="D65:X65" si="15">(D64*($L$9))/(0.85*$L$6*100)</f>
        <v>1.1128614401011332E-2</v>
      </c>
      <c r="E65" s="92">
        <f t="shared" si="15"/>
        <v>1.1128614401011332E-2</v>
      </c>
      <c r="F65" s="92">
        <f t="shared" si="15"/>
        <v>2.1167838101564369E-2</v>
      </c>
      <c r="G65" s="92">
        <f t="shared" si="15"/>
        <v>1.6480108383222565E-2</v>
      </c>
      <c r="H65" s="92">
        <f t="shared" si="15"/>
        <v>9.2974986049360053E-3</v>
      </c>
      <c r="I65" s="92">
        <f t="shared" si="15"/>
        <v>7.5246272801059427E-3</v>
      </c>
      <c r="J65" s="92">
        <f t="shared" si="15"/>
        <v>4.6571663822947253E-3</v>
      </c>
      <c r="K65" s="92">
        <f t="shared" si="15"/>
        <v>1.9983045548519714E-2</v>
      </c>
      <c r="L65" s="92">
        <f t="shared" si="15"/>
        <v>9.2974986049360053E-3</v>
      </c>
      <c r="M65" s="92">
        <f t="shared" si="15"/>
        <v>1.5367227501022195E-2</v>
      </c>
      <c r="N65" s="92">
        <f t="shared" si="15"/>
        <v>6.7916854468730112E-3</v>
      </c>
      <c r="O65" s="92">
        <f t="shared" si="15"/>
        <v>6.7916854468730112E-3</v>
      </c>
      <c r="P65" s="92">
        <f t="shared" si="15"/>
        <v>6.7916854468730112E-3</v>
      </c>
      <c r="Q65" s="92">
        <f t="shared" si="15"/>
        <v>6.7916854468730112E-3</v>
      </c>
      <c r="R65" s="92">
        <f t="shared" si="15"/>
        <v>3.2217389497556461E-3</v>
      </c>
      <c r="S65" s="92">
        <f t="shared" si="15"/>
        <v>3.2217389497556461E-3</v>
      </c>
      <c r="T65" s="92">
        <f t="shared" si="15"/>
        <v>5.3485155863362034E-3</v>
      </c>
      <c r="U65" s="92">
        <f t="shared" si="15"/>
        <v>5.3485155863362034E-3</v>
      </c>
      <c r="V65" s="92">
        <f t="shared" si="15"/>
        <v>1.6311244904643044E-3</v>
      </c>
      <c r="W65" s="92">
        <f t="shared" si="15"/>
        <v>1.4595525937317552E-3</v>
      </c>
      <c r="X65" s="92">
        <f t="shared" si="15"/>
        <v>7.7025386708709336E-3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6">ROUNDUP(D63/(0.9*(($C$7-D65/2)/100)*($L$9*1000)),2)</f>
        <v>0.72</v>
      </c>
      <c r="E66" s="76">
        <f t="shared" si="16"/>
        <v>0.72</v>
      </c>
      <c r="F66" s="76">
        <f t="shared" si="16"/>
        <v>1.36</v>
      </c>
      <c r="G66" s="76">
        <f t="shared" si="16"/>
        <v>1.06</v>
      </c>
      <c r="H66" s="76">
        <f t="shared" si="16"/>
        <v>0.6</v>
      </c>
      <c r="I66" s="76">
        <f t="shared" si="16"/>
        <v>0.49</v>
      </c>
      <c r="J66" s="76">
        <f t="shared" si="16"/>
        <v>0.3</v>
      </c>
      <c r="K66" s="76">
        <f t="shared" si="16"/>
        <v>1.28</v>
      </c>
      <c r="L66" s="76">
        <f t="shared" si="16"/>
        <v>0.6</v>
      </c>
      <c r="M66" s="76">
        <f t="shared" si="16"/>
        <v>0.99</v>
      </c>
      <c r="N66" s="76">
        <f t="shared" si="16"/>
        <v>0.44</v>
      </c>
      <c r="O66" s="76">
        <f t="shared" si="16"/>
        <v>0.44</v>
      </c>
      <c r="P66" s="76">
        <f t="shared" si="16"/>
        <v>0.44</v>
      </c>
      <c r="Q66" s="76">
        <f t="shared" si="16"/>
        <v>0.44</v>
      </c>
      <c r="R66" s="76">
        <f t="shared" si="16"/>
        <v>0.21000000000000002</v>
      </c>
      <c r="S66" s="76">
        <f t="shared" si="16"/>
        <v>0.21000000000000002</v>
      </c>
      <c r="T66" s="76">
        <f t="shared" si="16"/>
        <v>0.35000000000000003</v>
      </c>
      <c r="U66" s="76">
        <f t="shared" si="16"/>
        <v>0.35000000000000003</v>
      </c>
      <c r="V66" s="76">
        <f t="shared" si="16"/>
        <v>0.11</v>
      </c>
      <c r="W66" s="76">
        <f t="shared" si="16"/>
        <v>9.9999999999999992E-2</v>
      </c>
      <c r="X66" s="76">
        <f t="shared" si="16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7">IF(D46&lt;=2,D60/D49*(1+D61*D53)*D47,"-")</f>
        <v>382.94930973451329</v>
      </c>
      <c r="E68" s="89">
        <f t="shared" si="17"/>
        <v>382.94930973451329</v>
      </c>
      <c r="F68" s="89">
        <f t="shared" si="17"/>
        <v>728.41134551569496</v>
      </c>
      <c r="G68" s="89">
        <f t="shared" si="17"/>
        <v>567.10080000000005</v>
      </c>
      <c r="H68" s="89">
        <f t="shared" si="17"/>
        <v>319.93836291913209</v>
      </c>
      <c r="I68" s="89">
        <f t="shared" si="17"/>
        <v>258.93168000000003</v>
      </c>
      <c r="J68" s="89" t="str">
        <f t="shared" si="17"/>
        <v>-</v>
      </c>
      <c r="K68" s="89" t="str">
        <f t="shared" si="17"/>
        <v>-</v>
      </c>
      <c r="L68" s="89">
        <f t="shared" si="17"/>
        <v>319.93836291913209</v>
      </c>
      <c r="M68" s="89">
        <f t="shared" si="17"/>
        <v>528.80520000000013</v>
      </c>
      <c r="N68" s="89" t="str">
        <f t="shared" si="17"/>
        <v>-</v>
      </c>
      <c r="O68" s="89" t="str">
        <f t="shared" si="17"/>
        <v>-</v>
      </c>
      <c r="P68" s="89" t="str">
        <f t="shared" si="17"/>
        <v>-</v>
      </c>
      <c r="Q68" s="89" t="str">
        <f t="shared" si="17"/>
        <v>-</v>
      </c>
      <c r="R68" s="89" t="str">
        <f t="shared" si="17"/>
        <v>-</v>
      </c>
      <c r="S68" s="89" t="str">
        <f t="shared" si="17"/>
        <v>-</v>
      </c>
      <c r="T68" s="89" t="str">
        <f t="shared" si="17"/>
        <v>-</v>
      </c>
      <c r="U68" s="89" t="str">
        <f t="shared" si="17"/>
        <v>-</v>
      </c>
      <c r="V68" s="89" t="str">
        <f t="shared" si="17"/>
        <v>-</v>
      </c>
      <c r="W68" s="89" t="str">
        <f t="shared" si="17"/>
        <v>-</v>
      </c>
      <c r="X68" s="89">
        <f t="shared" si="17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8">D63/(0.9*(0.9*($C$7/100))*($L$9*1000))</f>
        <v>0.78901356074460016</v>
      </c>
      <c r="E69" s="90">
        <f t="shared" si="18"/>
        <v>0.78901356074460016</v>
      </c>
      <c r="F69" s="90">
        <f t="shared" si="18"/>
        <v>1.500789829887782</v>
      </c>
      <c r="G69" s="90">
        <f t="shared" si="18"/>
        <v>1.1684319833852541</v>
      </c>
      <c r="H69" s="90">
        <f t="shared" si="18"/>
        <v>0.65918830646444637</v>
      </c>
      <c r="I69" s="90">
        <f t="shared" si="18"/>
        <v>0.53349255797853923</v>
      </c>
      <c r="J69" s="90">
        <f t="shared" si="18"/>
        <v>0.33019092025872299</v>
      </c>
      <c r="K69" s="90">
        <f t="shared" si="18"/>
        <v>1.4167885915182961</v>
      </c>
      <c r="L69" s="90">
        <f t="shared" si="18"/>
        <v>0.65918830646444637</v>
      </c>
      <c r="M69" s="90">
        <f t="shared" si="18"/>
        <v>1.0895292488750432</v>
      </c>
      <c r="N69" s="90">
        <f t="shared" si="18"/>
        <v>0.48152732449850816</v>
      </c>
      <c r="O69" s="90">
        <f t="shared" si="18"/>
        <v>0.48152732449850816</v>
      </c>
      <c r="P69" s="90">
        <f t="shared" si="18"/>
        <v>0.48152732449850816</v>
      </c>
      <c r="Q69" s="90">
        <f t="shared" si="18"/>
        <v>0.48152732449850816</v>
      </c>
      <c r="R69" s="90">
        <f t="shared" si="18"/>
        <v>0.22841978605218477</v>
      </c>
      <c r="S69" s="90">
        <f t="shared" si="18"/>
        <v>0.22841978605218477</v>
      </c>
      <c r="T69" s="90">
        <f t="shared" si="18"/>
        <v>0.37920725576488806</v>
      </c>
      <c r="U69" s="90">
        <f t="shared" si="18"/>
        <v>0.37920725576488806</v>
      </c>
      <c r="V69" s="90">
        <f t="shared" si="18"/>
        <v>0.11564596416621335</v>
      </c>
      <c r="W69" s="90">
        <f t="shared" si="18"/>
        <v>0.10348159686165913</v>
      </c>
      <c r="X69" s="90">
        <f t="shared" si="18"/>
        <v>0.54610639244761316</v>
      </c>
    </row>
    <row r="70" spans="2:24" x14ac:dyDescent="0.3">
      <c r="B70" s="97" t="s">
        <v>98</v>
      </c>
      <c r="C70" s="92">
        <f>(C69*($L$9))/(0.85*$L$6*100)</f>
        <v>2.674290288991649E-2</v>
      </c>
      <c r="D70" s="92">
        <f t="shared" ref="D70:X70" si="19">(D69*($L$9))/(0.85*$L$6*100)</f>
        <v>1.1128614401011332E-2</v>
      </c>
      <c r="E70" s="92">
        <f t="shared" si="19"/>
        <v>1.1128614401011332E-2</v>
      </c>
      <c r="F70" s="92">
        <f t="shared" si="19"/>
        <v>2.1167838101564369E-2</v>
      </c>
      <c r="G70" s="92">
        <f t="shared" si="19"/>
        <v>1.6480108383222565E-2</v>
      </c>
      <c r="H70" s="92">
        <f t="shared" si="19"/>
        <v>9.2974986049360053E-3</v>
      </c>
      <c r="I70" s="92">
        <f t="shared" si="19"/>
        <v>7.5246272801059427E-3</v>
      </c>
      <c r="J70" s="92">
        <f t="shared" si="19"/>
        <v>4.6571663822947253E-3</v>
      </c>
      <c r="K70" s="92">
        <f t="shared" si="19"/>
        <v>1.9983045548519714E-2</v>
      </c>
      <c r="L70" s="92">
        <f t="shared" si="19"/>
        <v>9.2974986049360053E-3</v>
      </c>
      <c r="M70" s="92">
        <f t="shared" si="19"/>
        <v>1.5367227501022195E-2</v>
      </c>
      <c r="N70" s="92">
        <f t="shared" si="19"/>
        <v>6.7916854468730112E-3</v>
      </c>
      <c r="O70" s="92">
        <f t="shared" si="19"/>
        <v>6.7916854468730112E-3</v>
      </c>
      <c r="P70" s="92">
        <f t="shared" si="19"/>
        <v>6.7916854468730112E-3</v>
      </c>
      <c r="Q70" s="92">
        <f t="shared" si="19"/>
        <v>6.7916854468730112E-3</v>
      </c>
      <c r="R70" s="92">
        <f t="shared" si="19"/>
        <v>3.2217389497556461E-3</v>
      </c>
      <c r="S70" s="92">
        <f t="shared" si="19"/>
        <v>3.2217389497556461E-3</v>
      </c>
      <c r="T70" s="92">
        <f t="shared" si="19"/>
        <v>5.3485155863362034E-3</v>
      </c>
      <c r="U70" s="92">
        <f t="shared" si="19"/>
        <v>5.3485155863362034E-3</v>
      </c>
      <c r="V70" s="92">
        <f t="shared" si="19"/>
        <v>1.6311244904643044E-3</v>
      </c>
      <c r="W70" s="92">
        <f t="shared" si="19"/>
        <v>1.4595525937317552E-3</v>
      </c>
      <c r="X70" s="92">
        <f t="shared" si="19"/>
        <v>7.7025386708709336E-3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20">ROUNDUP(D63/(0.9*(($C$7-D65/2)/100)*($L$9*1000)),2)</f>
        <v>0.72</v>
      </c>
      <c r="E71" s="76">
        <f t="shared" si="20"/>
        <v>0.72</v>
      </c>
      <c r="F71" s="76">
        <f t="shared" si="20"/>
        <v>1.36</v>
      </c>
      <c r="G71" s="76">
        <f t="shared" si="20"/>
        <v>1.06</v>
      </c>
      <c r="H71" s="76">
        <f t="shared" si="20"/>
        <v>0.6</v>
      </c>
      <c r="I71" s="76">
        <f t="shared" si="20"/>
        <v>0.49</v>
      </c>
      <c r="J71" s="76">
        <f t="shared" si="20"/>
        <v>0.3</v>
      </c>
      <c r="K71" s="76">
        <f t="shared" si="20"/>
        <v>1.28</v>
      </c>
      <c r="L71" s="76">
        <f t="shared" si="20"/>
        <v>0.6</v>
      </c>
      <c r="M71" s="76">
        <f t="shared" si="20"/>
        <v>0.99</v>
      </c>
      <c r="N71" s="76">
        <f t="shared" si="20"/>
        <v>0.44</v>
      </c>
      <c r="O71" s="76">
        <f t="shared" si="20"/>
        <v>0.44</v>
      </c>
      <c r="P71" s="76">
        <f t="shared" si="20"/>
        <v>0.44</v>
      </c>
      <c r="Q71" s="76">
        <f t="shared" si="20"/>
        <v>0.44</v>
      </c>
      <c r="R71" s="76">
        <f t="shared" si="20"/>
        <v>0.21000000000000002</v>
      </c>
      <c r="S71" s="76">
        <f t="shared" si="20"/>
        <v>0.21000000000000002</v>
      </c>
      <c r="T71" s="76">
        <f t="shared" si="20"/>
        <v>0.35000000000000003</v>
      </c>
      <c r="U71" s="76">
        <f t="shared" si="20"/>
        <v>0.35000000000000003</v>
      </c>
      <c r="V71" s="76">
        <f t="shared" si="20"/>
        <v>0.11</v>
      </c>
      <c r="W71" s="76">
        <f t="shared" si="20"/>
        <v>9.9999999999999992E-2</v>
      </c>
      <c r="X71" s="76">
        <f t="shared" si="20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21">IF(D46&lt;=2,D60/D51,IF(OR(D44=6,D44="5a",D44="3a"),D59*D41^2/12,(IF(OR(D44="2a",D44=4,D44="5b"),D59*D41^2/8,"-"))))</f>
        <v>1482.063829787234</v>
      </c>
      <c r="E73" s="89">
        <f t="shared" si="21"/>
        <v>1482.063829787234</v>
      </c>
      <c r="F73" s="89">
        <f t="shared" si="21"/>
        <v>2660.2039062500003</v>
      </c>
      <c r="G73" s="89">
        <f t="shared" si="21"/>
        <v>2330.2529032258067</v>
      </c>
      <c r="H73" s="89">
        <f t="shared" si="21"/>
        <v>1428.5638297872338</v>
      </c>
      <c r="I73" s="89">
        <f t="shared" si="21"/>
        <v>670.04318181818178</v>
      </c>
      <c r="J73" s="89">
        <f t="shared" si="21"/>
        <v>227.0333333333333</v>
      </c>
      <c r="K73" s="89">
        <f t="shared" si="21"/>
        <v>974.1583333333333</v>
      </c>
      <c r="L73" s="89">
        <f t="shared" si="21"/>
        <v>1428.5638297872338</v>
      </c>
      <c r="M73" s="89">
        <f t="shared" si="21"/>
        <v>2172.8938709677423</v>
      </c>
      <c r="N73" s="89">
        <f t="shared" si="21"/>
        <v>350.56537500000002</v>
      </c>
      <c r="O73" s="89">
        <f t="shared" si="21"/>
        <v>350.56537500000002</v>
      </c>
      <c r="P73" s="89">
        <f t="shared" si="21"/>
        <v>350.56537500000002</v>
      </c>
      <c r="Q73" s="89">
        <f>IF(Q46&lt;=2,Q60/Q51,IF(OR(Q44=6,Q44="5a",Q44="3a"),Q59*Q41^2/12,(IF(OR(Q44="2a",Q44=4,Q44="5b"),Q59*Q41^2/8,"-"))))</f>
        <v>350.56537500000002</v>
      </c>
      <c r="R73" s="89">
        <f t="shared" si="21"/>
        <v>166.29600000000002</v>
      </c>
      <c r="S73" s="89">
        <f t="shared" si="21"/>
        <v>166.29600000000002</v>
      </c>
      <c r="T73" s="89">
        <f t="shared" si="21"/>
        <v>276.07350000000002</v>
      </c>
      <c r="U73" s="89">
        <f t="shared" si="21"/>
        <v>276.07350000000002</v>
      </c>
      <c r="V73" s="89">
        <f t="shared" si="21"/>
        <v>84.1935</v>
      </c>
      <c r="W73" s="89">
        <f t="shared" si="21"/>
        <v>75.337499999999991</v>
      </c>
      <c r="X73" s="89">
        <f t="shared" si="21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2">D73/(0.9*(0.9*($C$7/100))*($L$9*1000))</f>
        <v>3.0535855003940102</v>
      </c>
      <c r="E74" s="90">
        <f t="shared" si="22"/>
        <v>3.0535855003940102</v>
      </c>
      <c r="F74" s="90">
        <f t="shared" si="22"/>
        <v>5.4809785604056422</v>
      </c>
      <c r="G74" s="90">
        <f t="shared" si="22"/>
        <v>4.8011606076122195</v>
      </c>
      <c r="H74" s="90">
        <f t="shared" si="22"/>
        <v>2.9433562234980659</v>
      </c>
      <c r="I74" s="90">
        <f t="shared" si="22"/>
        <v>1.3805303816986054</v>
      </c>
      <c r="J74" s="90">
        <f t="shared" si="22"/>
        <v>0.46777047036652414</v>
      </c>
      <c r="K74" s="90">
        <f t="shared" si="22"/>
        <v>2.0071171713175859</v>
      </c>
      <c r="L74" s="90">
        <f t="shared" si="22"/>
        <v>2.9433562234980659</v>
      </c>
      <c r="M74" s="90">
        <f t="shared" si="22"/>
        <v>4.476944302213119</v>
      </c>
      <c r="N74" s="90">
        <f t="shared" si="22"/>
        <v>0.72229098674776226</v>
      </c>
      <c r="O74" s="90">
        <f t="shared" si="22"/>
        <v>0.72229098674776226</v>
      </c>
      <c r="P74" s="90">
        <f t="shared" si="22"/>
        <v>0.72229098674776226</v>
      </c>
      <c r="Q74" s="90">
        <f t="shared" si="22"/>
        <v>0.72229098674776226</v>
      </c>
      <c r="R74" s="90">
        <f t="shared" si="22"/>
        <v>0.34262967907827713</v>
      </c>
      <c r="S74" s="90">
        <f t="shared" si="22"/>
        <v>0.34262967907827713</v>
      </c>
      <c r="T74" s="90">
        <f t="shared" si="22"/>
        <v>0.56881088364733212</v>
      </c>
      <c r="U74" s="90">
        <f t="shared" si="22"/>
        <v>0.56881088364733212</v>
      </c>
      <c r="V74" s="90">
        <f t="shared" si="22"/>
        <v>0.17346894624932002</v>
      </c>
      <c r="W74" s="90">
        <f t="shared" si="22"/>
        <v>0.15522239529248869</v>
      </c>
      <c r="X74" s="90">
        <f t="shared" si="22"/>
        <v>1.5138688651476155</v>
      </c>
    </row>
    <row r="75" spans="2:24" x14ac:dyDescent="0.3">
      <c r="B75" s="97" t="s">
        <v>98</v>
      </c>
      <c r="C75" s="92">
        <f>(C74*($L$9))/(0.85*$L$6*100)</f>
        <v>9.1766695873666246E-2</v>
      </c>
      <c r="D75" s="92">
        <f t="shared" ref="D75:X75" si="23">(D74*($L$9))/(0.85*$L$6*100)</f>
        <v>4.3069190778337006E-2</v>
      </c>
      <c r="E75" s="92">
        <f t="shared" si="23"/>
        <v>4.3069190778337006E-2</v>
      </c>
      <c r="F75" s="92">
        <f t="shared" si="23"/>
        <v>7.7306272000448678E-2</v>
      </c>
      <c r="G75" s="92">
        <f t="shared" si="23"/>
        <v>6.7717803264393819E-2</v>
      </c>
      <c r="H75" s="92">
        <f t="shared" si="23"/>
        <v>4.1514465765601333E-2</v>
      </c>
      <c r="I75" s="92">
        <f t="shared" si="23"/>
        <v>1.9471642885714392E-2</v>
      </c>
      <c r="J75" s="92">
        <f t="shared" si="23"/>
        <v>6.5976523749175274E-3</v>
      </c>
      <c r="K75" s="92">
        <f t="shared" si="23"/>
        <v>2.8309314527069591E-2</v>
      </c>
      <c r="L75" s="92">
        <f t="shared" si="23"/>
        <v>4.1514465765601333E-2</v>
      </c>
      <c r="M75" s="92">
        <f t="shared" si="23"/>
        <v>6.3144905630160328E-2</v>
      </c>
      <c r="N75" s="92">
        <f t="shared" si="23"/>
        <v>1.0187528170309516E-2</v>
      </c>
      <c r="O75" s="92">
        <f t="shared" si="23"/>
        <v>1.0187528170309516E-2</v>
      </c>
      <c r="P75" s="92">
        <f t="shared" si="23"/>
        <v>1.0187528170309516E-2</v>
      </c>
      <c r="Q75" s="92">
        <f t="shared" si="23"/>
        <v>1.0187528170309516E-2</v>
      </c>
      <c r="R75" s="92">
        <f t="shared" si="23"/>
        <v>4.8326084246334694E-3</v>
      </c>
      <c r="S75" s="92">
        <f t="shared" si="23"/>
        <v>4.8326084246334694E-3</v>
      </c>
      <c r="T75" s="92">
        <f t="shared" si="23"/>
        <v>8.0227733795043051E-3</v>
      </c>
      <c r="U75" s="92">
        <f t="shared" si="23"/>
        <v>8.0227733795043051E-3</v>
      </c>
      <c r="V75" s="92">
        <f t="shared" si="23"/>
        <v>2.4466867356964564E-3</v>
      </c>
      <c r="W75" s="92">
        <f t="shared" si="23"/>
        <v>2.1893288905976329E-3</v>
      </c>
      <c r="X75" s="92">
        <f t="shared" si="23"/>
        <v>2.1352310900747389E-2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4">ROUNDUP(D73/(0.9*(($C$7-D75/2)/100)*($L$9*1000)),2)</f>
        <v>2.76</v>
      </c>
      <c r="E76" s="76">
        <f t="shared" si="24"/>
        <v>2.76</v>
      </c>
      <c r="F76" s="76">
        <f t="shared" si="24"/>
        <v>4.95</v>
      </c>
      <c r="G76" s="76">
        <f t="shared" si="24"/>
        <v>4.34</v>
      </c>
      <c r="H76" s="76">
        <f t="shared" si="24"/>
        <v>2.6599999999999997</v>
      </c>
      <c r="I76" s="76">
        <f t="shared" si="24"/>
        <v>1.25</v>
      </c>
      <c r="J76" s="76">
        <f t="shared" si="24"/>
        <v>0.43</v>
      </c>
      <c r="K76" s="76">
        <f t="shared" si="24"/>
        <v>1.81</v>
      </c>
      <c r="L76" s="76">
        <f t="shared" si="24"/>
        <v>2.6599999999999997</v>
      </c>
      <c r="M76" s="76">
        <f t="shared" si="24"/>
        <v>4.04</v>
      </c>
      <c r="N76" s="76">
        <f t="shared" si="24"/>
        <v>0.66</v>
      </c>
      <c r="O76" s="76">
        <f t="shared" si="24"/>
        <v>0.66</v>
      </c>
      <c r="P76" s="76">
        <f t="shared" si="24"/>
        <v>0.66</v>
      </c>
      <c r="Q76" s="76">
        <f t="shared" si="24"/>
        <v>0.66</v>
      </c>
      <c r="R76" s="76">
        <f t="shared" si="24"/>
        <v>0.31</v>
      </c>
      <c r="S76" s="76">
        <f t="shared" si="24"/>
        <v>0.31</v>
      </c>
      <c r="T76" s="76">
        <f t="shared" si="24"/>
        <v>0.52</v>
      </c>
      <c r="U76" s="76">
        <f t="shared" si="24"/>
        <v>0.52</v>
      </c>
      <c r="V76" s="76">
        <f t="shared" si="24"/>
        <v>0.16</v>
      </c>
      <c r="W76" s="76">
        <f t="shared" si="24"/>
        <v>0.14000000000000001</v>
      </c>
      <c r="X76" s="76">
        <f t="shared" si="24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5">IF(D46&lt;=2,D60/D52,IF(OR(D44=6,D44="5a",D44="3a"),D59*D41^2/17.5,(IF(OR(D44="2a",D44=4,D44="5b"),D59*D41^2/11.25,IF(OR(D44=1,D44="2b",D44="3b"),D59*D41^2/8)))))</f>
        <v>1216.7161572052403</v>
      </c>
      <c r="E78" s="89">
        <f t="shared" si="25"/>
        <v>1216.7161572052403</v>
      </c>
      <c r="F78" s="89">
        <f t="shared" si="25"/>
        <v>2084.7312244897957</v>
      </c>
      <c r="G78" s="89">
        <f t="shared" si="25"/>
        <v>2015.9397209302329</v>
      </c>
      <c r="H78" s="89">
        <f t="shared" si="25"/>
        <v>1323.0049261083741</v>
      </c>
      <c r="I78" s="89">
        <f t="shared" si="25"/>
        <v>479.38048780487804</v>
      </c>
      <c r="J78" s="89">
        <f t="shared" si="25"/>
        <v>155.67999999999998</v>
      </c>
      <c r="K78" s="89">
        <f t="shared" si="25"/>
        <v>667.99428571428564</v>
      </c>
      <c r="L78" s="89">
        <f t="shared" si="25"/>
        <v>1323.0049261083741</v>
      </c>
      <c r="M78" s="89">
        <f t="shared" si="25"/>
        <v>1879.8058604651167</v>
      </c>
      <c r="N78" s="89">
        <f t="shared" si="25"/>
        <v>249.29093333333336</v>
      </c>
      <c r="O78" s="89">
        <f t="shared" si="25"/>
        <v>249.29093333333336</v>
      </c>
      <c r="P78" s="89">
        <f t="shared" si="25"/>
        <v>249.29093333333336</v>
      </c>
      <c r="Q78" s="89">
        <f t="shared" si="25"/>
        <v>249.29093333333336</v>
      </c>
      <c r="R78" s="89">
        <f t="shared" si="25"/>
        <v>118.25493333333335</v>
      </c>
      <c r="S78" s="89">
        <f t="shared" si="25"/>
        <v>118.25493333333335</v>
      </c>
      <c r="T78" s="89">
        <f t="shared" si="25"/>
        <v>196.31893333333335</v>
      </c>
      <c r="U78" s="89">
        <f t="shared" si="25"/>
        <v>196.31893333333335</v>
      </c>
      <c r="V78" s="89">
        <f t="shared" si="25"/>
        <v>59.870933333333333</v>
      </c>
      <c r="W78" s="89">
        <f t="shared" si="25"/>
        <v>53.573333333333331</v>
      </c>
      <c r="X78" s="89">
        <f t="shared" si="25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6">E78/(0.9*(0.9*($C$7/100))*($L$9*1000))</f>
        <v>2.5068736859129865</v>
      </c>
      <c r="F79" s="91">
        <f t="shared" si="26"/>
        <v>4.2952974840729929</v>
      </c>
      <c r="G79" s="91">
        <f t="shared" si="26"/>
        <v>4.1535622000738277</v>
      </c>
      <c r="H79" s="91">
        <f t="shared" si="26"/>
        <v>2.7258668473775192</v>
      </c>
      <c r="I79" s="91">
        <f t="shared" si="26"/>
        <v>0.98769653324778284</v>
      </c>
      <c r="J79" s="91">
        <f t="shared" si="26"/>
        <v>0.32075689396561657</v>
      </c>
      <c r="K79" s="91">
        <f t="shared" si="26"/>
        <v>1.3763089174749159</v>
      </c>
      <c r="L79" s="91">
        <f t="shared" si="26"/>
        <v>2.7258668473775192</v>
      </c>
      <c r="M79" s="91">
        <f t="shared" si="26"/>
        <v>3.8730773963332101</v>
      </c>
      <c r="N79" s="91">
        <f t="shared" si="26"/>
        <v>0.51362914613174204</v>
      </c>
      <c r="O79" s="91">
        <f t="shared" si="26"/>
        <v>0.51362914613174204</v>
      </c>
      <c r="P79" s="91">
        <f t="shared" si="26"/>
        <v>0.51362914613174204</v>
      </c>
      <c r="Q79" s="91">
        <f t="shared" si="26"/>
        <v>0.51362914613174204</v>
      </c>
      <c r="R79" s="91">
        <f t="shared" si="26"/>
        <v>0.2436477717889971</v>
      </c>
      <c r="S79" s="91">
        <f t="shared" si="26"/>
        <v>0.2436477717889971</v>
      </c>
      <c r="T79" s="91">
        <f t="shared" si="26"/>
        <v>0.40448773948254729</v>
      </c>
      <c r="U79" s="91">
        <f t="shared" si="26"/>
        <v>0.40448773948254729</v>
      </c>
      <c r="V79" s="91">
        <f t="shared" si="26"/>
        <v>0.12335569511062758</v>
      </c>
      <c r="W79" s="91">
        <f t="shared" si="26"/>
        <v>0.11038036998576974</v>
      </c>
      <c r="X79" s="91">
        <f t="shared" si="26"/>
        <v>1.1439642555640352</v>
      </c>
    </row>
    <row r="80" spans="2:24" x14ac:dyDescent="0.3">
      <c r="B80" s="97" t="s">
        <v>98</v>
      </c>
      <c r="C80" s="92">
        <f>(C79*($L$9))/(0.85*$L$6*100)</f>
        <v>6.742714212939635E-2</v>
      </c>
      <c r="D80" s="93">
        <f>(D79*($L$9))/(0.85*$L$6*100)</f>
        <v>3.5358112953394569E-2</v>
      </c>
      <c r="E80" s="93">
        <f t="shared" ref="E80:X80" si="27">(E79*($L$9))/(0.85*$L$6*100)</f>
        <v>3.5358112953394569E-2</v>
      </c>
      <c r="F80" s="93">
        <f t="shared" si="27"/>
        <v>6.0582874384025084E-2</v>
      </c>
      <c r="G80" s="93">
        <f t="shared" si="27"/>
        <v>5.8583773986870931E-2</v>
      </c>
      <c r="H80" s="93">
        <f t="shared" si="27"/>
        <v>3.8446894403611084E-2</v>
      </c>
      <c r="I80" s="93">
        <f t="shared" si="27"/>
        <v>1.393093149547046E-2</v>
      </c>
      <c r="J80" s="93">
        <f t="shared" si="27"/>
        <v>4.5241044856577329E-3</v>
      </c>
      <c r="K80" s="93">
        <f t="shared" si="27"/>
        <v>1.9412101389990579E-2</v>
      </c>
      <c r="L80" s="93">
        <f t="shared" si="27"/>
        <v>3.8446894403611084E-2</v>
      </c>
      <c r="M80" s="93">
        <f t="shared" si="27"/>
        <v>5.462768580097592E-2</v>
      </c>
      <c r="N80" s="93">
        <f t="shared" si="27"/>
        <v>7.2444644766645454E-3</v>
      </c>
      <c r="O80" s="93">
        <f t="shared" si="27"/>
        <v>7.2444644766645454E-3</v>
      </c>
      <c r="P80" s="93">
        <f t="shared" si="27"/>
        <v>7.2444644766645454E-3</v>
      </c>
      <c r="Q80" s="93">
        <f t="shared" si="27"/>
        <v>7.2444644766645454E-3</v>
      </c>
      <c r="R80" s="93">
        <f t="shared" si="27"/>
        <v>3.436521546406023E-3</v>
      </c>
      <c r="S80" s="93">
        <f t="shared" si="27"/>
        <v>3.436521546406023E-3</v>
      </c>
      <c r="T80" s="93">
        <f t="shared" si="27"/>
        <v>5.705083292091951E-3</v>
      </c>
      <c r="U80" s="93">
        <f t="shared" si="27"/>
        <v>5.705083292091951E-3</v>
      </c>
      <c r="V80" s="93">
        <f t="shared" si="27"/>
        <v>1.739866123161925E-3</v>
      </c>
      <c r="W80" s="93">
        <f t="shared" si="27"/>
        <v>1.5568560999805387E-3</v>
      </c>
      <c r="X80" s="93">
        <f t="shared" si="27"/>
        <v>1.6135004164818161E-2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8">ROUNDUP(E78/(0.9*(($C$7-E80/2)/100)*($L$9*1000)),2)</f>
        <v>2.2599999999999998</v>
      </c>
      <c r="F81" s="77">
        <f t="shared" si="28"/>
        <v>3.88</v>
      </c>
      <c r="G81" s="77">
        <f t="shared" si="28"/>
        <v>3.75</v>
      </c>
      <c r="H81" s="77">
        <f t="shared" si="28"/>
        <v>2.46</v>
      </c>
      <c r="I81" s="77">
        <f t="shared" si="28"/>
        <v>0.89</v>
      </c>
      <c r="J81" s="77">
        <f t="shared" si="28"/>
        <v>0.29000000000000004</v>
      </c>
      <c r="K81" s="77">
        <f t="shared" si="28"/>
        <v>1.24</v>
      </c>
      <c r="L81" s="77">
        <f t="shared" si="28"/>
        <v>2.46</v>
      </c>
      <c r="M81" s="77">
        <f t="shared" si="28"/>
        <v>3.5</v>
      </c>
      <c r="N81" s="77">
        <f t="shared" si="28"/>
        <v>0.47000000000000003</v>
      </c>
      <c r="O81" s="77">
        <f t="shared" si="28"/>
        <v>0.47000000000000003</v>
      </c>
      <c r="P81" s="77">
        <f t="shared" si="28"/>
        <v>0.47000000000000003</v>
      </c>
      <c r="Q81" s="77">
        <f t="shared" si="28"/>
        <v>0.47000000000000003</v>
      </c>
      <c r="R81" s="77">
        <f t="shared" si="28"/>
        <v>0.22</v>
      </c>
      <c r="S81" s="77">
        <f t="shared" si="28"/>
        <v>0.22</v>
      </c>
      <c r="T81" s="77">
        <f t="shared" si="28"/>
        <v>0.37</v>
      </c>
      <c r="U81" s="77">
        <f t="shared" si="28"/>
        <v>0.37</v>
      </c>
      <c r="V81" s="77">
        <f t="shared" si="28"/>
        <v>0.12</v>
      </c>
      <c r="W81" s="77">
        <f t="shared" si="28"/>
        <v>9.9999999999999992E-2</v>
      </c>
      <c r="X81" s="77">
        <f t="shared" si="28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P83" s="40"/>
      <c r="T83" s="40"/>
      <c r="U83" s="41"/>
    </row>
    <row r="84" spans="2:26" ht="15" thickBot="1" x14ac:dyDescent="0.35">
      <c r="B84" s="126" t="s">
        <v>107</v>
      </c>
      <c r="C84" s="126"/>
      <c r="P84" s="40"/>
      <c r="T84" s="40"/>
      <c r="U84" s="41"/>
    </row>
    <row r="85" spans="2:26" ht="15" thickBot="1" x14ac:dyDescent="0.35">
      <c r="B85" s="73" t="s">
        <v>43</v>
      </c>
      <c r="C85" s="74" t="s">
        <v>139</v>
      </c>
      <c r="D85" s="75" t="s">
        <v>141</v>
      </c>
      <c r="E85" s="74" t="s">
        <v>139</v>
      </c>
      <c r="F85" s="75" t="s">
        <v>144</v>
      </c>
      <c r="G85" s="74" t="s">
        <v>139</v>
      </c>
      <c r="H85" s="75" t="s">
        <v>145</v>
      </c>
      <c r="I85" s="74" t="s">
        <v>139</v>
      </c>
      <c r="J85" s="75" t="s">
        <v>151</v>
      </c>
      <c r="K85" s="74" t="s">
        <v>139</v>
      </c>
      <c r="L85" s="75" t="s">
        <v>160</v>
      </c>
      <c r="M85" s="74" t="s">
        <v>141</v>
      </c>
      <c r="N85" s="75" t="s">
        <v>142</v>
      </c>
      <c r="O85" s="74" t="s">
        <v>141</v>
      </c>
      <c r="P85" s="75" t="s">
        <v>147</v>
      </c>
      <c r="Q85" s="74" t="s">
        <v>141</v>
      </c>
      <c r="R85" s="75" t="s">
        <v>152</v>
      </c>
      <c r="S85" s="74" t="s">
        <v>142</v>
      </c>
      <c r="T85" s="75" t="s">
        <v>153</v>
      </c>
      <c r="U85" s="74" t="s">
        <v>142</v>
      </c>
      <c r="V85" s="75" t="s">
        <v>147</v>
      </c>
      <c r="W85" s="74" t="s">
        <v>142</v>
      </c>
      <c r="X85" s="75" t="s">
        <v>143</v>
      </c>
      <c r="Y85" s="74" t="s">
        <v>143</v>
      </c>
      <c r="Z85" s="75" t="s">
        <v>154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9">HLOOKUP(C85,$B$39:$V$82,IF(C86="x",35,40),FALSE)</f>
        <v>2320.2508960573477</v>
      </c>
      <c r="D87" s="86">
        <f t="shared" si="29"/>
        <v>1216.7161572052403</v>
      </c>
      <c r="E87" s="104">
        <f t="shared" si="29"/>
        <v>3157.8048780487807</v>
      </c>
      <c r="F87" s="86">
        <f t="shared" si="29"/>
        <v>2330.2529032258067</v>
      </c>
      <c r="G87" s="104">
        <f t="shared" si="29"/>
        <v>3157.8048780487807</v>
      </c>
      <c r="H87" s="86">
        <f t="shared" si="29"/>
        <v>1323.0049261083741</v>
      </c>
      <c r="I87" s="104">
        <f t="shared" si="29"/>
        <v>3157.8048780487807</v>
      </c>
      <c r="J87" s="86">
        <f t="shared" si="29"/>
        <v>350.56537500000002</v>
      </c>
      <c r="K87" s="104">
        <f t="shared" si="29"/>
        <v>2320.2508960573477</v>
      </c>
      <c r="L87" s="86">
        <f>HLOOKUP(L85,$B$39:$X$82,IF(L86="x",35,40),FALSE)</f>
        <v>75.337499999999991</v>
      </c>
      <c r="M87" s="104">
        <f t="shared" ref="M87:X87" si="30">HLOOKUP(M85,$B$39:$X$82,IF(M86="x",35,40),FALSE)</f>
        <v>1216.7161572052403</v>
      </c>
      <c r="N87" s="86">
        <f t="shared" si="30"/>
        <v>1216.7161572052403</v>
      </c>
      <c r="O87" s="104">
        <f t="shared" si="30"/>
        <v>1482.063829787234</v>
      </c>
      <c r="P87" s="86">
        <f t="shared" si="30"/>
        <v>227.0333333333333</v>
      </c>
      <c r="Q87" s="104">
        <f t="shared" si="30"/>
        <v>1482.063829787234</v>
      </c>
      <c r="R87" s="86">
        <f t="shared" si="30"/>
        <v>350.56537500000002</v>
      </c>
      <c r="S87" s="104">
        <f t="shared" si="30"/>
        <v>1482.063829787234</v>
      </c>
      <c r="T87" s="86">
        <f t="shared" si="30"/>
        <v>350.56537500000002</v>
      </c>
      <c r="U87" s="104">
        <f t="shared" si="30"/>
        <v>1482.063829787234</v>
      </c>
      <c r="V87" s="86">
        <f t="shared" si="30"/>
        <v>227.0333333333333</v>
      </c>
      <c r="W87" s="104">
        <f t="shared" si="30"/>
        <v>1216.7161572052403</v>
      </c>
      <c r="X87" s="86">
        <f t="shared" si="30"/>
        <v>2084.7312244897957</v>
      </c>
      <c r="Y87" s="104">
        <f t="shared" ref="Y87" si="31">HLOOKUP(Y85,$B$39:$X$82,IF(Y86="x",35,40),FALSE)</f>
        <v>2660.2039062500003</v>
      </c>
      <c r="Z87" s="86">
        <f t="shared" ref="Z87" si="32">HLOOKUP(Z85,$B$39:$X$82,IF(Z86="x",35,40),FALSE)</f>
        <v>350.56537500000002</v>
      </c>
    </row>
    <row r="88" spans="2:26" x14ac:dyDescent="0.3">
      <c r="B88" s="106" t="s">
        <v>111</v>
      </c>
      <c r="C88" s="127">
        <f>(MAX(C87:D87)-MIN(C87:D87))/(MAX(C87:D87))</f>
        <v>0.47561009058428666</v>
      </c>
      <c r="D88" s="128"/>
      <c r="E88" s="127">
        <f>(MAX(E87:F87)-MIN(E87:F87))/(MAX(E87:F87))</f>
        <v>0.26206558251133028</v>
      </c>
      <c r="F88" s="128"/>
      <c r="G88" s="127">
        <f>(MAX(G87:H87)-MIN(G87:H87))/(MAX(G87:H87))</f>
        <v>0.58103651834059367</v>
      </c>
      <c r="H88" s="128"/>
      <c r="I88" s="127">
        <f>(MAX(I87:J87)-MIN(I87:J87))/(MAX(I87:J87))</f>
        <v>0.88898447227156863</v>
      </c>
      <c r="J88" s="128"/>
      <c r="K88" s="127">
        <f>(MAX(K87:L87)-MIN(K87:L87))/(MAX(K87:L87))</f>
        <v>0.96753045106974589</v>
      </c>
      <c r="L88" s="128"/>
      <c r="M88" s="127">
        <f>(MAX(M87:N87)-MIN(M87:N87))/(MAX(M87:N87))</f>
        <v>0</v>
      </c>
      <c r="N88" s="128"/>
      <c r="O88" s="127">
        <f>(MAX(O87:P87)-MIN(O87:P87))/(MAX(O87:P87))</f>
        <v>0.84681271563996918</v>
      </c>
      <c r="P88" s="128"/>
      <c r="Q88" s="127">
        <f>(MAX(Q87:R87)-MIN(Q87:R87))/(MAX(Q87:R87))</f>
        <v>0.76346135169473284</v>
      </c>
      <c r="R88" s="128"/>
      <c r="S88" s="127">
        <f>(MAX(S87:T87)-MIN(S87:T87))/(MAX(S87:T87))</f>
        <v>0.76346135169473284</v>
      </c>
      <c r="T88" s="128"/>
      <c r="U88" s="127">
        <f>(MAX(U87:V87)-MIN(U87:V87))/(MAX(U87:V87))</f>
        <v>0.84681271563996918</v>
      </c>
      <c r="V88" s="128"/>
      <c r="W88" s="127">
        <f>(MAX(W87:X87)-MIN(W87:X87))/(MAX(W87:X87))</f>
        <v>0.41636785456455572</v>
      </c>
      <c r="X88" s="128"/>
      <c r="Y88" s="127">
        <f>(MAX(Y87:Z87)-MIN(Y87:Z87))/(MAX(Y87:Z87))</f>
        <v>0.8682186075374273</v>
      </c>
      <c r="Z88" s="128"/>
    </row>
    <row r="89" spans="2:26" x14ac:dyDescent="0.3">
      <c r="B89" s="106" t="s">
        <v>112</v>
      </c>
      <c r="C89" s="129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0"/>
      <c r="E89" s="129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0"/>
      <c r="G89" s="129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0"/>
      <c r="I89" s="129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30"/>
      <c r="K89" s="129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30"/>
      <c r="M89" s="129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0"/>
      <c r="O89" s="129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30"/>
      <c r="Q89" s="129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30"/>
      <c r="S89" s="129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30"/>
      <c r="U89" s="129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30"/>
      <c r="W89" s="129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0"/>
      <c r="Y89" s="129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30"/>
    </row>
    <row r="90" spans="2:26" x14ac:dyDescent="0.3">
      <c r="B90" s="107" t="s">
        <v>15</v>
      </c>
      <c r="C90" s="131">
        <f>C89/(0.9*(0.9*($C$7/100))*($L$9*1000))</f>
        <v>3.4839730761691592</v>
      </c>
      <c r="D90" s="132"/>
      <c r="E90" s="131">
        <f>E89/(0.9*(0.9*($C$7/100))*($L$9*1000))</f>
        <v>5.2417743808774491</v>
      </c>
      <c r="F90" s="132"/>
      <c r="G90" s="131">
        <f>G89/(0.9*(0.9*($C$7/100))*($L$9*1000))</f>
        <v>4.6647843325723883</v>
      </c>
      <c r="H90" s="132"/>
      <c r="I90" s="131">
        <f>I89/(0.9*(0.9*($C$7/100))*($L$9*1000))</f>
        <v>4.2939345555817861</v>
      </c>
      <c r="J90" s="132"/>
      <c r="K90" s="131">
        <f>K89/(0.9*(0.9*($C$7/100))*($L$9*1000))</f>
        <v>3.053658354176203</v>
      </c>
      <c r="L90" s="132"/>
      <c r="M90" s="131">
        <f>M89/(0.9*(0.9*($C$7/100))*($L$9*1000))</f>
        <v>2.2561863173216881</v>
      </c>
      <c r="N90" s="132"/>
      <c r="O90" s="131">
        <f>O89/(0.9*(0.9*($C$7/100))*($L$9*1000))</f>
        <v>2.0500568922471878</v>
      </c>
      <c r="P90" s="132"/>
      <c r="Q90" s="131">
        <f>Q89/(0.9*(0.9*($C$7/100))*($L$9*1000))</f>
        <v>2.1187774316701224</v>
      </c>
      <c r="R90" s="132"/>
      <c r="S90" s="131">
        <f>S89/(0.9*(0.9*($C$7/100))*($L$9*1000))</f>
        <v>2.1187774316701224</v>
      </c>
      <c r="T90" s="132"/>
      <c r="U90" s="131">
        <f>U89/(0.9*(0.9*($C$7/100))*($L$9*1000))</f>
        <v>2.0500568922471878</v>
      </c>
      <c r="V90" s="132"/>
      <c r="W90" s="131">
        <f>W89/(0.9*(0.9*($C$7/100))*($L$9*1000))</f>
        <v>3.2219351683280908</v>
      </c>
      <c r="X90" s="132"/>
      <c r="Y90" s="131">
        <f>Y89/(0.9*(0.9*($C$7/100))*($L$9*1000))</f>
        <v>3.6480350594774507</v>
      </c>
      <c r="Z90" s="132"/>
    </row>
    <row r="91" spans="2:26" x14ac:dyDescent="0.3">
      <c r="B91" s="107" t="s">
        <v>98</v>
      </c>
      <c r="C91" s="133">
        <f>(C90*($L$9))/(0.85*$L$6*100)</f>
        <v>4.9139577413096075E-2</v>
      </c>
      <c r="D91" s="134"/>
      <c r="E91" s="133">
        <f>(E90*($L$9))/(0.85*$L$6*100)</f>
        <v>7.3932424946961547E-2</v>
      </c>
      <c r="F91" s="134"/>
      <c r="G91" s="133">
        <f>(G90*($L$9))/(0.85*$L$6*100)</f>
        <v>6.5794288823232239E-2</v>
      </c>
      <c r="H91" s="134"/>
      <c r="I91" s="133">
        <f>(I90*($L$9))/(0.85*$L$6*100)</f>
        <v>6.0563651006393292E-2</v>
      </c>
      <c r="J91" s="134"/>
      <c r="K91" s="133">
        <f>(K90*($L$9))/(0.85*$L$6*100)</f>
        <v>4.3070218341981055E-2</v>
      </c>
      <c r="L91" s="134"/>
      <c r="M91" s="133">
        <f>(M90*($L$9))/(0.85*$L$6*100)</f>
        <v>3.1822301658055122E-2</v>
      </c>
      <c r="N91" s="134"/>
      <c r="O91" s="133">
        <f>(O90*($L$9))/(0.85*$L$6*100)</f>
        <v>2.8914956331580047E-2</v>
      </c>
      <c r="P91" s="134"/>
      <c r="Q91" s="133">
        <f>(Q90*($L$9))/(0.85*$L$6*100)</f>
        <v>2.9884222796335888E-2</v>
      </c>
      <c r="R91" s="134"/>
      <c r="S91" s="133">
        <f>(S90*($L$9))/(0.85*$L$6*100)</f>
        <v>2.9884222796335888E-2</v>
      </c>
      <c r="T91" s="134"/>
      <c r="U91" s="133">
        <f>(U90*($L$9))/(0.85*$L$6*100)</f>
        <v>2.8914956331580047E-2</v>
      </c>
      <c r="V91" s="134"/>
      <c r="W91" s="133">
        <f>(W90*($L$9))/(0.85*$L$6*100)</f>
        <v>4.5443672830595583E-2</v>
      </c>
      <c r="X91" s="134"/>
      <c r="Y91" s="133">
        <f>(Y90*($L$9))/(0.85*$L$6*100)</f>
        <v>5.1453583966266238E-2</v>
      </c>
      <c r="Z91" s="134"/>
    </row>
    <row r="92" spans="2:26" ht="15" thickBot="1" x14ac:dyDescent="0.35">
      <c r="B92" s="108" t="s">
        <v>15</v>
      </c>
      <c r="C92" s="135">
        <f>ROUNDUP(C89/(0.9*(($C$7-C91/2)/100)*($L$9*1000)),2)</f>
        <v>3.15</v>
      </c>
      <c r="D92" s="136"/>
      <c r="E92" s="135">
        <f>ROUNDUP(E89/(0.9*(($C$7-E91/2)/100)*($L$9*1000)),2)</f>
        <v>4.74</v>
      </c>
      <c r="F92" s="136"/>
      <c r="G92" s="135">
        <f>ROUNDUP(G89/(0.9*(($C$7-G91/2)/100)*($L$9*1000)),2)</f>
        <v>4.21</v>
      </c>
      <c r="H92" s="136"/>
      <c r="I92" s="135">
        <f>ROUNDUP(I89/(0.9*(($C$7-I91/2)/100)*($L$9*1000)),2)</f>
        <v>3.88</v>
      </c>
      <c r="J92" s="136"/>
      <c r="K92" s="135">
        <f>ROUNDUP(K89/(0.9*(($C$7-K91/2)/100)*($L$9*1000)),2)</f>
        <v>2.76</v>
      </c>
      <c r="L92" s="136"/>
      <c r="M92" s="135">
        <f>ROUNDUP(M89/(0.9*(($C$7-M91/2)/100)*($L$9*1000)),2)</f>
        <v>2.0399999999999996</v>
      </c>
      <c r="N92" s="136"/>
      <c r="O92" s="135">
        <f>ROUNDUP(O89/(0.9*(($C$7-O91/2)/100)*($L$9*1000)),2)</f>
        <v>1.85</v>
      </c>
      <c r="P92" s="136"/>
      <c r="Q92" s="135">
        <f>ROUNDUP(Q89/(0.9*(($C$7-Q91/2)/100)*($L$9*1000)),2)</f>
        <v>1.91</v>
      </c>
      <c r="R92" s="136"/>
      <c r="S92" s="135">
        <f>ROUNDUP(S89/(0.9*(($C$7-S91/2)/100)*($L$9*1000)),2)</f>
        <v>1.91</v>
      </c>
      <c r="T92" s="136"/>
      <c r="U92" s="135">
        <f>ROUNDUP(U89/(0.9*(($C$7-U91/2)/100)*($L$9*1000)),2)</f>
        <v>1.85</v>
      </c>
      <c r="V92" s="136"/>
      <c r="W92" s="135">
        <f>ROUNDUP(W89/(0.9*(($C$7-W91/2)/100)*($L$9*1000)),2)</f>
        <v>2.9099999999999997</v>
      </c>
      <c r="X92" s="136"/>
      <c r="Y92" s="135">
        <f>ROUNDUP(Y89/(0.9*(($C$7-Y91/2)/100)*($L$9*1000)),2)</f>
        <v>3.2899999999999996</v>
      </c>
      <c r="Z92" s="136"/>
    </row>
    <row r="93" spans="2:26" ht="16.2" thickBot="1" x14ac:dyDescent="0.35">
      <c r="B93" s="61" t="s">
        <v>113</v>
      </c>
      <c r="C93" s="140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1"/>
      <c r="E93" s="140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1"/>
      <c r="G93" s="140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1"/>
      <c r="I93" s="140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1"/>
      <c r="K93" s="140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1"/>
      <c r="M93" s="140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1"/>
      <c r="O93" s="140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1"/>
      <c r="Q93" s="140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1"/>
      <c r="S93" s="140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1"/>
      <c r="U93" s="140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1"/>
      <c r="W93" s="140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1"/>
      <c r="Y93" s="140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1"/>
    </row>
    <row r="94" spans="2:26" ht="15" thickBot="1" x14ac:dyDescent="0.35">
      <c r="P94" s="40"/>
      <c r="T94" s="40"/>
      <c r="U94" s="41"/>
    </row>
    <row r="95" spans="2:26" ht="15" thickBot="1" x14ac:dyDescent="0.35">
      <c r="B95" s="73" t="s">
        <v>43</v>
      </c>
      <c r="C95" s="74" t="s">
        <v>143</v>
      </c>
      <c r="D95" s="75" t="s">
        <v>147</v>
      </c>
      <c r="E95" s="74" t="s">
        <v>143</v>
      </c>
      <c r="F95" s="75" t="s">
        <v>155</v>
      </c>
      <c r="G95" s="74" t="s">
        <v>143</v>
      </c>
      <c r="H95" s="75" t="s">
        <v>149</v>
      </c>
      <c r="I95" s="74" t="s">
        <v>143</v>
      </c>
      <c r="J95" s="75" t="s">
        <v>150</v>
      </c>
      <c r="K95" s="74" t="s">
        <v>144</v>
      </c>
      <c r="L95" s="75" t="s">
        <v>159</v>
      </c>
      <c r="M95" s="74" t="s">
        <v>144</v>
      </c>
      <c r="N95" s="75" t="s">
        <v>145</v>
      </c>
      <c r="O95" s="74" t="s">
        <v>144</v>
      </c>
      <c r="P95" s="75" t="s">
        <v>158</v>
      </c>
      <c r="Q95" s="74" t="s">
        <v>145</v>
      </c>
      <c r="R95" s="75" t="s">
        <v>158</v>
      </c>
      <c r="S95" s="74" t="s">
        <v>145</v>
      </c>
      <c r="T95" s="75" t="s">
        <v>147</v>
      </c>
      <c r="U95" s="74" t="s">
        <v>145</v>
      </c>
      <c r="V95" s="75" t="s">
        <v>146</v>
      </c>
      <c r="W95" s="74" t="s">
        <v>145</v>
      </c>
      <c r="X95" s="75" t="s">
        <v>161</v>
      </c>
      <c r="Y95" s="74" t="s">
        <v>146</v>
      </c>
      <c r="Z95" s="75" t="s">
        <v>147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" si="33">HLOOKUP(C95,$B$39:$X$82,IF(C96="x",35,40),FALSE)</f>
        <v>2084.7312244897957</v>
      </c>
      <c r="D97" s="86">
        <f t="shared" ref="D97" si="34">HLOOKUP(D95,$B$39:$X$82,IF(D96="x",35,40),FALSE)</f>
        <v>155.67999999999998</v>
      </c>
      <c r="E97" s="104">
        <f t="shared" ref="E97" si="35">HLOOKUP(E95,$B$39:$X$82,IF(E96="x",35,40),FALSE)</f>
        <v>2084.7312244897957</v>
      </c>
      <c r="F97" s="86">
        <f t="shared" ref="F97" si="36">HLOOKUP(F95,$B$39:$X$82,IF(F96="x",35,40),FALSE)</f>
        <v>166.29600000000002</v>
      </c>
      <c r="G97" s="104">
        <f t="shared" ref="G97" si="37">HLOOKUP(G95,$B$39:$X$82,IF(G96="x",35,40),FALSE)</f>
        <v>2660.2039062500003</v>
      </c>
      <c r="H97" s="86">
        <f t="shared" ref="H97" si="38">HLOOKUP(H95,$B$39:$X$82,IF(H96="x",35,40),FALSE)</f>
        <v>1428.5638297872338</v>
      </c>
      <c r="I97" s="104">
        <f t="shared" ref="I97" si="39">HLOOKUP(I95,$B$39:$X$82,IF(I96="x",35,40),FALSE)</f>
        <v>2660.2039062500003</v>
      </c>
      <c r="J97" s="86">
        <f t="shared" ref="J97" si="40">HLOOKUP(J95,$B$39:$X$82,IF(J96="x",35,40),FALSE)</f>
        <v>2172.8938709677423</v>
      </c>
      <c r="K97" s="104">
        <f t="shared" ref="K97" si="41">HLOOKUP(K95,$B$39:$X$82,IF(K96="x",35,40),FALSE)</f>
        <v>2015.9397209302329</v>
      </c>
      <c r="L97" s="86">
        <f t="shared" ref="L97" si="42">HLOOKUP(L95,$B$39:$X$82,IF(L96="x",35,40),FALSE)</f>
        <v>84.1935</v>
      </c>
      <c r="M97" s="104">
        <f t="shared" ref="M97" si="43">HLOOKUP(M95,$B$39:$X$82,IF(M96="x",35,40),FALSE)</f>
        <v>2015.9397209302329</v>
      </c>
      <c r="N97" s="86">
        <f t="shared" ref="N97" si="44">HLOOKUP(N95,$B$39:$X$82,IF(N96="x",35,40),FALSE)</f>
        <v>1428.5638297872338</v>
      </c>
      <c r="O97" s="104">
        <f t="shared" ref="O97" si="45">HLOOKUP(O95,$B$39:$X$82,IF(O96="x",35,40),FALSE)</f>
        <v>2330.2529032258067</v>
      </c>
      <c r="P97" s="86">
        <f t="shared" ref="P97" si="46">HLOOKUP(P95,$B$39:$X$82,IF(P96="x",35,40),FALSE)</f>
        <v>276.07350000000002</v>
      </c>
      <c r="Q97" s="104">
        <f t="shared" ref="Q97" si="47">HLOOKUP(Q95,$B$39:$X$82,IF(Q96="x",35,40),FALSE)</f>
        <v>1323.0049261083741</v>
      </c>
      <c r="R97" s="86">
        <f t="shared" ref="R97" si="48">HLOOKUP(R95,$B$39:$X$82,IF(R96="x",35,40),FALSE)</f>
        <v>276.07350000000002</v>
      </c>
      <c r="S97" s="104">
        <f t="shared" ref="S97" si="49">HLOOKUP(S95,$B$39:$X$82,IF(S96="x",35,40),FALSE)</f>
        <v>1323.0049261083741</v>
      </c>
      <c r="T97" s="86">
        <f t="shared" ref="T97" si="50">HLOOKUP(T95,$B$39:$X$82,IF(T96="x",35,40),FALSE)</f>
        <v>227.0333333333333</v>
      </c>
      <c r="U97" s="104">
        <f t="shared" ref="U97" si="51">HLOOKUP(U95,$B$39:$X$82,IF(U96="x",35,40),FALSE)</f>
        <v>1428.5638297872338</v>
      </c>
      <c r="V97" s="86">
        <f t="shared" ref="V97" si="52">HLOOKUP(V95,$B$39:$X$82,IF(V96="x",35,40),FALSE)</f>
        <v>670.04318181818178</v>
      </c>
      <c r="W97" s="104">
        <f t="shared" ref="W97" si="53">HLOOKUP(W95,$B$39:$X$82,IF(W96="x",35,40),FALSE)</f>
        <v>1428.5638297872338</v>
      </c>
      <c r="X97" s="86">
        <f t="shared" ref="X97" si="54">HLOOKUP(X95,$B$39:$X$82,IF(X96="x",35,40),FALSE)</f>
        <v>555.22533936651575</v>
      </c>
      <c r="Y97" s="104">
        <f t="shared" ref="Y97" si="55">HLOOKUP(Y95,$B$39:$X$82,IF(Y96="x",35,40),FALSE)</f>
        <v>479.38048780487804</v>
      </c>
      <c r="Z97" s="86">
        <f t="shared" ref="Z97" si="56">HLOOKUP(Z95,$B$39:$X$82,IF(Z96="x",35,40),FALSE)</f>
        <v>227.0333333333333</v>
      </c>
    </row>
    <row r="98" spans="2:26" x14ac:dyDescent="0.3">
      <c r="B98" s="106" t="s">
        <v>111</v>
      </c>
      <c r="C98" s="127">
        <f>(MAX(C97:D97)-MIN(C97:D97))/(MAX(C97:D97))</f>
        <v>0.92532370687828103</v>
      </c>
      <c r="D98" s="128"/>
      <c r="E98" s="127">
        <f>(MAX(E97:F97)-MIN(E97:F97))/(MAX(E97:F97))</f>
        <v>0.92023144372450305</v>
      </c>
      <c r="F98" s="128"/>
      <c r="G98" s="127">
        <f>(MAX(G97:H97)-MIN(G97:H97))/(MAX(G97:H97))</f>
        <v>0.46298709417315609</v>
      </c>
      <c r="H98" s="128"/>
      <c r="I98" s="127">
        <f>(MAX(I97:J97)-MIN(I97:J97))/(MAX(I97:J97))</f>
        <v>0.18318521904931812</v>
      </c>
      <c r="J98" s="128"/>
      <c r="K98" s="127">
        <f>(MAX(K97:L97)-MIN(K97:L97))/(MAX(K97:L97))</f>
        <v>0.95823610243606394</v>
      </c>
      <c r="L98" s="128"/>
      <c r="M98" s="127">
        <f>(MAX(M97:N97)-MIN(M97:N97))/(MAX(M97:N97))</f>
        <v>0.29136580079485763</v>
      </c>
      <c r="N98" s="128"/>
      <c r="O98" s="127">
        <f>(MAX(O97:P97)-MIN(O97:P97))/(MAX(O97:P97))</f>
        <v>0.88152637869570849</v>
      </c>
      <c r="P98" s="128"/>
      <c r="Q98" s="127">
        <f>(MAX(Q97:R97)-MIN(Q97:R97))/(MAX(Q97:R97))</f>
        <v>0.79132844137468816</v>
      </c>
      <c r="R98" s="128"/>
      <c r="S98" s="127">
        <f>(MAX(S97:T97)-MIN(S97:T97))/(MAX(S97:T97))</f>
        <v>0.82839570068635116</v>
      </c>
      <c r="T98" s="128"/>
      <c r="U98" s="127">
        <f>(MAX(U97:V97)-MIN(U97:V97))/(MAX(U97:V97))</f>
        <v>0.53096727787236775</v>
      </c>
      <c r="V98" s="128"/>
      <c r="W98" s="142">
        <f>(MAX(W97:X97)-MIN(W97:X97))/(MAX(W97:X97))</f>
        <v>0.61134019510405113</v>
      </c>
      <c r="X98" s="128"/>
      <c r="Y98" s="127">
        <f>(MAX(Y97:Z97)-MIN(Y97:Z97))/(MAX(Y97:Z97))</f>
        <v>0.5264026402640265</v>
      </c>
      <c r="Z98" s="128"/>
    </row>
    <row r="99" spans="2:26" x14ac:dyDescent="0.3">
      <c r="B99" s="106" t="s">
        <v>112</v>
      </c>
      <c r="C99" s="129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30"/>
      <c r="E99" s="129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30"/>
      <c r="G99" s="129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0"/>
      <c r="I99" s="129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0"/>
      <c r="K99" s="129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30"/>
      <c r="M99" s="129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0"/>
      <c r="O99" s="129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30"/>
      <c r="Q99" s="129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30"/>
      <c r="S99" s="129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30"/>
      <c r="U99" s="129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30"/>
      <c r="W99" s="143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30"/>
      <c r="Y99" s="129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30"/>
    </row>
    <row r="100" spans="2:26" x14ac:dyDescent="0.3">
      <c r="B100" s="107" t="s">
        <v>15</v>
      </c>
      <c r="C100" s="131">
        <f>C99/(0.9*(0.9*($C$7/100))*($L$9*1000))</f>
        <v>2.7926417763367017</v>
      </c>
      <c r="D100" s="132"/>
      <c r="E100" s="131">
        <f>E99/(0.9*(0.9*($C$7/100))*($L$9*1000))</f>
        <v>2.7985474283171201</v>
      </c>
      <c r="F100" s="132"/>
      <c r="G100" s="131">
        <f>G99/(0.9*(0.9*($C$7/100))*($L$9*1000))</f>
        <v>4.0193366630783505</v>
      </c>
      <c r="H100" s="132"/>
      <c r="I100" s="131">
        <f>I99/(0.9*(0.9*($C$7/100))*($L$9*1000))</f>
        <v>4.481065288178443</v>
      </c>
      <c r="J100" s="132"/>
      <c r="K100" s="131">
        <f>K99/(0.9*(0.9*($C$7/100))*($L$9*1000))</f>
        <v>2.6635808015338274</v>
      </c>
      <c r="L100" s="132"/>
      <c r="M100" s="131">
        <f>M99/(0.9*(0.9*($C$7/100))*($L$9*1000))</f>
        <v>3.3025318284991707</v>
      </c>
      <c r="N100" s="132"/>
      <c r="O100" s="131">
        <f>O99/(0.9*(0.9*($C$7/100))*($L$9*1000))</f>
        <v>3.1783101213804779</v>
      </c>
      <c r="P100" s="132"/>
      <c r="Q100" s="131">
        <f>Q99/(0.9*(0.9*($C$7/100))*($L$9*1000))</f>
        <v>1.8708750524326165</v>
      </c>
      <c r="R100" s="132"/>
      <c r="S100" s="131">
        <f>S99/(0.9*(0.9*($C$7/100))*($L$9*1000))</f>
        <v>1.8435941408467984</v>
      </c>
      <c r="T100" s="132"/>
      <c r="U100" s="131">
        <f>U99/(0.9*(0.9*($C$7/100))*($L$9*1000))</f>
        <v>2.1567304609814295</v>
      </c>
      <c r="V100" s="132"/>
      <c r="W100" s="144">
        <f>W99/(0.9*(0.9*($C$7/100))*($L$9*1000))</f>
        <v>2.0822121312490398</v>
      </c>
      <c r="X100" s="132"/>
      <c r="Y100" s="131">
        <f>Y99/(0.9*(0.9*($C$7/100))*($L$9*1000))</f>
        <v>0.72515017011540817</v>
      </c>
      <c r="Z100" s="132"/>
    </row>
    <row r="101" spans="2:26" x14ac:dyDescent="0.3">
      <c r="B101" s="107" t="s">
        <v>98</v>
      </c>
      <c r="C101" s="133">
        <f>(C100*($L$9))/(0.85*$L$6*100)</f>
        <v>3.9388719073063384E-2</v>
      </c>
      <c r="D101" s="134"/>
      <c r="E101" s="133">
        <f>(E100*($L$9))/(0.85*$L$6*100)</f>
        <v>3.9472015136586838E-2</v>
      </c>
      <c r="F101" s="134"/>
      <c r="G101" s="133">
        <f>(G100*($L$9))/(0.85*$L$6*100)</f>
        <v>5.6690594555858759E-2</v>
      </c>
      <c r="H101" s="134"/>
      <c r="I101" s="133">
        <f>(I100*($L$9))/(0.85*$L$6*100)</f>
        <v>6.3203029933774052E-2</v>
      </c>
      <c r="J101" s="134"/>
      <c r="K101" s="133">
        <f>(K100*($L$9))/(0.85*$L$6*100)</f>
        <v>3.7568383030366727E-2</v>
      </c>
      <c r="L101" s="134"/>
      <c r="M101" s="133">
        <f>(M100*($L$9))/(0.85*$L$6*100)</f>
        <v>4.6580445628526784E-2</v>
      </c>
      <c r="N101" s="134"/>
      <c r="O101" s="133">
        <f>(O100*($L$9))/(0.85*$L$6*100)</f>
        <v>4.4828364869034257E-2</v>
      </c>
      <c r="P101" s="134"/>
      <c r="Q101" s="133">
        <f>(Q100*($L$9))/(0.85*$L$6*100)</f>
        <v>2.6387692286741142E-2</v>
      </c>
      <c r="R101" s="134"/>
      <c r="S101" s="133">
        <f>(S100*($L$9))/(0.85*$L$6*100)</f>
        <v>2.6002909615502709E-2</v>
      </c>
      <c r="T101" s="134"/>
      <c r="U101" s="133">
        <f>(U100*($L$9))/(0.85*$L$6*100)</f>
        <v>3.0419529981876813E-2</v>
      </c>
      <c r="V101" s="134"/>
      <c r="W101" s="145">
        <f>(W100*($L$9))/(0.85*$L$6*100)</f>
        <v>2.9368488784794502E-2</v>
      </c>
      <c r="X101" s="134"/>
      <c r="Y101" s="133">
        <f>(Y100*($L$9))/(0.85*$L$6*100)</f>
        <v>1.0227855422949241E-2</v>
      </c>
      <c r="Z101" s="134"/>
    </row>
    <row r="102" spans="2:26" ht="15" thickBot="1" x14ac:dyDescent="0.35">
      <c r="B102" s="108" t="s">
        <v>15</v>
      </c>
      <c r="C102" s="135">
        <f>ROUNDUP(C99/(0.9*(($C$7-C101/2)/100)*($L$9*1000)),2)</f>
        <v>2.5199999999999996</v>
      </c>
      <c r="D102" s="136"/>
      <c r="E102" s="135">
        <f>ROUNDUP(E99/(0.9*(($C$7-E101/2)/100)*($L$9*1000)),2)</f>
        <v>2.5299999999999998</v>
      </c>
      <c r="F102" s="136"/>
      <c r="G102" s="135">
        <f>ROUNDUP(G99/(0.9*(($C$7-G101/2)/100)*($L$9*1000)),2)</f>
        <v>3.63</v>
      </c>
      <c r="H102" s="136"/>
      <c r="I102" s="135">
        <f>ROUNDUP(I99/(0.9*(($C$7-I101/2)/100)*($L$9*1000)),2)</f>
        <v>4.05</v>
      </c>
      <c r="J102" s="136"/>
      <c r="K102" s="135">
        <f>ROUNDUP(K99/(0.9*(($C$7-K101/2)/100)*($L$9*1000)),2)</f>
        <v>2.4099999999999997</v>
      </c>
      <c r="L102" s="136"/>
      <c r="M102" s="135">
        <f>ROUNDUP(M99/(0.9*(($C$7-M101/2)/100)*($L$9*1000)),2)</f>
        <v>2.98</v>
      </c>
      <c r="N102" s="136"/>
      <c r="O102" s="135">
        <f>ROUNDUP(O99/(0.9*(($C$7-O101/2)/100)*($L$9*1000)),2)</f>
        <v>2.8699999999999997</v>
      </c>
      <c r="P102" s="136"/>
      <c r="Q102" s="135">
        <f>ROUNDUP(Q99/(0.9*(($C$7-Q101/2)/100)*($L$9*1000)),2)</f>
        <v>1.69</v>
      </c>
      <c r="R102" s="136"/>
      <c r="S102" s="135">
        <f>ROUNDUP(S99/(0.9*(($C$7-S101/2)/100)*($L$9*1000)),2)</f>
        <v>1.67</v>
      </c>
      <c r="T102" s="136"/>
      <c r="U102" s="135">
        <f>ROUNDUP(U99/(0.9*(($C$7-U101/2)/100)*($L$9*1000)),2)</f>
        <v>1.95</v>
      </c>
      <c r="V102" s="136"/>
      <c r="W102" s="146">
        <f>ROUNDUP(W99/(0.9*(($C$7-W101/2)/100)*($L$9*1000)),2)</f>
        <v>1.8800000000000001</v>
      </c>
      <c r="X102" s="147"/>
      <c r="Y102" s="135">
        <f>ROUNDUP(Y99/(0.9*(($C$7-Y101/2)/100)*($L$9*1000)),2)</f>
        <v>0.66</v>
      </c>
      <c r="Z102" s="136"/>
    </row>
    <row r="103" spans="2:26" ht="16.2" thickBot="1" x14ac:dyDescent="0.35">
      <c r="B103" s="61" t="s">
        <v>113</v>
      </c>
      <c r="C103" s="140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1"/>
      <c r="E103" s="140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1"/>
      <c r="G103" s="140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1"/>
      <c r="I103" s="140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1"/>
      <c r="K103" s="140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1"/>
      <c r="M103" s="140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1"/>
      <c r="O103" s="140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1"/>
      <c r="Q103" s="140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1"/>
      <c r="S103" s="140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1"/>
      <c r="U103" s="140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1"/>
      <c r="W103" s="140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1"/>
      <c r="Y103" s="140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1"/>
    </row>
    <row r="104" spans="2:26" ht="15" thickBot="1" x14ac:dyDescent="0.35">
      <c r="P104" s="40"/>
      <c r="T104" s="40"/>
      <c r="U104" s="41"/>
    </row>
    <row r="105" spans="2:26" ht="15" thickBot="1" x14ac:dyDescent="0.35">
      <c r="B105" s="73" t="s">
        <v>43</v>
      </c>
      <c r="C105" s="74" t="s">
        <v>146</v>
      </c>
      <c r="D105" s="75" t="s">
        <v>161</v>
      </c>
      <c r="E105" s="74" t="s">
        <v>147</v>
      </c>
      <c r="F105" s="75" t="s">
        <v>148</v>
      </c>
      <c r="G105" s="74" t="s">
        <v>147</v>
      </c>
      <c r="H105" s="75" t="s">
        <v>149</v>
      </c>
      <c r="I105" s="74" t="s">
        <v>148</v>
      </c>
      <c r="J105" s="75" t="s">
        <v>161</v>
      </c>
      <c r="K105" s="74" t="s">
        <v>148</v>
      </c>
      <c r="L105" s="75" t="s">
        <v>149</v>
      </c>
      <c r="M105" s="74" t="s">
        <v>149</v>
      </c>
      <c r="N105" s="75" t="s">
        <v>150</v>
      </c>
      <c r="O105" s="74" t="s">
        <v>149</v>
      </c>
      <c r="P105" s="75" t="s">
        <v>157</v>
      </c>
      <c r="Q105" s="74" t="s">
        <v>150</v>
      </c>
      <c r="R105" s="75" t="s">
        <v>157</v>
      </c>
      <c r="S105" s="74" t="s">
        <v>150</v>
      </c>
      <c r="T105" s="75" t="s">
        <v>156</v>
      </c>
      <c r="U105" s="74" t="s">
        <v>152</v>
      </c>
      <c r="V105" s="75" t="s">
        <v>153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" si="57">HLOOKUP(C105,$B$39:$X$82,IF(C106="x",35,40),FALSE)</f>
        <v>479.38048780487804</v>
      </c>
      <c r="D107" s="86">
        <f t="shared" ref="D107" si="58">HLOOKUP(D105,$B$39:$X$82,IF(D106="x",35,40),FALSE)</f>
        <v>734.75928143712576</v>
      </c>
      <c r="E107" s="104">
        <f t="shared" ref="E107" si="59">HLOOKUP(E105,$B$39:$X$82,IF(E106="x",35,40),FALSE)</f>
        <v>227.0333333333333</v>
      </c>
      <c r="F107" s="86">
        <f t="shared" ref="F107" si="60">HLOOKUP(F105,$B$39:$X$82,IF(F106="x",35,40),FALSE)</f>
        <v>667.99428571428564</v>
      </c>
      <c r="G107" s="104">
        <f t="shared" ref="G107" si="61">HLOOKUP(G105,$B$39:$X$82,IF(G106="x",35,40),FALSE)</f>
        <v>227.0333333333333</v>
      </c>
      <c r="H107" s="86">
        <f t="shared" ref="H107" si="62">HLOOKUP(H105,$B$39:$X$82,IF(H106="x",35,40),FALSE)</f>
        <v>1428.5638297872338</v>
      </c>
      <c r="I107" s="104">
        <f t="shared" ref="I107" si="63">HLOOKUP(I105,$B$39:$X$82,IF(I106="x",35,40),FALSE)</f>
        <v>974.1583333333333</v>
      </c>
      <c r="J107" s="86">
        <f t="shared" ref="J107" si="64">HLOOKUP(J105,$B$39:$X$82,IF(J106="x",35,40),FALSE)</f>
        <v>555.22533936651575</v>
      </c>
      <c r="K107" s="104">
        <f t="shared" ref="K107" si="65">HLOOKUP(K105,$B$39:$X$82,IF(K106="x",35,40),FALSE)</f>
        <v>974.1583333333333</v>
      </c>
      <c r="L107" s="86">
        <f t="shared" ref="L107" si="66">HLOOKUP(L105,$B$39:$X$82,IF(L106="x",35,40),FALSE)</f>
        <v>1323.0049261083741</v>
      </c>
      <c r="M107" s="104">
        <f t="shared" ref="M107" si="67">HLOOKUP(M105,$B$39:$X$82,IF(M106="x",35,40),FALSE)</f>
        <v>1323.0049261083741</v>
      </c>
      <c r="N107" s="86">
        <f t="shared" ref="N107" si="68">HLOOKUP(N105,$B$39:$X$82,IF(N106="x",35,40),FALSE)</f>
        <v>1879.8058604651167</v>
      </c>
      <c r="O107" s="104">
        <f t="shared" ref="O107" si="69">HLOOKUP(O105,$B$39:$X$82,IF(O106="x",35,40),FALSE)</f>
        <v>1428.5638297872338</v>
      </c>
      <c r="P107" s="86">
        <f t="shared" ref="P107" si="70">HLOOKUP(P105,$B$39:$X$82,IF(P106="x",35,40),FALSE)</f>
        <v>276.07350000000002</v>
      </c>
      <c r="Q107" s="104">
        <f t="shared" ref="Q107" si="71">HLOOKUP(Q105,$B$39:$X$82,IF(Q106="x",35,40),FALSE)</f>
        <v>2172.8938709677423</v>
      </c>
      <c r="R107" s="86">
        <f t="shared" ref="R107" si="72">HLOOKUP(R105,$B$39:$X$82,IF(R106="x",35,40),FALSE)</f>
        <v>276.07350000000002</v>
      </c>
      <c r="S107" s="104">
        <f t="shared" ref="S107" si="73">HLOOKUP(S105,$B$39:$X$82,IF(S106="x",35,40),FALSE)</f>
        <v>1879.8058604651167</v>
      </c>
      <c r="T107" s="86">
        <f t="shared" ref="T107" si="74">HLOOKUP(T105,$B$39:$X$82,IF(T106="x",35,40),FALSE)</f>
        <v>166.29600000000002</v>
      </c>
      <c r="U107" s="104">
        <f t="shared" ref="U107" si="75">HLOOKUP(U105,$B$39:$X$82,IF(U106="x",35,40),FALSE)</f>
        <v>249.29093333333336</v>
      </c>
      <c r="V107" s="86">
        <f t="shared" ref="V107" si="76">HLOOKUP(V105,$B$39:$X$82,IF(V106="x",35,40),FALSE)</f>
        <v>249.29093333333336</v>
      </c>
    </row>
    <row r="108" spans="2:26" x14ac:dyDescent="0.3">
      <c r="B108" s="106" t="s">
        <v>111</v>
      </c>
      <c r="C108" s="127">
        <f>(MAX(C107:D107)-MIN(C107:D107))/(MAX(C107:D107))</f>
        <v>0.34756797237422959</v>
      </c>
      <c r="D108" s="128"/>
      <c r="E108" s="127">
        <f>(MAX(E107:F107)-MIN(E107:F107))/(MAX(E107:F107))</f>
        <v>0.66012683313515652</v>
      </c>
      <c r="F108" s="128"/>
      <c r="G108" s="127">
        <f>(MAX(G107:H107)-MIN(G107:H107))/(MAX(G107:H107))</f>
        <v>0.84107582132529068</v>
      </c>
      <c r="H108" s="128"/>
      <c r="I108" s="127">
        <f>(MAX(I107:J107)-MIN(I107:J107))/(MAX(I107:J107))</f>
        <v>0.43004610198562954</v>
      </c>
      <c r="J108" s="128"/>
      <c r="K108" s="127">
        <f>(MAX(K107:L107)-MIN(K107:L107))/(MAX(K107:L107))</f>
        <v>0.26367747080214954</v>
      </c>
      <c r="L108" s="128"/>
      <c r="M108" s="127">
        <f>(MAX(M107:N107)-MIN(M107:N107))/(MAX(M107:N107))</f>
        <v>0.29620129720149635</v>
      </c>
      <c r="N108" s="128"/>
      <c r="O108" s="127">
        <f>(MAX(O107:P107)-MIN(O107:P107))/(MAX(O107:P107))</f>
        <v>0.80674752206128753</v>
      </c>
      <c r="P108" s="128"/>
      <c r="Q108" s="127">
        <f>(MAX(Q107:R107)-MIN(Q107:R107))/(MAX(Q107:R107))</f>
        <v>0.87294662491866437</v>
      </c>
      <c r="R108" s="128"/>
      <c r="S108" s="127">
        <f>(MAX(S107:T107)-MIN(S107:T107))/(MAX(S107:T107))</f>
        <v>0.91153554550635685</v>
      </c>
      <c r="T108" s="128"/>
      <c r="U108" s="127">
        <f>(MAX(U107:V107)-MIN(U107:V107))/(MAX(U107:V107))</f>
        <v>0</v>
      </c>
      <c r="V108" s="128"/>
    </row>
    <row r="109" spans="2:26" x14ac:dyDescent="0.3">
      <c r="B109" s="106" t="s">
        <v>112</v>
      </c>
      <c r="C109" s="129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30"/>
      <c r="E109" s="129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30"/>
      <c r="G109" s="129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30"/>
      <c r="I109" s="129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30"/>
      <c r="K109" s="129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30"/>
      <c r="M109" s="129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0"/>
      <c r="O109" s="129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30"/>
      <c r="Q109" s="129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30"/>
      <c r="S109" s="129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30"/>
      <c r="U109" s="129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30"/>
    </row>
    <row r="110" spans="2:26" x14ac:dyDescent="0.3">
      <c r="B110" s="107" t="s">
        <v>15</v>
      </c>
      <c r="C110" s="131">
        <f>C109/(0.9*(0.9*($C$7/100))*($L$9*1000))</f>
        <v>1.1730599391489145</v>
      </c>
      <c r="D110" s="132"/>
      <c r="E110" s="131">
        <f>E109/(0.9*(0.9*($C$7/100))*($L$9*1000))</f>
        <v>0.95248841488828095</v>
      </c>
      <c r="F110" s="132"/>
      <c r="G110" s="131">
        <f>G109/(0.9*(0.9*($C$7/100))*($L$9*1000))</f>
        <v>1.9806124478027429</v>
      </c>
      <c r="H110" s="132"/>
      <c r="I110" s="131">
        <f>I109/(0.9*(0.9*($C$7/100))*($L$9*1000))</f>
        <v>1.4956704045145492</v>
      </c>
      <c r="J110" s="132"/>
      <c r="K110" s="131">
        <f>K109/(0.9*(0.9*($C$7/100))*($L$9*1000))</f>
        <v>2.194530279258192</v>
      </c>
      <c r="L110" s="132"/>
      <c r="M110" s="131">
        <f>M109/(0.9*(0.9*($C$7/100))*($L$9*1000))</f>
        <v>3.07277385907584</v>
      </c>
      <c r="N110" s="132"/>
      <c r="O110" s="131">
        <f>O109/(0.9*(0.9*($C$7/100))*($L$9*1000))</f>
        <v>2.0078933593885608</v>
      </c>
      <c r="P110" s="132"/>
      <c r="Q110" s="131">
        <f>Q109/(0.9*(0.9*($C$7/100))*($L$9*1000))</f>
        <v>2.974053848979044</v>
      </c>
      <c r="R110" s="132"/>
      <c r="S110" s="131">
        <f>S109/(0.9*(0.9*($C$7/100))*($L$9*1000))</f>
        <v>2.5325487730410572</v>
      </c>
      <c r="T110" s="132"/>
      <c r="U110" s="131">
        <f>U109/(0.9*(0.9*($C$7/100))*($L$9*1000))</f>
        <v>0.46226623151856788</v>
      </c>
      <c r="V110" s="132"/>
    </row>
    <row r="111" spans="2:26" x14ac:dyDescent="0.3">
      <c r="B111" s="107" t="s">
        <v>98</v>
      </c>
      <c r="C111" s="133">
        <f>(C110*($L$9))/(0.85*$L$6*100)</f>
        <v>1.6545383224772961E-2</v>
      </c>
      <c r="D111" s="134"/>
      <c r="E111" s="133">
        <f>(E110*($L$9))/(0.85*$L$6*100)</f>
        <v>1.3434339811243508E-2</v>
      </c>
      <c r="F111" s="134"/>
      <c r="G111" s="133">
        <f>(G110*($L$9))/(0.85*$L$6*100)</f>
        <v>2.7935479573556569E-2</v>
      </c>
      <c r="H111" s="134"/>
      <c r="I111" s="133">
        <f>(I110*($L$9))/(0.85*$L$6*100)</f>
        <v>2.1095631343952124E-2</v>
      </c>
      <c r="J111" s="134"/>
      <c r="K111" s="133">
        <f>(K110*($L$9))/(0.85*$L$6*100)</f>
        <v>3.0952676207695051E-2</v>
      </c>
      <c r="L111" s="134"/>
      <c r="M111" s="133">
        <f>(M110*($L$9))/(0.85*$L$6*100)</f>
        <v>4.3339832317826982E-2</v>
      </c>
      <c r="N111" s="134"/>
      <c r="O111" s="133">
        <f>(O110*($L$9))/(0.85*$L$6*100)</f>
        <v>2.8320262244794996E-2</v>
      </c>
      <c r="P111" s="134"/>
      <c r="Q111" s="133">
        <f>(Q110*($L$9))/(0.85*$L$6*100)</f>
        <v>4.194743935946716E-2</v>
      </c>
      <c r="R111" s="134"/>
      <c r="S111" s="133">
        <f>(S110*($L$9))/(0.85*$L$6*100)</f>
        <v>3.5720246329265862E-2</v>
      </c>
      <c r="T111" s="134"/>
      <c r="U111" s="133">
        <f>(U110*($L$9))/(0.85*$L$6*100)</f>
        <v>6.5200180289980911E-3</v>
      </c>
      <c r="V111" s="134"/>
    </row>
    <row r="112" spans="2:26" ht="15" thickBot="1" x14ac:dyDescent="0.35">
      <c r="B112" s="108" t="s">
        <v>15</v>
      </c>
      <c r="C112" s="135">
        <f>ROUNDUP(C109/(0.9*(($C$7-C111/2)/100)*($L$9*1000)),2)</f>
        <v>1.06</v>
      </c>
      <c r="D112" s="136"/>
      <c r="E112" s="135">
        <f>ROUNDUP(E109/(0.9*(($C$7-E111/2)/100)*($L$9*1000)),2)</f>
        <v>0.86</v>
      </c>
      <c r="F112" s="136"/>
      <c r="G112" s="135">
        <f>ROUNDUP(G109/(0.9*(($C$7-G111/2)/100)*($L$9*1000)),2)</f>
        <v>1.79</v>
      </c>
      <c r="H112" s="136"/>
      <c r="I112" s="135">
        <f>ROUNDUP(I109/(0.9*(($C$7-I111/2)/100)*($L$9*1000)),2)</f>
        <v>1.35</v>
      </c>
      <c r="J112" s="136"/>
      <c r="K112" s="135">
        <f>ROUNDUP(K109/(0.9*(($C$7-K111/2)/100)*($L$9*1000)),2)</f>
        <v>1.98</v>
      </c>
      <c r="L112" s="136"/>
      <c r="M112" s="135">
        <f>ROUNDUP(M109/(0.9*(($C$7-M111/2)/100)*($L$9*1000)),2)</f>
        <v>2.7699999999999996</v>
      </c>
      <c r="N112" s="136"/>
      <c r="O112" s="135">
        <f>ROUNDUP(O109/(0.9*(($C$7-O111/2)/100)*($L$9*1000)),2)</f>
        <v>1.81</v>
      </c>
      <c r="P112" s="136"/>
      <c r="Q112" s="135">
        <f>ROUNDUP(Q109/(0.9*(($C$7-Q111/2)/100)*($L$9*1000)),2)</f>
        <v>2.69</v>
      </c>
      <c r="R112" s="136"/>
      <c r="S112" s="135">
        <f>ROUNDUP(S109/(0.9*(($C$7-S111/2)/100)*($L$9*1000)),2)</f>
        <v>2.2899999999999996</v>
      </c>
      <c r="T112" s="136"/>
      <c r="U112" s="135">
        <f>ROUNDUP(U109/(0.9*(($C$7-U111/2)/100)*($L$9*1000)),2)</f>
        <v>0.42</v>
      </c>
      <c r="V112" s="136"/>
    </row>
    <row r="113" spans="2:22" ht="16.2" thickBot="1" x14ac:dyDescent="0.35">
      <c r="B113" s="61" t="s">
        <v>113</v>
      </c>
      <c r="C113" s="140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1"/>
      <c r="E113" s="140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1"/>
      <c r="G113" s="140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1"/>
      <c r="I113" s="140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1"/>
      <c r="K113" s="140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1"/>
      <c r="M113" s="140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1"/>
      <c r="O113" s="140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1"/>
      <c r="Q113" s="140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1"/>
      <c r="S113" s="140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1"/>
      <c r="U113" s="140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1"/>
    </row>
  </sheetData>
  <mergeCells count="208">
    <mergeCell ref="U110:V110"/>
    <mergeCell ref="K113:L113"/>
    <mergeCell ref="M113:N113"/>
    <mergeCell ref="O113:P113"/>
    <mergeCell ref="Q113:R113"/>
    <mergeCell ref="S113:T113"/>
    <mergeCell ref="M112:N112"/>
    <mergeCell ref="O112:P112"/>
    <mergeCell ref="Q112:R112"/>
    <mergeCell ref="S112:T112"/>
    <mergeCell ref="C113:D113"/>
    <mergeCell ref="E113:F113"/>
    <mergeCell ref="G113:H113"/>
    <mergeCell ref="I113:J113"/>
    <mergeCell ref="Y102:Z102"/>
    <mergeCell ref="C112:D112"/>
    <mergeCell ref="E112:F112"/>
    <mergeCell ref="G112:H112"/>
    <mergeCell ref="I112:J112"/>
    <mergeCell ref="K112:L112"/>
    <mergeCell ref="K111:L111"/>
    <mergeCell ref="M111:N111"/>
    <mergeCell ref="O111:P111"/>
    <mergeCell ref="Q111:R111"/>
    <mergeCell ref="S111:T111"/>
    <mergeCell ref="M110:N110"/>
    <mergeCell ref="O110:P110"/>
    <mergeCell ref="Q110:R110"/>
    <mergeCell ref="S110:T110"/>
    <mergeCell ref="U111:V111"/>
    <mergeCell ref="U112:V112"/>
    <mergeCell ref="U113:V113"/>
    <mergeCell ref="C102:D102"/>
    <mergeCell ref="C103:D103"/>
    <mergeCell ref="C111:D111"/>
    <mergeCell ref="E111:F111"/>
    <mergeCell ref="G111:H111"/>
    <mergeCell ref="I111:J111"/>
    <mergeCell ref="O109:P109"/>
    <mergeCell ref="Q109:R109"/>
    <mergeCell ref="S109:T109"/>
    <mergeCell ref="Y100:Z100"/>
    <mergeCell ref="C110:D110"/>
    <mergeCell ref="E110:F110"/>
    <mergeCell ref="G110:H110"/>
    <mergeCell ref="I110:J110"/>
    <mergeCell ref="K110:L110"/>
    <mergeCell ref="Q108:R108"/>
    <mergeCell ref="S108:T108"/>
    <mergeCell ref="Y103:Z103"/>
    <mergeCell ref="C100:D100"/>
    <mergeCell ref="C101:D101"/>
    <mergeCell ref="W103:X103"/>
    <mergeCell ref="W102:X102"/>
    <mergeCell ref="W101:X101"/>
    <mergeCell ref="W100:X100"/>
    <mergeCell ref="U108:V108"/>
    <mergeCell ref="U109:V109"/>
    <mergeCell ref="C109:D109"/>
    <mergeCell ref="E109:F109"/>
    <mergeCell ref="G109:H109"/>
    <mergeCell ref="I109:J109"/>
    <mergeCell ref="K109:L109"/>
    <mergeCell ref="M109:N109"/>
    <mergeCell ref="Y98:Z98"/>
    <mergeCell ref="C108:D108"/>
    <mergeCell ref="E108:F108"/>
    <mergeCell ref="G108:H108"/>
    <mergeCell ref="I108:J108"/>
    <mergeCell ref="K108:L108"/>
    <mergeCell ref="M108:N108"/>
    <mergeCell ref="O108:P108"/>
    <mergeCell ref="M103:N103"/>
    <mergeCell ref="O103:P103"/>
    <mergeCell ref="Q103:R103"/>
    <mergeCell ref="S103:T103"/>
    <mergeCell ref="U103:V103"/>
    <mergeCell ref="S102:T102"/>
    <mergeCell ref="U102:V102"/>
    <mergeCell ref="Y101:Z101"/>
    <mergeCell ref="C98:D98"/>
    <mergeCell ref="C99:D99"/>
    <mergeCell ref="Y93:Z93"/>
    <mergeCell ref="E103:F103"/>
    <mergeCell ref="G103:H103"/>
    <mergeCell ref="I103:J103"/>
    <mergeCell ref="K103:L103"/>
    <mergeCell ref="Y92:Z92"/>
    <mergeCell ref="E102:F102"/>
    <mergeCell ref="G102:H102"/>
    <mergeCell ref="I102:J102"/>
    <mergeCell ref="K102:L102"/>
    <mergeCell ref="M102:N102"/>
    <mergeCell ref="O102:P102"/>
    <mergeCell ref="Q102:R102"/>
    <mergeCell ref="M101:N101"/>
    <mergeCell ref="O101:P101"/>
    <mergeCell ref="Q101:R101"/>
    <mergeCell ref="S101:T101"/>
    <mergeCell ref="U101:V101"/>
    <mergeCell ref="S100:T100"/>
    <mergeCell ref="U100:V100"/>
    <mergeCell ref="Y99:Z99"/>
    <mergeCell ref="W99:X99"/>
    <mergeCell ref="W98:X98"/>
    <mergeCell ref="Y91:Z91"/>
    <mergeCell ref="E101:F101"/>
    <mergeCell ref="G101:H101"/>
    <mergeCell ref="I101:J101"/>
    <mergeCell ref="K101:L101"/>
    <mergeCell ref="Y90:Z90"/>
    <mergeCell ref="E100:F100"/>
    <mergeCell ref="G100:H100"/>
    <mergeCell ref="I100:J100"/>
    <mergeCell ref="K100:L100"/>
    <mergeCell ref="M100:N100"/>
    <mergeCell ref="O100:P100"/>
    <mergeCell ref="Q100:R100"/>
    <mergeCell ref="M99:N99"/>
    <mergeCell ref="O99:P99"/>
    <mergeCell ref="Q99:R99"/>
    <mergeCell ref="S99:T99"/>
    <mergeCell ref="U99:V99"/>
    <mergeCell ref="S98:T98"/>
    <mergeCell ref="U98:V98"/>
    <mergeCell ref="Q92:R92"/>
    <mergeCell ref="M91:N91"/>
    <mergeCell ref="O91:P91"/>
    <mergeCell ref="Q91:R91"/>
    <mergeCell ref="Y89:Z89"/>
    <mergeCell ref="E99:F99"/>
    <mergeCell ref="G99:H99"/>
    <mergeCell ref="I99:J99"/>
    <mergeCell ref="K99:L99"/>
    <mergeCell ref="Y88:Z88"/>
    <mergeCell ref="E98:F98"/>
    <mergeCell ref="G98:H98"/>
    <mergeCell ref="I98:J98"/>
    <mergeCell ref="K98:L98"/>
    <mergeCell ref="M98:N98"/>
    <mergeCell ref="O98:P98"/>
    <mergeCell ref="Q98:R98"/>
    <mergeCell ref="M93:N93"/>
    <mergeCell ref="O93:P93"/>
    <mergeCell ref="Q93:R93"/>
    <mergeCell ref="S93:T93"/>
    <mergeCell ref="U93:V93"/>
    <mergeCell ref="W93:X93"/>
    <mergeCell ref="S92:T92"/>
    <mergeCell ref="U92:V92"/>
    <mergeCell ref="W92:X92"/>
    <mergeCell ref="M92:N92"/>
    <mergeCell ref="O92:P92"/>
    <mergeCell ref="C93:D93"/>
    <mergeCell ref="E93:F93"/>
    <mergeCell ref="G93:H93"/>
    <mergeCell ref="I93:J93"/>
    <mergeCell ref="K93:L93"/>
    <mergeCell ref="C92:D92"/>
    <mergeCell ref="E92:F92"/>
    <mergeCell ref="G92:H92"/>
    <mergeCell ref="I92:J92"/>
    <mergeCell ref="K92:L92"/>
    <mergeCell ref="S91:T91"/>
    <mergeCell ref="U91:V91"/>
    <mergeCell ref="W91:X91"/>
    <mergeCell ref="S90:T90"/>
    <mergeCell ref="U90:V90"/>
    <mergeCell ref="W90:X90"/>
    <mergeCell ref="C91:D91"/>
    <mergeCell ref="E91:F91"/>
    <mergeCell ref="G91:H91"/>
    <mergeCell ref="I91:J91"/>
    <mergeCell ref="K91:L91"/>
    <mergeCell ref="C90:D90"/>
    <mergeCell ref="E90:F90"/>
    <mergeCell ref="G90:H90"/>
    <mergeCell ref="I90:J90"/>
    <mergeCell ref="K90:L90"/>
    <mergeCell ref="M90:N90"/>
    <mergeCell ref="O90:P90"/>
    <mergeCell ref="Q90:R90"/>
    <mergeCell ref="M89:N89"/>
    <mergeCell ref="O89:P89"/>
    <mergeCell ref="Q89:R89"/>
    <mergeCell ref="S89:T89"/>
    <mergeCell ref="U89:V89"/>
    <mergeCell ref="W89:X89"/>
    <mergeCell ref="S88:T88"/>
    <mergeCell ref="U88:V88"/>
    <mergeCell ref="W88:X88"/>
    <mergeCell ref="M88:N88"/>
    <mergeCell ref="O88:P88"/>
    <mergeCell ref="Q88:R88"/>
    <mergeCell ref="E4:F4"/>
    <mergeCell ref="H4:I4"/>
    <mergeCell ref="K4:L4"/>
    <mergeCell ref="C89:D89"/>
    <mergeCell ref="E89:F89"/>
    <mergeCell ref="G89:H89"/>
    <mergeCell ref="I89:J89"/>
    <mergeCell ref="K89:L89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B2:Z114"/>
  <sheetViews>
    <sheetView showGridLines="0" topLeftCell="A7" zoomScale="70" zoomScaleNormal="70" workbookViewId="0">
      <selection activeCell="C56" sqref="C56:X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26" width="17.109375" customWidth="1"/>
  </cols>
  <sheetData>
    <row r="2" spans="2:21" ht="18" x14ac:dyDescent="0.35">
      <c r="B2" s="52" t="s">
        <v>162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164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3.06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183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185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163</v>
      </c>
      <c r="D39" s="74" t="s">
        <v>165</v>
      </c>
      <c r="E39" s="74" t="s">
        <v>166</v>
      </c>
      <c r="F39" s="74" t="s">
        <v>167</v>
      </c>
      <c r="G39" s="74" t="s">
        <v>168</v>
      </c>
      <c r="H39" s="74" t="s">
        <v>169</v>
      </c>
      <c r="I39" s="74" t="s">
        <v>170</v>
      </c>
      <c r="J39" s="74" t="s">
        <v>171</v>
      </c>
      <c r="K39" s="74" t="s">
        <v>172</v>
      </c>
      <c r="L39" s="74" t="s">
        <v>173</v>
      </c>
      <c r="M39" s="74" t="s">
        <v>174</v>
      </c>
      <c r="N39" s="74" t="s">
        <v>175</v>
      </c>
      <c r="O39" s="74" t="s">
        <v>176</v>
      </c>
      <c r="P39" s="74" t="s">
        <v>177</v>
      </c>
      <c r="Q39" s="74" t="s">
        <v>178</v>
      </c>
      <c r="R39" s="74" t="s">
        <v>179</v>
      </c>
      <c r="S39" s="74" t="s">
        <v>180</v>
      </c>
      <c r="T39" s="74" t="s">
        <v>181</v>
      </c>
      <c r="U39" s="74" t="s">
        <v>182</v>
      </c>
      <c r="V39" s="74" t="s">
        <v>183</v>
      </c>
      <c r="W39" s="74" t="s">
        <v>184</v>
      </c>
      <c r="X39" s="74" t="s">
        <v>185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3.1200053371569236E-2</v>
      </c>
      <c r="D65" s="92">
        <f t="shared" ref="D65:X65" si="13">(D64*($L$9))/(0.85*$L$6*100)</f>
        <v>1.2983383467846553E-2</v>
      </c>
      <c r="E65" s="92">
        <f t="shared" si="13"/>
        <v>1.2983383467846553E-2</v>
      </c>
      <c r="F65" s="92">
        <f t="shared" si="13"/>
        <v>2.469581111849176E-2</v>
      </c>
      <c r="G65" s="92">
        <f t="shared" si="13"/>
        <v>1.9226793113759657E-2</v>
      </c>
      <c r="H65" s="92">
        <f t="shared" si="13"/>
        <v>1.0847081705758672E-2</v>
      </c>
      <c r="I65" s="92">
        <f t="shared" si="13"/>
        <v>8.7787318267902644E-3</v>
      </c>
      <c r="J65" s="92">
        <f t="shared" si="13"/>
        <v>5.4333607793438463E-3</v>
      </c>
      <c r="K65" s="92">
        <f t="shared" si="13"/>
        <v>2.3313553139939665E-2</v>
      </c>
      <c r="L65" s="92">
        <f t="shared" si="13"/>
        <v>1.0847081705758672E-2</v>
      </c>
      <c r="M65" s="92">
        <f t="shared" si="13"/>
        <v>1.7928432084525891E-2</v>
      </c>
      <c r="N65" s="92">
        <f t="shared" si="13"/>
        <v>7.923633021351845E-3</v>
      </c>
      <c r="O65" s="92">
        <f t="shared" si="13"/>
        <v>7.923633021351845E-3</v>
      </c>
      <c r="P65" s="92">
        <f t="shared" si="13"/>
        <v>7.923633021351845E-3</v>
      </c>
      <c r="Q65" s="92">
        <f t="shared" si="13"/>
        <v>7.923633021351845E-3</v>
      </c>
      <c r="R65" s="92">
        <f t="shared" si="13"/>
        <v>3.7586954413815869E-3</v>
      </c>
      <c r="S65" s="92">
        <f t="shared" si="13"/>
        <v>3.7586954413815869E-3</v>
      </c>
      <c r="T65" s="92">
        <f t="shared" si="13"/>
        <v>6.2399348507255707E-3</v>
      </c>
      <c r="U65" s="92">
        <f t="shared" si="13"/>
        <v>6.2399348507255707E-3</v>
      </c>
      <c r="V65" s="92">
        <f t="shared" si="13"/>
        <v>1.902978572208355E-3</v>
      </c>
      <c r="W65" s="92">
        <f t="shared" si="13"/>
        <v>1.7028113593537141E-3</v>
      </c>
      <c r="X65" s="92">
        <f t="shared" si="13"/>
        <v>8.9862951160160874E-3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3.1200053371569236E-2</v>
      </c>
      <c r="D70" s="92">
        <f t="shared" ref="D70:X70" si="17">(D69*($L$9))/(0.85*$L$6*100)</f>
        <v>1.2983383467846553E-2</v>
      </c>
      <c r="E70" s="92">
        <f t="shared" si="17"/>
        <v>1.2983383467846553E-2</v>
      </c>
      <c r="F70" s="92">
        <f t="shared" si="17"/>
        <v>2.469581111849176E-2</v>
      </c>
      <c r="G70" s="92">
        <f t="shared" si="17"/>
        <v>1.9226793113759657E-2</v>
      </c>
      <c r="H70" s="92">
        <f t="shared" si="17"/>
        <v>1.0847081705758672E-2</v>
      </c>
      <c r="I70" s="92">
        <f t="shared" si="17"/>
        <v>8.7787318267902644E-3</v>
      </c>
      <c r="J70" s="92">
        <f t="shared" si="17"/>
        <v>5.4333607793438463E-3</v>
      </c>
      <c r="K70" s="92">
        <f t="shared" si="17"/>
        <v>2.3313553139939665E-2</v>
      </c>
      <c r="L70" s="92">
        <f t="shared" si="17"/>
        <v>1.0847081705758672E-2</v>
      </c>
      <c r="M70" s="92">
        <f t="shared" si="17"/>
        <v>1.7928432084525891E-2</v>
      </c>
      <c r="N70" s="92">
        <f t="shared" si="17"/>
        <v>7.923633021351845E-3</v>
      </c>
      <c r="O70" s="92">
        <f t="shared" si="17"/>
        <v>7.923633021351845E-3</v>
      </c>
      <c r="P70" s="92">
        <f t="shared" si="17"/>
        <v>7.923633021351845E-3</v>
      </c>
      <c r="Q70" s="92">
        <f t="shared" si="17"/>
        <v>7.923633021351845E-3</v>
      </c>
      <c r="R70" s="92">
        <f t="shared" si="17"/>
        <v>3.7586954413815869E-3</v>
      </c>
      <c r="S70" s="92">
        <f t="shared" si="17"/>
        <v>3.7586954413815869E-3</v>
      </c>
      <c r="T70" s="92">
        <f t="shared" si="17"/>
        <v>6.2399348507255707E-3</v>
      </c>
      <c r="U70" s="92">
        <f t="shared" si="17"/>
        <v>6.2399348507255707E-3</v>
      </c>
      <c r="V70" s="92">
        <f t="shared" si="17"/>
        <v>1.902978572208355E-3</v>
      </c>
      <c r="W70" s="92">
        <f t="shared" si="17"/>
        <v>1.7028113593537141E-3</v>
      </c>
      <c r="X70" s="92">
        <f t="shared" si="17"/>
        <v>8.9862951160160874E-3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0.10706114518594394</v>
      </c>
      <c r="D75" s="92">
        <f t="shared" ref="D75:X75" si="21">(D74*($L$9))/(0.85*$L$6*100)</f>
        <v>5.0247389241393173E-2</v>
      </c>
      <c r="E75" s="92">
        <f t="shared" si="21"/>
        <v>5.0247389241393173E-2</v>
      </c>
      <c r="F75" s="92">
        <f t="shared" si="21"/>
        <v>9.019065066719012E-2</v>
      </c>
      <c r="G75" s="92">
        <f t="shared" si="21"/>
        <v>7.9004103808459444E-2</v>
      </c>
      <c r="H75" s="92">
        <f t="shared" si="21"/>
        <v>4.843354339320155E-2</v>
      </c>
      <c r="I75" s="92">
        <f t="shared" si="21"/>
        <v>2.2716916700000121E-2</v>
      </c>
      <c r="J75" s="92">
        <f t="shared" si="21"/>
        <v>7.6972611040704471E-3</v>
      </c>
      <c r="K75" s="92">
        <f t="shared" si="21"/>
        <v>3.302753361491452E-2</v>
      </c>
      <c r="L75" s="92">
        <f t="shared" si="21"/>
        <v>4.843354339320155E-2</v>
      </c>
      <c r="M75" s="92">
        <f t="shared" si="21"/>
        <v>7.3669056568520366E-2</v>
      </c>
      <c r="N75" s="92">
        <f t="shared" si="21"/>
        <v>1.1885449532027768E-2</v>
      </c>
      <c r="O75" s="92">
        <f t="shared" si="21"/>
        <v>1.1885449532027768E-2</v>
      </c>
      <c r="P75" s="92">
        <f t="shared" si="21"/>
        <v>1.1885449532027768E-2</v>
      </c>
      <c r="Q75" s="92">
        <f t="shared" si="21"/>
        <v>1.1885449532027768E-2</v>
      </c>
      <c r="R75" s="92">
        <f t="shared" si="21"/>
        <v>5.6380431620723804E-3</v>
      </c>
      <c r="S75" s="92">
        <f t="shared" si="21"/>
        <v>5.6380431620723804E-3</v>
      </c>
      <c r="T75" s="92">
        <f t="shared" si="21"/>
        <v>9.3599022760883551E-3</v>
      </c>
      <c r="U75" s="92">
        <f t="shared" si="21"/>
        <v>9.3599022760883551E-3</v>
      </c>
      <c r="V75" s="92">
        <f t="shared" si="21"/>
        <v>2.8544678583125324E-3</v>
      </c>
      <c r="W75" s="92">
        <f t="shared" si="21"/>
        <v>2.5542170390305714E-3</v>
      </c>
      <c r="X75" s="92">
        <f t="shared" si="21"/>
        <v>2.4911029384205283E-2</v>
      </c>
    </row>
    <row r="76" spans="2:24" ht="15" thickBot="1" x14ac:dyDescent="0.35">
      <c r="B76" s="97" t="s">
        <v>15</v>
      </c>
      <c r="C76" s="76">
        <f>ROUNDUP(C73/(0.9*(($C$7-C75/2)/100)*($L$9*1000)),2)</f>
        <v>5.88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4.95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4.04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7.8664999150962395E-2</v>
      </c>
      <c r="D80" s="93">
        <f>(D79*($L$9))/(0.85*$L$6*100)</f>
        <v>4.125113177896033E-2</v>
      </c>
      <c r="E80" s="93">
        <f t="shared" ref="E80:X80" si="25">(E79*($L$9))/(0.85*$L$6*100)</f>
        <v>4.125113177896033E-2</v>
      </c>
      <c r="F80" s="93">
        <f t="shared" si="25"/>
        <v>7.0680020114695916E-2</v>
      </c>
      <c r="G80" s="93">
        <f t="shared" si="25"/>
        <v>6.8347736318016078E-2</v>
      </c>
      <c r="H80" s="93">
        <f t="shared" si="25"/>
        <v>4.4854710137546258E-2</v>
      </c>
      <c r="I80" s="93">
        <f t="shared" si="25"/>
        <v>1.6252753411382201E-2</v>
      </c>
      <c r="J80" s="93">
        <f t="shared" si="25"/>
        <v>5.2781218999340216E-3</v>
      </c>
      <c r="K80" s="93">
        <f t="shared" si="25"/>
        <v>2.264745162165567E-2</v>
      </c>
      <c r="L80" s="93">
        <f t="shared" si="25"/>
        <v>4.4854710137546258E-2</v>
      </c>
      <c r="M80" s="93">
        <f t="shared" si="25"/>
        <v>6.3732300101138561E-2</v>
      </c>
      <c r="N80" s="93">
        <f t="shared" si="25"/>
        <v>8.451875222775301E-3</v>
      </c>
      <c r="O80" s="93">
        <f t="shared" si="25"/>
        <v>8.451875222775301E-3</v>
      </c>
      <c r="P80" s="93">
        <f t="shared" si="25"/>
        <v>8.451875222775301E-3</v>
      </c>
      <c r="Q80" s="93">
        <f t="shared" si="25"/>
        <v>8.451875222775301E-3</v>
      </c>
      <c r="R80" s="93">
        <f t="shared" si="25"/>
        <v>4.0092751374736927E-3</v>
      </c>
      <c r="S80" s="93">
        <f t="shared" si="25"/>
        <v>4.0092751374736927E-3</v>
      </c>
      <c r="T80" s="93">
        <f t="shared" si="25"/>
        <v>6.6559305074406086E-3</v>
      </c>
      <c r="U80" s="93">
        <f t="shared" si="25"/>
        <v>6.6559305074406086E-3</v>
      </c>
      <c r="V80" s="93">
        <f t="shared" si="25"/>
        <v>2.029843810355579E-3</v>
      </c>
      <c r="W80" s="93">
        <f t="shared" si="25"/>
        <v>1.8163321166439618E-3</v>
      </c>
      <c r="X80" s="93">
        <f t="shared" si="25"/>
        <v>1.8824171525621186E-2</v>
      </c>
    </row>
    <row r="81" spans="2:26" ht="15" thickBot="1" x14ac:dyDescent="0.35">
      <c r="B81" s="97" t="s">
        <v>15</v>
      </c>
      <c r="C81" s="76">
        <f>ROUNDUP(C78/(0.9*(($C$7-C80/2)/100)*($L$9*1000)),2)</f>
        <v>4.3199999999999994</v>
      </c>
      <c r="D81" s="77">
        <f>ROUNDUP(D78/(0.9*(($C$7-D80/2)/100)*($L$9*1000)),2)</f>
        <v>2.2599999999999998</v>
      </c>
      <c r="E81" s="77">
        <f t="shared" ref="E81:X81" si="26">ROUNDUP(E78/(0.9*(($C$7-E80/2)/100)*($L$9*1000)),2)</f>
        <v>2.2599999999999998</v>
      </c>
      <c r="F81" s="77">
        <f t="shared" si="26"/>
        <v>3.88</v>
      </c>
      <c r="G81" s="77">
        <f t="shared" si="26"/>
        <v>3.75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1.24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IF(AND(C67='2 a 7'!C67,'8 a 13'!C72='2 a 7'!C72,'8 a 13'!C77='2 a 7'!C77,'8 a 13'!C82='2 a 7'!C82),"IGUAL","PUTA LA WEA")</f>
        <v>IGUAL</v>
      </c>
      <c r="D83" t="str">
        <f>IF(AND(D67='2 a 7'!D67,'8 a 13'!D72='2 a 7'!D72,'8 a 13'!D77='2 a 7'!D77,'8 a 13'!D82='2 a 7'!D82),"IGUAL","PUTA LA WEA")</f>
        <v>IGUAL</v>
      </c>
      <c r="E83" t="str">
        <f>IF(AND(E67='2 a 7'!E67,'8 a 13'!E72='2 a 7'!E72,'8 a 13'!E77='2 a 7'!E77,'8 a 13'!E82='2 a 7'!E82),"IGUAL","PUTA LA WEA")</f>
        <v>IGUAL</v>
      </c>
      <c r="F83" t="str">
        <f>IF(AND(F67='2 a 7'!F67,'8 a 13'!F72='2 a 7'!F72,'8 a 13'!F77='2 a 7'!F77,'8 a 13'!F82='2 a 7'!F82),"IGUAL","PUTA LA WEA")</f>
        <v>IGUAL</v>
      </c>
      <c r="G83" t="str">
        <f>IF(AND(G67='2 a 7'!G67,'8 a 13'!G72='2 a 7'!G72,'8 a 13'!G77='2 a 7'!G77,'8 a 13'!G82='2 a 7'!G82),"IGUAL","PUTA LA WEA")</f>
        <v>IGUAL</v>
      </c>
      <c r="H83" t="str">
        <f>IF(AND(H67='2 a 7'!H67,'8 a 13'!H72='2 a 7'!H72,'8 a 13'!H77='2 a 7'!H77,'8 a 13'!H82='2 a 7'!H82),"IGUAL","PUTA LA WEA")</f>
        <v>IGUAL</v>
      </c>
      <c r="I83" t="str">
        <f>IF(AND(I67='2 a 7'!I67,'8 a 13'!I72='2 a 7'!I72,'8 a 13'!I77='2 a 7'!I77,'8 a 13'!I82='2 a 7'!I82),"IGUAL","PUTA LA WEA")</f>
        <v>IGUAL</v>
      </c>
      <c r="J83" t="str">
        <f>IF(AND(J67='2 a 7'!J67,'8 a 13'!J72='2 a 7'!J72,'8 a 13'!J77='2 a 7'!J77,'8 a 13'!J82='2 a 7'!J82),"IGUAL","PUTA LA WEA")</f>
        <v>IGUAL</v>
      </c>
      <c r="K83" t="str">
        <f>IF(AND(K67='2 a 7'!K67,'8 a 13'!K72='2 a 7'!K72,'8 a 13'!K77='2 a 7'!K77,'8 a 13'!K82='2 a 7'!K82),"IGUAL","PUTA LA WEA")</f>
        <v>IGUAL</v>
      </c>
      <c r="L83" t="str">
        <f>IF(AND(L67='2 a 7'!L67,'8 a 13'!L72='2 a 7'!L72,'8 a 13'!L77='2 a 7'!L77,'8 a 13'!L82='2 a 7'!L82),"IGUAL","PUTA LA WEA")</f>
        <v>IGUAL</v>
      </c>
      <c r="M83" t="str">
        <f>IF(AND(M67='2 a 7'!M67,'8 a 13'!M72='2 a 7'!M72,'8 a 13'!M77='2 a 7'!M77,'8 a 13'!M82='2 a 7'!M82),"IGUAL","PUTA LA WEA")</f>
        <v>IGUAL</v>
      </c>
      <c r="N83" t="str">
        <f>IF(AND(N67='2 a 7'!N67,'8 a 13'!N72='2 a 7'!N72,'8 a 13'!N77='2 a 7'!N77,'8 a 13'!N82='2 a 7'!N82),"IGUAL","PUTA LA WEA")</f>
        <v>IGUAL</v>
      </c>
      <c r="O83" t="str">
        <f>IF(AND(O67='2 a 7'!O67,'8 a 13'!O72='2 a 7'!O72,'8 a 13'!O77='2 a 7'!O77,'8 a 13'!O82='2 a 7'!O82),"IGUAL","PUTA LA WEA")</f>
        <v>IGUAL</v>
      </c>
      <c r="P83" t="str">
        <f>IF(AND(P67='2 a 7'!P67,'8 a 13'!P72='2 a 7'!P72,'8 a 13'!P77='2 a 7'!P77,'8 a 13'!P82='2 a 7'!P82),"IGUAL","PUTA LA WEA")</f>
        <v>IGUAL</v>
      </c>
      <c r="Q83" t="str">
        <f>IF(AND(Q67='2 a 7'!Q67,'8 a 13'!Q72='2 a 7'!Q72,'8 a 13'!Q77='2 a 7'!Q77,'8 a 13'!Q82='2 a 7'!Q82),"IGUAL","PUTA LA WEA")</f>
        <v>IGUAL</v>
      </c>
      <c r="R83" t="str">
        <f>IF(AND(R67='2 a 7'!R67,'8 a 13'!R72='2 a 7'!R72,'8 a 13'!R77='2 a 7'!R77,'8 a 13'!R82='2 a 7'!R82),"IGUAL","PUTA LA WEA")</f>
        <v>IGUAL</v>
      </c>
      <c r="S83" t="str">
        <f>IF(AND(S67='2 a 7'!S67,'8 a 13'!S72='2 a 7'!S72,'8 a 13'!S77='2 a 7'!S77,'8 a 13'!S82='2 a 7'!S82),"IGUAL","PUTA LA WEA")</f>
        <v>IGUAL</v>
      </c>
      <c r="T83" t="str">
        <f>IF(AND(T67='2 a 7'!T67,'8 a 13'!T72='2 a 7'!T72,'8 a 13'!T77='2 a 7'!T77,'8 a 13'!T82='2 a 7'!T82),"IGUAL","PUTA LA WEA")</f>
        <v>IGUAL</v>
      </c>
      <c r="U83" t="str">
        <f>IF(AND(U67='2 a 7'!U67,'8 a 13'!U72='2 a 7'!U72,'8 a 13'!U77='2 a 7'!U77,'8 a 13'!U82='2 a 7'!U82),"IGUAL","PUTA LA WEA")</f>
        <v>IGUAL</v>
      </c>
      <c r="V83" t="str">
        <f>IF(AND(V67='2 a 7'!V67,'8 a 13'!V72='2 a 7'!V72,'8 a 13'!V77='2 a 7'!V77,'8 a 13'!V82='2 a 7'!V82),"IGUAL","PUTA LA WEA")</f>
        <v>IGUAL</v>
      </c>
      <c r="W83" t="str">
        <f>IF(AND(W67='2 a 7'!W67,'8 a 13'!W72='2 a 7'!W72,'8 a 13'!W77='2 a 7'!W77,'8 a 13'!W82='2 a 7'!W82),"IGUAL","PUTA LA WEA")</f>
        <v>IGUAL</v>
      </c>
      <c r="X83" t="str">
        <f>IF(AND(X67='2 a 7'!X67,'8 a 13'!X72='2 a 7'!X72,'8 a 13'!X77='2 a 7'!X77,'8 a 13'!X82='2 a 7'!X82),"IGUAL","PUTA LA WEA")</f>
        <v>IGUAL</v>
      </c>
    </row>
    <row r="84" spans="2:26" ht="15" thickBot="1" x14ac:dyDescent="0.35">
      <c r="B84" s="126" t="s">
        <v>107</v>
      </c>
      <c r="C84" s="126"/>
      <c r="P84" s="40"/>
      <c r="T84" s="40"/>
      <c r="U84" s="41"/>
    </row>
    <row r="85" spans="2:26" ht="15" thickBot="1" x14ac:dyDescent="0.35">
      <c r="B85" s="73" t="s">
        <v>43</v>
      </c>
      <c r="C85" s="74" t="s">
        <v>163</v>
      </c>
      <c r="D85" s="75" t="s">
        <v>165</v>
      </c>
      <c r="E85" s="74" t="s">
        <v>163</v>
      </c>
      <c r="F85" s="75" t="s">
        <v>168</v>
      </c>
      <c r="G85" s="74" t="s">
        <v>163</v>
      </c>
      <c r="H85" s="75" t="s">
        <v>169</v>
      </c>
      <c r="I85" s="74" t="s">
        <v>163</v>
      </c>
      <c r="J85" s="75" t="s">
        <v>175</v>
      </c>
      <c r="K85" s="74" t="s">
        <v>163</v>
      </c>
      <c r="L85" s="75" t="s">
        <v>184</v>
      </c>
      <c r="M85" s="74" t="s">
        <v>165</v>
      </c>
      <c r="N85" s="75" t="s">
        <v>166</v>
      </c>
      <c r="O85" s="74" t="s">
        <v>165</v>
      </c>
      <c r="P85" s="75" t="s">
        <v>171</v>
      </c>
      <c r="Q85" s="74" t="s">
        <v>165</v>
      </c>
      <c r="R85" s="75" t="s">
        <v>176</v>
      </c>
      <c r="S85" s="74" t="s">
        <v>166</v>
      </c>
      <c r="T85" s="75" t="s">
        <v>177</v>
      </c>
      <c r="U85" s="74" t="s">
        <v>166</v>
      </c>
      <c r="V85" s="75" t="s">
        <v>171</v>
      </c>
      <c r="W85" s="74" t="s">
        <v>166</v>
      </c>
      <c r="X85" s="75" t="s">
        <v>167</v>
      </c>
      <c r="Y85" s="74" t="s">
        <v>167</v>
      </c>
      <c r="Z85" s="75" t="s">
        <v>178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27">
        <f>(MAX(C87:D87)-MIN(C87:D87))/(MAX(C87:D87))</f>
        <v>0.47561009058428666</v>
      </c>
      <c r="D88" s="128"/>
      <c r="E88" s="127">
        <f>(MAX(E87:F87)-MIN(E87:F87))/(MAX(E87:F87))</f>
        <v>0.26206558251133028</v>
      </c>
      <c r="F88" s="128"/>
      <c r="G88" s="127">
        <f>(MAX(G87:H87)-MIN(G87:H87))/(MAX(G87:H87))</f>
        <v>0.58103651834059367</v>
      </c>
      <c r="H88" s="128"/>
      <c r="I88" s="127">
        <f>(MAX(I87:J87)-MIN(I87:J87))/(MAX(I87:J87))</f>
        <v>0.88898447227156863</v>
      </c>
      <c r="J88" s="128"/>
      <c r="K88" s="127">
        <f>(MAX(K87:L87)-MIN(K87:L87))/(MAX(K87:L87))</f>
        <v>0.96753045106974589</v>
      </c>
      <c r="L88" s="128"/>
      <c r="M88" s="127">
        <f>(MAX(M87:N87)-MIN(M87:N87))/(MAX(M87:N87))</f>
        <v>0</v>
      </c>
      <c r="N88" s="128"/>
      <c r="O88" s="127">
        <f>(MAX(O87:P87)-MIN(O87:P87))/(MAX(O87:P87))</f>
        <v>0.84681271563996918</v>
      </c>
      <c r="P88" s="128"/>
      <c r="Q88" s="127">
        <f>(MAX(Q87:R87)-MIN(Q87:R87))/(MAX(Q87:R87))</f>
        <v>0.76346135169473284</v>
      </c>
      <c r="R88" s="128"/>
      <c r="S88" s="127">
        <f>(MAX(S87:T87)-MIN(S87:T87))/(MAX(S87:T87))</f>
        <v>0.76346135169473284</v>
      </c>
      <c r="T88" s="128"/>
      <c r="U88" s="127">
        <f>(MAX(U87:V87)-MIN(U87:V87))/(MAX(U87:V87))</f>
        <v>0.84681271563996918</v>
      </c>
      <c r="V88" s="128"/>
      <c r="W88" s="127">
        <f>(MAX(W87:X87)-MIN(W87:X87))/(MAX(W87:X87))</f>
        <v>0.41636785456455572</v>
      </c>
      <c r="X88" s="128"/>
      <c r="Y88" s="127">
        <f>(MAX(Y87:Z87)-MIN(Y87:Z87))/(MAX(Y87:Z87))</f>
        <v>0.8682186075374273</v>
      </c>
      <c r="Z88" s="128"/>
    </row>
    <row r="89" spans="2:26" x14ac:dyDescent="0.3">
      <c r="B89" s="106" t="s">
        <v>112</v>
      </c>
      <c r="C89" s="129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0"/>
      <c r="E89" s="129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0"/>
      <c r="G89" s="129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0"/>
      <c r="I89" s="129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30"/>
      <c r="K89" s="129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30"/>
      <c r="M89" s="129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0"/>
      <c r="O89" s="129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30"/>
      <c r="Q89" s="129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30"/>
      <c r="S89" s="129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30"/>
      <c r="U89" s="129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30"/>
      <c r="W89" s="129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0"/>
      <c r="Y89" s="129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30"/>
    </row>
    <row r="90" spans="2:26" x14ac:dyDescent="0.3">
      <c r="B90" s="107" t="s">
        <v>15</v>
      </c>
      <c r="C90" s="131">
        <f>C89/(0.9*(0.9*($C$7/100))*($L$9*1000))</f>
        <v>3.4839730761691592</v>
      </c>
      <c r="D90" s="132"/>
      <c r="E90" s="131">
        <f>E89/(0.9*(0.9*($C$7/100))*($L$9*1000))</f>
        <v>5.2417743808774491</v>
      </c>
      <c r="F90" s="132"/>
      <c r="G90" s="131">
        <f>G89/(0.9*(0.9*($C$7/100))*($L$9*1000))</f>
        <v>4.6647843325723883</v>
      </c>
      <c r="H90" s="132"/>
      <c r="I90" s="131">
        <f>I89/(0.9*(0.9*($C$7/100))*($L$9*1000))</f>
        <v>4.2939345555817861</v>
      </c>
      <c r="J90" s="132"/>
      <c r="K90" s="131">
        <f>K89/(0.9*(0.9*($C$7/100))*($L$9*1000))</f>
        <v>3.053658354176203</v>
      </c>
      <c r="L90" s="132"/>
      <c r="M90" s="131">
        <f>M89/(0.9*(0.9*($C$7/100))*($L$9*1000))</f>
        <v>2.2561863173216881</v>
      </c>
      <c r="N90" s="132"/>
      <c r="O90" s="131">
        <f>O89/(0.9*(0.9*($C$7/100))*($L$9*1000))</f>
        <v>2.0500568922471878</v>
      </c>
      <c r="P90" s="132"/>
      <c r="Q90" s="131">
        <f>Q89/(0.9*(0.9*($C$7/100))*($L$9*1000))</f>
        <v>2.1187774316701224</v>
      </c>
      <c r="R90" s="132"/>
      <c r="S90" s="131">
        <f>S89/(0.9*(0.9*($C$7/100))*($L$9*1000))</f>
        <v>2.1187774316701224</v>
      </c>
      <c r="T90" s="132"/>
      <c r="U90" s="131">
        <f>U89/(0.9*(0.9*($C$7/100))*($L$9*1000))</f>
        <v>2.0500568922471878</v>
      </c>
      <c r="V90" s="132"/>
      <c r="W90" s="131">
        <f>W89/(0.9*(0.9*($C$7/100))*($L$9*1000))</f>
        <v>3.2219351683280908</v>
      </c>
      <c r="X90" s="132"/>
      <c r="Y90" s="131">
        <f>Y89/(0.9*(0.9*($C$7/100))*($L$9*1000))</f>
        <v>3.6480350594774507</v>
      </c>
      <c r="Z90" s="132"/>
    </row>
    <row r="91" spans="2:26" x14ac:dyDescent="0.3">
      <c r="B91" s="107" t="s">
        <v>98</v>
      </c>
      <c r="C91" s="133">
        <f>(C90*($L$9))/(0.85*$L$6*100)</f>
        <v>5.7329506981945409E-2</v>
      </c>
      <c r="D91" s="134"/>
      <c r="E91" s="133">
        <f>(E90*($L$9))/(0.85*$L$6*100)</f>
        <v>8.6254495771455136E-2</v>
      </c>
      <c r="F91" s="134"/>
      <c r="G91" s="133">
        <f>(G90*($L$9))/(0.85*$L$6*100)</f>
        <v>7.6760003627104265E-2</v>
      </c>
      <c r="H91" s="134"/>
      <c r="I91" s="133">
        <f>(I90*($L$9))/(0.85*$L$6*100)</f>
        <v>7.0657592840792163E-2</v>
      </c>
      <c r="J91" s="134"/>
      <c r="K91" s="133">
        <f>(K90*($L$9))/(0.85*$L$6*100)</f>
        <v>5.0248588065644556E-2</v>
      </c>
      <c r="L91" s="134"/>
      <c r="M91" s="133">
        <f>(M90*($L$9))/(0.85*$L$6*100)</f>
        <v>3.7126018601064299E-2</v>
      </c>
      <c r="N91" s="134"/>
      <c r="O91" s="133">
        <f>(O90*($L$9))/(0.85*$L$6*100)</f>
        <v>3.3734115720176719E-2</v>
      </c>
      <c r="P91" s="134"/>
      <c r="Q91" s="133">
        <f>(Q90*($L$9))/(0.85*$L$6*100)</f>
        <v>3.4864926595725203E-2</v>
      </c>
      <c r="R91" s="134"/>
      <c r="S91" s="133">
        <f>(S90*($L$9))/(0.85*$L$6*100)</f>
        <v>3.4864926595725203E-2</v>
      </c>
      <c r="T91" s="134"/>
      <c r="U91" s="133">
        <f>(U90*($L$9))/(0.85*$L$6*100)</f>
        <v>3.3734115720176719E-2</v>
      </c>
      <c r="V91" s="134"/>
      <c r="W91" s="133">
        <f>(W90*($L$9))/(0.85*$L$6*100)</f>
        <v>5.3017618302361506E-2</v>
      </c>
      <c r="X91" s="134"/>
      <c r="Y91" s="133">
        <f>(Y90*($L$9))/(0.85*$L$6*100)</f>
        <v>6.0029181293977274E-2</v>
      </c>
      <c r="Z91" s="134"/>
    </row>
    <row r="92" spans="2:26" ht="15" thickBot="1" x14ac:dyDescent="0.35">
      <c r="B92" s="108" t="s">
        <v>15</v>
      </c>
      <c r="C92" s="135">
        <f>ROUNDUP(C89/(0.9*(($C$7-C91/2)/100)*($L$9*1000)),2)</f>
        <v>3.15</v>
      </c>
      <c r="D92" s="136"/>
      <c r="E92" s="135">
        <f>ROUNDUP(E89/(0.9*(($C$7-E91/2)/100)*($L$9*1000)),2)</f>
        <v>4.74</v>
      </c>
      <c r="F92" s="136"/>
      <c r="G92" s="135">
        <f>ROUNDUP(G89/(0.9*(($C$7-G91/2)/100)*($L$9*1000)),2)</f>
        <v>4.21</v>
      </c>
      <c r="H92" s="136"/>
      <c r="I92" s="135">
        <f>ROUNDUP(I89/(0.9*(($C$7-I91/2)/100)*($L$9*1000)),2)</f>
        <v>3.88</v>
      </c>
      <c r="J92" s="136"/>
      <c r="K92" s="135">
        <f>ROUNDUP(K89/(0.9*(($C$7-K91/2)/100)*($L$9*1000)),2)</f>
        <v>2.76</v>
      </c>
      <c r="L92" s="136"/>
      <c r="M92" s="135">
        <f>ROUNDUP(M89/(0.9*(($C$7-M91/2)/100)*($L$9*1000)),2)</f>
        <v>2.0399999999999996</v>
      </c>
      <c r="N92" s="136"/>
      <c r="O92" s="135">
        <f>ROUNDUP(O89/(0.9*(($C$7-O91/2)/100)*($L$9*1000)),2)</f>
        <v>1.85</v>
      </c>
      <c r="P92" s="136"/>
      <c r="Q92" s="135">
        <f>ROUNDUP(Q89/(0.9*(($C$7-Q91/2)/100)*($L$9*1000)),2)</f>
        <v>1.91</v>
      </c>
      <c r="R92" s="136"/>
      <c r="S92" s="135">
        <f>ROUNDUP(S89/(0.9*(($C$7-S91/2)/100)*($L$9*1000)),2)</f>
        <v>1.91</v>
      </c>
      <c r="T92" s="136"/>
      <c r="U92" s="135">
        <f>ROUNDUP(U89/(0.9*(($C$7-U91/2)/100)*($L$9*1000)),2)</f>
        <v>1.85</v>
      </c>
      <c r="V92" s="136"/>
      <c r="W92" s="135">
        <f>ROUNDUP(W89/(0.9*(($C$7-W91/2)/100)*($L$9*1000)),2)</f>
        <v>2.9099999999999997</v>
      </c>
      <c r="X92" s="136"/>
      <c r="Y92" s="135">
        <f>ROUNDUP(Y89/(0.9*(($C$7-Y91/2)/100)*($L$9*1000)),2)</f>
        <v>3.3</v>
      </c>
      <c r="Z92" s="136"/>
    </row>
    <row r="93" spans="2:26" ht="16.2" thickBot="1" x14ac:dyDescent="0.35">
      <c r="B93" s="61" t="s">
        <v>113</v>
      </c>
      <c r="C93" s="140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1"/>
      <c r="E93" s="140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1"/>
      <c r="G93" s="140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1"/>
      <c r="I93" s="140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1"/>
      <c r="K93" s="140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1"/>
      <c r="M93" s="140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1"/>
      <c r="O93" s="140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1"/>
      <c r="Q93" s="140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1"/>
      <c r="S93" s="140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1"/>
      <c r="U93" s="140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1"/>
      <c r="W93" s="140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1"/>
      <c r="Y93" s="140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1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167</v>
      </c>
      <c r="D95" s="75" t="s">
        <v>171</v>
      </c>
      <c r="E95" s="74" t="s">
        <v>167</v>
      </c>
      <c r="F95" s="75" t="s">
        <v>179</v>
      </c>
      <c r="G95" s="74" t="s">
        <v>167</v>
      </c>
      <c r="H95" s="75" t="s">
        <v>173</v>
      </c>
      <c r="I95" s="74" t="s">
        <v>167</v>
      </c>
      <c r="J95" s="75" t="s">
        <v>174</v>
      </c>
      <c r="K95" s="74" t="s">
        <v>168</v>
      </c>
      <c r="L95" s="75" t="s">
        <v>183</v>
      </c>
      <c r="M95" s="74" t="s">
        <v>168</v>
      </c>
      <c r="N95" s="75" t="s">
        <v>169</v>
      </c>
      <c r="O95" s="74" t="s">
        <v>168</v>
      </c>
      <c r="P95" s="75" t="s">
        <v>182</v>
      </c>
      <c r="Q95" s="74" t="s">
        <v>169</v>
      </c>
      <c r="R95" s="75" t="s">
        <v>182</v>
      </c>
      <c r="S95" s="74" t="s">
        <v>169</v>
      </c>
      <c r="T95" s="75" t="s">
        <v>171</v>
      </c>
      <c r="U95" s="74" t="s">
        <v>169</v>
      </c>
      <c r="V95" s="75" t="s">
        <v>170</v>
      </c>
      <c r="W95" s="74" t="s">
        <v>169</v>
      </c>
      <c r="X95" s="75" t="s">
        <v>185</v>
      </c>
      <c r="Y95" s="74" t="s">
        <v>170</v>
      </c>
      <c r="Z95" s="75" t="s">
        <v>171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27">
        <f>(MAX(C97:D97)-MIN(C97:D97))/(MAX(C97:D97))</f>
        <v>0.92532370687828103</v>
      </c>
      <c r="D98" s="128"/>
      <c r="E98" s="127">
        <f>(MAX(E97:F97)-MIN(E97:F97))/(MAX(E97:F97))</f>
        <v>0.92023144372450305</v>
      </c>
      <c r="F98" s="128"/>
      <c r="G98" s="127">
        <f>(MAX(G97:H97)-MIN(G97:H97))/(MAX(G97:H97))</f>
        <v>0.46298709417315609</v>
      </c>
      <c r="H98" s="128"/>
      <c r="I98" s="127">
        <f>(MAX(I97:J97)-MIN(I97:J97))/(MAX(I97:J97))</f>
        <v>0.18318521904931812</v>
      </c>
      <c r="J98" s="128"/>
      <c r="K98" s="127">
        <f>(MAX(K97:L97)-MIN(K97:L97))/(MAX(K97:L97))</f>
        <v>0.95823610243606394</v>
      </c>
      <c r="L98" s="128"/>
      <c r="M98" s="127">
        <f>(MAX(M97:N97)-MIN(M97:N97))/(MAX(M97:N97))</f>
        <v>0.29136580079485763</v>
      </c>
      <c r="N98" s="128"/>
      <c r="O98" s="127">
        <f>(MAX(O97:P97)-MIN(O97:P97))/(MAX(O97:P97))</f>
        <v>0.88152637869570849</v>
      </c>
      <c r="P98" s="128"/>
      <c r="Q98" s="127">
        <f>(MAX(Q97:R97)-MIN(Q97:R97))/(MAX(Q97:R97))</f>
        <v>0.79132844137468816</v>
      </c>
      <c r="R98" s="128"/>
      <c r="S98" s="127">
        <f>(MAX(S97:T97)-MIN(S97:T97))/(MAX(S97:T97))</f>
        <v>0.82839570068635116</v>
      </c>
      <c r="T98" s="128"/>
      <c r="U98" s="127">
        <f>(MAX(U97:V97)-MIN(U97:V97))/(MAX(U97:V97))</f>
        <v>0.53096727787236775</v>
      </c>
      <c r="V98" s="128"/>
      <c r="W98" s="142">
        <f>(MAX(W97:X97)-MIN(W97:X97))/(MAX(W97:X97))</f>
        <v>0.61134019510405113</v>
      </c>
      <c r="X98" s="128"/>
      <c r="Y98" s="127">
        <f>(MAX(Y97:Z97)-MIN(Y97:Z97))/(MAX(Y97:Z97))</f>
        <v>0.5264026402640265</v>
      </c>
      <c r="Z98" s="128"/>
    </row>
    <row r="99" spans="2:26" x14ac:dyDescent="0.3">
      <c r="B99" s="106" t="s">
        <v>112</v>
      </c>
      <c r="C99" s="129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30"/>
      <c r="E99" s="129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30"/>
      <c r="G99" s="129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0"/>
      <c r="I99" s="129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0"/>
      <c r="K99" s="129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30"/>
      <c r="M99" s="129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0"/>
      <c r="O99" s="129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30"/>
      <c r="Q99" s="129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30"/>
      <c r="S99" s="129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30"/>
      <c r="U99" s="129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30"/>
      <c r="W99" s="143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30"/>
      <c r="Y99" s="129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30"/>
    </row>
    <row r="100" spans="2:26" x14ac:dyDescent="0.3">
      <c r="B100" s="107" t="s">
        <v>15</v>
      </c>
      <c r="C100" s="131">
        <f>C99/(0.9*(0.9*($C$7/100))*($L$9*1000))</f>
        <v>2.7926417763367017</v>
      </c>
      <c r="D100" s="132"/>
      <c r="E100" s="131">
        <f>E99/(0.9*(0.9*($C$7/100))*($L$9*1000))</f>
        <v>2.7985474283171201</v>
      </c>
      <c r="F100" s="132"/>
      <c r="G100" s="131">
        <f>G99/(0.9*(0.9*($C$7/100))*($L$9*1000))</f>
        <v>4.0193366630783505</v>
      </c>
      <c r="H100" s="132"/>
      <c r="I100" s="131">
        <f>I99/(0.9*(0.9*($C$7/100))*($L$9*1000))</f>
        <v>4.481065288178443</v>
      </c>
      <c r="J100" s="132"/>
      <c r="K100" s="131">
        <f>K99/(0.9*(0.9*($C$7/100))*($L$9*1000))</f>
        <v>2.6635808015338274</v>
      </c>
      <c r="L100" s="132"/>
      <c r="M100" s="131">
        <f>M99/(0.9*(0.9*($C$7/100))*($L$9*1000))</f>
        <v>3.3025318284991707</v>
      </c>
      <c r="N100" s="132"/>
      <c r="O100" s="131">
        <f>O99/(0.9*(0.9*($C$7/100))*($L$9*1000))</f>
        <v>3.1783101213804779</v>
      </c>
      <c r="P100" s="132"/>
      <c r="Q100" s="131">
        <f>Q99/(0.9*(0.9*($C$7/100))*($L$9*1000))</f>
        <v>1.8708750524326165</v>
      </c>
      <c r="R100" s="132"/>
      <c r="S100" s="131">
        <f>S99/(0.9*(0.9*($C$7/100))*($L$9*1000))</f>
        <v>1.8435941408467984</v>
      </c>
      <c r="T100" s="132"/>
      <c r="U100" s="131">
        <f>U99/(0.9*(0.9*($C$7/100))*($L$9*1000))</f>
        <v>2.1567304609814295</v>
      </c>
      <c r="V100" s="132"/>
      <c r="W100" s="144">
        <f>W99/(0.9*(0.9*($C$7/100))*($L$9*1000))</f>
        <v>2.0822121312490398</v>
      </c>
      <c r="X100" s="132"/>
      <c r="Y100" s="131">
        <f>Y99/(0.9*(0.9*($C$7/100))*($L$9*1000))</f>
        <v>0.72515017011540817</v>
      </c>
      <c r="Z100" s="132"/>
    </row>
    <row r="101" spans="2:26" x14ac:dyDescent="0.3">
      <c r="B101" s="107" t="s">
        <v>98</v>
      </c>
      <c r="C101" s="133">
        <f>(C100*($L$9))/(0.85*$L$6*100)</f>
        <v>4.5953505585240612E-2</v>
      </c>
      <c r="D101" s="134"/>
      <c r="E101" s="133">
        <f>(E100*($L$9))/(0.85*$L$6*100)</f>
        <v>4.6050684326017971E-2</v>
      </c>
      <c r="F101" s="134"/>
      <c r="G101" s="133">
        <f>(G100*($L$9))/(0.85*$L$6*100)</f>
        <v>6.6139026981835214E-2</v>
      </c>
      <c r="H101" s="134"/>
      <c r="I101" s="133">
        <f>(I100*($L$9))/(0.85*$L$6*100)</f>
        <v>7.3736868256069718E-2</v>
      </c>
      <c r="J101" s="134"/>
      <c r="K101" s="133">
        <f>(K100*($L$9))/(0.85*$L$6*100)</f>
        <v>4.3829780202094507E-2</v>
      </c>
      <c r="L101" s="134"/>
      <c r="M101" s="133">
        <f>(M100*($L$9))/(0.85*$L$6*100)</f>
        <v>5.4343853233281239E-2</v>
      </c>
      <c r="N101" s="134"/>
      <c r="O101" s="133">
        <f>(O100*($L$9))/(0.85*$L$6*100)</f>
        <v>5.2299759013873293E-2</v>
      </c>
      <c r="P101" s="134"/>
      <c r="Q101" s="133">
        <f>(Q100*($L$9))/(0.85*$L$6*100)</f>
        <v>3.0785641001197996E-2</v>
      </c>
      <c r="R101" s="134"/>
      <c r="S101" s="133">
        <f>(S100*($L$9))/(0.85*$L$6*100)</f>
        <v>3.0336727884753157E-2</v>
      </c>
      <c r="T101" s="134"/>
      <c r="U101" s="133">
        <f>(U100*($L$9))/(0.85*$L$6*100)</f>
        <v>3.5489451645522946E-2</v>
      </c>
      <c r="V101" s="134"/>
      <c r="W101" s="145">
        <f>(W100*($L$9))/(0.85*$L$6*100)</f>
        <v>3.4263236915593583E-2</v>
      </c>
      <c r="X101" s="134"/>
      <c r="Y101" s="133">
        <f>(Y100*($L$9))/(0.85*$L$6*100)</f>
        <v>1.193249799344078E-2</v>
      </c>
      <c r="Z101" s="134"/>
    </row>
    <row r="102" spans="2:26" ht="15" thickBot="1" x14ac:dyDescent="0.35">
      <c r="B102" s="108" t="s">
        <v>15</v>
      </c>
      <c r="C102" s="135">
        <f>ROUNDUP(C99/(0.9*(($C$7-C101/2)/100)*($L$9*1000)),2)</f>
        <v>2.5199999999999996</v>
      </c>
      <c r="D102" s="136"/>
      <c r="E102" s="135">
        <f>ROUNDUP(E99/(0.9*(($C$7-E101/2)/100)*($L$9*1000)),2)</f>
        <v>2.5299999999999998</v>
      </c>
      <c r="F102" s="136"/>
      <c r="G102" s="135">
        <f>ROUNDUP(G99/(0.9*(($C$7-G101/2)/100)*($L$9*1000)),2)</f>
        <v>3.63</v>
      </c>
      <c r="H102" s="136"/>
      <c r="I102" s="135">
        <f>ROUNDUP(I99/(0.9*(($C$7-I101/2)/100)*($L$9*1000)),2)</f>
        <v>4.05</v>
      </c>
      <c r="J102" s="136"/>
      <c r="K102" s="135">
        <f>ROUNDUP(K99/(0.9*(($C$7-K101/2)/100)*($L$9*1000)),2)</f>
        <v>2.4099999999999997</v>
      </c>
      <c r="L102" s="136"/>
      <c r="M102" s="135">
        <f>ROUNDUP(M99/(0.9*(($C$7-M101/2)/100)*($L$9*1000)),2)</f>
        <v>2.98</v>
      </c>
      <c r="N102" s="136"/>
      <c r="O102" s="135">
        <f>ROUNDUP(O99/(0.9*(($C$7-O101/2)/100)*($L$9*1000)),2)</f>
        <v>2.8699999999999997</v>
      </c>
      <c r="P102" s="136"/>
      <c r="Q102" s="135">
        <f>ROUNDUP(Q99/(0.9*(($C$7-Q101/2)/100)*($L$9*1000)),2)</f>
        <v>1.69</v>
      </c>
      <c r="R102" s="136"/>
      <c r="S102" s="135">
        <f>ROUNDUP(S99/(0.9*(($C$7-S101/2)/100)*($L$9*1000)),2)</f>
        <v>1.67</v>
      </c>
      <c r="T102" s="136"/>
      <c r="U102" s="135">
        <f>ROUNDUP(U99/(0.9*(($C$7-U101/2)/100)*($L$9*1000)),2)</f>
        <v>1.95</v>
      </c>
      <c r="V102" s="136"/>
      <c r="W102" s="146">
        <f>ROUNDUP(W99/(0.9*(($C$7-W101/2)/100)*($L$9*1000)),2)</f>
        <v>1.8800000000000001</v>
      </c>
      <c r="X102" s="147"/>
      <c r="Y102" s="135">
        <f>ROUNDUP(Y99/(0.9*(($C$7-Y101/2)/100)*($L$9*1000)),2)</f>
        <v>0.66</v>
      </c>
      <c r="Z102" s="136"/>
    </row>
    <row r="103" spans="2:26" ht="16.2" thickBot="1" x14ac:dyDescent="0.35">
      <c r="B103" s="61" t="s">
        <v>113</v>
      </c>
      <c r="C103" s="140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1"/>
      <c r="E103" s="140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1"/>
      <c r="G103" s="140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1"/>
      <c r="I103" s="140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1"/>
      <c r="K103" s="140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1"/>
      <c r="M103" s="140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1"/>
      <c r="O103" s="140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1"/>
      <c r="Q103" s="140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1"/>
      <c r="S103" s="140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1"/>
      <c r="U103" s="140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1"/>
      <c r="W103" s="140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1"/>
      <c r="Y103" s="140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1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170</v>
      </c>
      <c r="D105" s="75" t="s">
        <v>185</v>
      </c>
      <c r="E105" s="74" t="s">
        <v>171</v>
      </c>
      <c r="F105" s="75" t="s">
        <v>172</v>
      </c>
      <c r="G105" s="74" t="s">
        <v>171</v>
      </c>
      <c r="H105" s="75" t="s">
        <v>173</v>
      </c>
      <c r="I105" s="74" t="s">
        <v>172</v>
      </c>
      <c r="J105" s="75" t="s">
        <v>185</v>
      </c>
      <c r="K105" s="74" t="s">
        <v>172</v>
      </c>
      <c r="L105" s="75" t="s">
        <v>173</v>
      </c>
      <c r="M105" s="74" t="s">
        <v>173</v>
      </c>
      <c r="N105" s="75" t="s">
        <v>174</v>
      </c>
      <c r="O105" s="74" t="s">
        <v>173</v>
      </c>
      <c r="P105" s="75" t="s">
        <v>181</v>
      </c>
      <c r="Q105" s="74" t="s">
        <v>174</v>
      </c>
      <c r="R105" s="75" t="s">
        <v>181</v>
      </c>
      <c r="S105" s="74" t="s">
        <v>174</v>
      </c>
      <c r="T105" s="75" t="s">
        <v>180</v>
      </c>
      <c r="U105" s="74" t="s">
        <v>176</v>
      </c>
      <c r="V105" s="75" t="s">
        <v>177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27">
        <f>(MAX(C107:D107)-MIN(C107:D107))/(MAX(C107:D107))</f>
        <v>0.34756797237422959</v>
      </c>
      <c r="D108" s="128"/>
      <c r="E108" s="127">
        <f>(MAX(E107:F107)-MIN(E107:F107))/(MAX(E107:F107))</f>
        <v>0.66012683313515652</v>
      </c>
      <c r="F108" s="128"/>
      <c r="G108" s="127">
        <f>(MAX(G107:H107)-MIN(G107:H107))/(MAX(G107:H107))</f>
        <v>0.84107582132529068</v>
      </c>
      <c r="H108" s="128"/>
      <c r="I108" s="127">
        <f>(MAX(I107:J107)-MIN(I107:J107))/(MAX(I107:J107))</f>
        <v>0.43004610198562954</v>
      </c>
      <c r="J108" s="128"/>
      <c r="K108" s="127">
        <f>(MAX(K107:L107)-MIN(K107:L107))/(MAX(K107:L107))</f>
        <v>0.26367747080214954</v>
      </c>
      <c r="L108" s="128"/>
      <c r="M108" s="127">
        <f>(MAX(M107:N107)-MIN(M107:N107))/(MAX(M107:N107))</f>
        <v>0.29620129720149635</v>
      </c>
      <c r="N108" s="128"/>
      <c r="O108" s="127">
        <f>(MAX(O107:P107)-MIN(O107:P107))/(MAX(O107:P107))</f>
        <v>0.80674752206128753</v>
      </c>
      <c r="P108" s="128"/>
      <c r="Q108" s="127">
        <f>(MAX(Q107:R107)-MIN(Q107:R107))/(MAX(Q107:R107))</f>
        <v>0.87294662491866437</v>
      </c>
      <c r="R108" s="128"/>
      <c r="S108" s="127">
        <f>(MAX(S107:T107)-MIN(S107:T107))/(MAX(S107:T107))</f>
        <v>0.91153554550635685</v>
      </c>
      <c r="T108" s="128"/>
      <c r="U108" s="127">
        <f>(MAX(U107:V107)-MIN(U107:V107))/(MAX(U107:V107))</f>
        <v>0</v>
      </c>
      <c r="V108" s="128"/>
    </row>
    <row r="109" spans="2:26" x14ac:dyDescent="0.3">
      <c r="B109" s="106" t="s">
        <v>112</v>
      </c>
      <c r="C109" s="129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30"/>
      <c r="E109" s="129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30"/>
      <c r="G109" s="129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30"/>
      <c r="I109" s="129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30"/>
      <c r="K109" s="129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30"/>
      <c r="M109" s="129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0"/>
      <c r="O109" s="129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30"/>
      <c r="Q109" s="129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30"/>
      <c r="S109" s="129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30"/>
      <c r="U109" s="129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30"/>
    </row>
    <row r="110" spans="2:26" x14ac:dyDescent="0.3">
      <c r="B110" s="107" t="s">
        <v>15</v>
      </c>
      <c r="C110" s="131">
        <f>C109/(0.9*(0.9*($C$7/100))*($L$9*1000))</f>
        <v>1.1730599391489145</v>
      </c>
      <c r="D110" s="132"/>
      <c r="E110" s="131">
        <f>E109/(0.9*(0.9*($C$7/100))*($L$9*1000))</f>
        <v>0.95248841488828095</v>
      </c>
      <c r="F110" s="132"/>
      <c r="G110" s="131">
        <f>G109/(0.9*(0.9*($C$7/100))*($L$9*1000))</f>
        <v>1.9806124478027429</v>
      </c>
      <c r="H110" s="132"/>
      <c r="I110" s="131">
        <f>I109/(0.9*(0.9*($C$7/100))*($L$9*1000))</f>
        <v>1.4956704045145492</v>
      </c>
      <c r="J110" s="132"/>
      <c r="K110" s="131">
        <f>K109/(0.9*(0.9*($C$7/100))*($L$9*1000))</f>
        <v>2.194530279258192</v>
      </c>
      <c r="L110" s="132"/>
      <c r="M110" s="131">
        <f>M109/(0.9*(0.9*($C$7/100))*($L$9*1000))</f>
        <v>3.07277385907584</v>
      </c>
      <c r="N110" s="132"/>
      <c r="O110" s="131">
        <f>O109/(0.9*(0.9*($C$7/100))*($L$9*1000))</f>
        <v>2.0078933593885608</v>
      </c>
      <c r="P110" s="132"/>
      <c r="Q110" s="131">
        <f>Q109/(0.9*(0.9*($C$7/100))*($L$9*1000))</f>
        <v>2.974053848979044</v>
      </c>
      <c r="R110" s="132"/>
      <c r="S110" s="131">
        <f>S109/(0.9*(0.9*($C$7/100))*($L$9*1000))</f>
        <v>2.5325487730410572</v>
      </c>
      <c r="T110" s="132"/>
      <c r="U110" s="131">
        <f>U109/(0.9*(0.9*($C$7/100))*($L$9*1000))</f>
        <v>0.46226623151856788</v>
      </c>
      <c r="V110" s="132"/>
    </row>
    <row r="111" spans="2:26" x14ac:dyDescent="0.3">
      <c r="B111" s="107" t="s">
        <v>98</v>
      </c>
      <c r="C111" s="133">
        <f>(C110*($L$9))/(0.85*$L$6*100)</f>
        <v>1.930294709556845E-2</v>
      </c>
      <c r="D111" s="134"/>
      <c r="E111" s="133">
        <f>(E110*($L$9))/(0.85*$L$6*100)</f>
        <v>1.5673396446450757E-2</v>
      </c>
      <c r="F111" s="134"/>
      <c r="G111" s="133">
        <f>(G110*($L$9))/(0.85*$L$6*100)</f>
        <v>3.2591392835815997E-2</v>
      </c>
      <c r="H111" s="134"/>
      <c r="I111" s="133">
        <f>(I110*($L$9))/(0.85*$L$6*100)</f>
        <v>2.4611569901277473E-2</v>
      </c>
      <c r="J111" s="134"/>
      <c r="K111" s="133">
        <f>(K110*($L$9))/(0.85*$L$6*100)</f>
        <v>3.611145557564422E-2</v>
      </c>
      <c r="L111" s="134"/>
      <c r="M111" s="133">
        <f>(M110*($L$9))/(0.85*$L$6*100)</f>
        <v>5.0563137704131469E-2</v>
      </c>
      <c r="N111" s="134"/>
      <c r="O111" s="133">
        <f>(O110*($L$9))/(0.85*$L$6*100)</f>
        <v>3.3040305952260825E-2</v>
      </c>
      <c r="P111" s="134"/>
      <c r="Q111" s="133">
        <f>(Q110*($L$9))/(0.85*$L$6*100)</f>
        <v>4.8938679252711684E-2</v>
      </c>
      <c r="R111" s="134"/>
      <c r="S111" s="133">
        <f>(S110*($L$9))/(0.85*$L$6*100)</f>
        <v>4.1673620717476829E-2</v>
      </c>
      <c r="T111" s="134"/>
      <c r="U111" s="133">
        <f>(U110*($L$9))/(0.85*$L$6*100)</f>
        <v>7.6066877004977726E-3</v>
      </c>
      <c r="V111" s="134"/>
    </row>
    <row r="112" spans="2:26" ht="15" thickBot="1" x14ac:dyDescent="0.35">
      <c r="B112" s="108" t="s">
        <v>15</v>
      </c>
      <c r="C112" s="135">
        <f>ROUNDUP(C109/(0.9*(($C$7-C111/2)/100)*($L$9*1000)),2)</f>
        <v>1.06</v>
      </c>
      <c r="D112" s="136"/>
      <c r="E112" s="135">
        <f>ROUNDUP(E109/(0.9*(($C$7-E111/2)/100)*($L$9*1000)),2)</f>
        <v>0.86</v>
      </c>
      <c r="F112" s="136"/>
      <c r="G112" s="135">
        <f>ROUNDUP(G109/(0.9*(($C$7-G111/2)/100)*($L$9*1000)),2)</f>
        <v>1.79</v>
      </c>
      <c r="H112" s="136"/>
      <c r="I112" s="135">
        <f>ROUNDUP(I109/(0.9*(($C$7-I111/2)/100)*($L$9*1000)),2)</f>
        <v>1.35</v>
      </c>
      <c r="J112" s="136"/>
      <c r="K112" s="135">
        <f>ROUNDUP(K109/(0.9*(($C$7-K111/2)/100)*($L$9*1000)),2)</f>
        <v>1.98</v>
      </c>
      <c r="L112" s="136"/>
      <c r="M112" s="135">
        <f>ROUNDUP(M109/(0.9*(($C$7-M111/2)/100)*($L$9*1000)),2)</f>
        <v>2.78</v>
      </c>
      <c r="N112" s="136"/>
      <c r="O112" s="135">
        <f>ROUNDUP(O109/(0.9*(($C$7-O111/2)/100)*($L$9*1000)),2)</f>
        <v>1.81</v>
      </c>
      <c r="P112" s="136"/>
      <c r="Q112" s="135">
        <f>ROUNDUP(Q109/(0.9*(($C$7-Q111/2)/100)*($L$9*1000)),2)</f>
        <v>2.69</v>
      </c>
      <c r="R112" s="136"/>
      <c r="S112" s="135">
        <f>ROUNDUP(S109/(0.9*(($C$7-S111/2)/100)*($L$9*1000)),2)</f>
        <v>2.2899999999999996</v>
      </c>
      <c r="T112" s="136"/>
      <c r="U112" s="135">
        <f>ROUNDUP(U109/(0.9*(($C$7-U111/2)/100)*($L$9*1000)),2)</f>
        <v>0.42</v>
      </c>
      <c r="V112" s="136"/>
    </row>
    <row r="113" spans="2:22" ht="16.2" thickBot="1" x14ac:dyDescent="0.35">
      <c r="B113" s="61" t="s">
        <v>113</v>
      </c>
      <c r="C113" s="140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1"/>
      <c r="E113" s="140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1"/>
      <c r="G113" s="140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1"/>
      <c r="I113" s="140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1"/>
      <c r="K113" s="140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1"/>
      <c r="M113" s="140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1"/>
      <c r="O113" s="140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1"/>
      <c r="Q113" s="140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1"/>
      <c r="S113" s="140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1"/>
      <c r="U113" s="140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1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Z114"/>
  <sheetViews>
    <sheetView showGridLines="0" zoomScale="70" zoomScaleNormal="70" workbookViewId="0">
      <selection activeCell="C56" sqref="C56"/>
    </sheetView>
  </sheetViews>
  <sheetFormatPr baseColWidth="10" defaultRowHeight="14.4" x14ac:dyDescent="0.3"/>
  <cols>
    <col min="1" max="1" width="2.88671875" customWidth="1"/>
    <col min="2" max="2" width="23.5546875" bestFit="1" customWidth="1"/>
    <col min="3" max="3" width="17.33203125" customWidth="1"/>
    <col min="4" max="24" width="17" customWidth="1"/>
  </cols>
  <sheetData>
    <row r="2" spans="2:21" ht="18" x14ac:dyDescent="0.35">
      <c r="B2" s="52" t="s">
        <v>210</v>
      </c>
      <c r="P2" s="40"/>
      <c r="T2" s="40"/>
      <c r="U2" s="41"/>
    </row>
    <row r="3" spans="2:21" ht="15" thickBot="1" x14ac:dyDescent="0.35">
      <c r="P3" s="40"/>
      <c r="T3" s="40"/>
      <c r="U3" s="41"/>
    </row>
    <row r="4" spans="2:21" ht="15" thickBot="1" x14ac:dyDescent="0.35">
      <c r="B4" s="114" t="s">
        <v>19</v>
      </c>
      <c r="C4" s="113">
        <v>16</v>
      </c>
      <c r="E4" s="124" t="s">
        <v>29</v>
      </c>
      <c r="F4" s="125"/>
      <c r="H4" s="124" t="s">
        <v>30</v>
      </c>
      <c r="I4" s="125"/>
      <c r="K4" s="124" t="s">
        <v>39</v>
      </c>
      <c r="L4" s="125"/>
      <c r="P4" s="40"/>
      <c r="T4" s="40"/>
      <c r="U4" s="41"/>
    </row>
    <row r="5" spans="2:21" x14ac:dyDescent="0.3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9" t="s">
        <v>40</v>
      </c>
      <c r="L5" s="120" t="s">
        <v>187</v>
      </c>
      <c r="P5" s="40"/>
      <c r="T5" s="40"/>
      <c r="U5" s="41"/>
    </row>
    <row r="6" spans="2:21" x14ac:dyDescent="0.3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7" t="s">
        <v>79</v>
      </c>
      <c r="L6" s="118">
        <v>2.04</v>
      </c>
      <c r="P6" s="40"/>
      <c r="T6" s="40"/>
      <c r="U6" s="41"/>
    </row>
    <row r="7" spans="2:21" ht="15" thickBot="1" x14ac:dyDescent="0.35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" thickBot="1" x14ac:dyDescent="0.35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" thickBot="1" x14ac:dyDescent="0.35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3">
      <c r="B10" s="46" t="s">
        <v>33</v>
      </c>
      <c r="C10" s="36">
        <v>5</v>
      </c>
      <c r="P10" s="40"/>
      <c r="T10" s="40"/>
      <c r="U10" s="41"/>
    </row>
    <row r="11" spans="2:21" ht="15" thickBot="1" x14ac:dyDescent="0.35">
      <c r="B11" s="48" t="s">
        <v>35</v>
      </c>
      <c r="C11" s="37">
        <v>20</v>
      </c>
      <c r="P11" s="40"/>
      <c r="T11" s="40"/>
      <c r="U11" s="41"/>
    </row>
    <row r="12" spans="2:21" ht="15" thickBot="1" x14ac:dyDescent="0.35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10"/>
      <c r="Q12" s="39"/>
      <c r="T12" s="40"/>
      <c r="U12" s="41"/>
    </row>
    <row r="13" spans="2:21" ht="15" thickBot="1" x14ac:dyDescent="0.35">
      <c r="B13" s="49" t="s">
        <v>99</v>
      </c>
      <c r="C13" s="59" t="str">
        <f>"φ"&amp;IF(VLOOKUP(VLOOKUP(C12,tablas!$R$3:$T$66,2,TRUE)&amp;VLOOKUP(C12,tablas!$R$3:$T$66,3,TRUE),tablas!$Q$3:$R$66,2,FALSE)&lt;C12,VLOOKUP(C12+0.08,tablas!$R$3:$T$66,2,TRUE),VLOOKUP(C12,tablas!$R$3:$T$66,2,TRUE))&amp;"@"&amp;IF(VLOOKUP(VLOOKUP(C12,tablas!$R$3:$T$66,2,TRUE)&amp;VLOOKUP(C12,tablas!$R$3:$T$66,3,TRUE),tablas!$Q$3:$R$66,2,FALSE)&lt;C12,VLOOKUP(C12+0.08,tablas!$R$3:$T$66,3,TRUE),VLOOKUP(C12,tablas!$R$3:$T$66,3,TRUE))</f>
        <v>φ8@17</v>
      </c>
      <c r="I13" s="39"/>
      <c r="J13" s="39"/>
      <c r="K13" s="39"/>
      <c r="L13" s="39"/>
      <c r="M13" s="39"/>
      <c r="N13" s="39"/>
      <c r="O13" s="39"/>
      <c r="P13" s="110"/>
      <c r="Q13" s="39"/>
      <c r="T13" s="40"/>
      <c r="U13" s="41"/>
    </row>
    <row r="14" spans="2:21" ht="15" hidden="1" thickBot="1" x14ac:dyDescent="0.35">
      <c r="B14" s="51"/>
      <c r="C14" s="62"/>
      <c r="I14" s="39"/>
      <c r="J14" s="39"/>
      <c r="K14" s="39"/>
      <c r="L14" s="39"/>
      <c r="M14" s="39"/>
      <c r="N14" s="39"/>
      <c r="O14" s="39"/>
      <c r="P14" s="110"/>
      <c r="Q14" s="39"/>
      <c r="T14" s="40"/>
      <c r="U14" s="41"/>
    </row>
    <row r="15" spans="2:21" ht="15" hidden="1" thickBot="1" x14ac:dyDescent="0.35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11"/>
      <c r="K15" s="111"/>
      <c r="L15" s="111"/>
      <c r="M15" s="111"/>
      <c r="N15" s="111"/>
      <c r="O15" s="111"/>
      <c r="P15" s="111"/>
      <c r="Q15" s="111"/>
      <c r="T15" s="40"/>
      <c r="U15" s="41"/>
    </row>
    <row r="16" spans="2:21" hidden="1" x14ac:dyDescent="0.3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3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3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3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3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3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3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3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3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3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3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3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3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3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3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3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3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3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3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3">
      <c r="B35" s="63" t="s">
        <v>206</v>
      </c>
      <c r="C35" s="6">
        <v>0.74</v>
      </c>
      <c r="D35" s="6">
        <v>3.83</v>
      </c>
      <c r="E35" s="6">
        <v>16</v>
      </c>
      <c r="F35" s="112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3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12"/>
      <c r="O36" s="6"/>
      <c r="P36" s="6"/>
      <c r="Q36" s="6"/>
      <c r="T36" s="40"/>
      <c r="U36" s="41"/>
    </row>
    <row r="37" spans="2:24" ht="15" hidden="1" thickBot="1" x14ac:dyDescent="0.35">
      <c r="B37" s="66" t="s">
        <v>208</v>
      </c>
      <c r="C37" s="9">
        <v>2.3199999999999998</v>
      </c>
      <c r="D37" s="9">
        <v>4.3</v>
      </c>
      <c r="E37" s="9">
        <v>16</v>
      </c>
      <c r="F37" s="109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t="15" thickBot="1" x14ac:dyDescent="0.35">
      <c r="B38" s="67"/>
      <c r="C38" s="9"/>
      <c r="D38" s="9"/>
      <c r="E38" s="9"/>
      <c r="F38" s="109"/>
      <c r="G38" s="9"/>
      <c r="H38" s="9"/>
      <c r="I38" s="9"/>
      <c r="P38" s="40"/>
      <c r="T38" s="40"/>
      <c r="U38" s="41"/>
    </row>
    <row r="39" spans="2:24" ht="15" thickBot="1" x14ac:dyDescent="0.35">
      <c r="B39" s="73" t="s">
        <v>43</v>
      </c>
      <c r="C39" s="74" t="s">
        <v>186</v>
      </c>
      <c r="D39" s="74" t="s">
        <v>188</v>
      </c>
      <c r="E39" s="74" t="s">
        <v>189</v>
      </c>
      <c r="F39" s="74" t="s">
        <v>190</v>
      </c>
      <c r="G39" s="74" t="s">
        <v>191</v>
      </c>
      <c r="H39" s="74" t="s">
        <v>192</v>
      </c>
      <c r="I39" s="74" t="s">
        <v>193</v>
      </c>
      <c r="J39" s="74" t="s">
        <v>194</v>
      </c>
      <c r="K39" s="74" t="s">
        <v>195</v>
      </c>
      <c r="L39" s="74" t="s">
        <v>196</v>
      </c>
      <c r="M39" s="74" t="s">
        <v>197</v>
      </c>
      <c r="N39" s="74" t="s">
        <v>198</v>
      </c>
      <c r="O39" s="74" t="s">
        <v>199</v>
      </c>
      <c r="P39" s="74" t="s">
        <v>200</v>
      </c>
      <c r="Q39" s="74" t="s">
        <v>201</v>
      </c>
      <c r="R39" s="74" t="s">
        <v>202</v>
      </c>
      <c r="S39" s="74" t="s">
        <v>203</v>
      </c>
      <c r="T39" s="74" t="s">
        <v>204</v>
      </c>
      <c r="U39" s="74" t="s">
        <v>205</v>
      </c>
      <c r="V39" s="74" t="s">
        <v>206</v>
      </c>
      <c r="W39" s="74" t="s">
        <v>207</v>
      </c>
      <c r="X39" s="74" t="s">
        <v>208</v>
      </c>
    </row>
    <row r="40" spans="2:24" ht="15" thickBot="1" x14ac:dyDescent="0.35">
      <c r="B40" s="71" t="s">
        <v>95</v>
      </c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72"/>
      <c r="X40" s="72"/>
    </row>
    <row r="41" spans="2:24" x14ac:dyDescent="0.3">
      <c r="B41" s="97" t="s">
        <v>81</v>
      </c>
      <c r="C41" s="76">
        <f>VLOOKUP(C$39,$B$16:$H$37,2)</f>
        <v>6.05</v>
      </c>
      <c r="D41" s="76">
        <f t="shared" ref="D41:X41" si="0">VLOOKUP(D$39,$B$16:$H$37,2)</f>
        <v>4.6500000000000004</v>
      </c>
      <c r="E41" s="76">
        <f t="shared" si="0"/>
        <v>4.6500000000000004</v>
      </c>
      <c r="F41" s="76">
        <f t="shared" si="0"/>
        <v>6.05</v>
      </c>
      <c r="G41" s="76">
        <f t="shared" si="0"/>
        <v>5.82</v>
      </c>
      <c r="H41" s="76">
        <f t="shared" si="0"/>
        <v>5</v>
      </c>
      <c r="I41" s="76">
        <f t="shared" si="0"/>
        <v>2.1</v>
      </c>
      <c r="J41" s="76">
        <f t="shared" si="0"/>
        <v>1.4</v>
      </c>
      <c r="K41" s="76">
        <f t="shared" si="0"/>
        <v>2.9</v>
      </c>
      <c r="L41" s="76">
        <f t="shared" si="0"/>
        <v>5</v>
      </c>
      <c r="M41" s="76">
        <f t="shared" si="0"/>
        <v>5.82</v>
      </c>
      <c r="N41" s="76">
        <f t="shared" si="0"/>
        <v>1.51</v>
      </c>
      <c r="O41" s="76">
        <f t="shared" si="0"/>
        <v>1.51</v>
      </c>
      <c r="P41" s="76">
        <f t="shared" si="0"/>
        <v>1.51</v>
      </c>
      <c r="Q41" s="76">
        <f t="shared" si="0"/>
        <v>1.51</v>
      </c>
      <c r="R41" s="76">
        <f t="shared" si="0"/>
        <v>1.04</v>
      </c>
      <c r="S41" s="76">
        <f t="shared" si="0"/>
        <v>1.04</v>
      </c>
      <c r="T41" s="76">
        <f t="shared" si="0"/>
        <v>1.34</v>
      </c>
      <c r="U41" s="76">
        <f t="shared" si="0"/>
        <v>1.34</v>
      </c>
      <c r="V41" s="76">
        <f t="shared" si="0"/>
        <v>0.74</v>
      </c>
      <c r="W41" s="76">
        <f t="shared" si="0"/>
        <v>0.7</v>
      </c>
      <c r="X41" s="76">
        <f t="shared" si="0"/>
        <v>2.3199999999999998</v>
      </c>
    </row>
    <row r="42" spans="2:24" x14ac:dyDescent="0.3">
      <c r="B42" s="97" t="s">
        <v>82</v>
      </c>
      <c r="C42" s="76">
        <f>VLOOKUP(C$39,$B$16:$H$37,3)</f>
        <v>10</v>
      </c>
      <c r="D42" s="76">
        <f t="shared" ref="D42:X42" si="1">VLOOKUP(D$39,$B$16:$H$37,3)</f>
        <v>5.6</v>
      </c>
      <c r="E42" s="76">
        <f t="shared" si="1"/>
        <v>5.6</v>
      </c>
      <c r="F42" s="76">
        <f t="shared" si="1"/>
        <v>7.89</v>
      </c>
      <c r="G42" s="76">
        <f t="shared" si="1"/>
        <v>6.96</v>
      </c>
      <c r="H42" s="76">
        <f t="shared" si="1"/>
        <v>5.0199999999999996</v>
      </c>
      <c r="I42" s="76">
        <f t="shared" si="1"/>
        <v>4.04</v>
      </c>
      <c r="J42" s="76">
        <f t="shared" si="1"/>
        <v>11.2</v>
      </c>
      <c r="K42" s="76">
        <f t="shared" si="1"/>
        <v>6.36</v>
      </c>
      <c r="L42" s="76">
        <f t="shared" si="1"/>
        <v>5.0199999999999996</v>
      </c>
      <c r="M42" s="76">
        <f t="shared" si="1"/>
        <v>6.49</v>
      </c>
      <c r="N42" s="76">
        <f t="shared" si="1"/>
        <v>5.33</v>
      </c>
      <c r="O42" s="76">
        <f t="shared" si="1"/>
        <v>5.6</v>
      </c>
      <c r="P42" s="76">
        <f t="shared" si="1"/>
        <v>5.6</v>
      </c>
      <c r="Q42" s="76">
        <f t="shared" si="1"/>
        <v>5.25</v>
      </c>
      <c r="R42" s="76">
        <f t="shared" si="1"/>
        <v>3.83</v>
      </c>
      <c r="S42" s="76">
        <f t="shared" si="1"/>
        <v>3.83</v>
      </c>
      <c r="T42" s="76">
        <f t="shared" si="1"/>
        <v>7.01</v>
      </c>
      <c r="U42" s="76">
        <f t="shared" si="1"/>
        <v>7.09</v>
      </c>
      <c r="V42" s="76">
        <f t="shared" si="1"/>
        <v>3.83</v>
      </c>
      <c r="W42" s="76">
        <f t="shared" si="1"/>
        <v>3.83</v>
      </c>
      <c r="X42" s="76">
        <f t="shared" si="1"/>
        <v>4.3</v>
      </c>
    </row>
    <row r="43" spans="2:24" x14ac:dyDescent="0.3">
      <c r="B43" s="100" t="s">
        <v>86</v>
      </c>
      <c r="C43" s="76">
        <f>ROUNDUP((C47*C41*100)/C48+$C$5,0)</f>
        <v>13</v>
      </c>
      <c r="D43" s="76">
        <f t="shared" ref="D43:X43" si="2">ROUNDUP((D47*D41*100)/D48+$C$5,0)</f>
        <v>10</v>
      </c>
      <c r="E43" s="76">
        <f t="shared" si="2"/>
        <v>10</v>
      </c>
      <c r="F43" s="76">
        <f t="shared" si="2"/>
        <v>12</v>
      </c>
      <c r="G43" s="76">
        <f t="shared" si="2"/>
        <v>11</v>
      </c>
      <c r="H43" s="76">
        <f t="shared" si="2"/>
        <v>10</v>
      </c>
      <c r="I43" s="76">
        <f t="shared" si="2"/>
        <v>6</v>
      </c>
      <c r="J43" s="76">
        <f t="shared" si="2"/>
        <v>4</v>
      </c>
      <c r="K43" s="76">
        <f t="shared" si="2"/>
        <v>7</v>
      </c>
      <c r="L43" s="76">
        <f t="shared" si="2"/>
        <v>9</v>
      </c>
      <c r="M43" s="76">
        <f t="shared" si="2"/>
        <v>10</v>
      </c>
      <c r="N43" s="76">
        <f t="shared" si="2"/>
        <v>5</v>
      </c>
      <c r="O43" s="76">
        <f t="shared" si="2"/>
        <v>5</v>
      </c>
      <c r="P43" s="76">
        <f t="shared" si="2"/>
        <v>5</v>
      </c>
      <c r="Q43" s="76">
        <f t="shared" si="2"/>
        <v>5</v>
      </c>
      <c r="R43" s="76">
        <f t="shared" si="2"/>
        <v>4</v>
      </c>
      <c r="S43" s="76">
        <f t="shared" si="2"/>
        <v>4</v>
      </c>
      <c r="T43" s="76">
        <f t="shared" si="2"/>
        <v>5</v>
      </c>
      <c r="U43" s="76">
        <f t="shared" si="2"/>
        <v>5</v>
      </c>
      <c r="V43" s="76">
        <f t="shared" si="2"/>
        <v>4</v>
      </c>
      <c r="W43" s="76">
        <f t="shared" si="2"/>
        <v>4</v>
      </c>
      <c r="X43" s="76">
        <f t="shared" si="2"/>
        <v>6</v>
      </c>
    </row>
    <row r="44" spans="2:24" ht="15" thickBot="1" x14ac:dyDescent="0.35">
      <c r="B44" s="101" t="s">
        <v>0</v>
      </c>
      <c r="C44" s="116">
        <f>VLOOKUP(C$39,$B$16:$I$37,5)</f>
        <v>6</v>
      </c>
      <c r="D44" s="116">
        <f t="shared" ref="D44:X44" si="3">VLOOKUP(D$39,$B$16:$I$37,5)</f>
        <v>6</v>
      </c>
      <c r="E44" s="116">
        <f t="shared" si="3"/>
        <v>6</v>
      </c>
      <c r="F44" s="116">
        <f t="shared" si="3"/>
        <v>6</v>
      </c>
      <c r="G44" s="116">
        <f t="shared" si="3"/>
        <v>6</v>
      </c>
      <c r="H44" s="116">
        <f t="shared" si="3"/>
        <v>6</v>
      </c>
      <c r="I44" s="116" t="str">
        <f t="shared" si="3"/>
        <v>5b</v>
      </c>
      <c r="J44" s="116">
        <f t="shared" si="3"/>
        <v>6</v>
      </c>
      <c r="K44" s="116">
        <f t="shared" si="3"/>
        <v>6</v>
      </c>
      <c r="L44" s="116">
        <f t="shared" si="3"/>
        <v>6</v>
      </c>
      <c r="M44" s="116">
        <f t="shared" si="3"/>
        <v>6</v>
      </c>
      <c r="N44" s="116" t="str">
        <f t="shared" si="3"/>
        <v>2a</v>
      </c>
      <c r="O44" s="116" t="str">
        <f t="shared" si="3"/>
        <v>5b</v>
      </c>
      <c r="P44" s="116" t="str">
        <f t="shared" si="3"/>
        <v>5b</v>
      </c>
      <c r="Q44" s="116" t="str">
        <f t="shared" si="3"/>
        <v>2a</v>
      </c>
      <c r="R44" s="116" t="str">
        <f t="shared" si="3"/>
        <v>2a</v>
      </c>
      <c r="S44" s="116" t="str">
        <f t="shared" si="3"/>
        <v>2a</v>
      </c>
      <c r="T44" s="116" t="str">
        <f t="shared" si="3"/>
        <v>2a</v>
      </c>
      <c r="U44" s="116" t="str">
        <f t="shared" si="3"/>
        <v>2a</v>
      </c>
      <c r="V44" s="116" t="str">
        <f t="shared" si="3"/>
        <v>2a</v>
      </c>
      <c r="W44" s="116" t="str">
        <f t="shared" si="3"/>
        <v>2a</v>
      </c>
      <c r="X44" s="116" t="str">
        <f t="shared" si="3"/>
        <v>5b</v>
      </c>
    </row>
    <row r="45" spans="2:24" ht="15" thickBot="1" x14ac:dyDescent="0.35">
      <c r="B45" s="71" t="s">
        <v>94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72"/>
      <c r="X45" s="72"/>
    </row>
    <row r="46" spans="2:24" x14ac:dyDescent="0.3">
      <c r="B46" s="100" t="s">
        <v>84</v>
      </c>
      <c r="C46" s="80">
        <f>ROUNDUP(C42/C41,1)</f>
        <v>1.7000000000000002</v>
      </c>
      <c r="D46" s="81">
        <f>ROUNDUP(D42/D41,1)</f>
        <v>1.3</v>
      </c>
      <c r="E46" s="81">
        <f t="shared" ref="E46:X46" si="4">ROUNDUP(E42/E41,1)</f>
        <v>1.3</v>
      </c>
      <c r="F46" s="81">
        <f t="shared" si="4"/>
        <v>1.4000000000000001</v>
      </c>
      <c r="G46" s="81">
        <f t="shared" si="4"/>
        <v>1.2000000000000002</v>
      </c>
      <c r="H46" s="81">
        <f t="shared" si="4"/>
        <v>1.1000000000000001</v>
      </c>
      <c r="I46" s="81">
        <f t="shared" si="4"/>
        <v>2</v>
      </c>
      <c r="J46" s="81">
        <f t="shared" si="4"/>
        <v>8</v>
      </c>
      <c r="K46" s="81">
        <f t="shared" si="4"/>
        <v>2.2000000000000002</v>
      </c>
      <c r="L46" s="81">
        <f t="shared" si="4"/>
        <v>1.1000000000000001</v>
      </c>
      <c r="M46" s="81">
        <f t="shared" si="4"/>
        <v>1.2000000000000002</v>
      </c>
      <c r="N46" s="81">
        <f t="shared" si="4"/>
        <v>3.6</v>
      </c>
      <c r="O46" s="81">
        <f t="shared" si="4"/>
        <v>3.8000000000000003</v>
      </c>
      <c r="P46" s="81">
        <f t="shared" si="4"/>
        <v>3.8000000000000003</v>
      </c>
      <c r="Q46" s="81">
        <f t="shared" si="4"/>
        <v>3.5</v>
      </c>
      <c r="R46" s="81">
        <f t="shared" si="4"/>
        <v>3.7</v>
      </c>
      <c r="S46" s="81">
        <f t="shared" si="4"/>
        <v>3.7</v>
      </c>
      <c r="T46" s="81">
        <f t="shared" si="4"/>
        <v>5.3</v>
      </c>
      <c r="U46" s="81">
        <f t="shared" si="4"/>
        <v>5.3</v>
      </c>
      <c r="V46" s="81">
        <f t="shared" si="4"/>
        <v>5.1999999999999993</v>
      </c>
      <c r="W46" s="81">
        <f t="shared" si="4"/>
        <v>5.5</v>
      </c>
      <c r="X46" s="81">
        <f t="shared" si="4"/>
        <v>1.9000000000000001</v>
      </c>
    </row>
    <row r="47" spans="2:24" x14ac:dyDescent="0.3">
      <c r="B47" s="100" t="s">
        <v>11</v>
      </c>
      <c r="C47" s="76">
        <f>IF(C46&gt;1.5,VLOOKUP(C44&amp;1.5,tablas!$L$3:$O$56,4,FALSE),VLOOKUP(C44&amp;C46,tablas!$L$3:$O$56,4,FALSE))</f>
        <v>0.57999999999999996</v>
      </c>
      <c r="D47" s="77">
        <f>IF(D46&gt;1.5,VLOOKUP(D44&amp;1.5,tablas!$L$3:$O$56,4,FALSE),VLOOKUP(D44&amp;D46,tablas!$L$3:$O$56,4,FALSE))</f>
        <v>0.56000000000000005</v>
      </c>
      <c r="E47" s="77">
        <f>IF(E46&gt;1.5,VLOOKUP(E44&amp;1.5,tablas!$L$3:$O$56,4,FALSE),VLOOKUP(E44&amp;E46,tablas!$L$3:$O$56,4,FALSE))</f>
        <v>0.56000000000000005</v>
      </c>
      <c r="F47" s="77">
        <f>IF(F46&gt;1.5,VLOOKUP(F44&amp;1.5,tablas!$L$3:$O$56,4,FALSE),VLOOKUP(F44&amp;F46,tablas!$L$3:$O$56,4,FALSE))</f>
        <v>0.56999999999999995</v>
      </c>
      <c r="G47" s="77">
        <f>IF(G46&gt;1.5,VLOOKUP(G44&amp;1.5,tablas!$L$3:$O$56,4,FALSE),VLOOKUP(G44&amp;G46,tablas!$L$3:$O$56,4,FALSE))</f>
        <v>0.56000000000000005</v>
      </c>
      <c r="H47" s="77">
        <f>IF(H46&gt;1.5,VLOOKUP(H44&amp;1.5,tablas!$L$3:$O$56,4,FALSE),VLOOKUP(H44&amp;H46,tablas!$L$3:$O$56,4,FALSE))</f>
        <v>0.55000000000000004</v>
      </c>
      <c r="I47" s="77">
        <f>IF(I46&gt;1.5,VLOOKUP(I44&amp;1.5,tablas!$L$3:$O$56,4,FALSE),VLOOKUP(I44&amp;I46,tablas!$L$3:$O$56,4,FALSE))</f>
        <v>0.75</v>
      </c>
      <c r="J47" s="77">
        <f>IF(J46&gt;1.5,VLOOKUP(J44&amp;1.5,tablas!$L$3:$O$56,4,FALSE),VLOOKUP(J44&amp;J46,tablas!$L$3:$O$56,4,FALSE))</f>
        <v>0.57999999999999996</v>
      </c>
      <c r="K47" s="77">
        <f>IF(K46&gt;1.5,VLOOKUP(K44&amp;1.5,tablas!$L$3:$O$56,4,FALSE),VLOOKUP(K44&amp;K46,tablas!$L$3:$O$56,4,FALSE))</f>
        <v>0.57999999999999996</v>
      </c>
      <c r="L47" s="77">
        <f>IF(L46&gt;1.5,VLOOKUP(L44&amp;1.5,tablas!$L$3:$O$56,4,FALSE),VLOOKUP(L44&amp;L46,tablas!$L$3:$O$56,4,FALSE))</f>
        <v>0.55000000000000004</v>
      </c>
      <c r="M47" s="77">
        <f>IF(M46&gt;1.5,VLOOKUP(M44&amp;1.5,tablas!$L$3:$O$56,4,FALSE),VLOOKUP(M44&amp;M46,tablas!$L$3:$O$56,4,FALSE))</f>
        <v>0.56000000000000005</v>
      </c>
      <c r="N47" s="77">
        <f>IF(N46&gt;1.5,VLOOKUP(N44&amp;1.5,tablas!$L$3:$O$56,4,FALSE),VLOOKUP(N44&amp;N46,tablas!$L$3:$O$56,4,FALSE))</f>
        <v>0.8</v>
      </c>
      <c r="O47" s="77">
        <f>IF(O46&gt;1.5,VLOOKUP(O44&amp;1.5,tablas!$L$3:$O$56,4,FALSE),VLOOKUP(O44&amp;O46,tablas!$L$3:$O$56,4,FALSE))</f>
        <v>0.75</v>
      </c>
      <c r="P47" s="77">
        <f>IF(P46&gt;1.5,VLOOKUP(P44&amp;1.5,tablas!$L$3:$O$56,4,FALSE),VLOOKUP(P44&amp;P46,tablas!$L$3:$O$56,4,FALSE))</f>
        <v>0.75</v>
      </c>
      <c r="Q47" s="77">
        <f>IF(Q46&gt;1.5,VLOOKUP(Q44&amp;1.5,tablas!$L$3:$O$56,4,FALSE),VLOOKUP(Q44&amp;Q46,tablas!$L$3:$O$56,4,FALSE))</f>
        <v>0.8</v>
      </c>
      <c r="R47" s="77">
        <f>IF(R46&gt;1.5,VLOOKUP(R44&amp;1.5,tablas!$L$3:$O$56,4,FALSE),VLOOKUP(R44&amp;R46,tablas!$L$3:$O$56,4,FALSE))</f>
        <v>0.8</v>
      </c>
      <c r="S47" s="77">
        <f>IF(S46&gt;1.5,VLOOKUP(S44&amp;1.5,tablas!$L$3:$O$56,4,FALSE),VLOOKUP(S44&amp;S46,tablas!$L$3:$O$56,4,FALSE))</f>
        <v>0.8</v>
      </c>
      <c r="T47" s="77">
        <f>IF(T46&gt;1.5,VLOOKUP(T44&amp;1.5,tablas!$L$3:$O$56,4,FALSE),VLOOKUP(T44&amp;T46,tablas!$L$3:$O$56,4,FALSE))</f>
        <v>0.8</v>
      </c>
      <c r="U47" s="77">
        <f>IF(U46&gt;1.5,VLOOKUP(U44&amp;1.5,tablas!$L$3:$O$56,4,FALSE),VLOOKUP(U44&amp;U46,tablas!$L$3:$O$56,4,FALSE))</f>
        <v>0.8</v>
      </c>
      <c r="V47" s="77">
        <f>IF(V46&gt;1.5,VLOOKUP(V44&amp;1.5,tablas!$L$3:$O$56,4,FALSE),VLOOKUP(V44&amp;V46,tablas!$L$3:$O$56,4,FALSE))</f>
        <v>0.8</v>
      </c>
      <c r="W47" s="77">
        <f>IF(W46&gt;1.5,VLOOKUP(W44&amp;1.5,tablas!$L$3:$O$56,4,FALSE),VLOOKUP(W44&amp;W46,tablas!$L$3:$O$56,4,FALSE))</f>
        <v>0.8</v>
      </c>
      <c r="X47" s="77">
        <f>IF(X46&gt;1.5,VLOOKUP(X44&amp;1.5,tablas!$L$3:$O$56,4,FALSE),VLOOKUP(X44&amp;X46,tablas!$L$3:$O$56,4,FALSE))</f>
        <v>0.75</v>
      </c>
    </row>
    <row r="48" spans="2:24" x14ac:dyDescent="0.3">
      <c r="B48" s="100" t="s">
        <v>85</v>
      </c>
      <c r="C48" s="76">
        <v>35</v>
      </c>
      <c r="D48" s="77">
        <v>35</v>
      </c>
      <c r="E48" s="77">
        <v>36</v>
      </c>
      <c r="F48" s="77">
        <v>37</v>
      </c>
      <c r="G48" s="77">
        <v>38</v>
      </c>
      <c r="H48" s="77">
        <v>39</v>
      </c>
      <c r="I48" s="77">
        <v>40</v>
      </c>
      <c r="J48" s="77">
        <v>41</v>
      </c>
      <c r="K48" s="77">
        <v>42</v>
      </c>
      <c r="L48" s="77">
        <v>43</v>
      </c>
      <c r="M48" s="77">
        <v>44</v>
      </c>
      <c r="N48" s="77">
        <v>45</v>
      </c>
      <c r="O48" s="77">
        <v>46</v>
      </c>
      <c r="P48" s="77">
        <v>47</v>
      </c>
      <c r="Q48" s="77">
        <v>48</v>
      </c>
      <c r="R48" s="77">
        <v>49</v>
      </c>
      <c r="S48" s="77">
        <v>50</v>
      </c>
      <c r="T48" s="77">
        <v>51</v>
      </c>
      <c r="U48" s="77">
        <v>52</v>
      </c>
      <c r="V48" s="77">
        <v>53</v>
      </c>
      <c r="W48" s="77">
        <v>54</v>
      </c>
      <c r="X48" s="77">
        <v>55</v>
      </c>
    </row>
    <row r="49" spans="2:24" x14ac:dyDescent="0.3">
      <c r="B49" s="97" t="s">
        <v>4</v>
      </c>
      <c r="C49" s="76">
        <f>IF(C46&lt;=2,VLOOKUP(C44&amp;C46-0.1,tablas!$B$3:$J$92,6,FALSE),"Franja de losa")</f>
        <v>46.1</v>
      </c>
      <c r="D49" s="77">
        <f>IF(D46&lt;=2,VLOOKUP(D44&amp;D46,tablas!$B$3:$J$92,6,FALSE),"Franja de losa")</f>
        <v>45.2</v>
      </c>
      <c r="E49" s="77">
        <f>IF(E46&lt;=2,VLOOKUP(E44&amp;E46,tablas!$B$3:$J$92,6,FALSE),"Franja de losa")</f>
        <v>45.2</v>
      </c>
      <c r="F49" s="77">
        <f>IF(F46&lt;=2,VLOOKUP(F44&amp;F46,tablas!$B$3:$J$92,6,FALSE),"Franja de losa")</f>
        <v>44.6</v>
      </c>
      <c r="G49" s="77">
        <f>IF(G46&lt;=2,VLOOKUP(G44&amp;G46,tablas!$B$3:$J$92,6,FALSE),"Franja de losa")</f>
        <v>47.2</v>
      </c>
      <c r="H49" s="77">
        <f>IF(H46&lt;=2,VLOOKUP(H44&amp;H46,tablas!$B$3:$J$92,6,FALSE),"Franja de losa")</f>
        <v>50.7</v>
      </c>
      <c r="I49" s="77">
        <f>IF(I46&lt;=2,VLOOKUP(I44&amp;I46,tablas!$B$3:$J$92,6,FALSE),"Franja de losa")</f>
        <v>37.5</v>
      </c>
      <c r="J49" s="77" t="str">
        <f>IF(J46&lt;=2,VLOOKUP(J44&amp;J46,tablas!$B$3:$J$92,6,FALSE),"Franja de losa")</f>
        <v>Franja de losa</v>
      </c>
      <c r="K49" s="77" t="str">
        <f>IF(K46&lt;=2,VLOOKUP(K44&amp;K46,tablas!$B$3:$J$92,6,FALSE),"Franja de losa")</f>
        <v>Franja de losa</v>
      </c>
      <c r="L49" s="77">
        <f>IF(L46&lt;=2,VLOOKUP(L44&amp;L46,tablas!$B$3:$J$92,6,FALSE),"Franja de losa")</f>
        <v>50.7</v>
      </c>
      <c r="M49" s="77">
        <f>IF(M46&lt;=2,VLOOKUP(M44&amp;M46,tablas!$B$3:$J$92,6,FALSE),"Franja de losa")</f>
        <v>47.2</v>
      </c>
      <c r="N49" s="77" t="str">
        <f>IF(N46&lt;=2,VLOOKUP(N44&amp;N46,tablas!$B$3:$J$92,6,FALSE),"Franja de losa")</f>
        <v>Franja de losa</v>
      </c>
      <c r="O49" s="77" t="str">
        <f>IF(O46&lt;=2,VLOOKUP(O44&amp;O46,tablas!$B$3:$J$92,6,FALSE),"Franja de losa")</f>
        <v>Franja de losa</v>
      </c>
      <c r="P49" s="77" t="str">
        <f>IF(P46&lt;=2,VLOOKUP(P44&amp;P46,tablas!$B$3:$J$92,6,FALSE),"Franja de losa")</f>
        <v>Franja de losa</v>
      </c>
      <c r="Q49" s="77" t="str">
        <f>IF(Q46&lt;=2,VLOOKUP(Q44&amp;Q46,tablas!$B$3:$J$92,6,FALSE),"Franja de losa")</f>
        <v>Franja de losa</v>
      </c>
      <c r="R49" s="77" t="str">
        <f>IF(R46&lt;=2,VLOOKUP(R44&amp;R46,tablas!$B$3:$J$92,6,FALSE),"Franja de losa")</f>
        <v>Franja de losa</v>
      </c>
      <c r="S49" s="77" t="str">
        <f>IF(S46&lt;=2,VLOOKUP(S44&amp;S46,tablas!$B$3:$J$92,6,FALSE),"Franja de losa")</f>
        <v>Franja de losa</v>
      </c>
      <c r="T49" s="77" t="str">
        <f>IF(T46&lt;=2,VLOOKUP(T44&amp;T46,tablas!$B$3:$J$92,6,FALSE),"Franja de losa")</f>
        <v>Franja de losa</v>
      </c>
      <c r="U49" s="77" t="str">
        <f>IF(U46&lt;=2,VLOOKUP(U44&amp;U46,tablas!$B$3:$J$92,6,FALSE),"Franja de losa")</f>
        <v>Franja de losa</v>
      </c>
      <c r="V49" s="77" t="str">
        <f>IF(V46&lt;=2,VLOOKUP(V44&amp;V46,tablas!$B$3:$J$92,6,FALSE),"Franja de losa")</f>
        <v>Franja de losa</v>
      </c>
      <c r="W49" s="77" t="str">
        <f>IF(W46&lt;=2,VLOOKUP(W44&amp;W46,tablas!$B$3:$J$92,6,FALSE),"Franja de losa")</f>
        <v>Franja de losa</v>
      </c>
      <c r="X49" s="77">
        <f>IF(X46&lt;=2,VLOOKUP(X44&amp;X46-0.1,tablas!$B$3:$J$92,6,FALSE),"Franja de losa")</f>
        <v>37.6</v>
      </c>
    </row>
    <row r="50" spans="2:24" x14ac:dyDescent="0.3">
      <c r="B50" s="97" t="s">
        <v>5</v>
      </c>
      <c r="C50" s="76">
        <f>IF(C46&lt;=2,VLOOKUP(C44&amp;C46-0.1,tablas!$B$3:$J$92,7,FALSE),"Franja de losa")</f>
        <v>163</v>
      </c>
      <c r="D50" s="77">
        <f>IF(D46&lt;=2,VLOOKUP(D44&amp;D46,tablas!$B$3:$J$92,7,FALSE),"Franja de losa")</f>
        <v>95.6</v>
      </c>
      <c r="E50" s="77">
        <f>IF(E46&lt;=2,VLOOKUP(E44&amp;E46,tablas!$B$3:$J$92,7,FALSE),"Franja de losa")</f>
        <v>95.6</v>
      </c>
      <c r="F50" s="77">
        <f>IF(F46&lt;=2,VLOOKUP(F44&amp;F46,tablas!$B$3:$J$92,7,FALSE),"Franja de losa")</f>
        <v>116.6</v>
      </c>
      <c r="G50" s="77">
        <f>IF(G46&lt;=2,VLOOKUP(G44&amp;G46,tablas!$B$3:$J$92,7,FALSE),"Franja de losa")</f>
        <v>78.900000000000006</v>
      </c>
      <c r="H50" s="77">
        <f>IF(H46&lt;=2,VLOOKUP(H44&amp;H46,tablas!$B$3:$J$92,7,FALSE),"Franja de losa")</f>
        <v>66.3</v>
      </c>
      <c r="I50" s="77">
        <f>IF(I46&lt;=2,VLOOKUP(I44&amp;I46,tablas!$B$3:$J$92,7,FALSE),"Franja de losa")</f>
        <v>202</v>
      </c>
      <c r="J50" s="77" t="str">
        <f>IF(J46&lt;=2,VLOOKUP(J44&amp;J46,tablas!$B$3:$J$92,7,FALSE),"Franja de losa")</f>
        <v>Franja de losa</v>
      </c>
      <c r="K50" s="77" t="str">
        <f>IF(K46&lt;=2,VLOOKUP(K44&amp;K46,tablas!$B$3:$J$92,7,FALSE),"Franja de losa")</f>
        <v>Franja de losa</v>
      </c>
      <c r="L50" s="77">
        <f>IF(L46&lt;=2,VLOOKUP(L44&amp;L46,tablas!$B$3:$J$92,7,FALSE),"Franja de losa")</f>
        <v>66.3</v>
      </c>
      <c r="M50" s="77">
        <f>IF(M46&lt;=2,VLOOKUP(M44&amp;M46,tablas!$B$3:$J$92,7,FALSE),"Franja de losa")</f>
        <v>78.900000000000006</v>
      </c>
      <c r="N50" s="77" t="str">
        <f>IF(N46&lt;=2,VLOOKUP(N44&amp;N46,tablas!$B$3:$J$92,7,FALSE),"Franja de losa")</f>
        <v>Franja de losa</v>
      </c>
      <c r="O50" s="77" t="str">
        <f>IF(O46&lt;=2,VLOOKUP(O44&amp;O46,tablas!$B$3:$J$92,7,FALSE),"Franja de losa")</f>
        <v>Franja de losa</v>
      </c>
      <c r="P50" s="77" t="str">
        <f>IF(P46&lt;=2,VLOOKUP(P44&amp;P46,tablas!$B$3:$J$92,7,FALSE),"Franja de losa")</f>
        <v>Franja de losa</v>
      </c>
      <c r="Q50" s="77" t="str">
        <f>IF(Q46&lt;=2,VLOOKUP(Q44&amp;Q46,tablas!$B$3:$J$92,7,FALSE),"Franja de losa")</f>
        <v>Franja de losa</v>
      </c>
      <c r="R50" s="77" t="str">
        <f>IF(R46&lt;=2,VLOOKUP(R44&amp;R46,tablas!$B$3:$J$92,7,FALSE),"Franja de losa")</f>
        <v>Franja de losa</v>
      </c>
      <c r="S50" s="77" t="str">
        <f>IF(S46&lt;=2,VLOOKUP(S44&amp;S46,tablas!$B$3:$J$92,7,FALSE),"Franja de losa")</f>
        <v>Franja de losa</v>
      </c>
      <c r="T50" s="77" t="str">
        <f>IF(T46&lt;=2,VLOOKUP(T44&amp;T46,tablas!$B$3:$J$92,7,FALSE),"Franja de losa")</f>
        <v>Franja de losa</v>
      </c>
      <c r="U50" s="77" t="str">
        <f>IF(U46&lt;=2,VLOOKUP(U44&amp;U46,tablas!$B$3:$J$92,7,FALSE),"Franja de losa")</f>
        <v>Franja de losa</v>
      </c>
      <c r="V50" s="77" t="str">
        <f>IF(V46&lt;=2,VLOOKUP(V44&amp;V46,tablas!$B$3:$J$92,7,FALSE),"Franja de losa")</f>
        <v>Franja de losa</v>
      </c>
      <c r="W50" s="77" t="str">
        <f>IF(W46&lt;=2,VLOOKUP(W44&amp;W46,tablas!$B$3:$J$92,7,FALSE),"Franja de losa")</f>
        <v>Franja de losa</v>
      </c>
      <c r="X50" s="77">
        <f>IF(X46&lt;=2,VLOOKUP(X44&amp;X46-0.1,tablas!$B$3:$J$92,7,FALSE),"Franja de losa")</f>
        <v>143</v>
      </c>
    </row>
    <row r="51" spans="2:24" x14ac:dyDescent="0.3">
      <c r="B51" s="97" t="s">
        <v>6</v>
      </c>
      <c r="C51" s="76">
        <f>IF(C46&lt;2,VLOOKUP(C44&amp;C46-0.1,tablas!$B$3:$J$92,8,FALSE),"Franja de losa")</f>
        <v>20.5</v>
      </c>
      <c r="D51" s="77">
        <f>IF(D46&lt;=2,VLOOKUP(D44&amp;D46,tablas!$B$3:$J$92,8,FALSE),"Franja de losa")</f>
        <v>18.8</v>
      </c>
      <c r="E51" s="77">
        <f>IF(E46&lt;=2,VLOOKUP(E44&amp;E46,tablas!$B$3:$J$92,8,FALSE),"Franja de losa")</f>
        <v>18.8</v>
      </c>
      <c r="F51" s="77">
        <f>IF(F46&lt;=2,VLOOKUP(F44&amp;F46,tablas!$B$3:$J$92,8,FALSE),"Franja de losa")</f>
        <v>19.2</v>
      </c>
      <c r="G51" s="77">
        <f>IF(G46&lt;=2,VLOOKUP(G44&amp;G46,tablas!$B$3:$J$92,8,FALSE),"Franja de losa")</f>
        <v>18.600000000000001</v>
      </c>
      <c r="H51" s="77">
        <f>IF(H46&lt;=2,VLOOKUP(H44&amp;H46,tablas!$B$3:$J$92,8,FALSE),"Franja de losa")</f>
        <v>18.8</v>
      </c>
      <c r="I51" s="77">
        <f>IF(I46&lt;=2,VLOOKUP(I44&amp;I46,tablas!$B$3:$J$92,8,FALSE),"Franja de losa")</f>
        <v>17.600000000000001</v>
      </c>
      <c r="J51" s="77" t="str">
        <f>IF(J46&lt;=2,VLOOKUP(J44&amp;J46,tablas!$B$3:$J$92,8,FALSE),"Franja de losa")</f>
        <v>Franja de losa</v>
      </c>
      <c r="K51" s="77" t="str">
        <f>IF(K46&lt;=2,VLOOKUP(K44&amp;K46,tablas!$B$3:$J$92,8,FALSE),"Franja de losa")</f>
        <v>Franja de losa</v>
      </c>
      <c r="L51" s="77">
        <f>IF(L46&lt;=2,VLOOKUP(L44&amp;L46,tablas!$B$3:$J$92,8,FALSE),"Franja de losa")</f>
        <v>18.8</v>
      </c>
      <c r="M51" s="77">
        <f>IF(M46&lt;=2,VLOOKUP(M44&amp;M46,tablas!$B$3:$J$92,8,FALSE),"Franja de losa")</f>
        <v>18.600000000000001</v>
      </c>
      <c r="N51" s="77" t="str">
        <f>IF(N46&lt;=2,VLOOKUP(N44&amp;N46,tablas!$B$3:$J$92,8,FALSE),"Franja de losa")</f>
        <v>Franja de losa</v>
      </c>
      <c r="O51" s="77" t="str">
        <f>IF(O46&lt;=2,VLOOKUP(O44&amp;O46,tablas!$B$3:$J$92,8,FALSE),"Franja de losa")</f>
        <v>Franja de losa</v>
      </c>
      <c r="P51" s="77" t="str">
        <f>IF(P46&lt;=2,VLOOKUP(P44&amp;P46,tablas!$B$3:$J$92,8,FALSE),"Franja de losa")</f>
        <v>Franja de losa</v>
      </c>
      <c r="Q51" s="77" t="str">
        <f>IF(Q46&lt;=2,VLOOKUP(Q44&amp;Q46,tablas!$B$3:$J$92,8,FALSE),"Franja de losa")</f>
        <v>Franja de losa</v>
      </c>
      <c r="R51" s="77" t="str">
        <f>IF(R46&lt;=2,VLOOKUP(R44&amp;R46,tablas!$B$3:$J$92,8,FALSE),"Franja de losa")</f>
        <v>Franja de losa</v>
      </c>
      <c r="S51" s="77" t="str">
        <f>IF(S46&lt;=2,VLOOKUP(S44&amp;S46,tablas!$B$3:$J$92,8,FALSE),"Franja de losa")</f>
        <v>Franja de losa</v>
      </c>
      <c r="T51" s="77" t="str">
        <f>IF(T46&lt;=2,VLOOKUP(T44&amp;T46,tablas!$B$3:$J$92,8,FALSE),"Franja de losa")</f>
        <v>Franja de losa</v>
      </c>
      <c r="U51" s="77" t="str">
        <f>IF(U46&lt;=2,VLOOKUP(U44&amp;U46,tablas!$B$3:$J$92,8,FALSE),"Franja de losa")</f>
        <v>Franja de losa</v>
      </c>
      <c r="V51" s="77" t="str">
        <f>IF(V46&lt;=2,VLOOKUP(V44&amp;V46,tablas!$B$3:$J$92,8,FALSE),"Franja de losa")</f>
        <v>Franja de losa</v>
      </c>
      <c r="W51" s="77" t="str">
        <f>IF(W46&lt;=2,VLOOKUP(W44&amp;W46,tablas!$B$3:$J$92,8,FALSE),"Franja de losa")</f>
        <v>Franja de losa</v>
      </c>
      <c r="X51" s="77">
        <f>IF(X46&lt;=2,VLOOKUP(X44&amp;X46-0.1,tablas!$B$3:$J$92,8,FALSE),"Franja de losa")</f>
        <v>16.7</v>
      </c>
    </row>
    <row r="52" spans="2:24" x14ac:dyDescent="0.3">
      <c r="B52" s="97" t="s">
        <v>7</v>
      </c>
      <c r="C52" s="76">
        <f>IF(C46&lt;2,VLOOKUP(C44&amp;C46-0.1,tablas!$B$3:$J$92,9,FALSE),"Franja de losa")</f>
        <v>27.9</v>
      </c>
      <c r="D52" s="77">
        <f>IF(D46&lt;=2,VLOOKUP(D44&amp;D46,tablas!$B$3:$J$92,9,FALSE),"Franja de losa")</f>
        <v>22.9</v>
      </c>
      <c r="E52" s="77">
        <f>IF(E46&lt;=2,VLOOKUP(E44&amp;E46,tablas!$B$3:$J$92,9,FALSE),"Franja de losa")</f>
        <v>22.9</v>
      </c>
      <c r="F52" s="77">
        <f>IF(F46&lt;=2,VLOOKUP(F44&amp;F46,tablas!$B$3:$J$92,9,FALSE),"Franja de losa")</f>
        <v>24.5</v>
      </c>
      <c r="G52" s="77">
        <f>IF(G46&lt;=2,VLOOKUP(G44&amp;G46,tablas!$B$3:$J$92,9,FALSE),"Franja de losa")</f>
        <v>21.5</v>
      </c>
      <c r="H52" s="77">
        <f>IF(H46&lt;=2,VLOOKUP(H44&amp;H46,tablas!$B$3:$J$92,9,FALSE),"Franja de losa")</f>
        <v>20.3</v>
      </c>
      <c r="I52" s="77">
        <f>IF(I46&lt;=2,VLOOKUP(I44&amp;I46,tablas!$B$3:$J$92,9,FALSE),"Franja de losa")</f>
        <v>24.6</v>
      </c>
      <c r="J52" s="77" t="str">
        <f>IF(J46&lt;=2,VLOOKUP(J44&amp;J46,tablas!$B$3:$J$92,9,FALSE),"Franja de losa")</f>
        <v>Franja de losa</v>
      </c>
      <c r="K52" s="77" t="str">
        <f>IF(K46&lt;=2,VLOOKUP(K44&amp;K46,tablas!$B$3:$J$92,9,FALSE),"Franja de losa")</f>
        <v>Franja de losa</v>
      </c>
      <c r="L52" s="77">
        <f>IF(L46&lt;=2,VLOOKUP(L44&amp;L46,tablas!$B$3:$J$92,9,FALSE),"Franja de losa")</f>
        <v>20.3</v>
      </c>
      <c r="M52" s="77">
        <f>IF(M46&lt;=2,VLOOKUP(M44&amp;M46,tablas!$B$3:$J$92,9,FALSE),"Franja de losa")</f>
        <v>21.5</v>
      </c>
      <c r="N52" s="77" t="str">
        <f>IF(N46&lt;=2,VLOOKUP(N44&amp;N46,tablas!$B$3:$J$92,9,FALSE),"Franja de losa")</f>
        <v>Franja de losa</v>
      </c>
      <c r="O52" s="77" t="str">
        <f>IF(O46&lt;=2,VLOOKUP(O44&amp;O46,tablas!$B$3:$J$92,9,FALSE),"Franja de losa")</f>
        <v>Franja de losa</v>
      </c>
      <c r="P52" s="77" t="str">
        <f>IF(P46&lt;=2,VLOOKUP(P44&amp;P46,tablas!$B$3:$J$92,9,FALSE),"Franja de losa")</f>
        <v>Franja de losa</v>
      </c>
      <c r="Q52" s="77" t="str">
        <f>IF(Q46&lt;=2,VLOOKUP(Q44&amp;Q46,tablas!$B$3:$J$92,9,FALSE),"Franja de losa")</f>
        <v>Franja de losa</v>
      </c>
      <c r="R52" s="77" t="str">
        <f>IF(R46&lt;=2,VLOOKUP(R44&amp;R46,tablas!$B$3:$J$92,9,FALSE),"Franja de losa")</f>
        <v>Franja de losa</v>
      </c>
      <c r="S52" s="77" t="str">
        <f>IF(S46&lt;=2,VLOOKUP(S44&amp;S46,tablas!$B$3:$J$92,9,FALSE),"Franja de losa")</f>
        <v>Franja de losa</v>
      </c>
      <c r="T52" s="77" t="str">
        <f>IF(T46&lt;=2,VLOOKUP(T44&amp;T46,tablas!$B$3:$J$92,9,FALSE),"Franja de losa")</f>
        <v>Franja de losa</v>
      </c>
      <c r="U52" s="77" t="str">
        <f>IF(U46&lt;=2,VLOOKUP(U44&amp;U46,tablas!$B$3:$J$92,9,FALSE),"Franja de losa")</f>
        <v>Franja de losa</v>
      </c>
      <c r="V52" s="77" t="str">
        <f>IF(V46&lt;=2,VLOOKUP(V44&amp;V46,tablas!$B$3:$J$92,9,FALSE),"Franja de losa")</f>
        <v>Franja de losa</v>
      </c>
      <c r="W52" s="77" t="str">
        <f>IF(W46&lt;=2,VLOOKUP(W44&amp;W46,tablas!$B$3:$J$92,9,FALSE),"Franja de losa")</f>
        <v>Franja de losa</v>
      </c>
      <c r="X52" s="77">
        <f>IF(X46&lt;=2,VLOOKUP(X44&amp;X46-0.1,tablas!$B$3:$J$92,9,FALSE),"Franja de losa")</f>
        <v>22.1</v>
      </c>
    </row>
    <row r="53" spans="2:24" x14ac:dyDescent="0.3">
      <c r="B53" s="100" t="s">
        <v>2</v>
      </c>
      <c r="C53" s="76">
        <f>IF(C46&lt;2,VLOOKUP(C44&amp;C46-0.1,tablas!$B$3:$J$92,4,FALSE),"Franja de losa")</f>
        <v>1.39</v>
      </c>
      <c r="D53" s="77">
        <f>IF(D46&lt;=2,VLOOKUP(D44&amp;D46,tablas!$B$3:$J$92,4,FALSE),"Franja de losa")</f>
        <v>1.17</v>
      </c>
      <c r="E53" s="77">
        <f>IF(E46&lt;=2,VLOOKUP(E44&amp;E46,tablas!$B$3:$J$92,4,FALSE),"Franja de losa")</f>
        <v>1.17</v>
      </c>
      <c r="F53" s="77">
        <f>IF(F46&lt;=2,VLOOKUP(F44&amp;F46,tablas!$B$3:$J$92,4,FALSE),"Franja de losa")</f>
        <v>1.24</v>
      </c>
      <c r="G53" s="77">
        <f>IF(G46&lt;=2,VLOOKUP(G44&amp;G46,tablas!$B$3:$J$92,4,FALSE),"Franja de losa")</f>
        <v>1.1000000000000001</v>
      </c>
      <c r="H53" s="77">
        <f>IF(H46&lt;=2,VLOOKUP(H44&amp;H46,tablas!$B$3:$J$92,4,FALSE),"Franja de losa")</f>
        <v>1.05</v>
      </c>
      <c r="I53" s="77">
        <f>IF(I46&lt;=2,VLOOKUP(I44&amp;I46,tablas!$B$3:$J$92,4,FALSE),"Franja de losa")</f>
        <v>0.68</v>
      </c>
      <c r="J53" s="77" t="str">
        <f>IF(J46&lt;=2,VLOOKUP(J44&amp;J46,tablas!$B$3:$J$92,4,FALSE),"Franja de losa")</f>
        <v>Franja de losa</v>
      </c>
      <c r="K53" s="77" t="str">
        <f>IF(K46&lt;=2,VLOOKUP(K44&amp;K46,tablas!$B$3:$J$92,4,FALSE),"Franja de losa")</f>
        <v>Franja de losa</v>
      </c>
      <c r="L53" s="77">
        <f>IF(L46&lt;=2,VLOOKUP(L44&amp;L46,tablas!$B$3:$J$92,4,FALSE),"Franja de losa")</f>
        <v>1.05</v>
      </c>
      <c r="M53" s="77">
        <f>IF(M46&lt;=2,VLOOKUP(M44&amp;M46,tablas!$B$3:$J$92,4,FALSE),"Franja de losa")</f>
        <v>1.1000000000000001</v>
      </c>
      <c r="N53" s="77" t="str">
        <f>IF(N46&lt;=2,VLOOKUP(N44&amp;N46,tablas!$B$3:$J$92,4,FALSE),"Franja de losa")</f>
        <v>Franja de losa</v>
      </c>
      <c r="O53" s="77" t="str">
        <f>IF(O46&lt;=2,VLOOKUP(O44&amp;O46,tablas!$B$3:$J$92,4,FALSE),"Franja de losa")</f>
        <v>Franja de losa</v>
      </c>
      <c r="P53" s="77" t="str">
        <f>IF(P46&lt;=2,VLOOKUP(P44&amp;P46,tablas!$B$3:$J$92,4,FALSE),"Franja de losa")</f>
        <v>Franja de losa</v>
      </c>
      <c r="Q53" s="77" t="str">
        <f>IF(Q46&lt;=2,VLOOKUP(Q44&amp;Q46,tablas!$B$3:$J$92,4,FALSE),"Franja de losa")</f>
        <v>Franja de losa</v>
      </c>
      <c r="R53" s="77" t="str">
        <f>IF(R46&lt;=2,VLOOKUP(R44&amp;R46,tablas!$B$3:$J$92,4,FALSE),"Franja de losa")</f>
        <v>Franja de losa</v>
      </c>
      <c r="S53" s="77" t="str">
        <f>IF(S46&lt;=2,VLOOKUP(S44&amp;S46,tablas!$B$3:$J$92,4,FALSE),"Franja de losa")</f>
        <v>Franja de losa</v>
      </c>
      <c r="T53" s="77" t="str">
        <f>IF(T46&lt;=2,VLOOKUP(T44&amp;T46,tablas!$B$3:$J$92,4,FALSE),"Franja de losa")</f>
        <v>Franja de losa</v>
      </c>
      <c r="U53" s="77" t="str">
        <f>IF(U46&lt;=2,VLOOKUP(U44&amp;U46,tablas!$B$3:$J$92,4,FALSE),"Franja de losa")</f>
        <v>Franja de losa</v>
      </c>
      <c r="V53" s="77" t="str">
        <f>IF(V46&lt;=2,VLOOKUP(V44&amp;V46,tablas!$B$3:$J$92,4,FALSE),"Franja de losa")</f>
        <v>Franja de losa</v>
      </c>
      <c r="W53" s="77" t="str">
        <f>IF(W46&lt;=2,VLOOKUP(W44&amp;W46,tablas!$B$3:$J$92,4,FALSE),"Franja de losa")</f>
        <v>Franja de losa</v>
      </c>
      <c r="X53" s="77">
        <f>IF(X46&lt;=2,VLOOKUP(X44&amp;X46-0.1,tablas!$B$3:$J$92,4,FALSE),"Franja de losa")</f>
        <v>0.68</v>
      </c>
    </row>
    <row r="54" spans="2:24" ht="15" thickBot="1" x14ac:dyDescent="0.35">
      <c r="B54" s="101" t="s">
        <v>3</v>
      </c>
      <c r="C54" s="82">
        <f>IF(C46&lt;2,VLOOKUP(C44&amp;C46-0.1,tablas!$B$3:$J$92,5,FALSE),"Franja de losa")</f>
        <v>1.39</v>
      </c>
      <c r="D54" s="83">
        <f>IF(D46&lt;=2,VLOOKUP(D44&amp;D46,tablas!$B$3:$J$92,5,FALSE),"Franja de losa")</f>
        <v>1.17</v>
      </c>
      <c r="E54" s="83">
        <f>IF(E46&lt;=2,VLOOKUP(E44&amp;E46,tablas!$B$3:$J$92,5,FALSE),"Franja de losa")</f>
        <v>1.17</v>
      </c>
      <c r="F54" s="83">
        <f>IF(F46&lt;=2,VLOOKUP(F44&amp;F46,tablas!$B$3:$J$92,5,FALSE),"Franja de losa")</f>
        <v>1.24</v>
      </c>
      <c r="G54" s="83">
        <f>IF(G46&lt;=2,VLOOKUP(G44&amp;G46,tablas!$B$3:$J$92,5,FALSE),"Franja de losa")</f>
        <v>1.1000000000000001</v>
      </c>
      <c r="H54" s="83">
        <f>IF(H46&lt;=2,VLOOKUP(H44&amp;H46,tablas!$B$3:$J$92,5,FALSE),"Franja de losa")</f>
        <v>1.05</v>
      </c>
      <c r="I54" s="83">
        <f>IF(I46&lt;=2,VLOOKUP(I44&amp;I46,tablas!$B$3:$J$92,5,FALSE),"Franja de losa")</f>
        <v>0.46</v>
      </c>
      <c r="J54" s="83" t="str">
        <f>IF(J46&lt;=2,VLOOKUP(J44&amp;J46,tablas!$B$3:$J$92,5,FALSE),"Franja de losa")</f>
        <v>Franja de losa</v>
      </c>
      <c r="K54" s="83" t="str">
        <f>IF(K46&lt;=2,VLOOKUP(K44&amp;K46,tablas!$B$3:$J$92,5,FALSE),"Franja de losa")</f>
        <v>Franja de losa</v>
      </c>
      <c r="L54" s="83">
        <f>IF(L46&lt;=2,VLOOKUP(L44&amp;L46,tablas!$B$3:$J$92,5,FALSE),"Franja de losa")</f>
        <v>1.05</v>
      </c>
      <c r="M54" s="83">
        <f>IF(M46&lt;=2,VLOOKUP(M44&amp;M46,tablas!$B$3:$J$92,5,FALSE),"Franja de losa")</f>
        <v>1.1000000000000001</v>
      </c>
      <c r="N54" s="83" t="str">
        <f>IF(N46&lt;=2,VLOOKUP(N44&amp;N46,tablas!$B$3:$J$92,5,FALSE),"Franja de losa")</f>
        <v>Franja de losa</v>
      </c>
      <c r="O54" s="83" t="str">
        <f>IF(O46&lt;=2,VLOOKUP(O44&amp;O46,tablas!$B$3:$J$92,5,FALSE),"Franja de losa")</f>
        <v>Franja de losa</v>
      </c>
      <c r="P54" s="83" t="str">
        <f>IF(P46&lt;=2,VLOOKUP(P44&amp;P46,tablas!$B$3:$J$92,5,FALSE),"Franja de losa")</f>
        <v>Franja de losa</v>
      </c>
      <c r="Q54" s="83" t="str">
        <f>IF(Q46&lt;=2,VLOOKUP(Q44&amp;Q46,tablas!$B$3:$J$92,5,FALSE),"Franja de losa")</f>
        <v>Franja de losa</v>
      </c>
      <c r="R54" s="83" t="str">
        <f>IF(R46&lt;=2,VLOOKUP(R44&amp;R46,tablas!$B$3:$J$92,5,FALSE),"Franja de losa")</f>
        <v>Franja de losa</v>
      </c>
      <c r="S54" s="83" t="str">
        <f>IF(S46&lt;=2,VLOOKUP(S44&amp;S46,tablas!$B$3:$J$92,5,FALSE),"Franja de losa")</f>
        <v>Franja de losa</v>
      </c>
      <c r="T54" s="83" t="str">
        <f>IF(T46&lt;=2,VLOOKUP(T44&amp;T46,tablas!$B$3:$J$92,5,FALSE),"Franja de losa")</f>
        <v>Franja de losa</v>
      </c>
      <c r="U54" s="83" t="str">
        <f>IF(U46&lt;=2,VLOOKUP(U44&amp;U46,tablas!$B$3:$J$92,5,FALSE),"Franja de losa")</f>
        <v>Franja de losa</v>
      </c>
      <c r="V54" s="83" t="str">
        <f>IF(V46&lt;=2,VLOOKUP(V44&amp;V46,tablas!$B$3:$J$92,5,FALSE),"Franja de losa")</f>
        <v>Franja de losa</v>
      </c>
      <c r="W54" s="83" t="str">
        <f>IF(W46&lt;=2,VLOOKUP(W44&amp;W46,tablas!$B$3:$J$92,5,FALSE),"Franja de losa")</f>
        <v>Franja de losa</v>
      </c>
      <c r="X54" s="83">
        <f>IF(X46&lt;=2,VLOOKUP(X44&amp;X46-0.1,tablas!$B$3:$J$92,5,FALSE),"Franja de losa")</f>
        <v>0.46</v>
      </c>
    </row>
    <row r="55" spans="2:24" ht="15" thickBot="1" x14ac:dyDescent="0.35">
      <c r="B55" s="71" t="s">
        <v>87</v>
      </c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72"/>
      <c r="X55" s="72"/>
    </row>
    <row r="56" spans="2:24" x14ac:dyDescent="0.3">
      <c r="B56" s="97" t="s">
        <v>83</v>
      </c>
      <c r="C56" s="84">
        <f>VLOOKUP(C$39,$B$16:$H$35,6)</f>
        <v>200</v>
      </c>
      <c r="D56" s="84">
        <f t="shared" ref="D56:X56" si="5">VLOOKUP(D$39,$B$16:$H$35,6)</f>
        <v>200</v>
      </c>
      <c r="E56" s="84">
        <f t="shared" si="5"/>
        <v>200</v>
      </c>
      <c r="F56" s="84">
        <f t="shared" si="5"/>
        <v>200</v>
      </c>
      <c r="G56" s="84">
        <f t="shared" si="5"/>
        <v>200</v>
      </c>
      <c r="H56" s="84">
        <f t="shared" si="5"/>
        <v>200</v>
      </c>
      <c r="I56" s="84">
        <f t="shared" si="5"/>
        <v>400</v>
      </c>
      <c r="J56" s="84">
        <f t="shared" si="5"/>
        <v>400</v>
      </c>
      <c r="K56" s="84">
        <f t="shared" si="5"/>
        <v>400</v>
      </c>
      <c r="L56" s="84">
        <f t="shared" si="5"/>
        <v>200</v>
      </c>
      <c r="M56" s="84">
        <f t="shared" si="5"/>
        <v>200</v>
      </c>
      <c r="N56" s="84">
        <f t="shared" si="5"/>
        <v>300</v>
      </c>
      <c r="O56" s="84">
        <f t="shared" si="5"/>
        <v>300</v>
      </c>
      <c r="P56" s="84">
        <f t="shared" si="5"/>
        <v>300</v>
      </c>
      <c r="Q56" s="84">
        <f t="shared" si="5"/>
        <v>300</v>
      </c>
      <c r="R56" s="84">
        <f t="shared" si="5"/>
        <v>300</v>
      </c>
      <c r="S56" s="84">
        <f t="shared" si="5"/>
        <v>300</v>
      </c>
      <c r="T56" s="84">
        <f t="shared" si="5"/>
        <v>300</v>
      </c>
      <c r="U56" s="84">
        <f t="shared" si="5"/>
        <v>300</v>
      </c>
      <c r="V56" s="84">
        <f t="shared" si="5"/>
        <v>300</v>
      </c>
      <c r="W56" s="84">
        <f t="shared" si="5"/>
        <v>300</v>
      </c>
      <c r="X56" s="84">
        <f t="shared" si="5"/>
        <v>300</v>
      </c>
    </row>
    <row r="57" spans="2:24" x14ac:dyDescent="0.3">
      <c r="B57" s="97" t="s">
        <v>89</v>
      </c>
      <c r="C57" s="76">
        <f>$L$7*($C$4/100)</f>
        <v>400</v>
      </c>
      <c r="D57" s="77">
        <f>$L$7*($C$4/100)</f>
        <v>400</v>
      </c>
      <c r="E57" s="77">
        <f t="shared" ref="E57:X57" si="6">$L$7*($C$4/100)</f>
        <v>400</v>
      </c>
      <c r="F57" s="77">
        <f t="shared" si="6"/>
        <v>400</v>
      </c>
      <c r="G57" s="77">
        <f t="shared" si="6"/>
        <v>400</v>
      </c>
      <c r="H57" s="77">
        <f t="shared" si="6"/>
        <v>400</v>
      </c>
      <c r="I57" s="77">
        <f t="shared" si="6"/>
        <v>400</v>
      </c>
      <c r="J57" s="77">
        <f t="shared" si="6"/>
        <v>400</v>
      </c>
      <c r="K57" s="77">
        <f t="shared" si="6"/>
        <v>400</v>
      </c>
      <c r="L57" s="77">
        <f t="shared" si="6"/>
        <v>400</v>
      </c>
      <c r="M57" s="77">
        <f t="shared" si="6"/>
        <v>400</v>
      </c>
      <c r="N57" s="77">
        <f t="shared" si="6"/>
        <v>400</v>
      </c>
      <c r="O57" s="77">
        <f t="shared" si="6"/>
        <v>400</v>
      </c>
      <c r="P57" s="77">
        <f t="shared" si="6"/>
        <v>400</v>
      </c>
      <c r="Q57" s="77">
        <f t="shared" si="6"/>
        <v>400</v>
      </c>
      <c r="R57" s="77">
        <f t="shared" si="6"/>
        <v>400</v>
      </c>
      <c r="S57" s="77">
        <f t="shared" si="6"/>
        <v>400</v>
      </c>
      <c r="T57" s="77">
        <f t="shared" si="6"/>
        <v>400</v>
      </c>
      <c r="U57" s="77">
        <f t="shared" si="6"/>
        <v>400</v>
      </c>
      <c r="V57" s="77">
        <f t="shared" si="6"/>
        <v>400</v>
      </c>
      <c r="W57" s="77">
        <f t="shared" si="6"/>
        <v>400</v>
      </c>
      <c r="X57" s="77">
        <f t="shared" si="6"/>
        <v>400</v>
      </c>
    </row>
    <row r="58" spans="2:24" x14ac:dyDescent="0.3">
      <c r="B58" s="97" t="s">
        <v>90</v>
      </c>
      <c r="C58" s="76">
        <f>C57+$I$8</f>
        <v>625</v>
      </c>
      <c r="D58" s="77">
        <f>D57+$I$8</f>
        <v>625</v>
      </c>
      <c r="E58" s="77">
        <f t="shared" ref="E58:X58" si="7">E57+$I$8</f>
        <v>625</v>
      </c>
      <c r="F58" s="77">
        <f t="shared" si="7"/>
        <v>625</v>
      </c>
      <c r="G58" s="77">
        <f t="shared" si="7"/>
        <v>625</v>
      </c>
      <c r="H58" s="77">
        <f t="shared" si="7"/>
        <v>625</v>
      </c>
      <c r="I58" s="77">
        <f t="shared" si="7"/>
        <v>625</v>
      </c>
      <c r="J58" s="77">
        <f t="shared" si="7"/>
        <v>625</v>
      </c>
      <c r="K58" s="77">
        <f t="shared" si="7"/>
        <v>625</v>
      </c>
      <c r="L58" s="77">
        <f t="shared" si="7"/>
        <v>625</v>
      </c>
      <c r="M58" s="77">
        <f t="shared" si="7"/>
        <v>625</v>
      </c>
      <c r="N58" s="77">
        <f t="shared" si="7"/>
        <v>625</v>
      </c>
      <c r="O58" s="77">
        <f t="shared" si="7"/>
        <v>625</v>
      </c>
      <c r="P58" s="77">
        <f t="shared" si="7"/>
        <v>625</v>
      </c>
      <c r="Q58" s="77">
        <f t="shared" si="7"/>
        <v>625</v>
      </c>
      <c r="R58" s="77">
        <f t="shared" si="7"/>
        <v>625</v>
      </c>
      <c r="S58" s="77">
        <f t="shared" si="7"/>
        <v>625</v>
      </c>
      <c r="T58" s="77">
        <f t="shared" si="7"/>
        <v>625</v>
      </c>
      <c r="U58" s="77">
        <f t="shared" si="7"/>
        <v>625</v>
      </c>
      <c r="V58" s="77">
        <f t="shared" si="7"/>
        <v>625</v>
      </c>
      <c r="W58" s="77">
        <f t="shared" si="7"/>
        <v>625</v>
      </c>
      <c r="X58" s="77">
        <f t="shared" si="7"/>
        <v>625</v>
      </c>
    </row>
    <row r="59" spans="2:24" x14ac:dyDescent="0.3">
      <c r="B59" s="97" t="s">
        <v>91</v>
      </c>
      <c r="C59" s="76">
        <f>1.2*C58+1.6*C56</f>
        <v>1070</v>
      </c>
      <c r="D59" s="77">
        <f>1.2*D58+1.6*D56</f>
        <v>1070</v>
      </c>
      <c r="E59" s="77">
        <f t="shared" ref="E59:X59" si="8">1.2*E58+1.6*E56</f>
        <v>1070</v>
      </c>
      <c r="F59" s="77">
        <f t="shared" si="8"/>
        <v>1070</v>
      </c>
      <c r="G59" s="77">
        <f t="shared" si="8"/>
        <v>1070</v>
      </c>
      <c r="H59" s="77">
        <f t="shared" si="8"/>
        <v>1070</v>
      </c>
      <c r="I59" s="77">
        <f t="shared" si="8"/>
        <v>1390</v>
      </c>
      <c r="J59" s="77">
        <f t="shared" si="8"/>
        <v>1390</v>
      </c>
      <c r="K59" s="77">
        <f t="shared" si="8"/>
        <v>1390</v>
      </c>
      <c r="L59" s="77">
        <f t="shared" si="8"/>
        <v>1070</v>
      </c>
      <c r="M59" s="77">
        <f t="shared" si="8"/>
        <v>1070</v>
      </c>
      <c r="N59" s="77">
        <f t="shared" si="8"/>
        <v>1230</v>
      </c>
      <c r="O59" s="77">
        <f t="shared" si="8"/>
        <v>1230</v>
      </c>
      <c r="P59" s="77">
        <f t="shared" si="8"/>
        <v>1230</v>
      </c>
      <c r="Q59" s="77">
        <f t="shared" si="8"/>
        <v>1230</v>
      </c>
      <c r="R59" s="77">
        <f t="shared" si="8"/>
        <v>1230</v>
      </c>
      <c r="S59" s="77">
        <f t="shared" si="8"/>
        <v>1230</v>
      </c>
      <c r="T59" s="77">
        <f t="shared" si="8"/>
        <v>1230</v>
      </c>
      <c r="U59" s="77">
        <f t="shared" si="8"/>
        <v>1230</v>
      </c>
      <c r="V59" s="77">
        <f t="shared" si="8"/>
        <v>1230</v>
      </c>
      <c r="W59" s="77">
        <f t="shared" si="8"/>
        <v>1230</v>
      </c>
      <c r="X59" s="77">
        <f t="shared" si="8"/>
        <v>1230</v>
      </c>
    </row>
    <row r="60" spans="2:24" x14ac:dyDescent="0.3">
      <c r="B60" s="98" t="s">
        <v>92</v>
      </c>
      <c r="C60" s="85">
        <f>C59*C41*C42</f>
        <v>64735</v>
      </c>
      <c r="D60" s="86">
        <f>D59*D41*D42</f>
        <v>27862.799999999999</v>
      </c>
      <c r="E60" s="86">
        <f t="shared" ref="E60:X60" si="9">E59*E41*E42</f>
        <v>27862.799999999999</v>
      </c>
      <c r="F60" s="86">
        <f t="shared" si="9"/>
        <v>51075.915000000001</v>
      </c>
      <c r="G60" s="86">
        <f t="shared" si="9"/>
        <v>43342.704000000005</v>
      </c>
      <c r="H60" s="86">
        <f t="shared" si="9"/>
        <v>26856.999999999996</v>
      </c>
      <c r="I60" s="86">
        <f t="shared" si="9"/>
        <v>11792.76</v>
      </c>
      <c r="J60" s="86">
        <f t="shared" si="9"/>
        <v>21795.199999999997</v>
      </c>
      <c r="K60" s="86">
        <f t="shared" si="9"/>
        <v>25637.16</v>
      </c>
      <c r="L60" s="86">
        <f>L59*L41*L42</f>
        <v>26856.999999999996</v>
      </c>
      <c r="M60" s="86">
        <f t="shared" si="9"/>
        <v>40415.826000000008</v>
      </c>
      <c r="N60" s="86">
        <f t="shared" si="9"/>
        <v>9899.4089999999997</v>
      </c>
      <c r="O60" s="86">
        <f t="shared" si="9"/>
        <v>10400.879999999999</v>
      </c>
      <c r="P60" s="86">
        <f t="shared" si="9"/>
        <v>10400.879999999999</v>
      </c>
      <c r="Q60" s="86">
        <f t="shared" si="9"/>
        <v>9750.8249999999989</v>
      </c>
      <c r="R60" s="86">
        <f t="shared" si="9"/>
        <v>4899.3360000000002</v>
      </c>
      <c r="S60" s="86">
        <f t="shared" si="9"/>
        <v>4899.3360000000002</v>
      </c>
      <c r="T60" s="86">
        <f t="shared" si="9"/>
        <v>11553.882</v>
      </c>
      <c r="U60" s="86">
        <f t="shared" si="9"/>
        <v>11685.737999999999</v>
      </c>
      <c r="V60" s="86">
        <f t="shared" si="9"/>
        <v>3486.0660000000003</v>
      </c>
      <c r="W60" s="86">
        <f t="shared" si="9"/>
        <v>3297.63</v>
      </c>
      <c r="X60" s="86">
        <f t="shared" si="9"/>
        <v>12270.48</v>
      </c>
    </row>
    <row r="61" spans="2:24" ht="15" thickBot="1" x14ac:dyDescent="0.35">
      <c r="B61" s="99" t="s">
        <v>93</v>
      </c>
      <c r="C61" s="87">
        <f>C56/(2*C59)</f>
        <v>9.3457943925233641E-2</v>
      </c>
      <c r="D61" s="88">
        <f>D56/(2*D59)</f>
        <v>9.3457943925233641E-2</v>
      </c>
      <c r="E61" s="88">
        <f t="shared" ref="E61:X61" si="10">E56/(2*E59)</f>
        <v>9.3457943925233641E-2</v>
      </c>
      <c r="F61" s="88">
        <f t="shared" si="10"/>
        <v>9.3457943925233641E-2</v>
      </c>
      <c r="G61" s="88">
        <f t="shared" si="10"/>
        <v>9.3457943925233641E-2</v>
      </c>
      <c r="H61" s="88">
        <f t="shared" si="10"/>
        <v>9.3457943925233641E-2</v>
      </c>
      <c r="I61" s="88">
        <f t="shared" si="10"/>
        <v>0.14388489208633093</v>
      </c>
      <c r="J61" s="88">
        <f t="shared" si="10"/>
        <v>0.14388489208633093</v>
      </c>
      <c r="K61" s="88">
        <f t="shared" si="10"/>
        <v>0.14388489208633093</v>
      </c>
      <c r="L61" s="88">
        <f t="shared" si="10"/>
        <v>9.3457943925233641E-2</v>
      </c>
      <c r="M61" s="88">
        <f t="shared" si="10"/>
        <v>9.3457943925233641E-2</v>
      </c>
      <c r="N61" s="88">
        <f t="shared" si="10"/>
        <v>0.12195121951219512</v>
      </c>
      <c r="O61" s="88">
        <f t="shared" si="10"/>
        <v>0.12195121951219512</v>
      </c>
      <c r="P61" s="88">
        <f t="shared" si="10"/>
        <v>0.12195121951219512</v>
      </c>
      <c r="Q61" s="88">
        <f t="shared" si="10"/>
        <v>0.12195121951219512</v>
      </c>
      <c r="R61" s="88">
        <f t="shared" si="10"/>
        <v>0.12195121951219512</v>
      </c>
      <c r="S61" s="88">
        <f t="shared" si="10"/>
        <v>0.12195121951219512</v>
      </c>
      <c r="T61" s="88">
        <f t="shared" si="10"/>
        <v>0.12195121951219512</v>
      </c>
      <c r="U61" s="88">
        <f t="shared" si="10"/>
        <v>0.12195121951219512</v>
      </c>
      <c r="V61" s="88">
        <f t="shared" si="10"/>
        <v>0.12195121951219512</v>
      </c>
      <c r="W61" s="88">
        <f t="shared" si="10"/>
        <v>0.12195121951219512</v>
      </c>
      <c r="X61" s="88">
        <f t="shared" si="10"/>
        <v>0.12195121951219512</v>
      </c>
    </row>
    <row r="62" spans="2:24" ht="15" thickBot="1" x14ac:dyDescent="0.35">
      <c r="B62" s="71" t="s">
        <v>96</v>
      </c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72"/>
      <c r="X62" s="72"/>
    </row>
    <row r="63" spans="2:24" x14ac:dyDescent="0.3">
      <c r="B63" s="96" t="s">
        <v>97</v>
      </c>
      <c r="C63" s="89">
        <f>IF(C46&lt;=2,C60/C49*(1+C61*C53)*C47,IF(OR(C44=6,C44="5a",C44="3a"),C59*C41^2/17,(IF(OR(C44="2a",C44=4,C44="5b"),C59*C41^2/12,IF(OR(C44=1,C44="2b",C44="3b"),C59*C41^2/8)))))</f>
        <v>920.25618221258128</v>
      </c>
      <c r="D63" s="89">
        <f t="shared" ref="D63:X63" si="11">IF(D46&lt;=2,D60/D49*(1+D61*D53)*D47,IF(OR(D44=6,D44="5a",D44="3a"),D59*D41^2/17,(IF(OR(D44="2a",D44=4,D44="5b"),D59*D41^2/12,IF(OR(D44=1,D44="2b",D44="3b"),D59*D41^2/8)))))</f>
        <v>382.94930973451329</v>
      </c>
      <c r="E63" s="89">
        <f t="shared" si="11"/>
        <v>382.94930973451329</v>
      </c>
      <c r="F63" s="89">
        <f t="shared" si="11"/>
        <v>728.41134551569496</v>
      </c>
      <c r="G63" s="89">
        <f t="shared" si="11"/>
        <v>567.10080000000005</v>
      </c>
      <c r="H63" s="89">
        <f t="shared" si="11"/>
        <v>319.93836291913209</v>
      </c>
      <c r="I63" s="89">
        <f t="shared" si="11"/>
        <v>258.93168000000003</v>
      </c>
      <c r="J63" s="89">
        <f t="shared" si="11"/>
        <v>160.25882352941176</v>
      </c>
      <c r="K63" s="89">
        <f t="shared" si="11"/>
        <v>687.64117647058822</v>
      </c>
      <c r="L63" s="89">
        <f t="shared" si="11"/>
        <v>319.93836291913209</v>
      </c>
      <c r="M63" s="89">
        <f t="shared" si="11"/>
        <v>528.80520000000013</v>
      </c>
      <c r="N63" s="89">
        <f t="shared" si="11"/>
        <v>233.71025</v>
      </c>
      <c r="O63" s="89">
        <f t="shared" si="11"/>
        <v>233.71025</v>
      </c>
      <c r="P63" s="89">
        <f t="shared" si="11"/>
        <v>233.71025</v>
      </c>
      <c r="Q63" s="89">
        <f t="shared" si="11"/>
        <v>233.71025</v>
      </c>
      <c r="R63" s="89">
        <f t="shared" si="11"/>
        <v>110.86400000000002</v>
      </c>
      <c r="S63" s="89">
        <f t="shared" si="11"/>
        <v>110.86400000000002</v>
      </c>
      <c r="T63" s="89">
        <f t="shared" si="11"/>
        <v>184.04900000000001</v>
      </c>
      <c r="U63" s="89">
        <f t="shared" si="11"/>
        <v>184.04900000000001</v>
      </c>
      <c r="V63" s="89">
        <f t="shared" si="11"/>
        <v>56.128999999999998</v>
      </c>
      <c r="W63" s="89">
        <f t="shared" si="11"/>
        <v>50.224999999999994</v>
      </c>
      <c r="X63" s="89">
        <f t="shared" si="11"/>
        <v>265.05382978723401</v>
      </c>
    </row>
    <row r="64" spans="2:24" x14ac:dyDescent="0.3">
      <c r="B64" s="97" t="s">
        <v>15</v>
      </c>
      <c r="C64" s="90">
        <f>C63/(0.9*(0.9*($C$7/100))*($L$9*1000))</f>
        <v>1.8960593182114858</v>
      </c>
      <c r="D64" s="90">
        <f t="shared" ref="D64:X64" si="12">D63/(0.9*(0.9*($C$7/100))*($L$9*1000))</f>
        <v>0.78901356074460016</v>
      </c>
      <c r="E64" s="90">
        <f t="shared" si="12"/>
        <v>0.78901356074460016</v>
      </c>
      <c r="F64" s="90">
        <f t="shared" si="12"/>
        <v>1.500789829887782</v>
      </c>
      <c r="G64" s="90">
        <f t="shared" si="12"/>
        <v>1.1684319833852541</v>
      </c>
      <c r="H64" s="90">
        <f t="shared" si="12"/>
        <v>0.65918830646444637</v>
      </c>
      <c r="I64" s="90">
        <f t="shared" si="12"/>
        <v>0.53349255797853923</v>
      </c>
      <c r="J64" s="90">
        <f t="shared" si="12"/>
        <v>0.33019092025872299</v>
      </c>
      <c r="K64" s="90">
        <f t="shared" si="12"/>
        <v>1.4167885915182961</v>
      </c>
      <c r="L64" s="90">
        <f t="shared" si="12"/>
        <v>0.65918830646444637</v>
      </c>
      <c r="M64" s="90">
        <f t="shared" si="12"/>
        <v>1.0895292488750432</v>
      </c>
      <c r="N64" s="90">
        <f t="shared" si="12"/>
        <v>0.48152732449850816</v>
      </c>
      <c r="O64" s="90">
        <f t="shared" si="12"/>
        <v>0.48152732449850816</v>
      </c>
      <c r="P64" s="90">
        <f t="shared" si="12"/>
        <v>0.48152732449850816</v>
      </c>
      <c r="Q64" s="90">
        <f t="shared" si="12"/>
        <v>0.48152732449850816</v>
      </c>
      <c r="R64" s="90">
        <f t="shared" si="12"/>
        <v>0.22841978605218477</v>
      </c>
      <c r="S64" s="90">
        <f t="shared" si="12"/>
        <v>0.22841978605218477</v>
      </c>
      <c r="T64" s="90">
        <f t="shared" si="12"/>
        <v>0.37920725576488806</v>
      </c>
      <c r="U64" s="90">
        <f t="shared" si="12"/>
        <v>0.37920725576488806</v>
      </c>
      <c r="V64" s="90">
        <f t="shared" si="12"/>
        <v>0.11564596416621335</v>
      </c>
      <c r="W64" s="90">
        <f t="shared" si="12"/>
        <v>0.10348159686165913</v>
      </c>
      <c r="X64" s="90">
        <f t="shared" si="12"/>
        <v>0.54610639244761316</v>
      </c>
    </row>
    <row r="65" spans="2:24" x14ac:dyDescent="0.3">
      <c r="B65" s="97" t="s">
        <v>98</v>
      </c>
      <c r="C65" s="92">
        <f>(C64*($L$9))/(0.85*$L$6*100)</f>
        <v>4.6800080057353859E-2</v>
      </c>
      <c r="D65" s="92">
        <f t="shared" ref="D65:X65" si="13">(D64*($L$9))/(0.85*$L$6*100)</f>
        <v>1.9475075201769831E-2</v>
      </c>
      <c r="E65" s="92">
        <f t="shared" si="13"/>
        <v>1.9475075201769831E-2</v>
      </c>
      <c r="F65" s="92">
        <f t="shared" si="13"/>
        <v>3.7043716677737641E-2</v>
      </c>
      <c r="G65" s="92">
        <f t="shared" si="13"/>
        <v>2.8840189670639491E-2</v>
      </c>
      <c r="H65" s="92">
        <f t="shared" si="13"/>
        <v>1.6270622558638009E-2</v>
      </c>
      <c r="I65" s="92">
        <f t="shared" si="13"/>
        <v>1.3168097740185397E-2</v>
      </c>
      <c r="J65" s="92">
        <f t="shared" si="13"/>
        <v>8.1500411690157686E-3</v>
      </c>
      <c r="K65" s="92">
        <f t="shared" si="13"/>
        <v>3.4970329709909501E-2</v>
      </c>
      <c r="L65" s="92">
        <f t="shared" si="13"/>
        <v>1.6270622558638009E-2</v>
      </c>
      <c r="M65" s="92">
        <f t="shared" si="13"/>
        <v>2.6892648126788838E-2</v>
      </c>
      <c r="N65" s="92">
        <f t="shared" si="13"/>
        <v>1.1885449532027768E-2</v>
      </c>
      <c r="O65" s="92">
        <f t="shared" si="13"/>
        <v>1.1885449532027768E-2</v>
      </c>
      <c r="P65" s="92">
        <f t="shared" si="13"/>
        <v>1.1885449532027768E-2</v>
      </c>
      <c r="Q65" s="92">
        <f t="shared" si="13"/>
        <v>1.1885449532027768E-2</v>
      </c>
      <c r="R65" s="92">
        <f t="shared" si="13"/>
        <v>5.6380431620723804E-3</v>
      </c>
      <c r="S65" s="92">
        <f t="shared" si="13"/>
        <v>5.6380431620723804E-3</v>
      </c>
      <c r="T65" s="92">
        <f t="shared" si="13"/>
        <v>9.3599022760883551E-3</v>
      </c>
      <c r="U65" s="92">
        <f t="shared" si="13"/>
        <v>9.3599022760883551E-3</v>
      </c>
      <c r="V65" s="92">
        <f t="shared" si="13"/>
        <v>2.8544678583125329E-3</v>
      </c>
      <c r="W65" s="92">
        <f t="shared" si="13"/>
        <v>2.5542170390305714E-3</v>
      </c>
      <c r="X65" s="92">
        <f t="shared" si="13"/>
        <v>1.3479442674024133E-2</v>
      </c>
    </row>
    <row r="66" spans="2:24" ht="15" thickBot="1" x14ac:dyDescent="0.35">
      <c r="B66" s="97" t="s">
        <v>15</v>
      </c>
      <c r="C66" s="76">
        <f>ROUNDUP(C63/(0.9*(($C$7-C65/2)/100)*($L$9*1000)),2)</f>
        <v>1.71</v>
      </c>
      <c r="D66" s="76">
        <f t="shared" ref="D66:X66" si="14">ROUNDUP(D63/(0.9*(($C$7-D65/2)/100)*($L$9*1000)),2)</f>
        <v>0.72</v>
      </c>
      <c r="E66" s="76">
        <f t="shared" si="14"/>
        <v>0.72</v>
      </c>
      <c r="F66" s="76">
        <f t="shared" si="14"/>
        <v>1.36</v>
      </c>
      <c r="G66" s="76">
        <f t="shared" si="14"/>
        <v>1.06</v>
      </c>
      <c r="H66" s="76">
        <f t="shared" si="14"/>
        <v>0.6</v>
      </c>
      <c r="I66" s="76">
        <f t="shared" si="14"/>
        <v>0.49</v>
      </c>
      <c r="J66" s="76">
        <f t="shared" si="14"/>
        <v>0.3</v>
      </c>
      <c r="K66" s="76">
        <f t="shared" si="14"/>
        <v>1.28</v>
      </c>
      <c r="L66" s="76">
        <f t="shared" si="14"/>
        <v>0.6</v>
      </c>
      <c r="M66" s="76">
        <f t="shared" si="14"/>
        <v>0.99</v>
      </c>
      <c r="N66" s="76">
        <f t="shared" si="14"/>
        <v>0.44</v>
      </c>
      <c r="O66" s="76">
        <f t="shared" si="14"/>
        <v>0.44</v>
      </c>
      <c r="P66" s="76">
        <f t="shared" si="14"/>
        <v>0.44</v>
      </c>
      <c r="Q66" s="76">
        <f t="shared" si="14"/>
        <v>0.44</v>
      </c>
      <c r="R66" s="76">
        <f t="shared" si="14"/>
        <v>0.21000000000000002</v>
      </c>
      <c r="S66" s="76">
        <f t="shared" si="14"/>
        <v>0.21000000000000002</v>
      </c>
      <c r="T66" s="76">
        <f t="shared" si="14"/>
        <v>0.35000000000000003</v>
      </c>
      <c r="U66" s="76">
        <f t="shared" si="14"/>
        <v>0.35000000000000003</v>
      </c>
      <c r="V66" s="76">
        <f t="shared" si="14"/>
        <v>0.11</v>
      </c>
      <c r="W66" s="76">
        <f t="shared" si="14"/>
        <v>9.9999999999999992E-2</v>
      </c>
      <c r="X66" s="76">
        <f t="shared" si="14"/>
        <v>0.5</v>
      </c>
    </row>
    <row r="67" spans="2:24" ht="16.2" thickBot="1" x14ac:dyDescent="0.35">
      <c r="B67" s="61" t="s">
        <v>100</v>
      </c>
      <c r="C67" s="94" t="str">
        <f>IF(C66&gt;$C$12,"φ"&amp;IF(VLOOKUP(VLOOKUP(C66,tablas!$R$3:$T$66,2,TRUE)&amp;VLOOKUP(C66,tablas!$R$3:$T$66,3,TRUE),tablas!$Q$3:$R$66,2,FALSE)&lt;C66,VLOOKUP(C66+0.1,tablas!$R$3:$T$66,2,TRUE),VLOOKUP(C66,tablas!$R$3:$T$66,2,TRUE))&amp;"@"&amp;IF(VLOOKUP(VLOOKUP(C66,tablas!$R$3:$T$66,2,TRUE)&amp;VLOOKUP(C66,tablas!$R$3:$T$66,3,TRUE),tablas!$Q$3:$R$66,2,FALSE)&lt;C66,VLOOKUP(C66+0.1,tablas!$R$3:$T$66,3,TRUE),VLOOKUP(C66,tablas!$R$3:$T$66,3,TRUE)),$C$13)</f>
        <v>φ8@17</v>
      </c>
      <c r="D67" s="94" t="str">
        <f>IF(D66&gt;$C$12,"φ"&amp;IF(VLOOKUP(VLOOKUP(D66,tablas!$R$3:$T$66,2,TRUE)&amp;VLOOKUP(D66,tablas!$R$3:$T$66,3,TRUE),tablas!$Q$3:$R$66,2,FALSE)&lt;D66,VLOOKUP(D66+0.1,tablas!$R$3:$T$66,2,TRUE),VLOOKUP(D66,tablas!$R$3:$T$66,2,TRUE))&amp;"@"&amp;IF(VLOOKUP(VLOOKUP(D66,tablas!$R$3:$T$66,2,TRUE)&amp;VLOOKUP(D66,tablas!$R$3:$T$66,3,TRUE),tablas!$Q$3:$R$66,2,FALSE)&lt;D66,VLOOKUP(D66+0.1,tablas!$R$3:$T$66,3,TRUE),VLOOKUP(D66,tablas!$R$3:$T$66,3,TRUE)),$C$13)</f>
        <v>φ8@17</v>
      </c>
      <c r="E67" s="94" t="str">
        <f>IF(E66&gt;$C$12,"φ"&amp;IF(VLOOKUP(VLOOKUP(E66,tablas!$R$3:$T$66,2,TRUE)&amp;VLOOKUP(E66,tablas!$R$3:$T$66,3,TRUE),tablas!$Q$3:$R$66,2,FALSE)&lt;E66,VLOOKUP(E66+0.1,tablas!$R$3:$T$66,2,TRUE),VLOOKUP(E66,tablas!$R$3:$T$66,2,TRUE))&amp;"@"&amp;IF(VLOOKUP(VLOOKUP(E66,tablas!$R$3:$T$66,2,TRUE)&amp;VLOOKUP(E66,tablas!$R$3:$T$66,3,TRUE),tablas!$Q$3:$R$66,2,FALSE)&lt;E66,VLOOKUP(E66+0.1,tablas!$R$3:$T$66,3,TRUE),VLOOKUP(E66,tablas!$R$3:$T$66,3,TRUE)),$C$13)</f>
        <v>φ8@17</v>
      </c>
      <c r="F67" s="94" t="str">
        <f>IF(F66&gt;$C$12,"φ"&amp;IF(VLOOKUP(VLOOKUP(F66,tablas!$R$3:$T$66,2,TRUE)&amp;VLOOKUP(F66,tablas!$R$3:$T$66,3,TRUE),tablas!$Q$3:$R$66,2,FALSE)&lt;F66,VLOOKUP(F66+0.1,tablas!$R$3:$T$66,2,TRUE),VLOOKUP(F66,tablas!$R$3:$T$66,2,TRUE))&amp;"@"&amp;IF(VLOOKUP(VLOOKUP(F66,tablas!$R$3:$T$66,2,TRUE)&amp;VLOOKUP(F66,tablas!$R$3:$T$66,3,TRUE),tablas!$Q$3:$R$66,2,FALSE)&lt;F66,VLOOKUP(F66+0.1,tablas!$R$3:$T$66,3,TRUE),VLOOKUP(F66,tablas!$R$3:$T$66,3,TRUE)),$C$13)</f>
        <v>φ8@17</v>
      </c>
      <c r="G67" s="94" t="str">
        <f>IF(G66&gt;$C$12,"φ"&amp;IF(VLOOKUP(VLOOKUP(G66,tablas!$R$3:$T$66,2,TRUE)&amp;VLOOKUP(G66,tablas!$R$3:$T$66,3,TRUE),tablas!$Q$3:$R$66,2,FALSE)&lt;G66,VLOOKUP(G66+0.1,tablas!$R$3:$T$66,2,TRUE),VLOOKUP(G66,tablas!$R$3:$T$66,2,TRUE))&amp;"@"&amp;IF(VLOOKUP(VLOOKUP(G66,tablas!$R$3:$T$66,2,TRUE)&amp;VLOOKUP(G66,tablas!$R$3:$T$66,3,TRUE),tablas!$Q$3:$R$66,2,FALSE)&lt;G66,VLOOKUP(G66+0.1,tablas!$R$3:$T$66,3,TRUE),VLOOKUP(G66,tablas!$R$3:$T$66,3,TRUE)),$C$13)</f>
        <v>φ8@17</v>
      </c>
      <c r="H67" s="94" t="str">
        <f>IF(H66&gt;$C$12,"φ"&amp;IF(VLOOKUP(VLOOKUP(H66,tablas!$R$3:$T$66,2,TRUE)&amp;VLOOKUP(H66,tablas!$R$3:$T$66,3,TRUE),tablas!$Q$3:$R$66,2,FALSE)&lt;H66,VLOOKUP(H66+0.1,tablas!$R$3:$T$66,2,TRUE),VLOOKUP(H66,tablas!$R$3:$T$66,2,TRUE))&amp;"@"&amp;IF(VLOOKUP(VLOOKUP(H66,tablas!$R$3:$T$66,2,TRUE)&amp;VLOOKUP(H66,tablas!$R$3:$T$66,3,TRUE),tablas!$Q$3:$R$66,2,FALSE)&lt;H66,VLOOKUP(H66+0.1,tablas!$R$3:$T$66,3,TRUE),VLOOKUP(H66,tablas!$R$3:$T$66,3,TRUE)),$C$13)</f>
        <v>φ8@17</v>
      </c>
      <c r="I67" s="94" t="str">
        <f>IF(I66&gt;$C$12,"φ"&amp;IF(VLOOKUP(VLOOKUP(I66,tablas!$R$3:$T$66,2,TRUE)&amp;VLOOKUP(I66,tablas!$R$3:$T$66,3,TRUE),tablas!$Q$3:$R$66,2,FALSE)&lt;I66,VLOOKUP(I66+0.1,tablas!$R$3:$T$66,2,TRUE),VLOOKUP(I66,tablas!$R$3:$T$66,2,TRUE))&amp;"@"&amp;IF(VLOOKUP(VLOOKUP(I66,tablas!$R$3:$T$66,2,TRUE)&amp;VLOOKUP(I66,tablas!$R$3:$T$66,3,TRUE),tablas!$Q$3:$R$66,2,FALSE)&lt;I66,VLOOKUP(I66+0.1,tablas!$R$3:$T$66,3,TRUE),VLOOKUP(I66,tablas!$R$3:$T$66,3,TRUE)),$C$13)</f>
        <v>φ8@17</v>
      </c>
      <c r="J67" s="94" t="str">
        <f>IF(J66&gt;$C$12,"φ"&amp;IF(VLOOKUP(VLOOKUP(J66,tablas!$R$3:$T$66,2,TRUE)&amp;VLOOKUP(J66,tablas!$R$3:$T$66,3,TRUE),tablas!$Q$3:$R$66,2,FALSE)&lt;J66,VLOOKUP(J66+0.1,tablas!$R$3:$T$66,2,TRUE),VLOOKUP(J66,tablas!$R$3:$T$66,2,TRUE))&amp;"@"&amp;IF(VLOOKUP(VLOOKUP(J66,tablas!$R$3:$T$66,2,TRUE)&amp;VLOOKUP(J66,tablas!$R$3:$T$66,3,TRUE),tablas!$Q$3:$R$66,2,FALSE)&lt;J66,VLOOKUP(J66+0.1,tablas!$R$3:$T$66,3,TRUE),VLOOKUP(J66,tablas!$R$3:$T$66,3,TRUE)),$C$13)</f>
        <v>φ8@17</v>
      </c>
      <c r="K67" s="94" t="str">
        <f>IF(K66&gt;$C$12,"φ"&amp;IF(VLOOKUP(VLOOKUP(K66,tablas!$R$3:$T$66,2,TRUE)&amp;VLOOKUP(K66,tablas!$R$3:$T$66,3,TRUE),tablas!$Q$3:$R$66,2,FALSE)&lt;K66,VLOOKUP(K66+0.1,tablas!$R$3:$T$66,2,TRUE),VLOOKUP(K66,tablas!$R$3:$T$66,2,TRUE))&amp;"@"&amp;IF(VLOOKUP(VLOOKUP(K66,tablas!$R$3:$T$66,2,TRUE)&amp;VLOOKUP(K66,tablas!$R$3:$T$66,3,TRUE),tablas!$Q$3:$R$66,2,FALSE)&lt;K66,VLOOKUP(K66+0.1,tablas!$R$3:$T$66,3,TRUE),VLOOKUP(K66,tablas!$R$3:$T$66,3,TRUE)),$C$13)</f>
        <v>φ8@17</v>
      </c>
      <c r="L67" s="94" t="str">
        <f>IF(L66&gt;$C$12,"φ"&amp;IF(VLOOKUP(VLOOKUP(L66,tablas!$R$3:$T$66,2,TRUE)&amp;VLOOKUP(L66,tablas!$R$3:$T$66,3,TRUE),tablas!$Q$3:$R$66,2,FALSE)&lt;L66,VLOOKUP(L66+0.1,tablas!$R$3:$T$66,2,TRUE),VLOOKUP(L66,tablas!$R$3:$T$66,2,TRUE))&amp;"@"&amp;IF(VLOOKUP(VLOOKUP(L66,tablas!$R$3:$T$66,2,TRUE)&amp;VLOOKUP(L66,tablas!$R$3:$T$66,3,TRUE),tablas!$Q$3:$R$66,2,FALSE)&lt;L66,VLOOKUP(L66+0.1,tablas!$R$3:$T$66,3,TRUE),VLOOKUP(L66,tablas!$R$3:$T$66,3,TRUE)),$C$13)</f>
        <v>φ8@17</v>
      </c>
      <c r="M67" s="94" t="str">
        <f>IF(M66&gt;$C$12,"φ"&amp;IF(VLOOKUP(VLOOKUP(M66,tablas!$R$3:$T$66,2,TRUE)&amp;VLOOKUP(M66,tablas!$R$3:$T$66,3,TRUE),tablas!$Q$3:$R$66,2,FALSE)&lt;M66,VLOOKUP(M66+0.1,tablas!$R$3:$T$66,2,TRUE),VLOOKUP(M66,tablas!$R$3:$T$66,2,TRUE))&amp;"@"&amp;IF(VLOOKUP(VLOOKUP(M66,tablas!$R$3:$T$66,2,TRUE)&amp;VLOOKUP(M66,tablas!$R$3:$T$66,3,TRUE),tablas!$Q$3:$R$66,2,FALSE)&lt;M66,VLOOKUP(M66+0.1,tablas!$R$3:$T$66,3,TRUE),VLOOKUP(M66,tablas!$R$3:$T$66,3,TRUE)),$C$13)</f>
        <v>φ8@17</v>
      </c>
      <c r="N67" s="94" t="str">
        <f>IF(N66&gt;$C$12,"φ"&amp;IF(VLOOKUP(VLOOKUP(N66,tablas!$R$3:$T$66,2,TRUE)&amp;VLOOKUP(N66,tablas!$R$3:$T$66,3,TRUE),tablas!$Q$3:$R$66,2,FALSE)&lt;N66,VLOOKUP(N66+0.1,tablas!$R$3:$T$66,2,TRUE),VLOOKUP(N66,tablas!$R$3:$T$66,2,TRUE))&amp;"@"&amp;IF(VLOOKUP(VLOOKUP(N66,tablas!$R$3:$T$66,2,TRUE)&amp;VLOOKUP(N66,tablas!$R$3:$T$66,3,TRUE),tablas!$Q$3:$R$66,2,FALSE)&lt;N66,VLOOKUP(N66+0.1,tablas!$R$3:$T$66,3,TRUE),VLOOKUP(N66,tablas!$R$3:$T$66,3,TRUE)),$C$13)</f>
        <v>φ8@17</v>
      </c>
      <c r="O67" s="94" t="str">
        <f>IF(O66&gt;$C$12,"φ"&amp;IF(VLOOKUP(VLOOKUP(O66,tablas!$R$3:$T$66,2,TRUE)&amp;VLOOKUP(O66,tablas!$R$3:$T$66,3,TRUE),tablas!$Q$3:$R$66,2,FALSE)&lt;O66,VLOOKUP(O66+0.1,tablas!$R$3:$T$66,2,TRUE),VLOOKUP(O66,tablas!$R$3:$T$66,2,TRUE))&amp;"@"&amp;IF(VLOOKUP(VLOOKUP(O66,tablas!$R$3:$T$66,2,TRUE)&amp;VLOOKUP(O66,tablas!$R$3:$T$66,3,TRUE),tablas!$Q$3:$R$66,2,FALSE)&lt;O66,VLOOKUP(O66+0.1,tablas!$R$3:$T$66,3,TRUE),VLOOKUP(O66,tablas!$R$3:$T$66,3,TRUE)),$C$13)</f>
        <v>φ8@17</v>
      </c>
      <c r="P67" s="94" t="str">
        <f>IF(P66&gt;$C$12,"φ"&amp;IF(VLOOKUP(VLOOKUP(P66,tablas!$R$3:$T$66,2,TRUE)&amp;VLOOKUP(P66,tablas!$R$3:$T$66,3,TRUE),tablas!$Q$3:$R$66,2,FALSE)&lt;P66,VLOOKUP(P66+0.1,tablas!$R$3:$T$66,2,TRUE),VLOOKUP(P66,tablas!$R$3:$T$66,2,TRUE))&amp;"@"&amp;IF(VLOOKUP(VLOOKUP(P66,tablas!$R$3:$T$66,2,TRUE)&amp;VLOOKUP(P66,tablas!$R$3:$T$66,3,TRUE),tablas!$Q$3:$R$66,2,FALSE)&lt;P66,VLOOKUP(P66+0.1,tablas!$R$3:$T$66,3,TRUE),VLOOKUP(P66,tablas!$R$3:$T$66,3,TRUE)),$C$13)</f>
        <v>φ8@17</v>
      </c>
      <c r="Q67" s="94" t="str">
        <f>IF(Q66&gt;$C$12,"φ"&amp;IF(VLOOKUP(VLOOKUP(Q66,tablas!$R$3:$T$66,2,TRUE)&amp;VLOOKUP(Q66,tablas!$R$3:$T$66,3,TRUE),tablas!$Q$3:$R$66,2,FALSE)&lt;Q66,VLOOKUP(Q66+0.1,tablas!$R$3:$T$66,2,TRUE),VLOOKUP(Q66,tablas!$R$3:$T$66,2,TRUE))&amp;"@"&amp;IF(VLOOKUP(VLOOKUP(Q66,tablas!$R$3:$T$66,2,TRUE)&amp;VLOOKUP(Q66,tablas!$R$3:$T$66,3,TRUE),tablas!$Q$3:$R$66,2,FALSE)&lt;Q66,VLOOKUP(Q66+0.1,tablas!$R$3:$T$66,3,TRUE),VLOOKUP(Q66,tablas!$R$3:$T$66,3,TRUE)),$C$13)</f>
        <v>φ8@17</v>
      </c>
      <c r="R67" s="94" t="str">
        <f>IF(R66&gt;$C$12,"φ"&amp;IF(VLOOKUP(VLOOKUP(R66,tablas!$R$3:$T$66,2,TRUE)&amp;VLOOKUP(R66,tablas!$R$3:$T$66,3,TRUE),tablas!$Q$3:$R$66,2,FALSE)&lt;R66,VLOOKUP(R66+0.1,tablas!$R$3:$T$66,2,TRUE),VLOOKUP(R66,tablas!$R$3:$T$66,2,TRUE))&amp;"@"&amp;IF(VLOOKUP(VLOOKUP(R66,tablas!$R$3:$T$66,2,TRUE)&amp;VLOOKUP(R66,tablas!$R$3:$T$66,3,TRUE),tablas!$Q$3:$R$66,2,FALSE)&lt;R66,VLOOKUP(R66+0.1,tablas!$R$3:$T$66,3,TRUE),VLOOKUP(R66,tablas!$R$3:$T$66,3,TRUE)),$C$13)</f>
        <v>φ8@17</v>
      </c>
      <c r="S67" s="94" t="str">
        <f>IF(S66&gt;$C$12,"φ"&amp;IF(VLOOKUP(VLOOKUP(S66,tablas!$R$3:$T$66,2,TRUE)&amp;VLOOKUP(S66,tablas!$R$3:$T$66,3,TRUE),tablas!$Q$3:$R$66,2,FALSE)&lt;S66,VLOOKUP(S66+0.1,tablas!$R$3:$T$66,2,TRUE),VLOOKUP(S66,tablas!$R$3:$T$66,2,TRUE))&amp;"@"&amp;IF(VLOOKUP(VLOOKUP(S66,tablas!$R$3:$T$66,2,TRUE)&amp;VLOOKUP(S66,tablas!$R$3:$T$66,3,TRUE),tablas!$Q$3:$R$66,2,FALSE)&lt;S66,VLOOKUP(S66+0.1,tablas!$R$3:$T$66,3,TRUE),VLOOKUP(S66,tablas!$R$3:$T$66,3,TRUE)),$C$13)</f>
        <v>φ8@17</v>
      </c>
      <c r="T67" s="94" t="str">
        <f>IF(T66&gt;$C$12,"φ"&amp;IF(VLOOKUP(VLOOKUP(T66,tablas!$R$3:$T$66,2,TRUE)&amp;VLOOKUP(T66,tablas!$R$3:$T$66,3,TRUE),tablas!$Q$3:$R$66,2,FALSE)&lt;T66,VLOOKUP(T66+0.1,tablas!$R$3:$T$66,2,TRUE),VLOOKUP(T66,tablas!$R$3:$T$66,2,TRUE))&amp;"@"&amp;IF(VLOOKUP(VLOOKUP(T66,tablas!$R$3:$T$66,2,TRUE)&amp;VLOOKUP(T66,tablas!$R$3:$T$66,3,TRUE),tablas!$Q$3:$R$66,2,FALSE)&lt;T66,VLOOKUP(T66+0.1,tablas!$R$3:$T$66,3,TRUE),VLOOKUP(T66,tablas!$R$3:$T$66,3,TRUE)),$C$13)</f>
        <v>φ8@17</v>
      </c>
      <c r="U67" s="94" t="str">
        <f>IF(U66&gt;$C$12,"φ"&amp;IF(VLOOKUP(VLOOKUP(U66,tablas!$R$3:$T$66,2,TRUE)&amp;VLOOKUP(U66,tablas!$R$3:$T$66,3,TRUE),tablas!$Q$3:$R$66,2,FALSE)&lt;U66,VLOOKUP(U66+0.1,tablas!$R$3:$T$66,2,TRUE),VLOOKUP(U66,tablas!$R$3:$T$66,2,TRUE))&amp;"@"&amp;IF(VLOOKUP(VLOOKUP(U66,tablas!$R$3:$T$66,2,TRUE)&amp;VLOOKUP(U66,tablas!$R$3:$T$66,3,TRUE),tablas!$Q$3:$R$66,2,FALSE)&lt;U66,VLOOKUP(U66+0.1,tablas!$R$3:$T$66,3,TRUE),VLOOKUP(U66,tablas!$R$3:$T$66,3,TRUE)),$C$13)</f>
        <v>φ8@17</v>
      </c>
      <c r="V67" s="94" t="str">
        <f>IF(V66&gt;$C$12,"φ"&amp;IF(VLOOKUP(VLOOKUP(V66,tablas!$R$3:$T$66,2,TRUE)&amp;VLOOKUP(V66,tablas!$R$3:$T$66,3,TRUE),tablas!$Q$3:$R$66,2,FALSE)&lt;V66,VLOOKUP(V66+0.1,tablas!$R$3:$T$66,2,TRUE),VLOOKUP(V66,tablas!$R$3:$T$66,2,TRUE))&amp;"@"&amp;IF(VLOOKUP(VLOOKUP(V66,tablas!$R$3:$T$66,2,TRUE)&amp;VLOOKUP(V66,tablas!$R$3:$T$66,3,TRUE),tablas!$Q$3:$R$66,2,FALSE)&lt;V66,VLOOKUP(V66+0.1,tablas!$R$3:$T$66,3,TRUE),VLOOKUP(V66,tablas!$R$3:$T$66,3,TRUE)),$C$13)</f>
        <v>φ8@17</v>
      </c>
      <c r="W67" s="94" t="str">
        <f>IF(W66&gt;$C$12,"φ"&amp;IF(VLOOKUP(VLOOKUP(W66,tablas!$R$3:$T$66,2,TRUE)&amp;VLOOKUP(W66,tablas!$R$3:$T$66,3,TRUE),tablas!$Q$3:$R$66,2,FALSE)&lt;W66,VLOOKUP(W66+0.1,tablas!$R$3:$T$66,2,TRUE),VLOOKUP(W66,tablas!$R$3:$T$66,2,TRUE))&amp;"@"&amp;IF(VLOOKUP(VLOOKUP(W66,tablas!$R$3:$T$66,2,TRUE)&amp;VLOOKUP(W66,tablas!$R$3:$T$66,3,TRUE),tablas!$Q$3:$R$66,2,FALSE)&lt;W66,VLOOKUP(W66+0.1,tablas!$R$3:$T$66,3,TRUE),VLOOKUP(W66,tablas!$R$3:$T$66,3,TRUE)),$C$13)</f>
        <v>φ8@17</v>
      </c>
      <c r="X67" s="94" t="str">
        <f>IF(X66&gt;$C$12,"φ"&amp;IF(VLOOKUP(VLOOKUP(X66,tablas!$R$3:$T$66,2,TRUE)&amp;VLOOKUP(X66,tablas!$R$3:$T$66,3,TRUE),tablas!$Q$3:$R$66,2,FALSE)&lt;X66,VLOOKUP(X66+0.1,tablas!$R$3:$T$66,2,TRUE),VLOOKUP(X66,tablas!$R$3:$T$66,2,TRUE))&amp;"@"&amp;IF(VLOOKUP(VLOOKUP(X66,tablas!$R$3:$T$66,2,TRUE)&amp;VLOOKUP(X66,tablas!$R$3:$T$66,3,TRUE),tablas!$Q$3:$R$66,2,FALSE)&lt;X66,VLOOKUP(X66+0.1,tablas!$R$3:$T$66,3,TRUE),VLOOKUP(X66,tablas!$R$3:$T$66,3,TRUE)),$C$13)</f>
        <v>φ8@17</v>
      </c>
    </row>
    <row r="68" spans="2:24" x14ac:dyDescent="0.3">
      <c r="B68" s="96" t="s">
        <v>102</v>
      </c>
      <c r="C68" s="89">
        <f>IF(C46&lt;=2,C60/C49*(1+C61*C53)*C47,"-")</f>
        <v>920.25618221258128</v>
      </c>
      <c r="D68" s="89">
        <f t="shared" ref="D68:X68" si="15">IF(D46&lt;=2,D60/D49*(1+D61*D53)*D47,"-")</f>
        <v>382.94930973451329</v>
      </c>
      <c r="E68" s="89">
        <f t="shared" si="15"/>
        <v>382.94930973451329</v>
      </c>
      <c r="F68" s="89">
        <f t="shared" si="15"/>
        <v>728.41134551569496</v>
      </c>
      <c r="G68" s="89">
        <f t="shared" si="15"/>
        <v>567.10080000000005</v>
      </c>
      <c r="H68" s="89">
        <f t="shared" si="15"/>
        <v>319.93836291913209</v>
      </c>
      <c r="I68" s="89">
        <f t="shared" si="15"/>
        <v>258.93168000000003</v>
      </c>
      <c r="J68" s="89" t="str">
        <f t="shared" si="15"/>
        <v>-</v>
      </c>
      <c r="K68" s="89" t="str">
        <f t="shared" si="15"/>
        <v>-</v>
      </c>
      <c r="L68" s="89">
        <f t="shared" si="15"/>
        <v>319.93836291913209</v>
      </c>
      <c r="M68" s="89">
        <f t="shared" si="15"/>
        <v>528.80520000000013</v>
      </c>
      <c r="N68" s="89" t="str">
        <f t="shared" si="15"/>
        <v>-</v>
      </c>
      <c r="O68" s="89" t="str">
        <f t="shared" si="15"/>
        <v>-</v>
      </c>
      <c r="P68" s="89" t="str">
        <f t="shared" si="15"/>
        <v>-</v>
      </c>
      <c r="Q68" s="89" t="str">
        <f t="shared" si="15"/>
        <v>-</v>
      </c>
      <c r="R68" s="89" t="str">
        <f t="shared" si="15"/>
        <v>-</v>
      </c>
      <c r="S68" s="89" t="str">
        <f t="shared" si="15"/>
        <v>-</v>
      </c>
      <c r="T68" s="89" t="str">
        <f t="shared" si="15"/>
        <v>-</v>
      </c>
      <c r="U68" s="89" t="str">
        <f t="shared" si="15"/>
        <v>-</v>
      </c>
      <c r="V68" s="89" t="str">
        <f t="shared" si="15"/>
        <v>-</v>
      </c>
      <c r="W68" s="89" t="str">
        <f t="shared" si="15"/>
        <v>-</v>
      </c>
      <c r="X68" s="89">
        <f t="shared" si="15"/>
        <v>265.05382978723401</v>
      </c>
    </row>
    <row r="69" spans="2:24" x14ac:dyDescent="0.3">
      <c r="B69" s="97" t="s">
        <v>15</v>
      </c>
      <c r="C69" s="90">
        <f>C63/(0.9*(0.9*($C$7/100))*($L$9*1000))</f>
        <v>1.8960593182114858</v>
      </c>
      <c r="D69" s="90">
        <f t="shared" ref="D69:X69" si="16">D63/(0.9*(0.9*($C$7/100))*($L$9*1000))</f>
        <v>0.78901356074460016</v>
      </c>
      <c r="E69" s="90">
        <f t="shared" si="16"/>
        <v>0.78901356074460016</v>
      </c>
      <c r="F69" s="90">
        <f t="shared" si="16"/>
        <v>1.500789829887782</v>
      </c>
      <c r="G69" s="90">
        <f t="shared" si="16"/>
        <v>1.1684319833852541</v>
      </c>
      <c r="H69" s="90">
        <f t="shared" si="16"/>
        <v>0.65918830646444637</v>
      </c>
      <c r="I69" s="90">
        <f t="shared" si="16"/>
        <v>0.53349255797853923</v>
      </c>
      <c r="J69" s="90">
        <f t="shared" si="16"/>
        <v>0.33019092025872299</v>
      </c>
      <c r="K69" s="90">
        <f t="shared" si="16"/>
        <v>1.4167885915182961</v>
      </c>
      <c r="L69" s="90">
        <f t="shared" si="16"/>
        <v>0.65918830646444637</v>
      </c>
      <c r="M69" s="90">
        <f t="shared" si="16"/>
        <v>1.0895292488750432</v>
      </c>
      <c r="N69" s="90">
        <f t="shared" si="16"/>
        <v>0.48152732449850816</v>
      </c>
      <c r="O69" s="90">
        <f t="shared" si="16"/>
        <v>0.48152732449850816</v>
      </c>
      <c r="P69" s="90">
        <f t="shared" si="16"/>
        <v>0.48152732449850816</v>
      </c>
      <c r="Q69" s="90">
        <f t="shared" si="16"/>
        <v>0.48152732449850816</v>
      </c>
      <c r="R69" s="90">
        <f t="shared" si="16"/>
        <v>0.22841978605218477</v>
      </c>
      <c r="S69" s="90">
        <f t="shared" si="16"/>
        <v>0.22841978605218477</v>
      </c>
      <c r="T69" s="90">
        <f t="shared" si="16"/>
        <v>0.37920725576488806</v>
      </c>
      <c r="U69" s="90">
        <f t="shared" si="16"/>
        <v>0.37920725576488806</v>
      </c>
      <c r="V69" s="90">
        <f t="shared" si="16"/>
        <v>0.11564596416621335</v>
      </c>
      <c r="W69" s="90">
        <f t="shared" si="16"/>
        <v>0.10348159686165913</v>
      </c>
      <c r="X69" s="90">
        <f t="shared" si="16"/>
        <v>0.54610639244761316</v>
      </c>
    </row>
    <row r="70" spans="2:24" x14ac:dyDescent="0.3">
      <c r="B70" s="97" t="s">
        <v>98</v>
      </c>
      <c r="C70" s="92">
        <f>(C69*($L$9))/(0.85*$L$6*100)</f>
        <v>4.6800080057353859E-2</v>
      </c>
      <c r="D70" s="92">
        <f t="shared" ref="D70:X70" si="17">(D69*($L$9))/(0.85*$L$6*100)</f>
        <v>1.9475075201769831E-2</v>
      </c>
      <c r="E70" s="92">
        <f t="shared" si="17"/>
        <v>1.9475075201769831E-2</v>
      </c>
      <c r="F70" s="92">
        <f t="shared" si="17"/>
        <v>3.7043716677737641E-2</v>
      </c>
      <c r="G70" s="92">
        <f t="shared" si="17"/>
        <v>2.8840189670639491E-2</v>
      </c>
      <c r="H70" s="92">
        <f t="shared" si="17"/>
        <v>1.6270622558638009E-2</v>
      </c>
      <c r="I70" s="92">
        <f t="shared" si="17"/>
        <v>1.3168097740185397E-2</v>
      </c>
      <c r="J70" s="92">
        <f t="shared" si="17"/>
        <v>8.1500411690157686E-3</v>
      </c>
      <c r="K70" s="92">
        <f t="shared" si="17"/>
        <v>3.4970329709909501E-2</v>
      </c>
      <c r="L70" s="92">
        <f t="shared" si="17"/>
        <v>1.6270622558638009E-2</v>
      </c>
      <c r="M70" s="92">
        <f t="shared" si="17"/>
        <v>2.6892648126788838E-2</v>
      </c>
      <c r="N70" s="92">
        <f t="shared" si="17"/>
        <v>1.1885449532027768E-2</v>
      </c>
      <c r="O70" s="92">
        <f t="shared" si="17"/>
        <v>1.1885449532027768E-2</v>
      </c>
      <c r="P70" s="92">
        <f t="shared" si="17"/>
        <v>1.1885449532027768E-2</v>
      </c>
      <c r="Q70" s="92">
        <f t="shared" si="17"/>
        <v>1.1885449532027768E-2</v>
      </c>
      <c r="R70" s="92">
        <f t="shared" si="17"/>
        <v>5.6380431620723804E-3</v>
      </c>
      <c r="S70" s="92">
        <f t="shared" si="17"/>
        <v>5.6380431620723804E-3</v>
      </c>
      <c r="T70" s="92">
        <f t="shared" si="17"/>
        <v>9.3599022760883551E-3</v>
      </c>
      <c r="U70" s="92">
        <f t="shared" si="17"/>
        <v>9.3599022760883551E-3</v>
      </c>
      <c r="V70" s="92">
        <f t="shared" si="17"/>
        <v>2.8544678583125329E-3</v>
      </c>
      <c r="W70" s="92">
        <f t="shared" si="17"/>
        <v>2.5542170390305714E-3</v>
      </c>
      <c r="X70" s="92">
        <f t="shared" si="17"/>
        <v>1.3479442674024133E-2</v>
      </c>
    </row>
    <row r="71" spans="2:24" ht="15" thickBot="1" x14ac:dyDescent="0.35">
      <c r="B71" s="97" t="s">
        <v>15</v>
      </c>
      <c r="C71" s="76">
        <f>ROUNDUP(C63/(0.9*(($C$7-C65/2)/100)*($L$9*1000)),2)</f>
        <v>1.71</v>
      </c>
      <c r="D71" s="76">
        <f t="shared" ref="D71:X71" si="18">ROUNDUP(D63/(0.9*(($C$7-D65/2)/100)*($L$9*1000)),2)</f>
        <v>0.72</v>
      </c>
      <c r="E71" s="76">
        <f t="shared" si="18"/>
        <v>0.72</v>
      </c>
      <c r="F71" s="76">
        <f t="shared" si="18"/>
        <v>1.36</v>
      </c>
      <c r="G71" s="76">
        <f t="shared" si="18"/>
        <v>1.06</v>
      </c>
      <c r="H71" s="76">
        <f t="shared" si="18"/>
        <v>0.6</v>
      </c>
      <c r="I71" s="76">
        <f t="shared" si="18"/>
        <v>0.49</v>
      </c>
      <c r="J71" s="76">
        <f t="shared" si="18"/>
        <v>0.3</v>
      </c>
      <c r="K71" s="76">
        <f t="shared" si="18"/>
        <v>1.28</v>
      </c>
      <c r="L71" s="76">
        <f t="shared" si="18"/>
        <v>0.6</v>
      </c>
      <c r="M71" s="76">
        <f t="shared" si="18"/>
        <v>0.99</v>
      </c>
      <c r="N71" s="76">
        <f t="shared" si="18"/>
        <v>0.44</v>
      </c>
      <c r="O71" s="76">
        <f t="shared" si="18"/>
        <v>0.44</v>
      </c>
      <c r="P71" s="76">
        <f t="shared" si="18"/>
        <v>0.44</v>
      </c>
      <c r="Q71" s="76">
        <f t="shared" si="18"/>
        <v>0.44</v>
      </c>
      <c r="R71" s="76">
        <f t="shared" si="18"/>
        <v>0.21000000000000002</v>
      </c>
      <c r="S71" s="76">
        <f t="shared" si="18"/>
        <v>0.21000000000000002</v>
      </c>
      <c r="T71" s="76">
        <f t="shared" si="18"/>
        <v>0.35000000000000003</v>
      </c>
      <c r="U71" s="76">
        <f t="shared" si="18"/>
        <v>0.35000000000000003</v>
      </c>
      <c r="V71" s="76">
        <f t="shared" si="18"/>
        <v>0.11</v>
      </c>
      <c r="W71" s="76">
        <f t="shared" si="18"/>
        <v>9.9999999999999992E-2</v>
      </c>
      <c r="X71" s="76">
        <f t="shared" si="18"/>
        <v>0.5</v>
      </c>
    </row>
    <row r="72" spans="2:24" ht="16.2" thickBot="1" x14ac:dyDescent="0.35">
      <c r="B72" s="61" t="s">
        <v>101</v>
      </c>
      <c r="C72" s="94" t="str">
        <f>IF(C71&gt;$C$12,"φ"&amp;IF(VLOOKUP(VLOOKUP(C71,tablas!$R$3:$T$66,2,TRUE)&amp;VLOOKUP(C71,tablas!$R$3:$T$66,3,TRUE),tablas!$Q$3:$R$66,2,FALSE)&lt;C71,VLOOKUP(C71+0.1,tablas!$R$3:$T$66,2,TRUE),VLOOKUP(C71,tablas!$R$3:$T$66,2,TRUE))&amp;"@"&amp;IF(VLOOKUP(VLOOKUP(C71,tablas!$R$3:$T$66,2,TRUE)&amp;VLOOKUP(C71,tablas!$R$3:$T$66,3,TRUE),tablas!$Q$3:$R$66,2,FALSE)&lt;C71,VLOOKUP(C71+0.1,tablas!$R$3:$T$66,3,TRUE),VLOOKUP(C71,tablas!$R$3:$T$66,3,TRUE)),$C$13)</f>
        <v>φ8@17</v>
      </c>
      <c r="D72" s="94" t="str">
        <f>IF(D71&gt;$C$12,"φ"&amp;IF(VLOOKUP(VLOOKUP(D71,tablas!$R$3:$T$66,2,TRUE)&amp;VLOOKUP(D71,tablas!$R$3:$T$66,3,TRUE),tablas!$Q$3:$R$66,2,FALSE)&lt;D71,VLOOKUP(D71+0.1,tablas!$R$3:$T$66,2,TRUE),VLOOKUP(D71,tablas!$R$3:$T$66,2,TRUE))&amp;"@"&amp;IF(VLOOKUP(VLOOKUP(D71,tablas!$R$3:$T$66,2,TRUE)&amp;VLOOKUP(D71,tablas!$R$3:$T$66,3,TRUE),tablas!$Q$3:$R$66,2,FALSE)&lt;D71,VLOOKUP(D71+0.1,tablas!$R$3:$T$66,3,TRUE),VLOOKUP(D71,tablas!$R$3:$T$66,3,TRUE)),$C$13)</f>
        <v>φ8@17</v>
      </c>
      <c r="E72" s="94" t="str">
        <f>IF(E71&gt;$C$12,"φ"&amp;IF(VLOOKUP(VLOOKUP(E71,tablas!$R$3:$T$66,2,TRUE)&amp;VLOOKUP(E71,tablas!$R$3:$T$66,3,TRUE),tablas!$Q$3:$R$66,2,FALSE)&lt;E71,VLOOKUP(E71+0.1,tablas!$R$3:$T$66,2,TRUE),VLOOKUP(E71,tablas!$R$3:$T$66,2,TRUE))&amp;"@"&amp;IF(VLOOKUP(VLOOKUP(E71,tablas!$R$3:$T$66,2,TRUE)&amp;VLOOKUP(E71,tablas!$R$3:$T$66,3,TRUE),tablas!$Q$3:$R$66,2,FALSE)&lt;E71,VLOOKUP(E71+0.1,tablas!$R$3:$T$66,3,TRUE),VLOOKUP(E71,tablas!$R$3:$T$66,3,TRUE)),$C$13)</f>
        <v>φ8@17</v>
      </c>
      <c r="F72" s="94" t="str">
        <f>IF(F71&gt;$C$12,"φ"&amp;IF(VLOOKUP(VLOOKUP(F71,tablas!$R$3:$T$66,2,TRUE)&amp;VLOOKUP(F71,tablas!$R$3:$T$66,3,TRUE),tablas!$Q$3:$R$66,2,FALSE)&lt;F71,VLOOKUP(F71+0.1,tablas!$R$3:$T$66,2,TRUE),VLOOKUP(F71,tablas!$R$3:$T$66,2,TRUE))&amp;"@"&amp;IF(VLOOKUP(VLOOKUP(F71,tablas!$R$3:$T$66,2,TRUE)&amp;VLOOKUP(F71,tablas!$R$3:$T$66,3,TRUE),tablas!$Q$3:$R$66,2,FALSE)&lt;F71,VLOOKUP(F71+0.1,tablas!$R$3:$T$66,3,TRUE),VLOOKUP(F71,tablas!$R$3:$T$66,3,TRUE)),$C$13)</f>
        <v>φ8@17</v>
      </c>
      <c r="G72" s="94" t="str">
        <f>IF(G71&gt;$C$12,"φ"&amp;IF(VLOOKUP(VLOOKUP(G71,tablas!$R$3:$T$66,2,TRUE)&amp;VLOOKUP(G71,tablas!$R$3:$T$66,3,TRUE),tablas!$Q$3:$R$66,2,FALSE)&lt;G71,VLOOKUP(G71+0.1,tablas!$R$3:$T$66,2,TRUE),VLOOKUP(G71,tablas!$R$3:$T$66,2,TRUE))&amp;"@"&amp;IF(VLOOKUP(VLOOKUP(G71,tablas!$R$3:$T$66,2,TRUE)&amp;VLOOKUP(G71,tablas!$R$3:$T$66,3,TRUE),tablas!$Q$3:$R$66,2,FALSE)&lt;G71,VLOOKUP(G71+0.1,tablas!$R$3:$T$66,3,TRUE),VLOOKUP(G71,tablas!$R$3:$T$66,3,TRUE)),$C$13)</f>
        <v>φ8@17</v>
      </c>
      <c r="H72" s="94" t="str">
        <f>IF(H71&gt;$C$12,"φ"&amp;IF(VLOOKUP(VLOOKUP(H71,tablas!$R$3:$T$66,2,TRUE)&amp;VLOOKUP(H71,tablas!$R$3:$T$66,3,TRUE),tablas!$Q$3:$R$66,2,FALSE)&lt;H71,VLOOKUP(H71+0.1,tablas!$R$3:$T$66,2,TRUE),VLOOKUP(H71,tablas!$R$3:$T$66,2,TRUE))&amp;"@"&amp;IF(VLOOKUP(VLOOKUP(H71,tablas!$R$3:$T$66,2,TRUE)&amp;VLOOKUP(H71,tablas!$R$3:$T$66,3,TRUE),tablas!$Q$3:$R$66,2,FALSE)&lt;H71,VLOOKUP(H71+0.1,tablas!$R$3:$T$66,3,TRUE),VLOOKUP(H71,tablas!$R$3:$T$66,3,TRUE)),$C$13)</f>
        <v>φ8@17</v>
      </c>
      <c r="I72" s="94" t="str">
        <f>IF(I71&gt;$C$12,"φ"&amp;IF(VLOOKUP(VLOOKUP(I71,tablas!$R$3:$T$66,2,TRUE)&amp;VLOOKUP(I71,tablas!$R$3:$T$66,3,TRUE),tablas!$Q$3:$R$66,2,FALSE)&lt;I71,VLOOKUP(I71+0.1,tablas!$R$3:$T$66,2,TRUE),VLOOKUP(I71,tablas!$R$3:$T$66,2,TRUE))&amp;"@"&amp;IF(VLOOKUP(VLOOKUP(I71,tablas!$R$3:$T$66,2,TRUE)&amp;VLOOKUP(I71,tablas!$R$3:$T$66,3,TRUE),tablas!$Q$3:$R$66,2,FALSE)&lt;I71,VLOOKUP(I71+0.1,tablas!$R$3:$T$66,3,TRUE),VLOOKUP(I71,tablas!$R$3:$T$66,3,TRUE)),$C$13)</f>
        <v>φ8@17</v>
      </c>
      <c r="J72" s="94" t="str">
        <f>IF(J71&gt;$C$12,"φ"&amp;IF(VLOOKUP(VLOOKUP(J71,tablas!$R$3:$T$66,2,TRUE)&amp;VLOOKUP(J71,tablas!$R$3:$T$66,3,TRUE),tablas!$Q$3:$R$66,2,FALSE)&lt;J71,VLOOKUP(J71+0.1,tablas!$R$3:$T$66,2,TRUE),VLOOKUP(J71,tablas!$R$3:$T$66,2,TRUE))&amp;"@"&amp;IF(VLOOKUP(VLOOKUP(J71,tablas!$R$3:$T$66,2,TRUE)&amp;VLOOKUP(J71,tablas!$R$3:$T$66,3,TRUE),tablas!$Q$3:$R$66,2,FALSE)&lt;J71,VLOOKUP(J71+0.1,tablas!$R$3:$T$66,3,TRUE),VLOOKUP(J71,tablas!$R$3:$T$66,3,TRUE)),$C$13)</f>
        <v>φ8@17</v>
      </c>
      <c r="K72" s="94" t="str">
        <f>IF(K71&gt;$C$12,"φ"&amp;IF(VLOOKUP(VLOOKUP(K71,tablas!$R$3:$T$66,2,TRUE)&amp;VLOOKUP(K71,tablas!$R$3:$T$66,3,TRUE),tablas!$Q$3:$R$66,2,FALSE)&lt;K71,VLOOKUP(K71+0.1,tablas!$R$3:$T$66,2,TRUE),VLOOKUP(K71,tablas!$R$3:$T$66,2,TRUE))&amp;"@"&amp;IF(VLOOKUP(VLOOKUP(K71,tablas!$R$3:$T$66,2,TRUE)&amp;VLOOKUP(K71,tablas!$R$3:$T$66,3,TRUE),tablas!$Q$3:$R$66,2,FALSE)&lt;K71,VLOOKUP(K71+0.1,tablas!$R$3:$T$66,3,TRUE),VLOOKUP(K71,tablas!$R$3:$T$66,3,TRUE)),$C$13)</f>
        <v>φ8@17</v>
      </c>
      <c r="L72" s="94" t="str">
        <f>IF(L71&gt;$C$12,"φ"&amp;IF(VLOOKUP(VLOOKUP(L71,tablas!$R$3:$T$66,2,TRUE)&amp;VLOOKUP(L71,tablas!$R$3:$T$66,3,TRUE),tablas!$Q$3:$R$66,2,FALSE)&lt;L71,VLOOKUP(L71+0.1,tablas!$R$3:$T$66,2,TRUE),VLOOKUP(L71,tablas!$R$3:$T$66,2,TRUE))&amp;"@"&amp;IF(VLOOKUP(VLOOKUP(L71,tablas!$R$3:$T$66,2,TRUE)&amp;VLOOKUP(L71,tablas!$R$3:$T$66,3,TRUE),tablas!$Q$3:$R$66,2,FALSE)&lt;L71,VLOOKUP(L71+0.1,tablas!$R$3:$T$66,3,TRUE),VLOOKUP(L71,tablas!$R$3:$T$66,3,TRUE)),$C$13)</f>
        <v>φ8@17</v>
      </c>
      <c r="M72" s="94" t="str">
        <f>IF(M71&gt;$C$12,"φ"&amp;IF(VLOOKUP(VLOOKUP(M71,tablas!$R$3:$T$66,2,TRUE)&amp;VLOOKUP(M71,tablas!$R$3:$T$66,3,TRUE),tablas!$Q$3:$R$66,2,FALSE)&lt;M71,VLOOKUP(M71+0.1,tablas!$R$3:$T$66,2,TRUE),VLOOKUP(M71,tablas!$R$3:$T$66,2,TRUE))&amp;"@"&amp;IF(VLOOKUP(VLOOKUP(M71,tablas!$R$3:$T$66,2,TRUE)&amp;VLOOKUP(M71,tablas!$R$3:$T$66,3,TRUE),tablas!$Q$3:$R$66,2,FALSE)&lt;M71,VLOOKUP(M71+0.1,tablas!$R$3:$T$66,3,TRUE),VLOOKUP(M71,tablas!$R$3:$T$66,3,TRUE)),$C$13)</f>
        <v>φ8@17</v>
      </c>
      <c r="N72" s="94" t="str">
        <f>IF(N71&gt;$C$12,"φ"&amp;IF(VLOOKUP(VLOOKUP(N71,tablas!$R$3:$T$66,2,TRUE)&amp;VLOOKUP(N71,tablas!$R$3:$T$66,3,TRUE),tablas!$Q$3:$R$66,2,FALSE)&lt;N71,VLOOKUP(N71+0.1,tablas!$R$3:$T$66,2,TRUE),VLOOKUP(N71,tablas!$R$3:$T$66,2,TRUE))&amp;"@"&amp;IF(VLOOKUP(VLOOKUP(N71,tablas!$R$3:$T$66,2,TRUE)&amp;VLOOKUP(N71,tablas!$R$3:$T$66,3,TRUE),tablas!$Q$3:$R$66,2,FALSE)&lt;N71,VLOOKUP(N71+0.1,tablas!$R$3:$T$66,3,TRUE),VLOOKUP(N71,tablas!$R$3:$T$66,3,TRUE)),$C$13)</f>
        <v>φ8@17</v>
      </c>
      <c r="O72" s="94" t="str">
        <f>IF(O71&gt;$C$12,"φ"&amp;IF(VLOOKUP(VLOOKUP(O71,tablas!$R$3:$T$66,2,TRUE)&amp;VLOOKUP(O71,tablas!$R$3:$T$66,3,TRUE),tablas!$Q$3:$R$66,2,FALSE)&lt;O71,VLOOKUP(O71+0.1,tablas!$R$3:$T$66,2,TRUE),VLOOKUP(O71,tablas!$R$3:$T$66,2,TRUE))&amp;"@"&amp;IF(VLOOKUP(VLOOKUP(O71,tablas!$R$3:$T$66,2,TRUE)&amp;VLOOKUP(O71,tablas!$R$3:$T$66,3,TRUE),tablas!$Q$3:$R$66,2,FALSE)&lt;O71,VLOOKUP(O71+0.1,tablas!$R$3:$T$66,3,TRUE),VLOOKUP(O71,tablas!$R$3:$T$66,3,TRUE)),$C$13)</f>
        <v>φ8@17</v>
      </c>
      <c r="P72" s="94" t="str">
        <f>IF(P71&gt;$C$12,"φ"&amp;IF(VLOOKUP(VLOOKUP(P71,tablas!$R$3:$T$66,2,TRUE)&amp;VLOOKUP(P71,tablas!$R$3:$T$66,3,TRUE),tablas!$Q$3:$R$66,2,FALSE)&lt;P71,VLOOKUP(P71+0.1,tablas!$R$3:$T$66,2,TRUE),VLOOKUP(P71,tablas!$R$3:$T$66,2,TRUE))&amp;"@"&amp;IF(VLOOKUP(VLOOKUP(P71,tablas!$R$3:$T$66,2,TRUE)&amp;VLOOKUP(P71,tablas!$R$3:$T$66,3,TRUE),tablas!$Q$3:$R$66,2,FALSE)&lt;P71,VLOOKUP(P71+0.1,tablas!$R$3:$T$66,3,TRUE),VLOOKUP(P71,tablas!$R$3:$T$66,3,TRUE)),$C$13)</f>
        <v>φ8@17</v>
      </c>
      <c r="Q72" s="94" t="str">
        <f>IF(Q71&gt;$C$12,"φ"&amp;IF(VLOOKUP(VLOOKUP(Q71,tablas!$R$3:$T$66,2,TRUE)&amp;VLOOKUP(Q71,tablas!$R$3:$T$66,3,TRUE),tablas!$Q$3:$R$66,2,FALSE)&lt;Q71,VLOOKUP(Q71+0.1,tablas!$R$3:$T$66,2,TRUE),VLOOKUP(Q71,tablas!$R$3:$T$66,2,TRUE))&amp;"@"&amp;IF(VLOOKUP(VLOOKUP(Q71,tablas!$R$3:$T$66,2,TRUE)&amp;VLOOKUP(Q71,tablas!$R$3:$T$66,3,TRUE),tablas!$Q$3:$R$66,2,FALSE)&lt;Q71,VLOOKUP(Q71+0.1,tablas!$R$3:$T$66,3,TRUE),VLOOKUP(Q71,tablas!$R$3:$T$66,3,TRUE)),$C$13)</f>
        <v>φ8@17</v>
      </c>
      <c r="R72" s="94" t="str">
        <f>IF(R71&gt;$C$12,"φ"&amp;IF(VLOOKUP(VLOOKUP(R71,tablas!$R$3:$T$66,2,TRUE)&amp;VLOOKUP(R71,tablas!$R$3:$T$66,3,TRUE),tablas!$Q$3:$R$66,2,FALSE)&lt;R71,VLOOKUP(R71+0.1,tablas!$R$3:$T$66,2,TRUE),VLOOKUP(R71,tablas!$R$3:$T$66,2,TRUE))&amp;"@"&amp;IF(VLOOKUP(VLOOKUP(R71,tablas!$R$3:$T$66,2,TRUE)&amp;VLOOKUP(R71,tablas!$R$3:$T$66,3,TRUE),tablas!$Q$3:$R$66,2,FALSE)&lt;R71,VLOOKUP(R71+0.1,tablas!$R$3:$T$66,3,TRUE),VLOOKUP(R71,tablas!$R$3:$T$66,3,TRUE)),$C$13)</f>
        <v>φ8@17</v>
      </c>
      <c r="S72" s="94" t="str">
        <f>IF(S71&gt;$C$12,"φ"&amp;IF(VLOOKUP(VLOOKUP(S71,tablas!$R$3:$T$66,2,TRUE)&amp;VLOOKUP(S71,tablas!$R$3:$T$66,3,TRUE),tablas!$Q$3:$R$66,2,FALSE)&lt;S71,VLOOKUP(S71+0.1,tablas!$R$3:$T$66,2,TRUE),VLOOKUP(S71,tablas!$R$3:$T$66,2,TRUE))&amp;"@"&amp;IF(VLOOKUP(VLOOKUP(S71,tablas!$R$3:$T$66,2,TRUE)&amp;VLOOKUP(S71,tablas!$R$3:$T$66,3,TRUE),tablas!$Q$3:$R$66,2,FALSE)&lt;S71,VLOOKUP(S71+0.1,tablas!$R$3:$T$66,3,TRUE),VLOOKUP(S71,tablas!$R$3:$T$66,3,TRUE)),$C$13)</f>
        <v>φ8@17</v>
      </c>
      <c r="T72" s="94" t="str">
        <f>IF(T71&gt;$C$12,"φ"&amp;IF(VLOOKUP(VLOOKUP(T71,tablas!$R$3:$T$66,2,TRUE)&amp;VLOOKUP(T71,tablas!$R$3:$T$66,3,TRUE),tablas!$Q$3:$R$66,2,FALSE)&lt;T71,VLOOKUP(T71+0.1,tablas!$R$3:$T$66,2,TRUE),VLOOKUP(T71,tablas!$R$3:$T$66,2,TRUE))&amp;"@"&amp;IF(VLOOKUP(VLOOKUP(T71,tablas!$R$3:$T$66,2,TRUE)&amp;VLOOKUP(T71,tablas!$R$3:$T$66,3,TRUE),tablas!$Q$3:$R$66,2,FALSE)&lt;T71,VLOOKUP(T71+0.1,tablas!$R$3:$T$66,3,TRUE),VLOOKUP(T71,tablas!$R$3:$T$66,3,TRUE)),$C$13)</f>
        <v>φ8@17</v>
      </c>
      <c r="U72" s="94" t="str">
        <f>IF(U71&gt;$C$12,"φ"&amp;IF(VLOOKUP(VLOOKUP(U71,tablas!$R$3:$T$66,2,TRUE)&amp;VLOOKUP(U71,tablas!$R$3:$T$66,3,TRUE),tablas!$Q$3:$R$66,2,FALSE)&lt;U71,VLOOKUP(U71+0.1,tablas!$R$3:$T$66,2,TRUE),VLOOKUP(U71,tablas!$R$3:$T$66,2,TRUE))&amp;"@"&amp;IF(VLOOKUP(VLOOKUP(U71,tablas!$R$3:$T$66,2,TRUE)&amp;VLOOKUP(U71,tablas!$R$3:$T$66,3,TRUE),tablas!$Q$3:$R$66,2,FALSE)&lt;U71,VLOOKUP(U71+0.1,tablas!$R$3:$T$66,3,TRUE),VLOOKUP(U71,tablas!$R$3:$T$66,3,TRUE)),$C$13)</f>
        <v>φ8@17</v>
      </c>
      <c r="V72" s="94" t="str">
        <f>IF(V71&gt;$C$12,"φ"&amp;IF(VLOOKUP(VLOOKUP(V71,tablas!$R$3:$T$66,2,TRUE)&amp;VLOOKUP(V71,tablas!$R$3:$T$66,3,TRUE),tablas!$Q$3:$R$66,2,FALSE)&lt;V71,VLOOKUP(V71+0.1,tablas!$R$3:$T$66,2,TRUE),VLOOKUP(V71,tablas!$R$3:$T$66,2,TRUE))&amp;"@"&amp;IF(VLOOKUP(VLOOKUP(V71,tablas!$R$3:$T$66,2,TRUE)&amp;VLOOKUP(V71,tablas!$R$3:$T$66,3,TRUE),tablas!$Q$3:$R$66,2,FALSE)&lt;V71,VLOOKUP(V71+0.1,tablas!$R$3:$T$66,3,TRUE),VLOOKUP(V71,tablas!$R$3:$T$66,3,TRUE)),$C$13)</f>
        <v>φ8@17</v>
      </c>
      <c r="W72" s="94" t="str">
        <f>IF(W71&gt;$C$12,"φ"&amp;IF(VLOOKUP(VLOOKUP(W71,tablas!$R$3:$T$66,2,TRUE)&amp;VLOOKUP(W71,tablas!$R$3:$T$66,3,TRUE),tablas!$Q$3:$R$66,2,FALSE)&lt;W71,VLOOKUP(W71+0.1,tablas!$R$3:$T$66,2,TRUE),VLOOKUP(W71,tablas!$R$3:$T$66,2,TRUE))&amp;"@"&amp;IF(VLOOKUP(VLOOKUP(W71,tablas!$R$3:$T$66,2,TRUE)&amp;VLOOKUP(W71,tablas!$R$3:$T$66,3,TRUE),tablas!$Q$3:$R$66,2,FALSE)&lt;W71,VLOOKUP(W71+0.1,tablas!$R$3:$T$66,3,TRUE),VLOOKUP(W71,tablas!$R$3:$T$66,3,TRUE)),$C$13)</f>
        <v>φ8@17</v>
      </c>
      <c r="X72" s="94" t="str">
        <f>IF(X71&gt;$C$12,"φ"&amp;IF(VLOOKUP(VLOOKUP(X71,tablas!$R$3:$T$66,2,TRUE)&amp;VLOOKUP(X71,tablas!$R$3:$T$66,3,TRUE),tablas!$Q$3:$R$66,2,FALSE)&lt;X71,VLOOKUP(X71+0.1,tablas!$R$3:$T$66,2,TRUE),VLOOKUP(X71,tablas!$R$3:$T$66,2,TRUE))&amp;"@"&amp;IF(VLOOKUP(VLOOKUP(X71,tablas!$R$3:$T$66,2,TRUE)&amp;VLOOKUP(X71,tablas!$R$3:$T$66,3,TRUE),tablas!$Q$3:$R$66,2,FALSE)&lt;X71,VLOOKUP(X71+0.1,tablas!$R$3:$T$66,3,TRUE),VLOOKUP(X71,tablas!$R$3:$T$66,3,TRUE)),$C$13)</f>
        <v>φ8@17</v>
      </c>
    </row>
    <row r="73" spans="2:24" x14ac:dyDescent="0.3">
      <c r="B73" s="96" t="s">
        <v>103</v>
      </c>
      <c r="C73" s="89">
        <f>IF(C46&lt;=2,C60/C51,IF(OR(C44=6,C44="5a",C44="3a"),C59*C41^2/12,(IF(OR(C44="2a",C44=4,C44="5b"),C59*C41^2/8,"-"))))</f>
        <v>3157.8048780487807</v>
      </c>
      <c r="D73" s="89">
        <f t="shared" ref="D73:X73" si="19">IF(D46&lt;=2,D60/D51,IF(OR(D44=6,D44="5a",D44="3a"),D59*D41^2/12,(IF(OR(D44="2a",D44=4,D44="5b"),D59*D41^2/8,"-"))))</f>
        <v>1482.063829787234</v>
      </c>
      <c r="E73" s="89">
        <f t="shared" si="19"/>
        <v>1482.063829787234</v>
      </c>
      <c r="F73" s="89">
        <f t="shared" si="19"/>
        <v>2660.2039062500003</v>
      </c>
      <c r="G73" s="89">
        <f t="shared" si="19"/>
        <v>2330.2529032258067</v>
      </c>
      <c r="H73" s="89">
        <f t="shared" si="19"/>
        <v>1428.5638297872338</v>
      </c>
      <c r="I73" s="89">
        <f t="shared" si="19"/>
        <v>670.04318181818178</v>
      </c>
      <c r="J73" s="89">
        <f t="shared" si="19"/>
        <v>227.0333333333333</v>
      </c>
      <c r="K73" s="89">
        <f t="shared" si="19"/>
        <v>974.1583333333333</v>
      </c>
      <c r="L73" s="89">
        <f t="shared" si="19"/>
        <v>1428.5638297872338</v>
      </c>
      <c r="M73" s="89">
        <f t="shared" si="19"/>
        <v>2172.8938709677423</v>
      </c>
      <c r="N73" s="89">
        <f t="shared" si="19"/>
        <v>350.56537500000002</v>
      </c>
      <c r="O73" s="89">
        <f t="shared" si="19"/>
        <v>350.56537500000002</v>
      </c>
      <c r="P73" s="89">
        <f t="shared" si="19"/>
        <v>350.56537500000002</v>
      </c>
      <c r="Q73" s="89">
        <f t="shared" si="19"/>
        <v>350.56537500000002</v>
      </c>
      <c r="R73" s="89">
        <f t="shared" si="19"/>
        <v>166.29600000000002</v>
      </c>
      <c r="S73" s="89">
        <f t="shared" si="19"/>
        <v>166.29600000000002</v>
      </c>
      <c r="T73" s="89">
        <f t="shared" si="19"/>
        <v>276.07350000000002</v>
      </c>
      <c r="U73" s="89">
        <f t="shared" si="19"/>
        <v>276.07350000000002</v>
      </c>
      <c r="V73" s="89">
        <f t="shared" si="19"/>
        <v>84.1935</v>
      </c>
      <c r="W73" s="89">
        <f t="shared" si="19"/>
        <v>75.337499999999991</v>
      </c>
      <c r="X73" s="89">
        <f t="shared" si="19"/>
        <v>734.75928143712576</v>
      </c>
    </row>
    <row r="74" spans="2:24" x14ac:dyDescent="0.3">
      <c r="B74" s="97" t="s">
        <v>15</v>
      </c>
      <c r="C74" s="90">
        <f>C73/(0.9*(0.9*($C$7/100))*($L$9*1000))</f>
        <v>6.5062158558093506</v>
      </c>
      <c r="D74" s="90">
        <f t="shared" ref="D74:X74" si="20">D73/(0.9*(0.9*($C$7/100))*($L$9*1000))</f>
        <v>3.0535855003940102</v>
      </c>
      <c r="E74" s="90">
        <f t="shared" si="20"/>
        <v>3.0535855003940102</v>
      </c>
      <c r="F74" s="90">
        <f t="shared" si="20"/>
        <v>5.4809785604056422</v>
      </c>
      <c r="G74" s="90">
        <f t="shared" si="20"/>
        <v>4.8011606076122195</v>
      </c>
      <c r="H74" s="90">
        <f t="shared" si="20"/>
        <v>2.9433562234980659</v>
      </c>
      <c r="I74" s="90">
        <f t="shared" si="20"/>
        <v>1.3805303816986054</v>
      </c>
      <c r="J74" s="90">
        <f t="shared" si="20"/>
        <v>0.46777047036652414</v>
      </c>
      <c r="K74" s="90">
        <f t="shared" si="20"/>
        <v>2.0071171713175859</v>
      </c>
      <c r="L74" s="90">
        <f t="shared" si="20"/>
        <v>2.9433562234980659</v>
      </c>
      <c r="M74" s="90">
        <f t="shared" si="20"/>
        <v>4.476944302213119</v>
      </c>
      <c r="N74" s="90">
        <f t="shared" si="20"/>
        <v>0.72229098674776226</v>
      </c>
      <c r="O74" s="90">
        <f t="shared" si="20"/>
        <v>0.72229098674776226</v>
      </c>
      <c r="P74" s="90">
        <f t="shared" si="20"/>
        <v>0.72229098674776226</v>
      </c>
      <c r="Q74" s="90">
        <f t="shared" si="20"/>
        <v>0.72229098674776226</v>
      </c>
      <c r="R74" s="90">
        <f t="shared" si="20"/>
        <v>0.34262967907827713</v>
      </c>
      <c r="S74" s="90">
        <f t="shared" si="20"/>
        <v>0.34262967907827713</v>
      </c>
      <c r="T74" s="90">
        <f t="shared" si="20"/>
        <v>0.56881088364733212</v>
      </c>
      <c r="U74" s="90">
        <f t="shared" si="20"/>
        <v>0.56881088364733212</v>
      </c>
      <c r="V74" s="90">
        <f t="shared" si="20"/>
        <v>0.17346894624932002</v>
      </c>
      <c r="W74" s="90">
        <f t="shared" si="20"/>
        <v>0.15522239529248869</v>
      </c>
      <c r="X74" s="90">
        <f t="shared" si="20"/>
        <v>1.5138688651476155</v>
      </c>
    </row>
    <row r="75" spans="2:24" x14ac:dyDescent="0.3">
      <c r="B75" s="97" t="s">
        <v>98</v>
      </c>
      <c r="C75" s="92">
        <f>(C74*($L$9))/(0.85*$L$6*100)</f>
        <v>0.16059171777891593</v>
      </c>
      <c r="D75" s="92">
        <f t="shared" ref="D75:X75" si="21">(D74*($L$9))/(0.85*$L$6*100)</f>
        <v>7.5371083862089752E-2</v>
      </c>
      <c r="E75" s="92">
        <f t="shared" si="21"/>
        <v>7.5371083862089752E-2</v>
      </c>
      <c r="F75" s="92">
        <f t="shared" si="21"/>
        <v>0.13528597600078518</v>
      </c>
      <c r="G75" s="92">
        <f t="shared" si="21"/>
        <v>0.11850615571268917</v>
      </c>
      <c r="H75" s="92">
        <f t="shared" si="21"/>
        <v>7.2650315089802325E-2</v>
      </c>
      <c r="I75" s="92">
        <f t="shared" si="21"/>
        <v>3.4075375050000183E-2</v>
      </c>
      <c r="J75" s="92">
        <f t="shared" si="21"/>
        <v>1.1545891656105672E-2</v>
      </c>
      <c r="K75" s="92">
        <f t="shared" si="21"/>
        <v>4.9541300422371787E-2</v>
      </c>
      <c r="L75" s="92">
        <f t="shared" si="21"/>
        <v>7.2650315089802325E-2</v>
      </c>
      <c r="M75" s="92">
        <f t="shared" si="21"/>
        <v>0.11050358485278057</v>
      </c>
      <c r="N75" s="92">
        <f t="shared" si="21"/>
        <v>1.7828174298041653E-2</v>
      </c>
      <c r="O75" s="92">
        <f t="shared" si="21"/>
        <v>1.7828174298041653E-2</v>
      </c>
      <c r="P75" s="92">
        <f t="shared" si="21"/>
        <v>1.7828174298041653E-2</v>
      </c>
      <c r="Q75" s="92">
        <f t="shared" si="21"/>
        <v>1.7828174298041653E-2</v>
      </c>
      <c r="R75" s="92">
        <f t="shared" si="21"/>
        <v>8.4570647431085715E-3</v>
      </c>
      <c r="S75" s="92">
        <f t="shared" si="21"/>
        <v>8.4570647431085715E-3</v>
      </c>
      <c r="T75" s="92">
        <f t="shared" si="21"/>
        <v>1.4039853414132534E-2</v>
      </c>
      <c r="U75" s="92">
        <f t="shared" si="21"/>
        <v>1.4039853414132534E-2</v>
      </c>
      <c r="V75" s="92">
        <f t="shared" si="21"/>
        <v>4.2817017874687991E-3</v>
      </c>
      <c r="W75" s="92">
        <f t="shared" si="21"/>
        <v>3.8313255585458571E-3</v>
      </c>
      <c r="X75" s="92">
        <f t="shared" si="21"/>
        <v>3.7366544076307927E-2</v>
      </c>
    </row>
    <row r="76" spans="2:24" ht="15" thickBot="1" x14ac:dyDescent="0.35">
      <c r="B76" s="97" t="s">
        <v>15</v>
      </c>
      <c r="C76" s="76">
        <f>ROUNDUP(C73/(0.9*(($C$7-C75/2)/100)*($L$9*1000)),2)</f>
        <v>5.89</v>
      </c>
      <c r="D76" s="76">
        <f t="shared" ref="D76:X76" si="22">ROUNDUP(D73/(0.9*(($C$7-D75/2)/100)*($L$9*1000)),2)</f>
        <v>2.76</v>
      </c>
      <c r="E76" s="76">
        <f t="shared" si="22"/>
        <v>2.76</v>
      </c>
      <c r="F76" s="76">
        <f t="shared" si="22"/>
        <v>4.96</v>
      </c>
      <c r="G76" s="76">
        <f t="shared" si="22"/>
        <v>4.34</v>
      </c>
      <c r="H76" s="76">
        <f t="shared" si="22"/>
        <v>2.6599999999999997</v>
      </c>
      <c r="I76" s="76">
        <f t="shared" si="22"/>
        <v>1.25</v>
      </c>
      <c r="J76" s="76">
        <f t="shared" si="22"/>
        <v>0.43</v>
      </c>
      <c r="K76" s="76">
        <f t="shared" si="22"/>
        <v>1.81</v>
      </c>
      <c r="L76" s="76">
        <f t="shared" si="22"/>
        <v>2.6599999999999997</v>
      </c>
      <c r="M76" s="76">
        <f t="shared" si="22"/>
        <v>4.05</v>
      </c>
      <c r="N76" s="76">
        <f t="shared" si="22"/>
        <v>0.66</v>
      </c>
      <c r="O76" s="76">
        <f t="shared" si="22"/>
        <v>0.66</v>
      </c>
      <c r="P76" s="76">
        <f t="shared" si="22"/>
        <v>0.66</v>
      </c>
      <c r="Q76" s="76">
        <f t="shared" si="22"/>
        <v>0.66</v>
      </c>
      <c r="R76" s="76">
        <f t="shared" si="22"/>
        <v>0.31</v>
      </c>
      <c r="S76" s="76">
        <f t="shared" si="22"/>
        <v>0.31</v>
      </c>
      <c r="T76" s="76">
        <f t="shared" si="22"/>
        <v>0.52</v>
      </c>
      <c r="U76" s="76">
        <f t="shared" si="22"/>
        <v>0.52</v>
      </c>
      <c r="V76" s="76">
        <f t="shared" si="22"/>
        <v>0.16</v>
      </c>
      <c r="W76" s="76">
        <f t="shared" si="22"/>
        <v>0.14000000000000001</v>
      </c>
      <c r="X76" s="76">
        <f t="shared" si="22"/>
        <v>1.37</v>
      </c>
    </row>
    <row r="77" spans="2:24" ht="16.2" thickBot="1" x14ac:dyDescent="0.35">
      <c r="B77" s="61" t="s">
        <v>105</v>
      </c>
      <c r="C77" s="94" t="str">
        <f>IF(C76&gt;$C$12,"φ"&amp;IF(VLOOKUP(VLOOKUP(C76,tablas!$R$3:$T$66,2,TRUE)&amp;VLOOKUP(C76,tablas!$R$3:$T$66,3,TRUE),tablas!$Q$3:$R$66,2,FALSE)&lt;C76,VLOOKUP(C76+0.1,tablas!$R$3:$T$66,2,TRUE),VLOOKUP(C76,tablas!$R$3:$T$66,2,TRUE))&amp;"@"&amp;IF(VLOOKUP(VLOOKUP(C76,tablas!$R$3:$T$66,2,TRUE)&amp;VLOOKUP(C76,tablas!$R$3:$T$66,3,TRUE),tablas!$Q$3:$R$66,2,FALSE)&lt;C76,VLOOKUP(C76+0.1,tablas!$R$3:$T$66,3,TRUE),VLOOKUP(C76,tablas!$R$3:$T$66,3,TRUE)),$C$13)</f>
        <v>φ12@19</v>
      </c>
      <c r="D77" s="94" t="str">
        <f>IF(D76&gt;$C$12,"φ"&amp;IF(VLOOKUP(VLOOKUP(D76,tablas!$R$3:$T$66,2,TRUE)&amp;VLOOKUP(D76,tablas!$R$3:$T$66,3,TRUE),tablas!$Q$3:$R$66,2,FALSE)&lt;D76,VLOOKUP(D76+0.1,tablas!$R$3:$T$66,2,TRUE),VLOOKUP(D76,tablas!$R$3:$T$66,2,TRUE))&amp;"@"&amp;IF(VLOOKUP(VLOOKUP(D76,tablas!$R$3:$T$66,2,TRUE)&amp;VLOOKUP(D76,tablas!$R$3:$T$66,3,TRUE),tablas!$Q$3:$R$66,2,FALSE)&lt;D76,VLOOKUP(D76+0.1,tablas!$R$3:$T$66,3,TRUE),VLOOKUP(D76,tablas!$R$3:$T$66,3,TRUE)),$C$13)</f>
        <v>φ8@17</v>
      </c>
      <c r="E77" s="94" t="str">
        <f>IF(E76&gt;$C$12,"φ"&amp;IF(VLOOKUP(VLOOKUP(E76,tablas!$R$3:$T$66,2,TRUE)&amp;VLOOKUP(E76,tablas!$R$3:$T$66,3,TRUE),tablas!$Q$3:$R$66,2,FALSE)&lt;E76,VLOOKUP(E76+0.1,tablas!$R$3:$T$66,2,TRUE),VLOOKUP(E76,tablas!$R$3:$T$66,2,TRUE))&amp;"@"&amp;IF(VLOOKUP(VLOOKUP(E76,tablas!$R$3:$T$66,2,TRUE)&amp;VLOOKUP(E76,tablas!$R$3:$T$66,3,TRUE),tablas!$Q$3:$R$66,2,FALSE)&lt;E76,VLOOKUP(E76+0.1,tablas!$R$3:$T$66,3,TRUE),VLOOKUP(E76,tablas!$R$3:$T$66,3,TRUE)),$C$13)</f>
        <v>φ8@17</v>
      </c>
      <c r="F77" s="94" t="str">
        <f>IF(F76&gt;$C$12,"φ"&amp;IF(VLOOKUP(VLOOKUP(F76,tablas!$R$3:$T$66,2,TRUE)&amp;VLOOKUP(F76,tablas!$R$3:$T$66,3,TRUE),tablas!$Q$3:$R$66,2,FALSE)&lt;F76,VLOOKUP(F76+0.1,tablas!$R$3:$T$66,2,TRUE),VLOOKUP(F76,tablas!$R$3:$T$66,2,TRUE))&amp;"@"&amp;IF(VLOOKUP(VLOOKUP(F76,tablas!$R$3:$T$66,2,TRUE)&amp;VLOOKUP(F76,tablas!$R$3:$T$66,3,TRUE),tablas!$Q$3:$R$66,2,FALSE)&lt;F76,VLOOKUP(F76+0.1,tablas!$R$3:$T$66,3,TRUE),VLOOKUP(F76,tablas!$R$3:$T$66,3,TRUE)),$C$13)</f>
        <v>φ8@10</v>
      </c>
      <c r="G77" s="94" t="str">
        <f>IF(G76&gt;$C$12,"φ"&amp;IF(VLOOKUP(VLOOKUP(G76,tablas!$R$3:$T$66,2,TRUE)&amp;VLOOKUP(G76,tablas!$R$3:$T$66,3,TRUE),tablas!$Q$3:$R$66,2,FALSE)&lt;G76,VLOOKUP(G76+0.1,tablas!$R$3:$T$66,2,TRUE),VLOOKUP(G76,tablas!$R$3:$T$66,2,TRUE))&amp;"@"&amp;IF(VLOOKUP(VLOOKUP(G76,tablas!$R$3:$T$66,2,TRUE)&amp;VLOOKUP(G76,tablas!$R$3:$T$66,3,TRUE),tablas!$Q$3:$R$66,2,FALSE)&lt;G76,VLOOKUP(G76+0.1,tablas!$R$3:$T$66,3,TRUE),VLOOKUP(G76,tablas!$R$3:$T$66,3,TRUE)),$C$13)</f>
        <v>φ10@18</v>
      </c>
      <c r="H77" s="94" t="str">
        <f>IF(H76&gt;$C$12,"φ"&amp;IF(VLOOKUP(VLOOKUP(H76,tablas!$R$3:$T$66,2,TRUE)&amp;VLOOKUP(H76,tablas!$R$3:$T$66,3,TRUE),tablas!$Q$3:$R$66,2,FALSE)&lt;H76,VLOOKUP(H76+0.1,tablas!$R$3:$T$66,2,TRUE),VLOOKUP(H76,tablas!$R$3:$T$66,2,TRUE))&amp;"@"&amp;IF(VLOOKUP(VLOOKUP(H76,tablas!$R$3:$T$66,2,TRUE)&amp;VLOOKUP(H76,tablas!$R$3:$T$66,3,TRUE),tablas!$Q$3:$R$66,2,FALSE)&lt;H76,VLOOKUP(H76+0.1,tablas!$R$3:$T$66,3,TRUE),VLOOKUP(H76,tablas!$R$3:$T$66,3,TRUE)),$C$13)</f>
        <v>φ8@17</v>
      </c>
      <c r="I77" s="94" t="str">
        <f>IF(I76&gt;$C$12,"φ"&amp;IF(VLOOKUP(VLOOKUP(I76,tablas!$R$3:$T$66,2,TRUE)&amp;VLOOKUP(I76,tablas!$R$3:$T$66,3,TRUE),tablas!$Q$3:$R$66,2,FALSE)&lt;I76,VLOOKUP(I76+0.1,tablas!$R$3:$T$66,2,TRUE),VLOOKUP(I76,tablas!$R$3:$T$66,2,TRUE))&amp;"@"&amp;IF(VLOOKUP(VLOOKUP(I76,tablas!$R$3:$T$66,2,TRUE)&amp;VLOOKUP(I76,tablas!$R$3:$T$66,3,TRUE),tablas!$Q$3:$R$66,2,FALSE)&lt;I76,VLOOKUP(I76+0.1,tablas!$R$3:$T$66,3,TRUE),VLOOKUP(I76,tablas!$R$3:$T$66,3,TRUE)),$C$13)</f>
        <v>φ8@17</v>
      </c>
      <c r="J77" s="94" t="str">
        <f>IF(J76&gt;$C$12,"φ"&amp;IF(VLOOKUP(VLOOKUP(J76,tablas!$R$3:$T$66,2,TRUE)&amp;VLOOKUP(J76,tablas!$R$3:$T$66,3,TRUE),tablas!$Q$3:$R$66,2,FALSE)&lt;J76,VLOOKUP(J76+0.1,tablas!$R$3:$T$66,2,TRUE),VLOOKUP(J76,tablas!$R$3:$T$66,2,TRUE))&amp;"@"&amp;IF(VLOOKUP(VLOOKUP(J76,tablas!$R$3:$T$66,2,TRUE)&amp;VLOOKUP(J76,tablas!$R$3:$T$66,3,TRUE),tablas!$Q$3:$R$66,2,FALSE)&lt;J76,VLOOKUP(J76+0.1,tablas!$R$3:$T$66,3,TRUE),VLOOKUP(J76,tablas!$R$3:$T$66,3,TRUE)),$C$13)</f>
        <v>φ8@17</v>
      </c>
      <c r="K77" s="94" t="str">
        <f>IF(K76&gt;$C$12,"φ"&amp;IF(VLOOKUP(VLOOKUP(K76,tablas!$R$3:$T$66,2,TRUE)&amp;VLOOKUP(K76,tablas!$R$3:$T$66,3,TRUE),tablas!$Q$3:$R$66,2,FALSE)&lt;K76,VLOOKUP(K76+0.1,tablas!$R$3:$T$66,2,TRUE),VLOOKUP(K76,tablas!$R$3:$T$66,2,TRUE))&amp;"@"&amp;IF(VLOOKUP(VLOOKUP(K76,tablas!$R$3:$T$66,2,TRUE)&amp;VLOOKUP(K76,tablas!$R$3:$T$66,3,TRUE),tablas!$Q$3:$R$66,2,FALSE)&lt;K76,VLOOKUP(K76+0.1,tablas!$R$3:$T$66,3,TRUE),VLOOKUP(K76,tablas!$R$3:$T$66,3,TRUE)),$C$13)</f>
        <v>φ8@17</v>
      </c>
      <c r="L77" s="94" t="str">
        <f>IF(L76&gt;$C$12,"φ"&amp;IF(VLOOKUP(VLOOKUP(L76,tablas!$R$3:$T$66,2,TRUE)&amp;VLOOKUP(L76,tablas!$R$3:$T$66,3,TRUE),tablas!$Q$3:$R$66,2,FALSE)&lt;L76,VLOOKUP(L76+0.1,tablas!$R$3:$T$66,2,TRUE),VLOOKUP(L76,tablas!$R$3:$T$66,2,TRUE))&amp;"@"&amp;IF(VLOOKUP(VLOOKUP(L76,tablas!$R$3:$T$66,2,TRUE)&amp;VLOOKUP(L76,tablas!$R$3:$T$66,3,TRUE),tablas!$Q$3:$R$66,2,FALSE)&lt;L76,VLOOKUP(L76+0.1,tablas!$R$3:$T$66,3,TRUE),VLOOKUP(L76,tablas!$R$3:$T$66,3,TRUE)),$C$13)</f>
        <v>φ8@17</v>
      </c>
      <c r="M77" s="94" t="str">
        <f>IF(M76&gt;$C$12,"φ"&amp;IF(VLOOKUP(VLOOKUP(M76,tablas!$R$3:$T$66,2,TRUE)&amp;VLOOKUP(M76,tablas!$R$3:$T$66,3,TRUE),tablas!$Q$3:$R$66,2,FALSE)&lt;M76,VLOOKUP(M76+0.1,tablas!$R$3:$T$66,2,TRUE),VLOOKUP(M76,tablas!$R$3:$T$66,2,TRUE))&amp;"@"&amp;IF(VLOOKUP(VLOOKUP(M76,tablas!$R$3:$T$66,2,TRUE)&amp;VLOOKUP(M76,tablas!$R$3:$T$66,3,TRUE),tablas!$Q$3:$R$66,2,FALSE)&lt;M76,VLOOKUP(M76+0.1,tablas!$R$3:$T$66,3,TRUE),VLOOKUP(M76,tablas!$R$3:$T$66,3,TRUE)),$C$13)</f>
        <v>φ10@19</v>
      </c>
      <c r="N77" s="94" t="str">
        <f>IF(N76&gt;$C$12,"φ"&amp;IF(VLOOKUP(VLOOKUP(N76,tablas!$R$3:$T$66,2,TRUE)&amp;VLOOKUP(N76,tablas!$R$3:$T$66,3,TRUE),tablas!$Q$3:$R$66,2,FALSE)&lt;N76,VLOOKUP(N76+0.1,tablas!$R$3:$T$66,2,TRUE),VLOOKUP(N76,tablas!$R$3:$T$66,2,TRUE))&amp;"@"&amp;IF(VLOOKUP(VLOOKUP(N76,tablas!$R$3:$T$66,2,TRUE)&amp;VLOOKUP(N76,tablas!$R$3:$T$66,3,TRUE),tablas!$Q$3:$R$66,2,FALSE)&lt;N76,VLOOKUP(N76+0.1,tablas!$R$3:$T$66,3,TRUE),VLOOKUP(N76,tablas!$R$3:$T$66,3,TRUE)),$C$13)</f>
        <v>φ8@17</v>
      </c>
      <c r="O77" s="94" t="str">
        <f>IF(O76&gt;$C$12,"φ"&amp;IF(VLOOKUP(VLOOKUP(O76,tablas!$R$3:$T$66,2,TRUE)&amp;VLOOKUP(O76,tablas!$R$3:$T$66,3,TRUE),tablas!$Q$3:$R$66,2,FALSE)&lt;O76,VLOOKUP(O76+0.1,tablas!$R$3:$T$66,2,TRUE),VLOOKUP(O76,tablas!$R$3:$T$66,2,TRUE))&amp;"@"&amp;IF(VLOOKUP(VLOOKUP(O76,tablas!$R$3:$T$66,2,TRUE)&amp;VLOOKUP(O76,tablas!$R$3:$T$66,3,TRUE),tablas!$Q$3:$R$66,2,FALSE)&lt;O76,VLOOKUP(O76+0.1,tablas!$R$3:$T$66,3,TRUE),VLOOKUP(O76,tablas!$R$3:$T$66,3,TRUE)),$C$13)</f>
        <v>φ8@17</v>
      </c>
      <c r="P77" s="94" t="str">
        <f>IF(P76&gt;$C$12,"φ"&amp;IF(VLOOKUP(VLOOKUP(P76,tablas!$R$3:$T$66,2,TRUE)&amp;VLOOKUP(P76,tablas!$R$3:$T$66,3,TRUE),tablas!$Q$3:$R$66,2,FALSE)&lt;P76,VLOOKUP(P76+0.1,tablas!$R$3:$T$66,2,TRUE),VLOOKUP(P76,tablas!$R$3:$T$66,2,TRUE))&amp;"@"&amp;IF(VLOOKUP(VLOOKUP(P76,tablas!$R$3:$T$66,2,TRUE)&amp;VLOOKUP(P76,tablas!$R$3:$T$66,3,TRUE),tablas!$Q$3:$R$66,2,FALSE)&lt;P76,VLOOKUP(P76+0.1,tablas!$R$3:$T$66,3,TRUE),VLOOKUP(P76,tablas!$R$3:$T$66,3,TRUE)),$C$13)</f>
        <v>φ8@17</v>
      </c>
      <c r="Q77" s="94" t="str">
        <f>IF(Q76&gt;$C$12,"φ"&amp;IF(VLOOKUP(VLOOKUP(Q76,tablas!$R$3:$T$66,2,TRUE)&amp;VLOOKUP(Q76,tablas!$R$3:$T$66,3,TRUE),tablas!$Q$3:$R$66,2,FALSE)&lt;Q76,VLOOKUP(Q76+0.1,tablas!$R$3:$T$66,2,TRUE),VLOOKUP(Q76,tablas!$R$3:$T$66,2,TRUE))&amp;"@"&amp;IF(VLOOKUP(VLOOKUP(Q76,tablas!$R$3:$T$66,2,TRUE)&amp;VLOOKUP(Q76,tablas!$R$3:$T$66,3,TRUE),tablas!$Q$3:$R$66,2,FALSE)&lt;Q76,VLOOKUP(Q76+0.1,tablas!$R$3:$T$66,3,TRUE),VLOOKUP(Q76,tablas!$R$3:$T$66,3,TRUE)),$C$13)</f>
        <v>φ8@17</v>
      </c>
      <c r="R77" s="94" t="str">
        <f>IF(R76&gt;$C$12,"φ"&amp;IF(VLOOKUP(VLOOKUP(R76,tablas!$R$3:$T$66,2,TRUE)&amp;VLOOKUP(R76,tablas!$R$3:$T$66,3,TRUE),tablas!$Q$3:$R$66,2,FALSE)&lt;R76,VLOOKUP(R76+0.1,tablas!$R$3:$T$66,2,TRUE),VLOOKUP(R76,tablas!$R$3:$T$66,2,TRUE))&amp;"@"&amp;IF(VLOOKUP(VLOOKUP(R76,tablas!$R$3:$T$66,2,TRUE)&amp;VLOOKUP(R76,tablas!$R$3:$T$66,3,TRUE),tablas!$Q$3:$R$66,2,FALSE)&lt;R76,VLOOKUP(R76+0.1,tablas!$R$3:$T$66,3,TRUE),VLOOKUP(R76,tablas!$R$3:$T$66,3,TRUE)),$C$13)</f>
        <v>φ8@17</v>
      </c>
      <c r="S77" s="94" t="str">
        <f>IF(S76&gt;$C$12,"φ"&amp;IF(VLOOKUP(VLOOKUP(S76,tablas!$R$3:$T$66,2,TRUE)&amp;VLOOKUP(S76,tablas!$R$3:$T$66,3,TRUE),tablas!$Q$3:$R$66,2,FALSE)&lt;S76,VLOOKUP(S76+0.1,tablas!$R$3:$T$66,2,TRUE),VLOOKUP(S76,tablas!$R$3:$T$66,2,TRUE))&amp;"@"&amp;IF(VLOOKUP(VLOOKUP(S76,tablas!$R$3:$T$66,2,TRUE)&amp;VLOOKUP(S76,tablas!$R$3:$T$66,3,TRUE),tablas!$Q$3:$R$66,2,FALSE)&lt;S76,VLOOKUP(S76+0.1,tablas!$R$3:$T$66,3,TRUE),VLOOKUP(S76,tablas!$R$3:$T$66,3,TRUE)),$C$13)</f>
        <v>φ8@17</v>
      </c>
      <c r="T77" s="94" t="str">
        <f>IF(T76&gt;$C$12,"φ"&amp;IF(VLOOKUP(VLOOKUP(T76,tablas!$R$3:$T$66,2,TRUE)&amp;VLOOKUP(T76,tablas!$R$3:$T$66,3,TRUE),tablas!$Q$3:$R$66,2,FALSE)&lt;T76,VLOOKUP(T76+0.1,tablas!$R$3:$T$66,2,TRUE),VLOOKUP(T76,tablas!$R$3:$T$66,2,TRUE))&amp;"@"&amp;IF(VLOOKUP(VLOOKUP(T76,tablas!$R$3:$T$66,2,TRUE)&amp;VLOOKUP(T76,tablas!$R$3:$T$66,3,TRUE),tablas!$Q$3:$R$66,2,FALSE)&lt;T76,VLOOKUP(T76+0.1,tablas!$R$3:$T$66,3,TRUE),VLOOKUP(T76,tablas!$R$3:$T$66,3,TRUE)),$C$13)</f>
        <v>φ8@17</v>
      </c>
      <c r="U77" s="94" t="str">
        <f>IF(U76&gt;$C$12,"φ"&amp;IF(VLOOKUP(VLOOKUP(U76,tablas!$R$3:$T$66,2,TRUE)&amp;VLOOKUP(U76,tablas!$R$3:$T$66,3,TRUE),tablas!$Q$3:$R$66,2,FALSE)&lt;U76,VLOOKUP(U76+0.1,tablas!$R$3:$T$66,2,TRUE),VLOOKUP(U76,tablas!$R$3:$T$66,2,TRUE))&amp;"@"&amp;IF(VLOOKUP(VLOOKUP(U76,tablas!$R$3:$T$66,2,TRUE)&amp;VLOOKUP(U76,tablas!$R$3:$T$66,3,TRUE),tablas!$Q$3:$R$66,2,FALSE)&lt;U76,VLOOKUP(U76+0.1,tablas!$R$3:$T$66,3,TRUE),VLOOKUP(U76,tablas!$R$3:$T$66,3,TRUE)),$C$13)</f>
        <v>φ8@17</v>
      </c>
      <c r="V77" s="94" t="str">
        <f>IF(V76&gt;$C$12,"φ"&amp;IF(VLOOKUP(VLOOKUP(V76,tablas!$R$3:$T$66,2,TRUE)&amp;VLOOKUP(V76,tablas!$R$3:$T$66,3,TRUE),tablas!$Q$3:$R$66,2,FALSE)&lt;V76,VLOOKUP(V76+0.1,tablas!$R$3:$T$66,2,TRUE),VLOOKUP(V76,tablas!$R$3:$T$66,2,TRUE))&amp;"@"&amp;IF(VLOOKUP(VLOOKUP(V76,tablas!$R$3:$T$66,2,TRUE)&amp;VLOOKUP(V76,tablas!$R$3:$T$66,3,TRUE),tablas!$Q$3:$R$66,2,FALSE)&lt;V76,VLOOKUP(V76+0.1,tablas!$R$3:$T$66,3,TRUE),VLOOKUP(V76,tablas!$R$3:$T$66,3,TRUE)),$C$13)</f>
        <v>φ8@17</v>
      </c>
      <c r="W77" s="94" t="str">
        <f>IF(W76&gt;$C$12,"φ"&amp;IF(VLOOKUP(VLOOKUP(W76,tablas!$R$3:$T$66,2,TRUE)&amp;VLOOKUP(W76,tablas!$R$3:$T$66,3,TRUE),tablas!$Q$3:$R$66,2,FALSE)&lt;W76,VLOOKUP(W76+0.1,tablas!$R$3:$T$66,2,TRUE),VLOOKUP(W76,tablas!$R$3:$T$66,2,TRUE))&amp;"@"&amp;IF(VLOOKUP(VLOOKUP(W76,tablas!$R$3:$T$66,2,TRUE)&amp;VLOOKUP(W76,tablas!$R$3:$T$66,3,TRUE),tablas!$Q$3:$R$66,2,FALSE)&lt;W76,VLOOKUP(W76+0.1,tablas!$R$3:$T$66,3,TRUE),VLOOKUP(W76,tablas!$R$3:$T$66,3,TRUE)),$C$13)</f>
        <v>φ8@17</v>
      </c>
      <c r="X77" s="94" t="str">
        <f>IF(X76&gt;$C$12,"φ"&amp;IF(VLOOKUP(VLOOKUP(X76,tablas!$R$3:$T$66,2,TRUE)&amp;VLOOKUP(X76,tablas!$R$3:$T$66,3,TRUE),tablas!$Q$3:$R$66,2,FALSE)&lt;X76,VLOOKUP(X76+0.1,tablas!$R$3:$T$66,2,TRUE),VLOOKUP(X76,tablas!$R$3:$T$66,2,TRUE))&amp;"@"&amp;IF(VLOOKUP(VLOOKUP(X76,tablas!$R$3:$T$66,2,TRUE)&amp;VLOOKUP(X76,tablas!$R$3:$T$66,3,TRUE),tablas!$Q$3:$R$66,2,FALSE)&lt;X76,VLOOKUP(X76+0.1,tablas!$R$3:$T$66,3,TRUE),VLOOKUP(X76,tablas!$R$3:$T$66,3,TRUE)),$C$13)</f>
        <v>φ8@17</v>
      </c>
    </row>
    <row r="78" spans="2:24" x14ac:dyDescent="0.3">
      <c r="B78" s="96" t="s">
        <v>104</v>
      </c>
      <c r="C78" s="89">
        <f>IF(C46&lt;=2,C60/C52,IF(OR(C44=6,C44="5a",C44="3a"),C59*C41^2/17.5,(IF(OR(C44="2a",C44=4,C44="5b"),C59*C41^2/11.25,IF(OR(C44=1,C44="2b",C44="3b"),C59*C41^2/8)))))</f>
        <v>2320.2508960573477</v>
      </c>
      <c r="D78" s="89">
        <f t="shared" ref="D78:X78" si="23">IF(D46&lt;=2,D60/D52,IF(OR(D44=6,D44="5a",D44="3a"),D59*D41^2/17.5,(IF(OR(D44="2a",D44=4,D44="5b"),D59*D41^2/11.25,IF(OR(D44=1,D44="2b",D44="3b"),D59*D41^2/8)))))</f>
        <v>1216.7161572052403</v>
      </c>
      <c r="E78" s="89">
        <f t="shared" si="23"/>
        <v>1216.7161572052403</v>
      </c>
      <c r="F78" s="89">
        <f t="shared" si="23"/>
        <v>2084.7312244897957</v>
      </c>
      <c r="G78" s="89">
        <f t="shared" si="23"/>
        <v>2015.9397209302329</v>
      </c>
      <c r="H78" s="89">
        <f t="shared" si="23"/>
        <v>1323.0049261083741</v>
      </c>
      <c r="I78" s="89">
        <f t="shared" si="23"/>
        <v>479.38048780487804</v>
      </c>
      <c r="J78" s="89">
        <f t="shared" si="23"/>
        <v>155.67999999999998</v>
      </c>
      <c r="K78" s="89">
        <f t="shared" si="23"/>
        <v>667.99428571428564</v>
      </c>
      <c r="L78" s="89">
        <f t="shared" si="23"/>
        <v>1323.0049261083741</v>
      </c>
      <c r="M78" s="89">
        <f t="shared" si="23"/>
        <v>1879.8058604651167</v>
      </c>
      <c r="N78" s="89">
        <f t="shared" si="23"/>
        <v>249.29093333333336</v>
      </c>
      <c r="O78" s="89">
        <f t="shared" si="23"/>
        <v>249.29093333333336</v>
      </c>
      <c r="P78" s="89">
        <f t="shared" si="23"/>
        <v>249.29093333333336</v>
      </c>
      <c r="Q78" s="89">
        <f t="shared" si="23"/>
        <v>249.29093333333336</v>
      </c>
      <c r="R78" s="89">
        <f t="shared" si="23"/>
        <v>118.25493333333335</v>
      </c>
      <c r="S78" s="89">
        <f t="shared" si="23"/>
        <v>118.25493333333335</v>
      </c>
      <c r="T78" s="89">
        <f t="shared" si="23"/>
        <v>196.31893333333335</v>
      </c>
      <c r="U78" s="89">
        <f t="shared" si="23"/>
        <v>196.31893333333335</v>
      </c>
      <c r="V78" s="89">
        <f t="shared" si="23"/>
        <v>59.870933333333333</v>
      </c>
      <c r="W78" s="89">
        <f t="shared" si="23"/>
        <v>53.573333333333331</v>
      </c>
      <c r="X78" s="89">
        <f t="shared" si="23"/>
        <v>555.22533936651575</v>
      </c>
    </row>
    <row r="79" spans="2:24" x14ac:dyDescent="0.3">
      <c r="B79" s="97" t="s">
        <v>15</v>
      </c>
      <c r="C79" s="90">
        <f>C78/(0.9*(0.9*($C$7/100))*($L$9*1000))</f>
        <v>4.7805528689638592</v>
      </c>
      <c r="D79" s="91">
        <f>D78/(0.9*(0.9*($C$7/100))*($L$9*1000))</f>
        <v>2.5068736859129865</v>
      </c>
      <c r="E79" s="91">
        <f t="shared" ref="E79:X79" si="24">E78/(0.9*(0.9*($C$7/100))*($L$9*1000))</f>
        <v>2.5068736859129865</v>
      </c>
      <c r="F79" s="91">
        <f t="shared" si="24"/>
        <v>4.2952974840729929</v>
      </c>
      <c r="G79" s="91">
        <f t="shared" si="24"/>
        <v>4.1535622000738277</v>
      </c>
      <c r="H79" s="91">
        <f t="shared" si="24"/>
        <v>2.7258668473775192</v>
      </c>
      <c r="I79" s="91">
        <f t="shared" si="24"/>
        <v>0.98769653324778284</v>
      </c>
      <c r="J79" s="91">
        <f t="shared" si="24"/>
        <v>0.32075689396561657</v>
      </c>
      <c r="K79" s="91">
        <f t="shared" si="24"/>
        <v>1.3763089174749159</v>
      </c>
      <c r="L79" s="91">
        <f t="shared" si="24"/>
        <v>2.7258668473775192</v>
      </c>
      <c r="M79" s="91">
        <f t="shared" si="24"/>
        <v>3.8730773963332101</v>
      </c>
      <c r="N79" s="91">
        <f t="shared" si="24"/>
        <v>0.51362914613174204</v>
      </c>
      <c r="O79" s="91">
        <f t="shared" si="24"/>
        <v>0.51362914613174204</v>
      </c>
      <c r="P79" s="91">
        <f t="shared" si="24"/>
        <v>0.51362914613174204</v>
      </c>
      <c r="Q79" s="91">
        <f t="shared" si="24"/>
        <v>0.51362914613174204</v>
      </c>
      <c r="R79" s="91">
        <f t="shared" si="24"/>
        <v>0.2436477717889971</v>
      </c>
      <c r="S79" s="91">
        <f t="shared" si="24"/>
        <v>0.2436477717889971</v>
      </c>
      <c r="T79" s="91">
        <f t="shared" si="24"/>
        <v>0.40448773948254729</v>
      </c>
      <c r="U79" s="91">
        <f t="shared" si="24"/>
        <v>0.40448773948254729</v>
      </c>
      <c r="V79" s="91">
        <f t="shared" si="24"/>
        <v>0.12335569511062758</v>
      </c>
      <c r="W79" s="91">
        <f t="shared" si="24"/>
        <v>0.11038036998576974</v>
      </c>
      <c r="X79" s="91">
        <f t="shared" si="24"/>
        <v>1.1439642555640352</v>
      </c>
    </row>
    <row r="80" spans="2:24" x14ac:dyDescent="0.3">
      <c r="B80" s="97" t="s">
        <v>98</v>
      </c>
      <c r="C80" s="92">
        <f>(C79*($L$9))/(0.85*$L$6*100)</f>
        <v>0.11799749872644359</v>
      </c>
      <c r="D80" s="93">
        <f>(D79*($L$9))/(0.85*$L$6*100)</f>
        <v>6.1876697668440499E-2</v>
      </c>
      <c r="E80" s="93">
        <f t="shared" ref="E80:X80" si="25">(E79*($L$9))/(0.85*$L$6*100)</f>
        <v>6.1876697668440499E-2</v>
      </c>
      <c r="F80" s="93">
        <f t="shared" si="25"/>
        <v>0.10602003017204388</v>
      </c>
      <c r="G80" s="93">
        <f t="shared" si="25"/>
        <v>0.10252160447702413</v>
      </c>
      <c r="H80" s="93">
        <f t="shared" si="25"/>
        <v>6.7282065206319394E-2</v>
      </c>
      <c r="I80" s="93">
        <f t="shared" si="25"/>
        <v>2.4379130117073301E-2</v>
      </c>
      <c r="J80" s="93">
        <f t="shared" si="25"/>
        <v>7.9171828499010333E-3</v>
      </c>
      <c r="K80" s="93">
        <f t="shared" si="25"/>
        <v>3.3971177432483506E-2</v>
      </c>
      <c r="L80" s="93">
        <f t="shared" si="25"/>
        <v>6.7282065206319394E-2</v>
      </c>
      <c r="M80" s="93">
        <f t="shared" si="25"/>
        <v>9.5598450151707842E-2</v>
      </c>
      <c r="N80" s="93">
        <f t="shared" si="25"/>
        <v>1.2677812834162952E-2</v>
      </c>
      <c r="O80" s="93">
        <f t="shared" si="25"/>
        <v>1.2677812834162952E-2</v>
      </c>
      <c r="P80" s="93">
        <f t="shared" si="25"/>
        <v>1.2677812834162952E-2</v>
      </c>
      <c r="Q80" s="93">
        <f t="shared" si="25"/>
        <v>1.2677812834162952E-2</v>
      </c>
      <c r="R80" s="93">
        <f t="shared" si="25"/>
        <v>6.0139127062105394E-3</v>
      </c>
      <c r="S80" s="93">
        <f t="shared" si="25"/>
        <v>6.0139127062105394E-3</v>
      </c>
      <c r="T80" s="93">
        <f t="shared" si="25"/>
        <v>9.9838957611609134E-3</v>
      </c>
      <c r="U80" s="93">
        <f t="shared" si="25"/>
        <v>9.9838957611609134E-3</v>
      </c>
      <c r="V80" s="93">
        <f t="shared" si="25"/>
        <v>3.0447657155333683E-3</v>
      </c>
      <c r="W80" s="93">
        <f t="shared" si="25"/>
        <v>2.7244981749659429E-3</v>
      </c>
      <c r="X80" s="93">
        <f t="shared" si="25"/>
        <v>2.8236257288431779E-2</v>
      </c>
    </row>
    <row r="81" spans="2:26" ht="15" thickBot="1" x14ac:dyDescent="0.35">
      <c r="B81" s="97" t="s">
        <v>15</v>
      </c>
      <c r="C81" s="76">
        <f>ROUNDUP(C78/(0.9*(($C$7-C80/2)/100)*($L$9*1000)),2)</f>
        <v>4.33</v>
      </c>
      <c r="D81" s="77">
        <f>ROUNDUP(D78/(0.9*(($C$7-D80/2)/100)*($L$9*1000)),2)</f>
        <v>2.2699999999999996</v>
      </c>
      <c r="E81" s="77">
        <f t="shared" ref="E81:X81" si="26">ROUNDUP(E78/(0.9*(($C$7-E80/2)/100)*($L$9*1000)),2)</f>
        <v>2.2699999999999996</v>
      </c>
      <c r="F81" s="77">
        <f t="shared" si="26"/>
        <v>3.8899999999999997</v>
      </c>
      <c r="G81" s="77">
        <f t="shared" si="26"/>
        <v>3.76</v>
      </c>
      <c r="H81" s="77">
        <f t="shared" si="26"/>
        <v>2.46</v>
      </c>
      <c r="I81" s="77">
        <f t="shared" si="26"/>
        <v>0.89</v>
      </c>
      <c r="J81" s="77">
        <f t="shared" si="26"/>
        <v>0.29000000000000004</v>
      </c>
      <c r="K81" s="77">
        <f t="shared" si="26"/>
        <v>1.25</v>
      </c>
      <c r="L81" s="77">
        <f t="shared" si="26"/>
        <v>2.46</v>
      </c>
      <c r="M81" s="77">
        <f t="shared" si="26"/>
        <v>3.5</v>
      </c>
      <c r="N81" s="77">
        <f t="shared" si="26"/>
        <v>0.47000000000000003</v>
      </c>
      <c r="O81" s="77">
        <f t="shared" si="26"/>
        <v>0.47000000000000003</v>
      </c>
      <c r="P81" s="77">
        <f t="shared" si="26"/>
        <v>0.47000000000000003</v>
      </c>
      <c r="Q81" s="77">
        <f t="shared" si="26"/>
        <v>0.47000000000000003</v>
      </c>
      <c r="R81" s="77">
        <f t="shared" si="26"/>
        <v>0.22</v>
      </c>
      <c r="S81" s="77">
        <f t="shared" si="26"/>
        <v>0.22</v>
      </c>
      <c r="T81" s="77">
        <f t="shared" si="26"/>
        <v>0.37</v>
      </c>
      <c r="U81" s="77">
        <f t="shared" si="26"/>
        <v>0.37</v>
      </c>
      <c r="V81" s="77">
        <f t="shared" si="26"/>
        <v>0.12</v>
      </c>
      <c r="W81" s="77">
        <f t="shared" si="26"/>
        <v>9.9999999999999992E-2</v>
      </c>
      <c r="X81" s="77">
        <f t="shared" si="26"/>
        <v>1.04</v>
      </c>
    </row>
    <row r="82" spans="2:26" ht="16.2" thickBot="1" x14ac:dyDescent="0.35">
      <c r="B82" s="61" t="s">
        <v>106</v>
      </c>
      <c r="C82" s="94" t="str">
        <f>IF(C81&gt;$C$12,"φ"&amp;IF(VLOOKUP(VLOOKUP(C81,tablas!$R$3:$T$66,2,TRUE)&amp;VLOOKUP(C81,tablas!$R$3:$T$66,3,TRUE),tablas!$Q$3:$R$66,2,FALSE)&lt;C81,VLOOKUP(C81+0.1,tablas!$R$3:$T$66,2,TRUE),VLOOKUP(C81,tablas!$R$3:$T$66,2,TRUE))&amp;"@"&amp;IF(VLOOKUP(VLOOKUP(C81,tablas!$R$3:$T$66,2,TRUE)&amp;VLOOKUP(C81,tablas!$R$3:$T$66,3,TRUE),tablas!$Q$3:$R$66,2,FALSE)&lt;C81,VLOOKUP(C81+0.1,tablas!$R$3:$T$66,3,TRUE),VLOOKUP(C81,tablas!$R$3:$T$66,3,TRUE)),$C$13)</f>
        <v>φ10@18</v>
      </c>
      <c r="D82" s="95" t="str">
        <f>IF(D81&gt;$C$12,"φ"&amp;IF(VLOOKUP(VLOOKUP(D81,tablas!$R$3:$T$66,2,TRUE)&amp;VLOOKUP(D81,tablas!$R$3:$T$66,3,TRUE),tablas!$Q$3:$R$66,2,FALSE)&lt;D81,VLOOKUP(D81+0.1,tablas!$R$3:$T$66,2,TRUE),VLOOKUP(D81,tablas!$R$3:$T$66,2,TRUE))&amp;"@"&amp;IF(VLOOKUP(VLOOKUP(D81,tablas!$R$3:$T$66,2,TRUE)&amp;VLOOKUP(D81,tablas!$R$3:$T$66,3,TRUE),tablas!$Q$3:$R$66,2,FALSE)&lt;D81,VLOOKUP(D81+0.1,tablas!$R$3:$T$66,3,TRUE),VLOOKUP(D81,tablas!$R$3:$T$66,3,TRUE)),$C$13)</f>
        <v>φ8@17</v>
      </c>
      <c r="E82" s="95" t="str">
        <f>IF(E81&gt;$C$12,"φ"&amp;IF(VLOOKUP(VLOOKUP(E81,tablas!$R$3:$T$66,2,TRUE)&amp;VLOOKUP(E81,tablas!$R$3:$T$66,3,TRUE),tablas!$Q$3:$R$66,2,FALSE)&lt;E81,VLOOKUP(E81+0.1,tablas!$R$3:$T$66,2,TRUE),VLOOKUP(E81,tablas!$R$3:$T$66,2,TRUE))&amp;"@"&amp;IF(VLOOKUP(VLOOKUP(E81,tablas!$R$3:$T$66,2,TRUE)&amp;VLOOKUP(E81,tablas!$R$3:$T$66,3,TRUE),tablas!$Q$3:$R$66,2,FALSE)&lt;E81,VLOOKUP(E81+0.1,tablas!$R$3:$T$66,3,TRUE),VLOOKUP(E81,tablas!$R$3:$T$66,3,TRUE)),$C$13)</f>
        <v>φ8@17</v>
      </c>
      <c r="F82" s="95" t="str">
        <f>IF(F81&gt;$C$12,"φ"&amp;IF(VLOOKUP(VLOOKUP(F81,tablas!$R$3:$T$66,2,TRUE)&amp;VLOOKUP(F81,tablas!$R$3:$T$66,3,TRUE),tablas!$Q$3:$R$66,2,FALSE)&lt;F81,VLOOKUP(F81+0.1,tablas!$R$3:$T$66,2,TRUE),VLOOKUP(F81,tablas!$R$3:$T$66,2,TRUE))&amp;"@"&amp;IF(VLOOKUP(VLOOKUP(F81,tablas!$R$3:$T$66,2,TRUE)&amp;VLOOKUP(F81,tablas!$R$3:$T$66,3,TRUE),tablas!$Q$3:$R$66,2,FALSE)&lt;F81,VLOOKUP(F81+0.1,tablas!$R$3:$T$66,3,TRUE),VLOOKUP(F81,tablas!$R$3:$T$66,3,TRUE)),$C$13)</f>
        <v>φ10@20</v>
      </c>
      <c r="G82" s="95" t="str">
        <f>IF(G81&gt;$C$12,"φ"&amp;IF(VLOOKUP(VLOOKUP(G81,tablas!$R$3:$T$66,2,TRUE)&amp;VLOOKUP(G81,tablas!$R$3:$T$66,3,TRUE),tablas!$Q$3:$R$66,2,FALSE)&lt;G81,VLOOKUP(G81+0.1,tablas!$R$3:$T$66,2,TRUE),VLOOKUP(G81,tablas!$R$3:$T$66,2,TRUE))&amp;"@"&amp;IF(VLOOKUP(VLOOKUP(G81,tablas!$R$3:$T$66,2,TRUE)&amp;VLOOKUP(G81,tablas!$R$3:$T$66,3,TRUE),tablas!$Q$3:$R$66,2,FALSE)&lt;G81,VLOOKUP(G81+0.1,tablas!$R$3:$T$66,3,TRUE),VLOOKUP(G81,tablas!$R$3:$T$66,3,TRUE)),$C$13)</f>
        <v>φ10@21</v>
      </c>
      <c r="H82" s="95" t="str">
        <f>IF(H81&gt;$C$12,"φ"&amp;IF(VLOOKUP(VLOOKUP(H81,tablas!$R$3:$T$66,2,TRUE)&amp;VLOOKUP(H81,tablas!$R$3:$T$66,3,TRUE),tablas!$Q$3:$R$66,2,FALSE)&lt;H81,VLOOKUP(H81+0.1,tablas!$R$3:$T$66,2,TRUE),VLOOKUP(H81,tablas!$R$3:$T$66,2,TRUE))&amp;"@"&amp;IF(VLOOKUP(VLOOKUP(H81,tablas!$R$3:$T$66,2,TRUE)&amp;VLOOKUP(H81,tablas!$R$3:$T$66,3,TRUE),tablas!$Q$3:$R$66,2,FALSE)&lt;H81,VLOOKUP(H81+0.1,tablas!$R$3:$T$66,3,TRUE),VLOOKUP(H81,tablas!$R$3:$T$66,3,TRUE)),$C$13)</f>
        <v>φ8@17</v>
      </c>
      <c r="I82" s="95" t="str">
        <f>IF(I81&gt;$C$12,"φ"&amp;IF(VLOOKUP(VLOOKUP(I81,tablas!$R$3:$T$66,2,TRUE)&amp;VLOOKUP(I81,tablas!$R$3:$T$66,3,TRUE),tablas!$Q$3:$R$66,2,FALSE)&lt;I81,VLOOKUP(I81+0.1,tablas!$R$3:$T$66,2,TRUE),VLOOKUP(I81,tablas!$R$3:$T$66,2,TRUE))&amp;"@"&amp;IF(VLOOKUP(VLOOKUP(I81,tablas!$R$3:$T$66,2,TRUE)&amp;VLOOKUP(I81,tablas!$R$3:$T$66,3,TRUE),tablas!$Q$3:$R$66,2,FALSE)&lt;I81,VLOOKUP(I81+0.1,tablas!$R$3:$T$66,3,TRUE),VLOOKUP(I81,tablas!$R$3:$T$66,3,TRUE)),$C$13)</f>
        <v>φ8@17</v>
      </c>
      <c r="J82" s="95" t="str">
        <f>IF(J81&gt;$C$12,"φ"&amp;IF(VLOOKUP(VLOOKUP(J81,tablas!$R$3:$T$66,2,TRUE)&amp;VLOOKUP(J81,tablas!$R$3:$T$66,3,TRUE),tablas!$Q$3:$R$66,2,FALSE)&lt;J81,VLOOKUP(J81+0.1,tablas!$R$3:$T$66,2,TRUE),VLOOKUP(J81,tablas!$R$3:$T$66,2,TRUE))&amp;"@"&amp;IF(VLOOKUP(VLOOKUP(J81,tablas!$R$3:$T$66,2,TRUE)&amp;VLOOKUP(J81,tablas!$R$3:$T$66,3,TRUE),tablas!$Q$3:$R$66,2,FALSE)&lt;J81,VLOOKUP(J81+0.1,tablas!$R$3:$T$66,3,TRUE),VLOOKUP(J81,tablas!$R$3:$T$66,3,TRUE)),$C$13)</f>
        <v>φ8@17</v>
      </c>
      <c r="K82" s="95" t="str">
        <f>IF(K81&gt;$C$12,"φ"&amp;IF(VLOOKUP(VLOOKUP(K81,tablas!$R$3:$T$66,2,TRUE)&amp;VLOOKUP(K81,tablas!$R$3:$T$66,3,TRUE),tablas!$Q$3:$R$66,2,FALSE)&lt;K81,VLOOKUP(K81+0.1,tablas!$R$3:$T$66,2,TRUE),VLOOKUP(K81,tablas!$R$3:$T$66,2,TRUE))&amp;"@"&amp;IF(VLOOKUP(VLOOKUP(K81,tablas!$R$3:$T$66,2,TRUE)&amp;VLOOKUP(K81,tablas!$R$3:$T$66,3,TRUE),tablas!$Q$3:$R$66,2,FALSE)&lt;K81,VLOOKUP(K81+0.1,tablas!$R$3:$T$66,3,TRUE),VLOOKUP(K81,tablas!$R$3:$T$66,3,TRUE)),$C$13)</f>
        <v>φ8@17</v>
      </c>
      <c r="L82" s="95" t="str">
        <f>IF(L81&gt;$C$12,"φ"&amp;IF(VLOOKUP(VLOOKUP(L81,tablas!$R$3:$T$66,2,TRUE)&amp;VLOOKUP(L81,tablas!$R$3:$T$66,3,TRUE),tablas!$Q$3:$R$66,2,FALSE)&lt;L81,VLOOKUP(L81+0.1,tablas!$R$3:$T$66,2,TRUE),VLOOKUP(L81,tablas!$R$3:$T$66,2,TRUE))&amp;"@"&amp;IF(VLOOKUP(VLOOKUP(L81,tablas!$R$3:$T$66,2,TRUE)&amp;VLOOKUP(L81,tablas!$R$3:$T$66,3,TRUE),tablas!$Q$3:$R$66,2,FALSE)&lt;L81,VLOOKUP(L81+0.1,tablas!$R$3:$T$66,3,TRUE),VLOOKUP(L81,tablas!$R$3:$T$66,3,TRUE)),$C$13)</f>
        <v>φ8@17</v>
      </c>
      <c r="M82" s="95" t="str">
        <f>IF(M81&gt;$C$12,"φ"&amp;IF(VLOOKUP(VLOOKUP(M81,tablas!$R$3:$T$66,2,TRUE)&amp;VLOOKUP(M81,tablas!$R$3:$T$66,3,TRUE),tablas!$Q$3:$R$66,2,FALSE)&lt;M81,VLOOKUP(M81+0.1,tablas!$R$3:$T$66,2,TRUE),VLOOKUP(M81,tablas!$R$3:$T$66,2,TRUE))&amp;"@"&amp;IF(VLOOKUP(VLOOKUP(M81,tablas!$R$3:$T$66,2,TRUE)&amp;VLOOKUP(M81,tablas!$R$3:$T$66,3,TRUE),tablas!$Q$3:$R$66,2,FALSE)&lt;M81,VLOOKUP(M81+0.1,tablas!$R$3:$T$66,3,TRUE),VLOOKUP(M81,tablas!$R$3:$T$66,3,TRUE)),$C$13)</f>
        <v>φ8@14</v>
      </c>
      <c r="N82" s="95" t="str">
        <f>IF(N81&gt;$C$12,"φ"&amp;IF(VLOOKUP(VLOOKUP(N81,tablas!$R$3:$T$66,2,TRUE)&amp;VLOOKUP(N81,tablas!$R$3:$T$66,3,TRUE),tablas!$Q$3:$R$66,2,FALSE)&lt;N81,VLOOKUP(N81+0.1,tablas!$R$3:$T$66,2,TRUE),VLOOKUP(N81,tablas!$R$3:$T$66,2,TRUE))&amp;"@"&amp;IF(VLOOKUP(VLOOKUP(N81,tablas!$R$3:$T$66,2,TRUE)&amp;VLOOKUP(N81,tablas!$R$3:$T$66,3,TRUE),tablas!$Q$3:$R$66,2,FALSE)&lt;N81,VLOOKUP(N81+0.1,tablas!$R$3:$T$66,3,TRUE),VLOOKUP(N81,tablas!$R$3:$T$66,3,TRUE)),$C$13)</f>
        <v>φ8@17</v>
      </c>
      <c r="O82" s="95" t="str">
        <f>IF(O81&gt;$C$12,"φ"&amp;IF(VLOOKUP(VLOOKUP(O81,tablas!$R$3:$T$66,2,TRUE)&amp;VLOOKUP(O81,tablas!$R$3:$T$66,3,TRUE),tablas!$Q$3:$R$66,2,FALSE)&lt;O81,VLOOKUP(O81+0.1,tablas!$R$3:$T$66,2,TRUE),VLOOKUP(O81,tablas!$R$3:$T$66,2,TRUE))&amp;"@"&amp;IF(VLOOKUP(VLOOKUP(O81,tablas!$R$3:$T$66,2,TRUE)&amp;VLOOKUP(O81,tablas!$R$3:$T$66,3,TRUE),tablas!$Q$3:$R$66,2,FALSE)&lt;O81,VLOOKUP(O81+0.1,tablas!$R$3:$T$66,3,TRUE),VLOOKUP(O81,tablas!$R$3:$T$66,3,TRUE)),$C$13)</f>
        <v>φ8@17</v>
      </c>
      <c r="P82" s="95" t="str">
        <f>IF(P81&gt;$C$12,"φ"&amp;IF(VLOOKUP(VLOOKUP(P81,tablas!$R$3:$T$66,2,TRUE)&amp;VLOOKUP(P81,tablas!$R$3:$T$66,3,TRUE),tablas!$Q$3:$R$66,2,FALSE)&lt;P81,VLOOKUP(P81+0.1,tablas!$R$3:$T$66,2,TRUE),VLOOKUP(P81,tablas!$R$3:$T$66,2,TRUE))&amp;"@"&amp;IF(VLOOKUP(VLOOKUP(P81,tablas!$R$3:$T$66,2,TRUE)&amp;VLOOKUP(P81,tablas!$R$3:$T$66,3,TRUE),tablas!$Q$3:$R$66,2,FALSE)&lt;P81,VLOOKUP(P81+0.1,tablas!$R$3:$T$66,3,TRUE),VLOOKUP(P81,tablas!$R$3:$T$66,3,TRUE)),$C$13)</f>
        <v>φ8@17</v>
      </c>
      <c r="Q82" s="95" t="str">
        <f>IF(Q81&gt;$C$12,"φ"&amp;IF(VLOOKUP(VLOOKUP(Q81,tablas!$R$3:$T$66,2,TRUE)&amp;VLOOKUP(Q81,tablas!$R$3:$T$66,3,TRUE),tablas!$Q$3:$R$66,2,FALSE)&lt;Q81,VLOOKUP(Q81+0.1,tablas!$R$3:$T$66,2,TRUE),VLOOKUP(Q81,tablas!$R$3:$T$66,2,TRUE))&amp;"@"&amp;IF(VLOOKUP(VLOOKUP(Q81,tablas!$R$3:$T$66,2,TRUE)&amp;VLOOKUP(Q81,tablas!$R$3:$T$66,3,TRUE),tablas!$Q$3:$R$66,2,FALSE)&lt;Q81,VLOOKUP(Q81+0.1,tablas!$R$3:$T$66,3,TRUE),VLOOKUP(Q81,tablas!$R$3:$T$66,3,TRUE)),$C$13)</f>
        <v>φ8@17</v>
      </c>
      <c r="R82" s="95" t="str">
        <f>IF(R81&gt;$C$12,"φ"&amp;IF(VLOOKUP(VLOOKUP(R81,tablas!$R$3:$T$66,2,TRUE)&amp;VLOOKUP(R81,tablas!$R$3:$T$66,3,TRUE),tablas!$Q$3:$R$66,2,FALSE)&lt;R81,VLOOKUP(R81+0.1,tablas!$R$3:$T$66,2,TRUE),VLOOKUP(R81,tablas!$R$3:$T$66,2,TRUE))&amp;"@"&amp;IF(VLOOKUP(VLOOKUP(R81,tablas!$R$3:$T$66,2,TRUE)&amp;VLOOKUP(R81,tablas!$R$3:$T$66,3,TRUE),tablas!$Q$3:$R$66,2,FALSE)&lt;R81,VLOOKUP(R81+0.1,tablas!$R$3:$T$66,3,TRUE),VLOOKUP(R81,tablas!$R$3:$T$66,3,TRUE)),$C$13)</f>
        <v>φ8@17</v>
      </c>
      <c r="S82" s="95" t="str">
        <f>IF(S81&gt;$C$12,"φ"&amp;IF(VLOOKUP(VLOOKUP(S81,tablas!$R$3:$T$66,2,TRUE)&amp;VLOOKUP(S81,tablas!$R$3:$T$66,3,TRUE),tablas!$Q$3:$R$66,2,FALSE)&lt;S81,VLOOKUP(S81+0.1,tablas!$R$3:$T$66,2,TRUE),VLOOKUP(S81,tablas!$R$3:$T$66,2,TRUE))&amp;"@"&amp;IF(VLOOKUP(VLOOKUP(S81,tablas!$R$3:$T$66,2,TRUE)&amp;VLOOKUP(S81,tablas!$R$3:$T$66,3,TRUE),tablas!$Q$3:$R$66,2,FALSE)&lt;S81,VLOOKUP(S81+0.1,tablas!$R$3:$T$66,3,TRUE),VLOOKUP(S81,tablas!$R$3:$T$66,3,TRUE)),$C$13)</f>
        <v>φ8@17</v>
      </c>
      <c r="T82" s="95" t="str">
        <f>IF(T81&gt;$C$12,"φ"&amp;IF(VLOOKUP(VLOOKUP(T81,tablas!$R$3:$T$66,2,TRUE)&amp;VLOOKUP(T81,tablas!$R$3:$T$66,3,TRUE),tablas!$Q$3:$R$66,2,FALSE)&lt;T81,VLOOKUP(T81+0.1,tablas!$R$3:$T$66,2,TRUE),VLOOKUP(T81,tablas!$R$3:$T$66,2,TRUE))&amp;"@"&amp;IF(VLOOKUP(VLOOKUP(T81,tablas!$R$3:$T$66,2,TRUE)&amp;VLOOKUP(T81,tablas!$R$3:$T$66,3,TRUE),tablas!$Q$3:$R$66,2,FALSE)&lt;T81,VLOOKUP(T81+0.1,tablas!$R$3:$T$66,3,TRUE),VLOOKUP(T81,tablas!$R$3:$T$66,3,TRUE)),$C$13)</f>
        <v>φ8@17</v>
      </c>
      <c r="U82" s="95" t="str">
        <f>IF(U81&gt;$C$12,"φ"&amp;IF(VLOOKUP(VLOOKUP(U81,tablas!$R$3:$T$66,2,TRUE)&amp;VLOOKUP(U81,tablas!$R$3:$T$66,3,TRUE),tablas!$Q$3:$R$66,2,FALSE)&lt;U81,VLOOKUP(U81+0.1,tablas!$R$3:$T$66,2,TRUE),VLOOKUP(U81,tablas!$R$3:$T$66,2,TRUE))&amp;"@"&amp;IF(VLOOKUP(VLOOKUP(U81,tablas!$R$3:$T$66,2,TRUE)&amp;VLOOKUP(U81,tablas!$R$3:$T$66,3,TRUE),tablas!$Q$3:$R$66,2,FALSE)&lt;U81,VLOOKUP(U81+0.1,tablas!$R$3:$T$66,3,TRUE),VLOOKUP(U81,tablas!$R$3:$T$66,3,TRUE)),$C$13)</f>
        <v>φ8@17</v>
      </c>
      <c r="V82" s="95" t="str">
        <f>IF(V81&gt;$C$12,"φ"&amp;IF(VLOOKUP(VLOOKUP(V81,tablas!$R$3:$T$66,2,TRUE)&amp;VLOOKUP(V81,tablas!$R$3:$T$66,3,TRUE),tablas!$Q$3:$R$66,2,FALSE)&lt;V81,VLOOKUP(V81+0.1,tablas!$R$3:$T$66,2,TRUE),VLOOKUP(V81,tablas!$R$3:$T$66,2,TRUE))&amp;"@"&amp;IF(VLOOKUP(VLOOKUP(V81,tablas!$R$3:$T$66,2,TRUE)&amp;VLOOKUP(V81,tablas!$R$3:$T$66,3,TRUE),tablas!$Q$3:$R$66,2,FALSE)&lt;V81,VLOOKUP(V81+0.1,tablas!$R$3:$T$66,3,TRUE),VLOOKUP(V81,tablas!$R$3:$T$66,3,TRUE)),$C$13)</f>
        <v>φ8@17</v>
      </c>
      <c r="W82" s="95" t="str">
        <f>IF(W81&gt;$C$12,"φ"&amp;IF(VLOOKUP(VLOOKUP(W81,tablas!$R$3:$T$66,2,TRUE)&amp;VLOOKUP(W81,tablas!$R$3:$T$66,3,TRUE),tablas!$Q$3:$R$66,2,FALSE)&lt;W81,VLOOKUP(W81+0.1,tablas!$R$3:$T$66,2,TRUE),VLOOKUP(W81,tablas!$R$3:$T$66,2,TRUE))&amp;"@"&amp;IF(VLOOKUP(VLOOKUP(W81,tablas!$R$3:$T$66,2,TRUE)&amp;VLOOKUP(W81,tablas!$R$3:$T$66,3,TRUE),tablas!$Q$3:$R$66,2,FALSE)&lt;W81,VLOOKUP(W81+0.1,tablas!$R$3:$T$66,3,TRUE),VLOOKUP(W81,tablas!$R$3:$T$66,3,TRUE)),$C$13)</f>
        <v>φ8@17</v>
      </c>
      <c r="X82" s="95" t="str">
        <f>IF(X81&gt;$C$12,"φ"&amp;IF(VLOOKUP(VLOOKUP(X81,tablas!$R$3:$T$66,2,TRUE)&amp;VLOOKUP(X81,tablas!$R$3:$T$66,3,TRUE),tablas!$Q$3:$R$66,2,FALSE)&lt;X81,VLOOKUP(X81+0.1,tablas!$R$3:$T$66,2,TRUE),VLOOKUP(X81,tablas!$R$3:$T$66,2,TRUE))&amp;"@"&amp;IF(VLOOKUP(VLOOKUP(X81,tablas!$R$3:$T$66,2,TRUE)&amp;VLOOKUP(X81,tablas!$R$3:$T$66,3,TRUE),tablas!$Q$3:$R$66,2,FALSE)&lt;X81,VLOOKUP(X81+0.1,tablas!$R$3:$T$66,3,TRUE),VLOOKUP(X81,tablas!$R$3:$T$66,3,TRUE)),$C$13)</f>
        <v>φ8@17</v>
      </c>
    </row>
    <row r="83" spans="2:26" x14ac:dyDescent="0.3">
      <c r="C83" t="str">
        <f>IF(AND(C67='8 a 13'!C67,C72='8 a 13'!C72,C77='8 a 13'!C77,C82='8 a 13'!C82),"IGUAL","PUTA LA WEA")</f>
        <v>IGUAL</v>
      </c>
      <c r="D83" t="str">
        <f>IF(AND(D67='8 a 13'!D67,D72='8 a 13'!D72,D77='8 a 13'!D77,D82='8 a 13'!D82),"IGUAL","PUTA LA WEA")</f>
        <v>IGUAL</v>
      </c>
      <c r="E83" t="str">
        <f>IF(AND(E67='8 a 13'!E67,E72='8 a 13'!E72,E77='8 a 13'!E77,E82='8 a 13'!E82),"IGUAL","PUTA LA WEA")</f>
        <v>IGUAL</v>
      </c>
      <c r="F83" t="str">
        <f>IF(AND(F67='8 a 13'!F67,F72='8 a 13'!F72,F77='8 a 13'!F77,F82='8 a 13'!F82),"IGUAL","PUTA LA WEA")</f>
        <v>IGUAL</v>
      </c>
      <c r="G83" t="str">
        <f>IF(AND(G67='8 a 13'!G67,G72='8 a 13'!G72,G77='8 a 13'!G77,G82='8 a 13'!G82),"IGUAL","PUTA LA WEA")</f>
        <v>IGUAL</v>
      </c>
      <c r="H83" t="str">
        <f>IF(AND(H67='8 a 13'!H67,H72='8 a 13'!H72,H77='8 a 13'!H77,H82='8 a 13'!H82),"IGUAL","PUTA LA WEA")</f>
        <v>IGUAL</v>
      </c>
      <c r="I83" t="str">
        <f>IF(AND(I67='8 a 13'!I67,I72='8 a 13'!I72,I77='8 a 13'!I77,I82='8 a 13'!I82),"IGUAL","PUTA LA WEA")</f>
        <v>IGUAL</v>
      </c>
      <c r="J83" t="str">
        <f>IF(AND(J67='8 a 13'!J67,J72='8 a 13'!J72,J77='8 a 13'!J77,J82='8 a 13'!J82),"IGUAL","PUTA LA WEA")</f>
        <v>IGUAL</v>
      </c>
      <c r="K83" t="str">
        <f>IF(AND(K67='8 a 13'!K67,K72='8 a 13'!K72,K77='8 a 13'!K77,K82='8 a 13'!K82),"IGUAL","PUTA LA WEA")</f>
        <v>IGUAL</v>
      </c>
      <c r="L83" t="str">
        <f>IF(AND(L67='8 a 13'!L67,L72='8 a 13'!L72,L77='8 a 13'!L77,L82='8 a 13'!L82),"IGUAL","PUTA LA WEA")</f>
        <v>IGUAL</v>
      </c>
      <c r="M83" t="str">
        <f>IF(AND(M67='8 a 13'!M67,M72='8 a 13'!M72,M77='8 a 13'!M77,M82='8 a 13'!M82),"IGUAL","PUTA LA WEA")</f>
        <v>IGUAL</v>
      </c>
      <c r="N83" t="str">
        <f>IF(AND(N67='8 a 13'!N67,N72='8 a 13'!N72,N77='8 a 13'!N77,N82='8 a 13'!N82),"IGUAL","PUTA LA WEA")</f>
        <v>IGUAL</v>
      </c>
      <c r="O83" t="str">
        <f>IF(AND(O67='8 a 13'!O67,O72='8 a 13'!O72,O77='8 a 13'!O77,O82='8 a 13'!O82),"IGUAL","PUTA LA WEA")</f>
        <v>IGUAL</v>
      </c>
      <c r="P83" t="str">
        <f>IF(AND(P67='8 a 13'!P67,P72='8 a 13'!P72,P77='8 a 13'!P77,P82='8 a 13'!P82),"IGUAL","PUTA LA WEA")</f>
        <v>IGUAL</v>
      </c>
      <c r="Q83" t="str">
        <f>IF(AND(Q67='8 a 13'!Q67,Q72='8 a 13'!Q72,Q77='8 a 13'!Q77,Q82='8 a 13'!Q82),"IGUAL","PUTA LA WEA")</f>
        <v>IGUAL</v>
      </c>
      <c r="R83" t="str">
        <f>IF(AND(R67='8 a 13'!R67,R72='8 a 13'!R72,R77='8 a 13'!R77,R82='8 a 13'!R82),"IGUAL","PUTA LA WEA")</f>
        <v>IGUAL</v>
      </c>
      <c r="S83" t="str">
        <f>IF(AND(S67='8 a 13'!S67,S72='8 a 13'!S72,S77='8 a 13'!S77,S82='8 a 13'!S82),"IGUAL","PUTA LA WEA")</f>
        <v>IGUAL</v>
      </c>
      <c r="T83" t="str">
        <f>IF(AND(T67='8 a 13'!T67,T72='8 a 13'!T72,T77='8 a 13'!T77,T82='8 a 13'!T82),"IGUAL","PUTA LA WEA")</f>
        <v>IGUAL</v>
      </c>
      <c r="U83" t="str">
        <f>IF(AND(U67='8 a 13'!U67,U72='8 a 13'!U72,U77='8 a 13'!U77,U82='8 a 13'!U82),"IGUAL","PUTA LA WEA")</f>
        <v>IGUAL</v>
      </c>
      <c r="V83" t="str">
        <f>IF(AND(V67='8 a 13'!V67,V72='8 a 13'!V72,V77='8 a 13'!V77,V82='8 a 13'!V82),"IGUAL","PUTA LA WEA")</f>
        <v>IGUAL</v>
      </c>
      <c r="W83" t="str">
        <f>IF(AND(W67='8 a 13'!W67,W72='8 a 13'!W72,W77='8 a 13'!W77,W82='8 a 13'!W82),"IGUAL","PUTA LA WEA")</f>
        <v>IGUAL</v>
      </c>
      <c r="X83" t="str">
        <f>IF(AND(X67='8 a 13'!X67,X72='8 a 13'!X72,X77='8 a 13'!X77,X82='8 a 13'!X82),"IGUAL","PUTA LA WEA")</f>
        <v>IGUAL</v>
      </c>
    </row>
    <row r="84" spans="2:26" ht="15" thickBot="1" x14ac:dyDescent="0.35">
      <c r="B84" s="126" t="s">
        <v>107</v>
      </c>
      <c r="C84" s="126"/>
      <c r="P84" s="40"/>
      <c r="T84" s="40"/>
      <c r="U84" s="41"/>
    </row>
    <row r="85" spans="2:26" ht="15" thickBot="1" x14ac:dyDescent="0.35">
      <c r="B85" s="73" t="s">
        <v>43</v>
      </c>
      <c r="C85" s="74" t="s">
        <v>186</v>
      </c>
      <c r="D85" s="75" t="s">
        <v>188</v>
      </c>
      <c r="E85" s="74" t="s">
        <v>186</v>
      </c>
      <c r="F85" s="75" t="s">
        <v>191</v>
      </c>
      <c r="G85" s="74" t="s">
        <v>186</v>
      </c>
      <c r="H85" s="75" t="s">
        <v>192</v>
      </c>
      <c r="I85" s="74" t="s">
        <v>186</v>
      </c>
      <c r="J85" s="75" t="s">
        <v>198</v>
      </c>
      <c r="K85" s="74" t="s">
        <v>186</v>
      </c>
      <c r="L85" s="75" t="s">
        <v>207</v>
      </c>
      <c r="M85" s="74" t="s">
        <v>188</v>
      </c>
      <c r="N85" s="75" t="s">
        <v>189</v>
      </c>
      <c r="O85" s="74" t="s">
        <v>188</v>
      </c>
      <c r="P85" s="75" t="s">
        <v>194</v>
      </c>
      <c r="Q85" s="74" t="s">
        <v>188</v>
      </c>
      <c r="R85" s="75" t="s">
        <v>199</v>
      </c>
      <c r="S85" s="74" t="s">
        <v>189</v>
      </c>
      <c r="T85" s="75" t="s">
        <v>200</v>
      </c>
      <c r="U85" s="74" t="s">
        <v>189</v>
      </c>
      <c r="V85" s="75" t="s">
        <v>194</v>
      </c>
      <c r="W85" s="74" t="s">
        <v>189</v>
      </c>
      <c r="X85" s="75" t="s">
        <v>190</v>
      </c>
      <c r="Y85" s="74" t="s">
        <v>190</v>
      </c>
      <c r="Z85" s="75" t="s">
        <v>201</v>
      </c>
    </row>
    <row r="86" spans="2:26" x14ac:dyDescent="0.3">
      <c r="B86" s="105" t="s">
        <v>114</v>
      </c>
      <c r="C86" s="102" t="s">
        <v>109</v>
      </c>
      <c r="D86" s="103" t="s">
        <v>109</v>
      </c>
      <c r="E86" s="102" t="s">
        <v>108</v>
      </c>
      <c r="F86" s="103" t="s">
        <v>108</v>
      </c>
      <c r="G86" s="102" t="s">
        <v>108</v>
      </c>
      <c r="H86" s="103" t="s">
        <v>109</v>
      </c>
      <c r="I86" s="102" t="s">
        <v>108</v>
      </c>
      <c r="J86" s="103" t="s">
        <v>108</v>
      </c>
      <c r="K86" s="102" t="s">
        <v>109</v>
      </c>
      <c r="L86" s="103" t="s">
        <v>108</v>
      </c>
      <c r="M86" s="102" t="s">
        <v>109</v>
      </c>
      <c r="N86" s="103" t="s">
        <v>109</v>
      </c>
      <c r="O86" s="102" t="s">
        <v>108</v>
      </c>
      <c r="P86" s="103" t="s">
        <v>108</v>
      </c>
      <c r="Q86" s="102" t="s">
        <v>108</v>
      </c>
      <c r="R86" s="103" t="s">
        <v>108</v>
      </c>
      <c r="S86" s="102" t="s">
        <v>108</v>
      </c>
      <c r="T86" s="103" t="s">
        <v>108</v>
      </c>
      <c r="U86" s="102" t="s">
        <v>108</v>
      </c>
      <c r="V86" s="103" t="s">
        <v>108</v>
      </c>
      <c r="W86" s="102" t="s">
        <v>109</v>
      </c>
      <c r="X86" s="103" t="s">
        <v>109</v>
      </c>
      <c r="Y86" s="102" t="s">
        <v>108</v>
      </c>
      <c r="Z86" s="103" t="s">
        <v>108</v>
      </c>
    </row>
    <row r="87" spans="2:26" x14ac:dyDescent="0.3">
      <c r="B87" s="106" t="s">
        <v>110</v>
      </c>
      <c r="C87" s="104">
        <f t="shared" ref="C87:K87" si="27">HLOOKUP(C85,$B$39:$V$82,IF(C86="x",35,40),FALSE)</f>
        <v>2320.2508960573477</v>
      </c>
      <c r="D87" s="86">
        <f t="shared" si="27"/>
        <v>1216.7161572052403</v>
      </c>
      <c r="E87" s="104">
        <f t="shared" si="27"/>
        <v>3157.8048780487807</v>
      </c>
      <c r="F87" s="86">
        <f t="shared" si="27"/>
        <v>2330.2529032258067</v>
      </c>
      <c r="G87" s="104">
        <f t="shared" si="27"/>
        <v>3157.8048780487807</v>
      </c>
      <c r="H87" s="86">
        <f t="shared" si="27"/>
        <v>1323.0049261083741</v>
      </c>
      <c r="I87" s="104">
        <f t="shared" si="27"/>
        <v>3157.8048780487807</v>
      </c>
      <c r="J87" s="86">
        <f t="shared" si="27"/>
        <v>350.56537500000002</v>
      </c>
      <c r="K87" s="104">
        <f t="shared" si="27"/>
        <v>2320.2508960573477</v>
      </c>
      <c r="L87" s="86">
        <f>HLOOKUP(L85,$B$39:$X$82,IF(L86="x",35,40),FALSE)</f>
        <v>75.337499999999991</v>
      </c>
      <c r="M87" s="104">
        <f t="shared" ref="M87:Z87" si="28">HLOOKUP(M85,$B$39:$X$82,IF(M86="x",35,40),FALSE)</f>
        <v>1216.7161572052403</v>
      </c>
      <c r="N87" s="86">
        <f t="shared" si="28"/>
        <v>1216.7161572052403</v>
      </c>
      <c r="O87" s="104">
        <f t="shared" si="28"/>
        <v>1482.063829787234</v>
      </c>
      <c r="P87" s="86">
        <f t="shared" si="28"/>
        <v>227.0333333333333</v>
      </c>
      <c r="Q87" s="104">
        <f t="shared" si="28"/>
        <v>1482.063829787234</v>
      </c>
      <c r="R87" s="86">
        <f t="shared" si="28"/>
        <v>350.56537500000002</v>
      </c>
      <c r="S87" s="104">
        <f t="shared" si="28"/>
        <v>1482.063829787234</v>
      </c>
      <c r="T87" s="86">
        <f t="shared" si="28"/>
        <v>350.56537500000002</v>
      </c>
      <c r="U87" s="104">
        <f t="shared" si="28"/>
        <v>1482.063829787234</v>
      </c>
      <c r="V87" s="86">
        <f t="shared" si="28"/>
        <v>227.0333333333333</v>
      </c>
      <c r="W87" s="104">
        <f t="shared" si="28"/>
        <v>1216.7161572052403</v>
      </c>
      <c r="X87" s="86">
        <f t="shared" si="28"/>
        <v>2084.7312244897957</v>
      </c>
      <c r="Y87" s="104">
        <f t="shared" si="28"/>
        <v>2660.2039062500003</v>
      </c>
      <c r="Z87" s="86">
        <f t="shared" si="28"/>
        <v>350.56537500000002</v>
      </c>
    </row>
    <row r="88" spans="2:26" x14ac:dyDescent="0.3">
      <c r="B88" s="106" t="s">
        <v>111</v>
      </c>
      <c r="C88" s="127">
        <f>(MAX(C87:D87)-MIN(C87:D87))/(MAX(C87:D87))</f>
        <v>0.47561009058428666</v>
      </c>
      <c r="D88" s="128"/>
      <c r="E88" s="127">
        <f>(MAX(E87:F87)-MIN(E87:F87))/(MAX(E87:F87))</f>
        <v>0.26206558251133028</v>
      </c>
      <c r="F88" s="128"/>
      <c r="G88" s="127">
        <f>(MAX(G87:H87)-MIN(G87:H87))/(MAX(G87:H87))</f>
        <v>0.58103651834059367</v>
      </c>
      <c r="H88" s="128"/>
      <c r="I88" s="127">
        <f>(MAX(I87:J87)-MIN(I87:J87))/(MAX(I87:J87))</f>
        <v>0.88898447227156863</v>
      </c>
      <c r="J88" s="128"/>
      <c r="K88" s="127">
        <f>(MAX(K87:L87)-MIN(K87:L87))/(MAX(K87:L87))</f>
        <v>0.96753045106974589</v>
      </c>
      <c r="L88" s="128"/>
      <c r="M88" s="127">
        <f>(MAX(M87:N87)-MIN(M87:N87))/(MAX(M87:N87))</f>
        <v>0</v>
      </c>
      <c r="N88" s="128"/>
      <c r="O88" s="127">
        <f>(MAX(O87:P87)-MIN(O87:P87))/(MAX(O87:P87))</f>
        <v>0.84681271563996918</v>
      </c>
      <c r="P88" s="128"/>
      <c r="Q88" s="127">
        <f>(MAX(Q87:R87)-MIN(Q87:R87))/(MAX(Q87:R87))</f>
        <v>0.76346135169473284</v>
      </c>
      <c r="R88" s="128"/>
      <c r="S88" s="127">
        <f>(MAX(S87:T87)-MIN(S87:T87))/(MAX(S87:T87))</f>
        <v>0.76346135169473284</v>
      </c>
      <c r="T88" s="128"/>
      <c r="U88" s="127">
        <f>(MAX(U87:V87)-MIN(U87:V87))/(MAX(U87:V87))</f>
        <v>0.84681271563996918</v>
      </c>
      <c r="V88" s="128"/>
      <c r="W88" s="127">
        <f>(MAX(W87:X87)-MIN(W87:X87))/(MAX(W87:X87))</f>
        <v>0.41636785456455572</v>
      </c>
      <c r="X88" s="128"/>
      <c r="Y88" s="127">
        <f>(MAX(Y87:Z87)-MIN(Y87:Z87))/(MAX(Y87:Z87))</f>
        <v>0.8682186075374273</v>
      </c>
      <c r="Z88" s="128"/>
    </row>
    <row r="89" spans="2:26" x14ac:dyDescent="0.3">
      <c r="B89" s="106" t="s">
        <v>112</v>
      </c>
      <c r="C89" s="129">
        <f>IF(C88&lt;25%,(C87*0.5+D87*0.5)*0.9,IF(C88&lt;50%,(MAX(C87:D87)*0.6+MIN(C87:D87)*0.4)*0.9,IF(C88&lt;70%,(MAX(C87:D87)*0.65+MIN(C87:D87)*0.35)*0.9,IF(C88&lt;100%,(MAX(C87:D87)*0.7+MIN(C87:D87)*0.3)*0.9,0.7*MAX(C87:D87)))))</f>
        <v>1690.9533004648542</v>
      </c>
      <c r="D89" s="130"/>
      <c r="E89" s="129">
        <f>IF(E88&lt;25%,(E87*0.5+F87*0.5)*0.9,IF(E88&lt;50%,(MAX(E87:F87)*0.6+MIN(E87:F87)*0.4)*0.9,IF(E88&lt;70%,(MAX(E87:F87)*0.65+MIN(E87:F87)*0.35)*0.9,IF(E88&lt;100%,(MAX(E87:F87)*0.7+MIN(E87:F87)*0.3)*0.9,0.7*MAX(E87:F87)))))</f>
        <v>2544.1056793076323</v>
      </c>
      <c r="F89" s="130"/>
      <c r="G89" s="129">
        <f>IF(G88&lt;25%,(G87*0.5+H87*0.5)*0.9,IF(G88&lt;50%,(MAX(G87:H87)*0.6+MIN(G87:H87)*0.4)*0.9,IF(G88&lt;70%,(MAX(G87:H87)*0.65+MIN(G87:H87)*0.35)*0.9,IF(G88&lt;100%,(MAX(G87:H87)*0.7+MIN(G87:H87)*0.3)*0.9,0.7*MAX(G87:H87)))))</f>
        <v>2264.0624053826746</v>
      </c>
      <c r="H89" s="130"/>
      <c r="I89" s="129">
        <f>IF(I88&lt;25%,(I87*0.5+J87*0.5)*0.9,IF(I88&lt;50%,(MAX(I87:J87)*0.6+MIN(I87:J87)*0.4)*0.9,IF(I88&lt;70%,(MAX(I87:J87)*0.65+MIN(I87:J87)*0.35)*0.9,IF(I88&lt;100%,(MAX(I87:J87)*0.7+MIN(I87:J87)*0.3)*0.9,0.7*MAX(I87:J87)))))</f>
        <v>2084.0697244207317</v>
      </c>
      <c r="J89" s="130"/>
      <c r="K89" s="129">
        <f>IF(K88&lt;25%,(K87*0.5+L87*0.5)*0.9,IF(K88&lt;50%,(MAX(K87:L87)*0.6+MIN(K87:L87)*0.4)*0.9,IF(K88&lt;70%,(MAX(K87:L87)*0.65+MIN(K87:L87)*0.35)*0.9,IF(K88&lt;100%,(MAX(K87:L87)*0.7+MIN(K87:L87)*0.3)*0.9,0.7*MAX(K87:L87)))))</f>
        <v>1482.0991895161289</v>
      </c>
      <c r="L89" s="130"/>
      <c r="M89" s="129">
        <f>IF(M88&lt;25%,(M87*0.5+N87*0.5)*0.9,IF(M88&lt;50%,(MAX(M87:N87)*0.6+MIN(M87:N87)*0.4)*0.9,IF(M88&lt;70%,(MAX(M87:N87)*0.65+MIN(M87:N87)*0.35)*0.9,IF(M88&lt;100%,(MAX(M87:N87)*0.7+MIN(M87:N87)*0.3)*0.9,0.7*MAX(M87:N87)))))</f>
        <v>1095.0445414847163</v>
      </c>
      <c r="N89" s="130"/>
      <c r="O89" s="129">
        <f>IF(O88&lt;25%,(O87*0.5+P87*0.5)*0.9,IF(O88&lt;50%,(MAX(O87:P87)*0.6+MIN(O87:P87)*0.4)*0.9,IF(O88&lt;70%,(MAX(O87:P87)*0.65+MIN(O87:P87)*0.35)*0.9,IF(O88&lt;100%,(MAX(O87:P87)*0.7+MIN(O87:P87)*0.3)*0.9,0.7*MAX(O87:P87)))))</f>
        <v>994.9992127659574</v>
      </c>
      <c r="P89" s="130"/>
      <c r="Q89" s="129">
        <f>IF(Q88&lt;25%,(Q87*0.5+R87*0.5)*0.9,IF(Q88&lt;50%,(MAX(Q87:R87)*0.6+MIN(Q87:R87)*0.4)*0.9,IF(Q88&lt;70%,(MAX(Q87:R87)*0.65+MIN(Q87:R87)*0.35)*0.9,IF(Q88&lt;100%,(MAX(Q87:R87)*0.7+MIN(Q87:R87)*0.3)*0.9,0.7*MAX(Q87:R87)))))</f>
        <v>1028.3528640159575</v>
      </c>
      <c r="R89" s="130"/>
      <c r="S89" s="129">
        <f>IF(S88&lt;25%,(S87*0.5+T87*0.5)*0.9,IF(S88&lt;50%,(MAX(S87:T87)*0.6+MIN(S87:T87)*0.4)*0.9,IF(S88&lt;70%,(MAX(S87:T87)*0.65+MIN(S87:T87)*0.35)*0.9,IF(S88&lt;100%,(MAX(S87:T87)*0.7+MIN(S87:T87)*0.3)*0.9,0.7*MAX(S87:T87)))))</f>
        <v>1028.3528640159575</v>
      </c>
      <c r="T89" s="130"/>
      <c r="U89" s="129">
        <f>IF(U88&lt;25%,(U87*0.5+V87*0.5)*0.9,IF(U88&lt;50%,(MAX(U87:V87)*0.6+MIN(U87:V87)*0.4)*0.9,IF(U88&lt;70%,(MAX(U87:V87)*0.65+MIN(U87:V87)*0.35)*0.9,IF(U88&lt;100%,(MAX(U87:V87)*0.7+MIN(U87:V87)*0.3)*0.9,0.7*MAX(U87:V87)))))</f>
        <v>994.9992127659574</v>
      </c>
      <c r="V89" s="130"/>
      <c r="W89" s="129">
        <f>IF(W88&lt;25%,(W87*0.5+X87*0.5)*0.9,IF(W88&lt;50%,(MAX(W87:X87)*0.6+MIN(W87:X87)*0.4)*0.9,IF(W88&lt;70%,(MAX(W87:X87)*0.65+MIN(W87:X87)*0.35)*0.9,IF(W88&lt;100%,(MAX(W87:X87)*0.7+MIN(W87:X87)*0.3)*0.9,0.7*MAX(W87:X87)))))</f>
        <v>1563.772677818376</v>
      </c>
      <c r="X89" s="130"/>
      <c r="Y89" s="129">
        <f>IF(Y88&lt;25%,(Y87*0.5+Z87*0.5)*0.9,IF(Y88&lt;50%,(MAX(Y87:Z87)*0.6+MIN(Y87:Z87)*0.4)*0.9,IF(Y88&lt;70%,(MAX(Y87:Z87)*0.65+MIN(Y87:Z87)*0.35)*0.9,IF(Y88&lt;100%,(MAX(Y87:Z87)*0.7+MIN(Y87:Z87)*0.3)*0.9,0.7*MAX(Y87:Z87)))))</f>
        <v>1770.5811121875001</v>
      </c>
      <c r="Z89" s="130"/>
    </row>
    <row r="90" spans="2:26" x14ac:dyDescent="0.3">
      <c r="B90" s="107" t="s">
        <v>15</v>
      </c>
      <c r="C90" s="131">
        <f>C89/(0.9*(0.9*($C$7/100))*($L$9*1000))</f>
        <v>3.4839730761691592</v>
      </c>
      <c r="D90" s="132"/>
      <c r="E90" s="131">
        <f>E89/(0.9*(0.9*($C$7/100))*($L$9*1000))</f>
        <v>5.2417743808774491</v>
      </c>
      <c r="F90" s="132"/>
      <c r="G90" s="131">
        <f>G89/(0.9*(0.9*($C$7/100))*($L$9*1000))</f>
        <v>4.6647843325723883</v>
      </c>
      <c r="H90" s="132"/>
      <c r="I90" s="131">
        <f>I89/(0.9*(0.9*($C$7/100))*($L$9*1000))</f>
        <v>4.2939345555817861</v>
      </c>
      <c r="J90" s="132"/>
      <c r="K90" s="131">
        <f>K89/(0.9*(0.9*($C$7/100))*($L$9*1000))</f>
        <v>3.053658354176203</v>
      </c>
      <c r="L90" s="132"/>
      <c r="M90" s="131">
        <f>M89/(0.9*(0.9*($C$7/100))*($L$9*1000))</f>
        <v>2.2561863173216881</v>
      </c>
      <c r="N90" s="132"/>
      <c r="O90" s="131">
        <f>O89/(0.9*(0.9*($C$7/100))*($L$9*1000))</f>
        <v>2.0500568922471878</v>
      </c>
      <c r="P90" s="132"/>
      <c r="Q90" s="131">
        <f>Q89/(0.9*(0.9*($C$7/100))*($L$9*1000))</f>
        <v>2.1187774316701224</v>
      </c>
      <c r="R90" s="132"/>
      <c r="S90" s="131">
        <f>S89/(0.9*(0.9*($C$7/100))*($L$9*1000))</f>
        <v>2.1187774316701224</v>
      </c>
      <c r="T90" s="132"/>
      <c r="U90" s="131">
        <f>U89/(0.9*(0.9*($C$7/100))*($L$9*1000))</f>
        <v>2.0500568922471878</v>
      </c>
      <c r="V90" s="132"/>
      <c r="W90" s="131">
        <f>W89/(0.9*(0.9*($C$7/100))*($L$9*1000))</f>
        <v>3.2219351683280908</v>
      </c>
      <c r="X90" s="132"/>
      <c r="Y90" s="131">
        <f>Y89/(0.9*(0.9*($C$7/100))*($L$9*1000))</f>
        <v>3.6480350594774507</v>
      </c>
      <c r="Z90" s="132"/>
    </row>
    <row r="91" spans="2:26" x14ac:dyDescent="0.3">
      <c r="B91" s="107" t="s">
        <v>98</v>
      </c>
      <c r="C91" s="133">
        <f>(C90*($L$9))/(0.85*$L$6*100)</f>
        <v>8.5994260472918124E-2</v>
      </c>
      <c r="D91" s="134"/>
      <c r="E91" s="133">
        <f>(E90*($L$9))/(0.85*$L$6*100)</f>
        <v>0.12938174365718269</v>
      </c>
      <c r="F91" s="134"/>
      <c r="G91" s="133">
        <f>(G90*($L$9))/(0.85*$L$6*100)</f>
        <v>0.11514000544065642</v>
      </c>
      <c r="H91" s="134"/>
      <c r="I91" s="133">
        <f>(I90*($L$9))/(0.85*$L$6*100)</f>
        <v>0.10598638926118825</v>
      </c>
      <c r="J91" s="134"/>
      <c r="K91" s="133">
        <f>(K90*($L$9))/(0.85*$L$6*100)</f>
        <v>7.5372882098466834E-2</v>
      </c>
      <c r="L91" s="134"/>
      <c r="M91" s="133">
        <f>(M90*($L$9))/(0.85*$L$6*100)</f>
        <v>5.5689027901596452E-2</v>
      </c>
      <c r="N91" s="134"/>
      <c r="O91" s="133">
        <f>(O90*($L$9))/(0.85*$L$6*100)</f>
        <v>5.0601173580265078E-2</v>
      </c>
      <c r="P91" s="134"/>
      <c r="Q91" s="133">
        <f>(Q90*($L$9))/(0.85*$L$6*100)</f>
        <v>5.2297389893587801E-2</v>
      </c>
      <c r="R91" s="134"/>
      <c r="S91" s="133">
        <f>(S90*($L$9))/(0.85*$L$6*100)</f>
        <v>5.2297389893587801E-2</v>
      </c>
      <c r="T91" s="134"/>
      <c r="U91" s="133">
        <f>(U90*($L$9))/(0.85*$L$6*100)</f>
        <v>5.0601173580265078E-2</v>
      </c>
      <c r="V91" s="134"/>
      <c r="W91" s="133">
        <f>(W90*($L$9))/(0.85*$L$6*100)</f>
        <v>7.9526427453542256E-2</v>
      </c>
      <c r="X91" s="134"/>
      <c r="Y91" s="133">
        <f>(Y90*($L$9))/(0.85*$L$6*100)</f>
        <v>9.0043771940965911E-2</v>
      </c>
      <c r="Z91" s="134"/>
    </row>
    <row r="92" spans="2:26" ht="15" thickBot="1" x14ac:dyDescent="0.35">
      <c r="B92" s="108" t="s">
        <v>15</v>
      </c>
      <c r="C92" s="135">
        <f>ROUNDUP(C89/(0.9*(($C$7-C91/2)/100)*($L$9*1000)),2)</f>
        <v>3.15</v>
      </c>
      <c r="D92" s="136"/>
      <c r="E92" s="135">
        <f>ROUNDUP(E89/(0.9*(($C$7-E91/2)/100)*($L$9*1000)),2)</f>
        <v>4.74</v>
      </c>
      <c r="F92" s="136"/>
      <c r="G92" s="135">
        <f>ROUNDUP(G89/(0.9*(($C$7-G91/2)/100)*($L$9*1000)),2)</f>
        <v>4.22</v>
      </c>
      <c r="H92" s="136"/>
      <c r="I92" s="135">
        <f>ROUNDUP(I89/(0.9*(($C$7-I91/2)/100)*($L$9*1000)),2)</f>
        <v>3.88</v>
      </c>
      <c r="J92" s="136"/>
      <c r="K92" s="135">
        <f>ROUNDUP(K89/(0.9*(($C$7-K91/2)/100)*($L$9*1000)),2)</f>
        <v>2.76</v>
      </c>
      <c r="L92" s="136"/>
      <c r="M92" s="135">
        <f>ROUNDUP(M89/(0.9*(($C$7-M91/2)/100)*($L$9*1000)),2)</f>
        <v>2.0399999999999996</v>
      </c>
      <c r="N92" s="136"/>
      <c r="O92" s="135">
        <f>ROUNDUP(O89/(0.9*(($C$7-O91/2)/100)*($L$9*1000)),2)</f>
        <v>1.85</v>
      </c>
      <c r="P92" s="136"/>
      <c r="Q92" s="135">
        <f>ROUNDUP(Q89/(0.9*(($C$7-Q91/2)/100)*($L$9*1000)),2)</f>
        <v>1.92</v>
      </c>
      <c r="R92" s="136"/>
      <c r="S92" s="135">
        <f>ROUNDUP(S89/(0.9*(($C$7-S91/2)/100)*($L$9*1000)),2)</f>
        <v>1.92</v>
      </c>
      <c r="T92" s="136"/>
      <c r="U92" s="135">
        <f>ROUNDUP(U89/(0.9*(($C$7-U91/2)/100)*($L$9*1000)),2)</f>
        <v>1.85</v>
      </c>
      <c r="V92" s="136"/>
      <c r="W92" s="135">
        <f>ROUNDUP(W89/(0.9*(($C$7-W91/2)/100)*($L$9*1000)),2)</f>
        <v>2.9099999999999997</v>
      </c>
      <c r="X92" s="136"/>
      <c r="Y92" s="135">
        <f>ROUNDUP(Y89/(0.9*(($C$7-Y91/2)/100)*($L$9*1000)),2)</f>
        <v>3.3</v>
      </c>
      <c r="Z92" s="136"/>
    </row>
    <row r="93" spans="2:26" ht="16.2" thickBot="1" x14ac:dyDescent="0.35">
      <c r="B93" s="61" t="s">
        <v>113</v>
      </c>
      <c r="C93" s="140" t="str">
        <f>IF(C92&gt;$C$12,"φ"&amp;IF(VLOOKUP(VLOOKUP(C92,tablas!$R$3:$T$66,2,TRUE)&amp;VLOOKUP(C92,tablas!$R$3:$T$66,3,TRUE),tablas!$Q$3:$R$66,2,FALSE)&lt;C92,VLOOKUP(C92+0.1,tablas!$R$3:$T$66,2,TRUE),VLOOKUP(C92,tablas!$R$3:$T$66,2,TRUE))&amp;"@"&amp;IF(VLOOKUP(VLOOKUP(C92,tablas!$R$3:$T$66,2,TRUE)&amp;VLOOKUP(C92,tablas!$R$3:$T$66,3,TRUE),tablas!$Q$3:$R$66,2,FALSE)&lt;C92,VLOOKUP(C92+0.1,tablas!$R$3:$T$66,3,TRUE),VLOOKUP(C92,tablas!$R$3:$T$66,3,TRUE)),$C$13)</f>
        <v>φ10@25</v>
      </c>
      <c r="D93" s="141"/>
      <c r="E93" s="140" t="str">
        <f>IF(E92&gt;$C$12,"φ"&amp;IF(VLOOKUP(VLOOKUP(E92,tablas!$R$3:$T$66,2,TRUE)&amp;VLOOKUP(E92,tablas!$R$3:$T$66,3,TRUE),tablas!$Q$3:$R$66,2,FALSE)&lt;E92,VLOOKUP(E92+0.1,tablas!$R$3:$T$66,2,TRUE),VLOOKUP(E92,tablas!$R$3:$T$66,2,TRUE))&amp;"@"&amp;IF(VLOOKUP(VLOOKUP(E92,tablas!$R$3:$T$66,2,TRUE)&amp;VLOOKUP(E92,tablas!$R$3:$T$66,3,TRUE),tablas!$Q$3:$R$66,2,FALSE)&lt;E92,VLOOKUP(E92+0.1,tablas!$R$3:$T$66,3,TRUE),VLOOKUP(E92,tablas!$R$3:$T$66,3,TRUE)),$C$13)</f>
        <v>φ12@24</v>
      </c>
      <c r="F93" s="141"/>
      <c r="G93" s="140" t="str">
        <f>IF(G92&gt;$C$12,"φ"&amp;IF(VLOOKUP(VLOOKUP(G92,tablas!$R$3:$T$66,2,TRUE)&amp;VLOOKUP(G92,tablas!$R$3:$T$66,3,TRUE),tablas!$Q$3:$R$66,2,FALSE)&lt;G92,VLOOKUP(G92+0.1,tablas!$R$3:$T$66,2,TRUE),VLOOKUP(G92,tablas!$R$3:$T$66,2,TRUE))&amp;"@"&amp;IF(VLOOKUP(VLOOKUP(G92,tablas!$R$3:$T$66,2,TRUE)&amp;VLOOKUP(G92,tablas!$R$3:$T$66,3,TRUE),tablas!$Q$3:$R$66,2,FALSE)&lt;G92,VLOOKUP(G92+0.1,tablas!$R$3:$T$66,3,TRUE),VLOOKUP(G92,tablas!$R$3:$T$66,3,TRUE)),$C$13)</f>
        <v>φ8@12</v>
      </c>
      <c r="H93" s="141"/>
      <c r="I93" s="140" t="str">
        <f>IF(I92&gt;$C$12,"φ"&amp;IF(VLOOKUP(VLOOKUP(I92,tablas!$R$3:$T$66,2,TRUE)&amp;VLOOKUP(I92,tablas!$R$3:$T$66,3,TRUE),tablas!$Q$3:$R$66,2,FALSE)&lt;I92,VLOOKUP(I92+0.1,tablas!$R$3:$T$66,2,TRUE),VLOOKUP(I92,tablas!$R$3:$T$66,2,TRUE))&amp;"@"&amp;IF(VLOOKUP(VLOOKUP(I92,tablas!$R$3:$T$66,2,TRUE)&amp;VLOOKUP(I92,tablas!$R$3:$T$66,3,TRUE),tablas!$Q$3:$R$66,2,FALSE)&lt;I92,VLOOKUP(I92+0.1,tablas!$R$3:$T$66,3,TRUE),VLOOKUP(I92,tablas!$R$3:$T$66,3,TRUE)),$C$13)</f>
        <v>φ10@20</v>
      </c>
      <c r="J93" s="141"/>
      <c r="K93" s="140" t="str">
        <f>IF(K92&gt;$C$12,"φ"&amp;IF(VLOOKUP(VLOOKUP(K92,tablas!$R$3:$T$66,2,TRUE)&amp;VLOOKUP(K92,tablas!$R$3:$T$66,3,TRUE),tablas!$Q$3:$R$66,2,FALSE)&lt;K92,VLOOKUP(K92+0.1,tablas!$R$3:$T$66,2,TRUE),VLOOKUP(K92,tablas!$R$3:$T$66,2,TRUE))&amp;"@"&amp;IF(VLOOKUP(VLOOKUP(K92,tablas!$R$3:$T$66,2,TRUE)&amp;VLOOKUP(K92,tablas!$R$3:$T$66,3,TRUE),tablas!$Q$3:$R$66,2,FALSE)&lt;K92,VLOOKUP(K92+0.1,tablas!$R$3:$T$66,3,TRUE),VLOOKUP(K92,tablas!$R$3:$T$66,3,TRUE)),$C$13)</f>
        <v>φ8@17</v>
      </c>
      <c r="L93" s="141"/>
      <c r="M93" s="140" t="str">
        <f>IF(M92&gt;$C$12,"φ"&amp;IF(VLOOKUP(VLOOKUP(M92,tablas!$R$3:$T$66,2,TRUE)&amp;VLOOKUP(M92,tablas!$R$3:$T$66,3,TRUE),tablas!$Q$3:$R$66,2,FALSE)&lt;M92,VLOOKUP(M92+0.1,tablas!$R$3:$T$66,2,TRUE),VLOOKUP(M92,tablas!$R$3:$T$66,2,TRUE))&amp;"@"&amp;IF(VLOOKUP(VLOOKUP(M92,tablas!$R$3:$T$66,2,TRUE)&amp;VLOOKUP(M92,tablas!$R$3:$T$66,3,TRUE),tablas!$Q$3:$R$66,2,FALSE)&lt;M92,VLOOKUP(M92+0.1,tablas!$R$3:$T$66,3,TRUE),VLOOKUP(M92,tablas!$R$3:$T$66,3,TRUE)),$C$13)</f>
        <v>φ8@17</v>
      </c>
      <c r="N93" s="141"/>
      <c r="O93" s="140" t="str">
        <f>IF(O92&gt;$C$12,"φ"&amp;IF(VLOOKUP(VLOOKUP(O92,tablas!$R$3:$T$66,2,TRUE)&amp;VLOOKUP(O92,tablas!$R$3:$T$66,3,TRUE),tablas!$Q$3:$R$66,2,FALSE)&lt;O92,VLOOKUP(O92+0.1,tablas!$R$3:$T$66,2,TRUE),VLOOKUP(O92,tablas!$R$3:$T$66,2,TRUE))&amp;"@"&amp;IF(VLOOKUP(VLOOKUP(O92,tablas!$R$3:$T$66,2,TRUE)&amp;VLOOKUP(O92,tablas!$R$3:$T$66,3,TRUE),tablas!$Q$3:$R$66,2,FALSE)&lt;O92,VLOOKUP(O92+0.1,tablas!$R$3:$T$66,3,TRUE),VLOOKUP(O92,tablas!$R$3:$T$66,3,TRUE)),$C$13)</f>
        <v>φ8@17</v>
      </c>
      <c r="P93" s="141"/>
      <c r="Q93" s="140" t="str">
        <f>IF(Q92&gt;$C$12,"φ"&amp;IF(VLOOKUP(VLOOKUP(Q92,tablas!$R$3:$T$66,2,TRUE)&amp;VLOOKUP(Q92,tablas!$R$3:$T$66,3,TRUE),tablas!$Q$3:$R$66,2,FALSE)&lt;Q92,VLOOKUP(Q92+0.1,tablas!$R$3:$T$66,2,TRUE),VLOOKUP(Q92,tablas!$R$3:$T$66,2,TRUE))&amp;"@"&amp;IF(VLOOKUP(VLOOKUP(Q92,tablas!$R$3:$T$66,2,TRUE)&amp;VLOOKUP(Q92,tablas!$R$3:$T$66,3,TRUE),tablas!$Q$3:$R$66,2,FALSE)&lt;Q92,VLOOKUP(Q92+0.1,tablas!$R$3:$T$66,3,TRUE),VLOOKUP(Q92,tablas!$R$3:$T$66,3,TRUE)),$C$13)</f>
        <v>φ8@17</v>
      </c>
      <c r="R93" s="141"/>
      <c r="S93" s="140" t="str">
        <f>IF(S92&gt;$C$12,"φ"&amp;IF(VLOOKUP(VLOOKUP(S92,tablas!$R$3:$T$66,2,TRUE)&amp;VLOOKUP(S92,tablas!$R$3:$T$66,3,TRUE),tablas!$Q$3:$R$66,2,FALSE)&lt;S92,VLOOKUP(S92+0.1,tablas!$R$3:$T$66,2,TRUE),VLOOKUP(S92,tablas!$R$3:$T$66,2,TRUE))&amp;"@"&amp;IF(VLOOKUP(VLOOKUP(S92,tablas!$R$3:$T$66,2,TRUE)&amp;VLOOKUP(S92,tablas!$R$3:$T$66,3,TRUE),tablas!$Q$3:$R$66,2,FALSE)&lt;S92,VLOOKUP(S92+0.1,tablas!$R$3:$T$66,3,TRUE),VLOOKUP(S92,tablas!$R$3:$T$66,3,TRUE)),$C$13)</f>
        <v>φ8@17</v>
      </c>
      <c r="T93" s="141"/>
      <c r="U93" s="140" t="str">
        <f>IF(U92&gt;$C$12,"φ"&amp;IF(VLOOKUP(VLOOKUP(U92,tablas!$R$3:$T$66,2,TRUE)&amp;VLOOKUP(U92,tablas!$R$3:$T$66,3,TRUE),tablas!$Q$3:$R$66,2,FALSE)&lt;U92,VLOOKUP(U92+0.1,tablas!$R$3:$T$66,2,TRUE),VLOOKUP(U92,tablas!$R$3:$T$66,2,TRUE))&amp;"@"&amp;IF(VLOOKUP(VLOOKUP(U92,tablas!$R$3:$T$66,2,TRUE)&amp;VLOOKUP(U92,tablas!$R$3:$T$66,3,TRUE),tablas!$Q$3:$R$66,2,FALSE)&lt;U92,VLOOKUP(U92+0.1,tablas!$R$3:$T$66,3,TRUE),VLOOKUP(U92,tablas!$R$3:$T$66,3,TRUE)),$C$13)</f>
        <v>φ8@17</v>
      </c>
      <c r="V93" s="141"/>
      <c r="W93" s="140" t="str">
        <f>IF(W92&gt;$C$12,"φ"&amp;IF(VLOOKUP(VLOOKUP(W92,tablas!$R$3:$T$66,2,TRUE)&amp;VLOOKUP(W92,tablas!$R$3:$T$66,3,TRUE),tablas!$Q$3:$R$66,2,FALSE)&lt;W92,VLOOKUP(W92+0.1,tablas!$R$3:$T$66,2,TRUE),VLOOKUP(W92,tablas!$R$3:$T$66,2,TRUE))&amp;"@"&amp;IF(VLOOKUP(VLOOKUP(W92,tablas!$R$3:$T$66,2,TRUE)&amp;VLOOKUP(W92,tablas!$R$3:$T$66,3,TRUE),tablas!$Q$3:$R$66,2,FALSE)&lt;W92,VLOOKUP(W92+0.1,tablas!$R$3:$T$66,3,TRUE),VLOOKUP(W92,tablas!$R$3:$T$66,3,TRUE)),$C$13)</f>
        <v>φ8@17</v>
      </c>
      <c r="X93" s="141"/>
      <c r="Y93" s="140" t="str">
        <f>IF(Y92&gt;$C$12,"φ"&amp;IF(VLOOKUP(VLOOKUP(Y92,tablas!$R$3:$T$66,2,TRUE)&amp;VLOOKUP(Y92,tablas!$R$3:$T$66,3,TRUE),tablas!$Q$3:$R$66,2,FALSE)&lt;Y92,VLOOKUP(Y92+0.1,tablas!$R$3:$T$66,2,TRUE),VLOOKUP(Y92,tablas!$R$3:$T$66,2,TRUE))&amp;"@"&amp;IF(VLOOKUP(VLOOKUP(Y92,tablas!$R$3:$T$66,2,TRUE)&amp;VLOOKUP(Y92,tablas!$R$3:$T$66,3,TRUE),tablas!$Q$3:$R$66,2,FALSE)&lt;Y92,VLOOKUP(Y92+0.1,tablas!$R$3:$T$66,3,TRUE),VLOOKUP(Y92,tablas!$R$3:$T$66,3,TRUE)),$C$13)</f>
        <v>φ8@15</v>
      </c>
      <c r="Z93" s="141"/>
    </row>
    <row r="94" spans="2:26" ht="15" thickBot="1" x14ac:dyDescent="0.35">
      <c r="C94" t="str">
        <f>IF(C93='2 a 7'!C93:D93,"IGUAL","PUTA LA WEA")</f>
        <v>IGUAL</v>
      </c>
      <c r="E94" t="str">
        <f>IF(E93='2 a 7'!E93:F93,"IGUAL","PUTA LA WEA")</f>
        <v>IGUAL</v>
      </c>
      <c r="G94" t="str">
        <f>IF(G93='2 a 7'!G93:H93,"IGUAL","PUTA LA WEA")</f>
        <v>IGUAL</v>
      </c>
      <c r="I94" t="str">
        <f>IF(I93='2 a 7'!I93:J93,"IGUAL","PUTA LA WEA")</f>
        <v>IGUAL</v>
      </c>
      <c r="K94" t="str">
        <f>IF(K93='2 a 7'!K93:L93,"IGUAL","PUTA LA WEA")</f>
        <v>IGUAL</v>
      </c>
      <c r="M94" t="str">
        <f>IF(M93='2 a 7'!M93:N93,"IGUAL","PUTA LA WEA")</f>
        <v>IGUAL</v>
      </c>
      <c r="O94" t="str">
        <f>IF(O93='2 a 7'!O93:P93,"IGUAL","PUTA LA WEA")</f>
        <v>IGUAL</v>
      </c>
      <c r="P94" s="40"/>
      <c r="Q94" t="str">
        <f>IF(Q93='2 a 7'!Q93:R93,"IGUAL","PUTA LA WEA")</f>
        <v>IGUAL</v>
      </c>
      <c r="S94" t="str">
        <f>IF(S93='2 a 7'!S93:T93,"IGUAL","PUTA LA WEA")</f>
        <v>IGUAL</v>
      </c>
      <c r="T94" s="40"/>
      <c r="U94" t="str">
        <f>IF(U93='2 a 7'!U93:V93,"IGUAL","PUTA LA WEA")</f>
        <v>IGUAL</v>
      </c>
      <c r="W94" t="str">
        <f>IF(W93='2 a 7'!W93:X93,"IGUAL","PUTA LA WEA")</f>
        <v>IGUAL</v>
      </c>
      <c r="Y94" t="str">
        <f>IF(Y93='2 a 7'!Y93:Z93,"IGUAL","PUTA LA WEA")</f>
        <v>IGUAL</v>
      </c>
    </row>
    <row r="95" spans="2:26" ht="15" thickBot="1" x14ac:dyDescent="0.35">
      <c r="B95" s="73" t="s">
        <v>43</v>
      </c>
      <c r="C95" s="74" t="s">
        <v>190</v>
      </c>
      <c r="D95" s="75" t="s">
        <v>194</v>
      </c>
      <c r="E95" s="74" t="s">
        <v>190</v>
      </c>
      <c r="F95" s="75" t="s">
        <v>202</v>
      </c>
      <c r="G95" s="74" t="s">
        <v>190</v>
      </c>
      <c r="H95" s="75" t="s">
        <v>196</v>
      </c>
      <c r="I95" s="74" t="s">
        <v>190</v>
      </c>
      <c r="J95" s="75" t="s">
        <v>197</v>
      </c>
      <c r="K95" s="74" t="s">
        <v>191</v>
      </c>
      <c r="L95" s="75" t="s">
        <v>206</v>
      </c>
      <c r="M95" s="74" t="s">
        <v>191</v>
      </c>
      <c r="N95" s="75" t="s">
        <v>192</v>
      </c>
      <c r="O95" s="74" t="s">
        <v>191</v>
      </c>
      <c r="P95" s="75" t="s">
        <v>205</v>
      </c>
      <c r="Q95" s="74" t="s">
        <v>192</v>
      </c>
      <c r="R95" s="75" t="s">
        <v>205</v>
      </c>
      <c r="S95" s="74" t="s">
        <v>192</v>
      </c>
      <c r="T95" s="75" t="s">
        <v>194</v>
      </c>
      <c r="U95" s="74" t="s">
        <v>192</v>
      </c>
      <c r="V95" s="75" t="s">
        <v>193</v>
      </c>
      <c r="W95" s="74" t="s">
        <v>192</v>
      </c>
      <c r="X95" s="75" t="s">
        <v>208</v>
      </c>
      <c r="Y95" s="74" t="s">
        <v>193</v>
      </c>
      <c r="Z95" s="75" t="s">
        <v>194</v>
      </c>
    </row>
    <row r="96" spans="2:26" x14ac:dyDescent="0.3">
      <c r="B96" s="105" t="s">
        <v>114</v>
      </c>
      <c r="C96" s="102" t="s">
        <v>109</v>
      </c>
      <c r="D96" s="103" t="s">
        <v>109</v>
      </c>
      <c r="E96" s="102" t="s">
        <v>109</v>
      </c>
      <c r="F96" s="103" t="s">
        <v>108</v>
      </c>
      <c r="G96" s="102" t="s">
        <v>108</v>
      </c>
      <c r="H96" s="103" t="s">
        <v>108</v>
      </c>
      <c r="I96" s="102" t="s">
        <v>108</v>
      </c>
      <c r="J96" s="103" t="s">
        <v>108</v>
      </c>
      <c r="K96" s="102" t="s">
        <v>109</v>
      </c>
      <c r="L96" s="103" t="s">
        <v>108</v>
      </c>
      <c r="M96" s="102" t="s">
        <v>109</v>
      </c>
      <c r="N96" s="103" t="s">
        <v>108</v>
      </c>
      <c r="O96" s="102" t="s">
        <v>108</v>
      </c>
      <c r="P96" s="103" t="s">
        <v>108</v>
      </c>
      <c r="Q96" s="102" t="s">
        <v>109</v>
      </c>
      <c r="R96" s="103" t="s">
        <v>108</v>
      </c>
      <c r="S96" s="102" t="s">
        <v>109</v>
      </c>
      <c r="T96" s="103" t="s">
        <v>108</v>
      </c>
      <c r="U96" s="102" t="s">
        <v>108</v>
      </c>
      <c r="V96" s="103" t="s">
        <v>108</v>
      </c>
      <c r="W96" s="102" t="s">
        <v>108</v>
      </c>
      <c r="X96" s="103" t="s">
        <v>109</v>
      </c>
      <c r="Y96" s="102" t="s">
        <v>109</v>
      </c>
      <c r="Z96" s="103" t="s">
        <v>108</v>
      </c>
    </row>
    <row r="97" spans="2:26" x14ac:dyDescent="0.3">
      <c r="B97" s="106" t="s">
        <v>110</v>
      </c>
      <c r="C97" s="104">
        <f t="shared" ref="C97:Z97" si="29">HLOOKUP(C95,$B$39:$X$82,IF(C96="x",35,40),FALSE)</f>
        <v>2084.7312244897957</v>
      </c>
      <c r="D97" s="86">
        <f t="shared" si="29"/>
        <v>155.67999999999998</v>
      </c>
      <c r="E97" s="104">
        <f t="shared" si="29"/>
        <v>2084.7312244897957</v>
      </c>
      <c r="F97" s="86">
        <f t="shared" si="29"/>
        <v>166.29600000000002</v>
      </c>
      <c r="G97" s="104">
        <f t="shared" si="29"/>
        <v>2660.2039062500003</v>
      </c>
      <c r="H97" s="86">
        <f t="shared" si="29"/>
        <v>1428.5638297872338</v>
      </c>
      <c r="I97" s="104">
        <f t="shared" si="29"/>
        <v>2660.2039062500003</v>
      </c>
      <c r="J97" s="86">
        <f t="shared" si="29"/>
        <v>2172.8938709677423</v>
      </c>
      <c r="K97" s="104">
        <f t="shared" si="29"/>
        <v>2015.9397209302329</v>
      </c>
      <c r="L97" s="86">
        <f t="shared" si="29"/>
        <v>84.1935</v>
      </c>
      <c r="M97" s="104">
        <f t="shared" si="29"/>
        <v>2015.9397209302329</v>
      </c>
      <c r="N97" s="86">
        <f t="shared" si="29"/>
        <v>1428.5638297872338</v>
      </c>
      <c r="O97" s="104">
        <f t="shared" si="29"/>
        <v>2330.2529032258067</v>
      </c>
      <c r="P97" s="86">
        <f t="shared" si="29"/>
        <v>276.07350000000002</v>
      </c>
      <c r="Q97" s="104">
        <f t="shared" si="29"/>
        <v>1323.0049261083741</v>
      </c>
      <c r="R97" s="86">
        <f t="shared" si="29"/>
        <v>276.07350000000002</v>
      </c>
      <c r="S97" s="104">
        <f t="shared" si="29"/>
        <v>1323.0049261083741</v>
      </c>
      <c r="T97" s="86">
        <f t="shared" si="29"/>
        <v>227.0333333333333</v>
      </c>
      <c r="U97" s="104">
        <f t="shared" si="29"/>
        <v>1428.5638297872338</v>
      </c>
      <c r="V97" s="86">
        <f t="shared" si="29"/>
        <v>670.04318181818178</v>
      </c>
      <c r="W97" s="104">
        <f t="shared" si="29"/>
        <v>1428.5638297872338</v>
      </c>
      <c r="X97" s="86">
        <f t="shared" si="29"/>
        <v>555.22533936651575</v>
      </c>
      <c r="Y97" s="104">
        <f t="shared" si="29"/>
        <v>479.38048780487804</v>
      </c>
      <c r="Z97" s="86">
        <f t="shared" si="29"/>
        <v>227.0333333333333</v>
      </c>
    </row>
    <row r="98" spans="2:26" x14ac:dyDescent="0.3">
      <c r="B98" s="106" t="s">
        <v>111</v>
      </c>
      <c r="C98" s="127">
        <f>(MAX(C97:D97)-MIN(C97:D97))/(MAX(C97:D97))</f>
        <v>0.92532370687828103</v>
      </c>
      <c r="D98" s="128"/>
      <c r="E98" s="127">
        <f>(MAX(E97:F97)-MIN(E97:F97))/(MAX(E97:F97))</f>
        <v>0.92023144372450305</v>
      </c>
      <c r="F98" s="128"/>
      <c r="G98" s="127">
        <f>(MAX(G97:H97)-MIN(G97:H97))/(MAX(G97:H97))</f>
        <v>0.46298709417315609</v>
      </c>
      <c r="H98" s="128"/>
      <c r="I98" s="127">
        <f>(MAX(I97:J97)-MIN(I97:J97))/(MAX(I97:J97))</f>
        <v>0.18318521904931812</v>
      </c>
      <c r="J98" s="128"/>
      <c r="K98" s="127">
        <f>(MAX(K97:L97)-MIN(K97:L97))/(MAX(K97:L97))</f>
        <v>0.95823610243606394</v>
      </c>
      <c r="L98" s="128"/>
      <c r="M98" s="127">
        <f>(MAX(M97:N97)-MIN(M97:N97))/(MAX(M97:N97))</f>
        <v>0.29136580079485763</v>
      </c>
      <c r="N98" s="128"/>
      <c r="O98" s="127">
        <f>(MAX(O97:P97)-MIN(O97:P97))/(MAX(O97:P97))</f>
        <v>0.88152637869570849</v>
      </c>
      <c r="P98" s="128"/>
      <c r="Q98" s="127">
        <f>(MAX(Q97:R97)-MIN(Q97:R97))/(MAX(Q97:R97))</f>
        <v>0.79132844137468816</v>
      </c>
      <c r="R98" s="128"/>
      <c r="S98" s="127">
        <f>(MAX(S97:T97)-MIN(S97:T97))/(MAX(S97:T97))</f>
        <v>0.82839570068635116</v>
      </c>
      <c r="T98" s="128"/>
      <c r="U98" s="127">
        <f>(MAX(U97:V97)-MIN(U97:V97))/(MAX(U97:V97))</f>
        <v>0.53096727787236775</v>
      </c>
      <c r="V98" s="128"/>
      <c r="W98" s="142">
        <f>(MAX(W97:X97)-MIN(W97:X97))/(MAX(W97:X97))</f>
        <v>0.61134019510405113</v>
      </c>
      <c r="X98" s="128"/>
      <c r="Y98" s="127">
        <f>(MAX(Y97:Z97)-MIN(Y97:Z97))/(MAX(Y97:Z97))</f>
        <v>0.5264026402640265</v>
      </c>
      <c r="Z98" s="128"/>
    </row>
    <row r="99" spans="2:26" x14ac:dyDescent="0.3">
      <c r="B99" s="106" t="s">
        <v>112</v>
      </c>
      <c r="C99" s="129">
        <f>IF(C98&lt;25%,(C97*0.5+D97*0.5)*0.9,IF(C98&lt;50%,(MAX(C97:D97)*0.6+MIN(C97:D97)*0.4)*0.9,IF(C98&lt;70%,(MAX(C97:D97)*0.65+MIN(C97:D97)*0.35)*0.9,IF(C98&lt;100%,(MAX(C97:D97)*0.7+MIN(C97:D97)*0.3)*0.9,0.7*MAX(C97:D97)))))</f>
        <v>1355.4142714285713</v>
      </c>
      <c r="D99" s="130"/>
      <c r="E99" s="129">
        <f>IF(E98&lt;25%,(E97*0.5+F97*0.5)*0.9,IF(E98&lt;50%,(MAX(E97:F97)*0.6+MIN(E97:F97)*0.4)*0.9,IF(E98&lt;70%,(MAX(E97:F97)*0.65+MIN(E97:F97)*0.35)*0.9,IF(E98&lt;100%,(MAX(E97:F97)*0.7+MIN(E97:F97)*0.3)*0.9,0.7*MAX(E97:F97)))))</f>
        <v>1358.2805914285714</v>
      </c>
      <c r="F99" s="130"/>
      <c r="G99" s="129">
        <f>IF(G98&lt;25%,(G97*0.5+H97*0.5)*0.9,IF(G98&lt;50%,(MAX(G97:H97)*0.6+MIN(G97:H97)*0.4)*0.9,IF(G98&lt;70%,(MAX(G97:H97)*0.65+MIN(G97:H97)*0.35)*0.9,IF(G98&lt;100%,(MAX(G97:H97)*0.7+MIN(G97:H97)*0.3)*0.9,0.7*MAX(G97:H97)))))</f>
        <v>1950.7930880984043</v>
      </c>
      <c r="H99" s="130"/>
      <c r="I99" s="129">
        <f>IF(I98&lt;25%,(I97*0.5+J97*0.5)*0.9,IF(I98&lt;50%,(MAX(I97:J97)*0.6+MIN(I97:J97)*0.4)*0.9,IF(I98&lt;70%,(MAX(I97:J97)*0.65+MIN(I97:J97)*0.35)*0.9,IF(I98&lt;100%,(MAX(I97:J97)*0.7+MIN(I97:J97)*0.3)*0.9,0.7*MAX(I97:J97)))))</f>
        <v>2174.8939997479843</v>
      </c>
      <c r="J99" s="130"/>
      <c r="K99" s="129">
        <f>IF(K98&lt;25%,(K97*0.5+L97*0.5)*0.9,IF(K98&lt;50%,(MAX(K97:L97)*0.6+MIN(K97:L97)*0.4)*0.9,IF(K98&lt;70%,(MAX(K97:L97)*0.65+MIN(K97:L97)*0.35)*0.9,IF(K98&lt;100%,(MAX(K97:L97)*0.7+MIN(K97:L97)*0.3)*0.9,0.7*MAX(K97:L97)))))</f>
        <v>1292.7742691860465</v>
      </c>
      <c r="L99" s="130"/>
      <c r="M99" s="129">
        <f>IF(M98&lt;25%,(M97*0.5+N97*0.5)*0.9,IF(M98&lt;50%,(MAX(M97:N97)*0.6+MIN(M97:N97)*0.4)*0.9,IF(M98&lt;70%,(MAX(M97:N97)*0.65+MIN(M97:N97)*0.35)*0.9,IF(M98&lt;100%,(MAX(M97:N97)*0.7+MIN(M97:N97)*0.3)*0.9,0.7*MAX(M97:N97)))))</f>
        <v>1602.89042802573</v>
      </c>
      <c r="N99" s="130"/>
      <c r="O99" s="129">
        <f>IF(O98&lt;25%,(O97*0.5+P97*0.5)*0.9,IF(O98&lt;50%,(MAX(O97:P97)*0.6+MIN(O97:P97)*0.4)*0.9,IF(O98&lt;70%,(MAX(O97:P97)*0.65+MIN(O97:P97)*0.35)*0.9,IF(O98&lt;100%,(MAX(O97:P97)*0.7+MIN(O97:P97)*0.3)*0.9,0.7*MAX(O97:P97)))))</f>
        <v>1542.5991740322581</v>
      </c>
      <c r="P99" s="130"/>
      <c r="Q99" s="129">
        <f>IF(Q98&lt;25%,(Q97*0.5+R97*0.5)*0.9,IF(Q98&lt;50%,(MAX(Q97:R97)*0.6+MIN(Q97:R97)*0.4)*0.9,IF(Q98&lt;70%,(MAX(Q97:R97)*0.65+MIN(Q97:R97)*0.35)*0.9,IF(Q98&lt;100%,(MAX(Q97:R97)*0.7+MIN(Q97:R97)*0.3)*0.9,0.7*MAX(Q97:R97)))))</f>
        <v>908.03294844827553</v>
      </c>
      <c r="R99" s="130"/>
      <c r="S99" s="129">
        <f>IF(S98&lt;25%,(S97*0.5+T97*0.5)*0.9,IF(S98&lt;50%,(MAX(S97:T97)*0.6+MIN(S97:T97)*0.4)*0.9,IF(S98&lt;70%,(MAX(S97:T97)*0.65+MIN(S97:T97)*0.35)*0.9,IF(S98&lt;100%,(MAX(S97:T97)*0.7+MIN(S97:T97)*0.3)*0.9,0.7*MAX(S97:T97)))))</f>
        <v>894.79210344827561</v>
      </c>
      <c r="T99" s="130"/>
      <c r="U99" s="129">
        <f>IF(U98&lt;25%,(U97*0.5+V97*0.5)*0.9,IF(U98&lt;50%,(MAX(U97:V97)*0.6+MIN(U97:V97)*0.4)*0.9,IF(U98&lt;70%,(MAX(U97:V97)*0.65+MIN(U97:V97)*0.35)*0.9,IF(U98&lt;100%,(MAX(U97:V97)*0.7+MIN(U97:V97)*0.3)*0.9,0.7*MAX(U97:V97)))))</f>
        <v>1046.773442698259</v>
      </c>
      <c r="V99" s="130"/>
      <c r="W99" s="143">
        <f>IF(W98&lt;25%,(W97*0.5+X97*0.5)*0.9,IF(W98&lt;50%,(MAX(W97:X97)*0.6+MIN(W97:X97)*0.4)*0.9,IF(W98&lt;70%,(MAX(W97:X97)*0.65+MIN(W97:X97)*0.35)*0.9,IF(W98&lt;100%,(MAX(W97:X97)*0.7+MIN(W97:X97)*0.3)*0.9,0.7*MAX(W97:X97)))))</f>
        <v>1010.6058223259844</v>
      </c>
      <c r="X99" s="130"/>
      <c r="Y99" s="129">
        <f>IF(Y98&lt;25%,(Y97*0.5+Z97*0.5)*0.9,IF(Y98&lt;50%,(MAX(Y97:Z97)*0.6+MIN(Y97:Z97)*0.4)*0.9,IF(Y98&lt;70%,(MAX(Y97:Z97)*0.65+MIN(Y97:Z97)*0.35)*0.9,IF(Y98&lt;100%,(MAX(Y97:Z97)*0.7+MIN(Y97:Z97)*0.3)*0.9,0.7*MAX(Y97:Z97)))))</f>
        <v>351.95308536585367</v>
      </c>
      <c r="Z99" s="130"/>
    </row>
    <row r="100" spans="2:26" x14ac:dyDescent="0.3">
      <c r="B100" s="107" t="s">
        <v>15</v>
      </c>
      <c r="C100" s="131">
        <f>C99/(0.9*(0.9*($C$7/100))*($L$9*1000))</f>
        <v>2.7926417763367017</v>
      </c>
      <c r="D100" s="132"/>
      <c r="E100" s="131">
        <f>E99/(0.9*(0.9*($C$7/100))*($L$9*1000))</f>
        <v>2.7985474283171201</v>
      </c>
      <c r="F100" s="132"/>
      <c r="G100" s="131">
        <f>G99/(0.9*(0.9*($C$7/100))*($L$9*1000))</f>
        <v>4.0193366630783505</v>
      </c>
      <c r="H100" s="132"/>
      <c r="I100" s="131">
        <f>I99/(0.9*(0.9*($C$7/100))*($L$9*1000))</f>
        <v>4.481065288178443</v>
      </c>
      <c r="J100" s="132"/>
      <c r="K100" s="131">
        <f>K99/(0.9*(0.9*($C$7/100))*($L$9*1000))</f>
        <v>2.6635808015338274</v>
      </c>
      <c r="L100" s="132"/>
      <c r="M100" s="131">
        <f>M99/(0.9*(0.9*($C$7/100))*($L$9*1000))</f>
        <v>3.3025318284991707</v>
      </c>
      <c r="N100" s="132"/>
      <c r="O100" s="131">
        <f>O99/(0.9*(0.9*($C$7/100))*($L$9*1000))</f>
        <v>3.1783101213804779</v>
      </c>
      <c r="P100" s="132"/>
      <c r="Q100" s="131">
        <f>Q99/(0.9*(0.9*($C$7/100))*($L$9*1000))</f>
        <v>1.8708750524326165</v>
      </c>
      <c r="R100" s="132"/>
      <c r="S100" s="131">
        <f>S99/(0.9*(0.9*($C$7/100))*($L$9*1000))</f>
        <v>1.8435941408467984</v>
      </c>
      <c r="T100" s="132"/>
      <c r="U100" s="131">
        <f>U99/(0.9*(0.9*($C$7/100))*($L$9*1000))</f>
        <v>2.1567304609814295</v>
      </c>
      <c r="V100" s="132"/>
      <c r="W100" s="144">
        <f>W99/(0.9*(0.9*($C$7/100))*($L$9*1000))</f>
        <v>2.0822121312490398</v>
      </c>
      <c r="X100" s="132"/>
      <c r="Y100" s="131">
        <f>Y99/(0.9*(0.9*($C$7/100))*($L$9*1000))</f>
        <v>0.72515017011540817</v>
      </c>
      <c r="Z100" s="132"/>
    </row>
    <row r="101" spans="2:26" x14ac:dyDescent="0.3">
      <c r="B101" s="107" t="s">
        <v>98</v>
      </c>
      <c r="C101" s="133">
        <f>(C100*($L$9))/(0.85*$L$6*100)</f>
        <v>6.8930258377860917E-2</v>
      </c>
      <c r="D101" s="134"/>
      <c r="E101" s="133">
        <f>(E100*($L$9))/(0.85*$L$6*100)</f>
        <v>6.9076026489026957E-2</v>
      </c>
      <c r="F101" s="134"/>
      <c r="G101" s="133">
        <f>(G100*($L$9))/(0.85*$L$6*100)</f>
        <v>9.9208540472752821E-2</v>
      </c>
      <c r="H101" s="134"/>
      <c r="I101" s="133">
        <f>(I100*($L$9))/(0.85*$L$6*100)</f>
        <v>0.1106053023841046</v>
      </c>
      <c r="J101" s="134"/>
      <c r="K101" s="133">
        <f>(K100*($L$9))/(0.85*$L$6*100)</f>
        <v>6.5744670303141767E-2</v>
      </c>
      <c r="L101" s="134"/>
      <c r="M101" s="133">
        <f>(M100*($L$9))/(0.85*$L$6*100)</f>
        <v>8.1515779849921866E-2</v>
      </c>
      <c r="N101" s="134"/>
      <c r="O101" s="133">
        <f>(O100*($L$9))/(0.85*$L$6*100)</f>
        <v>7.8449638520809953E-2</v>
      </c>
      <c r="P101" s="134"/>
      <c r="Q101" s="133">
        <f>(Q100*($L$9))/(0.85*$L$6*100)</f>
        <v>4.6178461501796997E-2</v>
      </c>
      <c r="R101" s="134"/>
      <c r="S101" s="133">
        <f>(S100*($L$9))/(0.85*$L$6*100)</f>
        <v>4.5505091827129737E-2</v>
      </c>
      <c r="T101" s="134"/>
      <c r="U101" s="133">
        <f>(U100*($L$9))/(0.85*$L$6*100)</f>
        <v>5.3234177468284419E-2</v>
      </c>
      <c r="V101" s="134"/>
      <c r="W101" s="145">
        <f>(W100*($L$9))/(0.85*$L$6*100)</f>
        <v>5.1394855373390377E-2</v>
      </c>
      <c r="X101" s="134"/>
      <c r="Y101" s="133">
        <f>(Y100*($L$9))/(0.85*$L$6*100)</f>
        <v>1.7898746990161172E-2</v>
      </c>
      <c r="Z101" s="134"/>
    </row>
    <row r="102" spans="2:26" ht="15" thickBot="1" x14ac:dyDescent="0.35">
      <c r="B102" s="108" t="s">
        <v>15</v>
      </c>
      <c r="C102" s="135">
        <f>ROUNDUP(C99/(0.9*(($C$7-C101/2)/100)*($L$9*1000)),2)</f>
        <v>2.5199999999999996</v>
      </c>
      <c r="D102" s="136"/>
      <c r="E102" s="135">
        <f>ROUNDUP(E99/(0.9*(($C$7-E101/2)/100)*($L$9*1000)),2)</f>
        <v>2.5299999999999998</v>
      </c>
      <c r="F102" s="136"/>
      <c r="G102" s="135">
        <f>ROUNDUP(G99/(0.9*(($C$7-G101/2)/100)*($L$9*1000)),2)</f>
        <v>3.6399999999999997</v>
      </c>
      <c r="H102" s="136"/>
      <c r="I102" s="135">
        <f>ROUNDUP(I99/(0.9*(($C$7-I101/2)/100)*($L$9*1000)),2)</f>
        <v>4.05</v>
      </c>
      <c r="J102" s="136"/>
      <c r="K102" s="135">
        <f>ROUNDUP(K99/(0.9*(($C$7-K101/2)/100)*($L$9*1000)),2)</f>
        <v>2.4099999999999997</v>
      </c>
      <c r="L102" s="136"/>
      <c r="M102" s="135">
        <f>ROUNDUP(M99/(0.9*(($C$7-M101/2)/100)*($L$9*1000)),2)</f>
        <v>2.9899999999999998</v>
      </c>
      <c r="N102" s="136"/>
      <c r="O102" s="135">
        <f>ROUNDUP(O99/(0.9*(($C$7-O101/2)/100)*($L$9*1000)),2)</f>
        <v>2.8699999999999997</v>
      </c>
      <c r="P102" s="136"/>
      <c r="Q102" s="135">
        <f>ROUNDUP(Q99/(0.9*(($C$7-Q101/2)/100)*($L$9*1000)),2)</f>
        <v>1.69</v>
      </c>
      <c r="R102" s="136"/>
      <c r="S102" s="135">
        <f>ROUNDUP(S99/(0.9*(($C$7-S101/2)/100)*($L$9*1000)),2)</f>
        <v>1.67</v>
      </c>
      <c r="T102" s="136"/>
      <c r="U102" s="135">
        <f>ROUNDUP(U99/(0.9*(($C$7-U101/2)/100)*($L$9*1000)),2)</f>
        <v>1.95</v>
      </c>
      <c r="V102" s="136"/>
      <c r="W102" s="146">
        <f>ROUNDUP(W99/(0.9*(($C$7-W101/2)/100)*($L$9*1000)),2)</f>
        <v>1.8800000000000001</v>
      </c>
      <c r="X102" s="147"/>
      <c r="Y102" s="135">
        <f>ROUNDUP(Y99/(0.9*(($C$7-Y101/2)/100)*($L$9*1000)),2)</f>
        <v>0.66</v>
      </c>
      <c r="Z102" s="136"/>
    </row>
    <row r="103" spans="2:26" ht="16.2" thickBot="1" x14ac:dyDescent="0.35">
      <c r="B103" s="61" t="s">
        <v>113</v>
      </c>
      <c r="C103" s="140" t="str">
        <f>IF(C102&gt;$C$12,"φ"&amp;IF(VLOOKUP(VLOOKUP(C102,tablas!$R$3:$T$66,2,TRUE)&amp;VLOOKUP(C102,tablas!$R$3:$T$66,3,TRUE),tablas!$Q$3:$R$66,2,FALSE)&lt;C102,VLOOKUP(C102+0.1,tablas!$R$3:$T$66,2,TRUE),VLOOKUP(C102,tablas!$R$3:$T$66,2,TRUE))&amp;"@"&amp;IF(VLOOKUP(VLOOKUP(C102,tablas!$R$3:$T$66,2,TRUE)&amp;VLOOKUP(C102,tablas!$R$3:$T$66,3,TRUE),tablas!$Q$3:$R$66,2,FALSE)&lt;C102,VLOOKUP(C102+0.1,tablas!$R$3:$T$66,3,TRUE),VLOOKUP(C102,tablas!$R$3:$T$66,3,TRUE)),$C$13)</f>
        <v>φ8@17</v>
      </c>
      <c r="D103" s="141"/>
      <c r="E103" s="140" t="str">
        <f>IF(E102&gt;$C$12,"φ"&amp;IF(VLOOKUP(VLOOKUP(E102,tablas!$R$3:$T$66,2,TRUE)&amp;VLOOKUP(E102,tablas!$R$3:$T$66,3,TRUE),tablas!$Q$3:$R$66,2,FALSE)&lt;E102,VLOOKUP(E102+0.1,tablas!$R$3:$T$66,2,TRUE),VLOOKUP(E102,tablas!$R$3:$T$66,2,TRUE))&amp;"@"&amp;IF(VLOOKUP(VLOOKUP(E102,tablas!$R$3:$T$66,2,TRUE)&amp;VLOOKUP(E102,tablas!$R$3:$T$66,3,TRUE),tablas!$Q$3:$R$66,2,FALSE)&lt;E102,VLOOKUP(E102+0.1,tablas!$R$3:$T$66,3,TRUE),VLOOKUP(E102,tablas!$R$3:$T$66,3,TRUE)),$C$13)</f>
        <v>φ8@17</v>
      </c>
      <c r="F103" s="141"/>
      <c r="G103" s="140" t="str">
        <f>IF(G102&gt;$C$12,"φ"&amp;IF(VLOOKUP(VLOOKUP(G102,tablas!$R$3:$T$66,2,TRUE)&amp;VLOOKUP(G102,tablas!$R$3:$T$66,3,TRUE),tablas!$Q$3:$R$66,2,FALSE)&lt;G102,VLOOKUP(G102+0.1,tablas!$R$3:$T$66,2,TRUE),VLOOKUP(G102,tablas!$R$3:$T$66,2,TRUE))&amp;"@"&amp;IF(VLOOKUP(VLOOKUP(G102,tablas!$R$3:$T$66,2,TRUE)&amp;VLOOKUP(G102,tablas!$R$3:$T$66,3,TRUE),tablas!$Q$3:$R$66,2,FALSE)&lt;G102,VLOOKUP(G102+0.1,tablas!$R$3:$T$66,3,TRUE),VLOOKUP(G102,tablas!$R$3:$T$66,3,TRUE)),$C$13)</f>
        <v>φ8@14</v>
      </c>
      <c r="H103" s="141"/>
      <c r="I103" s="140" t="str">
        <f>IF(I102&gt;$C$12,"φ"&amp;IF(VLOOKUP(VLOOKUP(I102,tablas!$R$3:$T$66,2,TRUE)&amp;VLOOKUP(I102,tablas!$R$3:$T$66,3,TRUE),tablas!$Q$3:$R$66,2,FALSE)&lt;I102,VLOOKUP(I102+0.1,tablas!$R$3:$T$66,2,TRUE),VLOOKUP(I102,tablas!$R$3:$T$66,2,TRUE))&amp;"@"&amp;IF(VLOOKUP(VLOOKUP(I102,tablas!$R$3:$T$66,2,TRUE)&amp;VLOOKUP(I102,tablas!$R$3:$T$66,3,TRUE),tablas!$Q$3:$R$66,2,FALSE)&lt;I102,VLOOKUP(I102+0.1,tablas!$R$3:$T$66,3,TRUE),VLOOKUP(I102,tablas!$R$3:$T$66,3,TRUE)),$C$13)</f>
        <v>φ10@19</v>
      </c>
      <c r="J103" s="141"/>
      <c r="K103" s="140" t="str">
        <f>IF(K102&gt;$C$12,"φ"&amp;IF(VLOOKUP(VLOOKUP(K102,tablas!$R$3:$T$66,2,TRUE)&amp;VLOOKUP(K102,tablas!$R$3:$T$66,3,TRUE),tablas!$Q$3:$R$66,2,FALSE)&lt;K102,VLOOKUP(K102+0.1,tablas!$R$3:$T$66,2,TRUE),VLOOKUP(K102,tablas!$R$3:$T$66,2,TRUE))&amp;"@"&amp;IF(VLOOKUP(VLOOKUP(K102,tablas!$R$3:$T$66,2,TRUE)&amp;VLOOKUP(K102,tablas!$R$3:$T$66,3,TRUE),tablas!$Q$3:$R$66,2,FALSE)&lt;K102,VLOOKUP(K102+0.1,tablas!$R$3:$T$66,3,TRUE),VLOOKUP(K102,tablas!$R$3:$T$66,3,TRUE)),$C$13)</f>
        <v>φ8@17</v>
      </c>
      <c r="L103" s="141"/>
      <c r="M103" s="140" t="str">
        <f>IF(M102&gt;$C$12,"φ"&amp;IF(VLOOKUP(VLOOKUP(M102,tablas!$R$3:$T$66,2,TRUE)&amp;VLOOKUP(M102,tablas!$R$3:$T$66,3,TRUE),tablas!$Q$3:$R$66,2,FALSE)&lt;M102,VLOOKUP(M102+0.1,tablas!$R$3:$T$66,2,TRUE),VLOOKUP(M102,tablas!$R$3:$T$66,2,TRUE))&amp;"@"&amp;IF(VLOOKUP(VLOOKUP(M102,tablas!$R$3:$T$66,2,TRUE)&amp;VLOOKUP(M102,tablas!$R$3:$T$66,3,TRUE),tablas!$Q$3:$R$66,2,FALSE)&lt;M102,VLOOKUP(M102+0.1,tablas!$R$3:$T$66,3,TRUE),VLOOKUP(M102,tablas!$R$3:$T$66,3,TRUE)),$C$13)</f>
        <v>φ8@17</v>
      </c>
      <c r="N103" s="141"/>
      <c r="O103" s="140" t="str">
        <f>IF(O102&gt;$C$12,"φ"&amp;IF(VLOOKUP(VLOOKUP(O102,tablas!$R$3:$T$66,2,TRUE)&amp;VLOOKUP(O102,tablas!$R$3:$T$66,3,TRUE),tablas!$Q$3:$R$66,2,FALSE)&lt;O102,VLOOKUP(O102+0.1,tablas!$R$3:$T$66,2,TRUE),VLOOKUP(O102,tablas!$R$3:$T$66,2,TRUE))&amp;"@"&amp;IF(VLOOKUP(VLOOKUP(O102,tablas!$R$3:$T$66,2,TRUE)&amp;VLOOKUP(O102,tablas!$R$3:$T$66,3,TRUE),tablas!$Q$3:$R$66,2,FALSE)&lt;O102,VLOOKUP(O102+0.1,tablas!$R$3:$T$66,3,TRUE),VLOOKUP(O102,tablas!$R$3:$T$66,3,TRUE)),$C$13)</f>
        <v>φ8@17</v>
      </c>
      <c r="P103" s="141"/>
      <c r="Q103" s="140" t="str">
        <f>IF(Q102&gt;$C$12,"φ"&amp;IF(VLOOKUP(VLOOKUP(Q102,tablas!$R$3:$T$66,2,TRUE)&amp;VLOOKUP(Q102,tablas!$R$3:$T$66,3,TRUE),tablas!$Q$3:$R$66,2,FALSE)&lt;Q102,VLOOKUP(Q102+0.1,tablas!$R$3:$T$66,2,TRUE),VLOOKUP(Q102,tablas!$R$3:$T$66,2,TRUE))&amp;"@"&amp;IF(VLOOKUP(VLOOKUP(Q102,tablas!$R$3:$T$66,2,TRUE)&amp;VLOOKUP(Q102,tablas!$R$3:$T$66,3,TRUE),tablas!$Q$3:$R$66,2,FALSE)&lt;Q102,VLOOKUP(Q102+0.1,tablas!$R$3:$T$66,3,TRUE),VLOOKUP(Q102,tablas!$R$3:$T$66,3,TRUE)),$C$13)</f>
        <v>φ8@17</v>
      </c>
      <c r="R103" s="141"/>
      <c r="S103" s="140" t="str">
        <f>IF(S102&gt;$C$12,"φ"&amp;IF(VLOOKUP(VLOOKUP(S102,tablas!$R$3:$T$66,2,TRUE)&amp;VLOOKUP(S102,tablas!$R$3:$T$66,3,TRUE),tablas!$Q$3:$R$66,2,FALSE)&lt;S102,VLOOKUP(S102+0.1,tablas!$R$3:$T$66,2,TRUE),VLOOKUP(S102,tablas!$R$3:$T$66,2,TRUE))&amp;"@"&amp;IF(VLOOKUP(VLOOKUP(S102,tablas!$R$3:$T$66,2,TRUE)&amp;VLOOKUP(S102,tablas!$R$3:$T$66,3,TRUE),tablas!$Q$3:$R$66,2,FALSE)&lt;S102,VLOOKUP(S102+0.1,tablas!$R$3:$T$66,3,TRUE),VLOOKUP(S102,tablas!$R$3:$T$66,3,TRUE)),$C$13)</f>
        <v>φ8@17</v>
      </c>
      <c r="T103" s="141"/>
      <c r="U103" s="140" t="str">
        <f>IF(U102&gt;$C$12,"φ"&amp;IF(VLOOKUP(VLOOKUP(U102,tablas!$R$3:$T$66,2,TRUE)&amp;VLOOKUP(U102,tablas!$R$3:$T$66,3,TRUE),tablas!$Q$3:$R$66,2,FALSE)&lt;U102,VLOOKUP(U102+0.1,tablas!$R$3:$T$66,2,TRUE),VLOOKUP(U102,tablas!$R$3:$T$66,2,TRUE))&amp;"@"&amp;IF(VLOOKUP(VLOOKUP(U102,tablas!$R$3:$T$66,2,TRUE)&amp;VLOOKUP(U102,tablas!$R$3:$T$66,3,TRUE),tablas!$Q$3:$R$66,2,FALSE)&lt;U102,VLOOKUP(U102+0.1,tablas!$R$3:$T$66,3,TRUE),VLOOKUP(U102,tablas!$R$3:$T$66,3,TRUE)),$C$13)</f>
        <v>φ8@17</v>
      </c>
      <c r="V103" s="141"/>
      <c r="W103" s="140" t="str">
        <f>IF(W102&gt;$C$12,"φ"&amp;IF(VLOOKUP(VLOOKUP(W102,tablas!$R$3:$T$66,2,TRUE)&amp;VLOOKUP(W102,tablas!$R$3:$T$66,3,TRUE),tablas!$Q$3:$R$66,2,FALSE)&lt;W102,VLOOKUP(W102+0.1,tablas!$R$3:$T$66,2,TRUE),VLOOKUP(W102,tablas!$R$3:$T$66,2,TRUE))&amp;"@"&amp;IF(VLOOKUP(VLOOKUP(W102,tablas!$R$3:$T$66,2,TRUE)&amp;VLOOKUP(W102,tablas!$R$3:$T$66,3,TRUE),tablas!$Q$3:$R$66,2,FALSE)&lt;W102,VLOOKUP(W102+0.1,tablas!$R$3:$T$66,3,TRUE),VLOOKUP(W102,tablas!$R$3:$T$66,3,TRUE)),$C$13)</f>
        <v>φ8@17</v>
      </c>
      <c r="X103" s="141"/>
      <c r="Y103" s="140" t="str">
        <f>IF(Y102&gt;$C$12,"φ"&amp;IF(VLOOKUP(VLOOKUP(Y102,tablas!$R$3:$T$66,2,TRUE)&amp;VLOOKUP(Y102,tablas!$R$3:$T$66,3,TRUE),tablas!$Q$3:$R$66,2,FALSE)&lt;Y102,VLOOKUP(Y102+0.1,tablas!$R$3:$T$66,2,TRUE),VLOOKUP(Y102,tablas!$R$3:$T$66,2,TRUE))&amp;"@"&amp;IF(VLOOKUP(VLOOKUP(Y102,tablas!$R$3:$T$66,2,TRUE)&amp;VLOOKUP(Y102,tablas!$R$3:$T$66,3,TRUE),tablas!$Q$3:$R$66,2,FALSE)&lt;Y102,VLOOKUP(Y102+0.1,tablas!$R$3:$T$66,3,TRUE),VLOOKUP(Y102,tablas!$R$3:$T$66,3,TRUE)),$C$13)</f>
        <v>φ8@17</v>
      </c>
      <c r="Z103" s="141"/>
    </row>
    <row r="104" spans="2:26" ht="15" thickBot="1" x14ac:dyDescent="0.35">
      <c r="C104" t="str">
        <f>IF(C103='2 a 7'!C103:D103,"IGUAL","PUTA LA WEA")</f>
        <v>IGUAL</v>
      </c>
      <c r="E104" t="str">
        <f>IF(E103='2 a 7'!E103:F103,"IGUAL","PUTA LA WEA")</f>
        <v>IGUAL</v>
      </c>
      <c r="G104" t="str">
        <f>IF(G103='2 a 7'!G103:H103,"IGUAL","PUTA LA WEA")</f>
        <v>IGUAL</v>
      </c>
      <c r="I104" t="str">
        <f>IF(I103='2 a 7'!I103:J103,"IGUAL","PUTA LA WEA")</f>
        <v>IGUAL</v>
      </c>
      <c r="K104" t="str">
        <f>IF(K103='2 a 7'!K103:L103,"IGUAL","PUTA LA WEA")</f>
        <v>IGUAL</v>
      </c>
      <c r="M104" t="str">
        <f>IF(M103='2 a 7'!M103:N103,"IGUAL","PUTA LA WEA")</f>
        <v>IGUAL</v>
      </c>
      <c r="O104" t="str">
        <f>IF(O103='2 a 7'!O103:P103,"IGUAL","PUTA LA WEA")</f>
        <v>IGUAL</v>
      </c>
      <c r="P104" s="40"/>
      <c r="Q104" t="str">
        <f>IF(Q103='2 a 7'!Q103:R103,"IGUAL","PUTA LA WEA")</f>
        <v>IGUAL</v>
      </c>
      <c r="S104" t="str">
        <f>IF(S103='2 a 7'!S103:T103,"IGUAL","PUTA LA WEA")</f>
        <v>IGUAL</v>
      </c>
      <c r="T104" s="40"/>
      <c r="U104" t="str">
        <f>IF(U103='2 a 7'!U103:V103,"IGUAL","PUTA LA WEA")</f>
        <v>IGUAL</v>
      </c>
      <c r="W104" t="str">
        <f>IF(W103='2 a 7'!W103:X103,"IGUAL","PUTA LA WEA")</f>
        <v>IGUAL</v>
      </c>
      <c r="Y104" t="str">
        <f>IF(Y103='2 a 7'!Y103:Z103,"IGUAL","PUTA LA WEA")</f>
        <v>IGUAL</v>
      </c>
    </row>
    <row r="105" spans="2:26" ht="15" thickBot="1" x14ac:dyDescent="0.35">
      <c r="B105" s="73" t="s">
        <v>43</v>
      </c>
      <c r="C105" s="74" t="s">
        <v>193</v>
      </c>
      <c r="D105" s="75" t="s">
        <v>208</v>
      </c>
      <c r="E105" s="74" t="s">
        <v>194</v>
      </c>
      <c r="F105" s="75" t="s">
        <v>195</v>
      </c>
      <c r="G105" s="74" t="s">
        <v>194</v>
      </c>
      <c r="H105" s="75" t="s">
        <v>196</v>
      </c>
      <c r="I105" s="74" t="s">
        <v>195</v>
      </c>
      <c r="J105" s="75" t="s">
        <v>208</v>
      </c>
      <c r="K105" s="74" t="s">
        <v>195</v>
      </c>
      <c r="L105" s="75" t="s">
        <v>196</v>
      </c>
      <c r="M105" s="74" t="s">
        <v>196</v>
      </c>
      <c r="N105" s="75" t="s">
        <v>197</v>
      </c>
      <c r="O105" s="74" t="s">
        <v>196</v>
      </c>
      <c r="P105" s="75" t="s">
        <v>204</v>
      </c>
      <c r="Q105" s="74" t="s">
        <v>197</v>
      </c>
      <c r="R105" s="75" t="s">
        <v>204</v>
      </c>
      <c r="S105" s="74" t="s">
        <v>197</v>
      </c>
      <c r="T105" s="75" t="s">
        <v>203</v>
      </c>
      <c r="U105" s="74" t="s">
        <v>199</v>
      </c>
      <c r="V105" s="75" t="s">
        <v>200</v>
      </c>
    </row>
    <row r="106" spans="2:26" x14ac:dyDescent="0.3">
      <c r="B106" s="105" t="s">
        <v>114</v>
      </c>
      <c r="C106" s="102" t="s">
        <v>109</v>
      </c>
      <c r="D106" s="103" t="s">
        <v>108</v>
      </c>
      <c r="E106" s="102" t="s">
        <v>108</v>
      </c>
      <c r="F106" s="103" t="s">
        <v>109</v>
      </c>
      <c r="G106" s="102" t="s">
        <v>108</v>
      </c>
      <c r="H106" s="103" t="s">
        <v>108</v>
      </c>
      <c r="I106" s="102" t="s">
        <v>108</v>
      </c>
      <c r="J106" s="103" t="s">
        <v>109</v>
      </c>
      <c r="K106" s="102" t="s">
        <v>108</v>
      </c>
      <c r="L106" s="103" t="s">
        <v>109</v>
      </c>
      <c r="M106" s="102" t="s">
        <v>109</v>
      </c>
      <c r="N106" s="103" t="s">
        <v>109</v>
      </c>
      <c r="O106" s="102" t="s">
        <v>108</v>
      </c>
      <c r="P106" s="103" t="s">
        <v>108</v>
      </c>
      <c r="Q106" s="102" t="s">
        <v>108</v>
      </c>
      <c r="R106" s="103" t="s">
        <v>108</v>
      </c>
      <c r="S106" s="102" t="s">
        <v>109</v>
      </c>
      <c r="T106" s="103" t="s">
        <v>108</v>
      </c>
      <c r="U106" s="102" t="s">
        <v>109</v>
      </c>
      <c r="V106" s="103" t="s">
        <v>109</v>
      </c>
    </row>
    <row r="107" spans="2:26" x14ac:dyDescent="0.3">
      <c r="B107" s="106" t="s">
        <v>110</v>
      </c>
      <c r="C107" s="104">
        <f t="shared" ref="C107:V107" si="30">HLOOKUP(C105,$B$39:$X$82,IF(C106="x",35,40),FALSE)</f>
        <v>479.38048780487804</v>
      </c>
      <c r="D107" s="86">
        <f t="shared" si="30"/>
        <v>734.75928143712576</v>
      </c>
      <c r="E107" s="104">
        <f t="shared" si="30"/>
        <v>227.0333333333333</v>
      </c>
      <c r="F107" s="86">
        <f t="shared" si="30"/>
        <v>667.99428571428564</v>
      </c>
      <c r="G107" s="104">
        <f t="shared" si="30"/>
        <v>227.0333333333333</v>
      </c>
      <c r="H107" s="86">
        <f t="shared" si="30"/>
        <v>1428.5638297872338</v>
      </c>
      <c r="I107" s="104">
        <f t="shared" si="30"/>
        <v>974.1583333333333</v>
      </c>
      <c r="J107" s="86">
        <f t="shared" si="30"/>
        <v>555.22533936651575</v>
      </c>
      <c r="K107" s="104">
        <f t="shared" si="30"/>
        <v>974.1583333333333</v>
      </c>
      <c r="L107" s="86">
        <f t="shared" si="30"/>
        <v>1323.0049261083741</v>
      </c>
      <c r="M107" s="104">
        <f t="shared" si="30"/>
        <v>1323.0049261083741</v>
      </c>
      <c r="N107" s="86">
        <f t="shared" si="30"/>
        <v>1879.8058604651167</v>
      </c>
      <c r="O107" s="104">
        <f t="shared" si="30"/>
        <v>1428.5638297872338</v>
      </c>
      <c r="P107" s="86">
        <f t="shared" si="30"/>
        <v>276.07350000000002</v>
      </c>
      <c r="Q107" s="104">
        <f t="shared" si="30"/>
        <v>2172.8938709677423</v>
      </c>
      <c r="R107" s="86">
        <f t="shared" si="30"/>
        <v>276.07350000000002</v>
      </c>
      <c r="S107" s="104">
        <f t="shared" si="30"/>
        <v>1879.8058604651167</v>
      </c>
      <c r="T107" s="86">
        <f t="shared" si="30"/>
        <v>166.29600000000002</v>
      </c>
      <c r="U107" s="104">
        <f t="shared" si="30"/>
        <v>249.29093333333336</v>
      </c>
      <c r="V107" s="86">
        <f t="shared" si="30"/>
        <v>249.29093333333336</v>
      </c>
    </row>
    <row r="108" spans="2:26" x14ac:dyDescent="0.3">
      <c r="B108" s="106" t="s">
        <v>111</v>
      </c>
      <c r="C108" s="127">
        <f>(MAX(C107:D107)-MIN(C107:D107))/(MAX(C107:D107))</f>
        <v>0.34756797237422959</v>
      </c>
      <c r="D108" s="128"/>
      <c r="E108" s="127">
        <f>(MAX(E107:F107)-MIN(E107:F107))/(MAX(E107:F107))</f>
        <v>0.66012683313515652</v>
      </c>
      <c r="F108" s="128"/>
      <c r="G108" s="127">
        <f>(MAX(G107:H107)-MIN(G107:H107))/(MAX(G107:H107))</f>
        <v>0.84107582132529068</v>
      </c>
      <c r="H108" s="128"/>
      <c r="I108" s="127">
        <f>(MAX(I107:J107)-MIN(I107:J107))/(MAX(I107:J107))</f>
        <v>0.43004610198562954</v>
      </c>
      <c r="J108" s="128"/>
      <c r="K108" s="127">
        <f>(MAX(K107:L107)-MIN(K107:L107))/(MAX(K107:L107))</f>
        <v>0.26367747080214954</v>
      </c>
      <c r="L108" s="128"/>
      <c r="M108" s="127">
        <f>(MAX(M107:N107)-MIN(M107:N107))/(MAX(M107:N107))</f>
        <v>0.29620129720149635</v>
      </c>
      <c r="N108" s="128"/>
      <c r="O108" s="127">
        <f>(MAX(O107:P107)-MIN(O107:P107))/(MAX(O107:P107))</f>
        <v>0.80674752206128753</v>
      </c>
      <c r="P108" s="128"/>
      <c r="Q108" s="127">
        <f>(MAX(Q107:R107)-MIN(Q107:R107))/(MAX(Q107:R107))</f>
        <v>0.87294662491866437</v>
      </c>
      <c r="R108" s="128"/>
      <c r="S108" s="127">
        <f>(MAX(S107:T107)-MIN(S107:T107))/(MAX(S107:T107))</f>
        <v>0.91153554550635685</v>
      </c>
      <c r="T108" s="128"/>
      <c r="U108" s="127">
        <f>(MAX(U107:V107)-MIN(U107:V107))/(MAX(U107:V107))</f>
        <v>0</v>
      </c>
      <c r="V108" s="128"/>
    </row>
    <row r="109" spans="2:26" x14ac:dyDescent="0.3">
      <c r="B109" s="106" t="s">
        <v>112</v>
      </c>
      <c r="C109" s="129">
        <f>IF(C108&lt;25%,(C107*0.5+D107*0.5)*0.9,IF(C108&lt;50%,(MAX(C107:D107)*0.6+MIN(C107:D107)*0.4)*0.9,IF(C108&lt;70%,(MAX(C107:D107)*0.65+MIN(C107:D107)*0.35)*0.9,IF(C108&lt;100%,(MAX(C107:D107)*0.7+MIN(C107:D107)*0.3)*0.9,0.7*MAX(C107:D107)))))</f>
        <v>569.34698758580407</v>
      </c>
      <c r="D109" s="130"/>
      <c r="E109" s="129">
        <f>IF(E108&lt;25%,(E107*0.5+F107*0.5)*0.9,IF(E108&lt;50%,(MAX(E107:F107)*0.6+MIN(E107:F107)*0.4)*0.9,IF(E108&lt;70%,(MAX(E107:F107)*0.65+MIN(E107:F107)*0.35)*0.9,IF(E108&lt;100%,(MAX(E107:F107)*0.7+MIN(E107:F107)*0.3)*0.9,0.7*MAX(E107:F107)))))</f>
        <v>462.29215714285709</v>
      </c>
      <c r="F109" s="130"/>
      <c r="G109" s="129">
        <f>IF(G108&lt;25%,(G107*0.5+H107*0.5)*0.9,IF(G108&lt;50%,(MAX(G107:H107)*0.6+MIN(G107:H107)*0.4)*0.9,IF(G108&lt;70%,(MAX(G107:H107)*0.65+MIN(G107:H107)*0.35)*0.9,IF(G108&lt;100%,(MAX(G107:H107)*0.7+MIN(G107:H107)*0.3)*0.9,0.7*MAX(G107:H107)))))</f>
        <v>961.29421276595713</v>
      </c>
      <c r="H109" s="130"/>
      <c r="I109" s="129">
        <f>IF(I108&lt;25%,(I107*0.5+J107*0.5)*0.9,IF(I108&lt;50%,(MAX(I107:J107)*0.6+MIN(I107:J107)*0.4)*0.9,IF(I108&lt;70%,(MAX(I107:J107)*0.65+MIN(I107:J107)*0.35)*0.9,IF(I108&lt;100%,(MAX(I107:J107)*0.7+MIN(I107:J107)*0.3)*0.9,0.7*MAX(I107:J107)))))</f>
        <v>725.92662217194572</v>
      </c>
      <c r="J109" s="130"/>
      <c r="K109" s="129">
        <f>IF(K108&lt;25%,(K107*0.5+L107*0.5)*0.9,IF(K108&lt;50%,(MAX(K107:L107)*0.6+MIN(K107:L107)*0.4)*0.9,IF(K108&lt;70%,(MAX(K107:L107)*0.65+MIN(K107:L107)*0.35)*0.9,IF(K108&lt;100%,(MAX(K107:L107)*0.7+MIN(K107:L107)*0.3)*0.9,0.7*MAX(K107:L107)))))</f>
        <v>1065.1196600985222</v>
      </c>
      <c r="L109" s="130"/>
      <c r="M109" s="129">
        <f>IF(M108&lt;25%,(M107*0.5+N107*0.5)*0.9,IF(M108&lt;50%,(MAX(M107:N107)*0.6+MIN(M107:N107)*0.4)*0.9,IF(M108&lt;70%,(MAX(M107:N107)*0.65+MIN(M107:N107)*0.35)*0.9,IF(M108&lt;100%,(MAX(M107:N107)*0.7+MIN(M107:N107)*0.3)*0.9,0.7*MAX(M107:N107)))))</f>
        <v>1491.3769380501776</v>
      </c>
      <c r="N109" s="130"/>
      <c r="O109" s="129">
        <f>IF(O108&lt;25%,(O107*0.5+P107*0.5)*0.9,IF(O108&lt;50%,(MAX(O107:P107)*0.6+MIN(O107:P107)*0.4)*0.9,IF(O108&lt;70%,(MAX(O107:P107)*0.65+MIN(O107:P107)*0.35)*0.9,IF(O108&lt;100%,(MAX(O107:P107)*0.7+MIN(O107:P107)*0.3)*0.9,0.7*MAX(O107:P107)))))</f>
        <v>974.53505776595716</v>
      </c>
      <c r="P109" s="130"/>
      <c r="Q109" s="129">
        <f>IF(Q108&lt;25%,(Q107*0.5+R107*0.5)*0.9,IF(Q108&lt;50%,(MAX(Q107:R107)*0.6+MIN(Q107:R107)*0.4)*0.9,IF(Q108&lt;70%,(MAX(Q107:R107)*0.65+MIN(Q107:R107)*0.35)*0.9,IF(Q108&lt;100%,(MAX(Q107:R107)*0.7+MIN(Q107:R107)*0.3)*0.9,0.7*MAX(Q107:R107)))))</f>
        <v>1443.4629837096775</v>
      </c>
      <c r="R109" s="130"/>
      <c r="S109" s="129">
        <f>IF(S108&lt;25%,(S107*0.5+T107*0.5)*0.9,IF(S108&lt;50%,(MAX(S107:T107)*0.6+MIN(S107:T107)*0.4)*0.9,IF(S108&lt;70%,(MAX(S107:T107)*0.65+MIN(S107:T107)*0.35)*0.9,IF(S108&lt;100%,(MAX(S107:T107)*0.7+MIN(S107:T107)*0.3)*0.9,0.7*MAX(S107:T107)))))</f>
        <v>1229.1776120930235</v>
      </c>
      <c r="T109" s="130"/>
      <c r="U109" s="129">
        <f>IF(U108&lt;25%,(U107*0.5+V107*0.5)*0.9,IF(U108&lt;50%,(MAX(U107:V107)*0.6+MIN(U107:V107)*0.4)*0.9,IF(U108&lt;70%,(MAX(U107:V107)*0.65+MIN(U107:V107)*0.35)*0.9,IF(U108&lt;100%,(MAX(U107:V107)*0.7+MIN(U107:V107)*0.3)*0.9,0.7*MAX(U107:V107)))))</f>
        <v>224.36184000000003</v>
      </c>
      <c r="V109" s="130"/>
    </row>
    <row r="110" spans="2:26" x14ac:dyDescent="0.3">
      <c r="B110" s="107" t="s">
        <v>15</v>
      </c>
      <c r="C110" s="131">
        <f>C109/(0.9*(0.9*($C$7/100))*($L$9*1000))</f>
        <v>1.1730599391489145</v>
      </c>
      <c r="D110" s="132"/>
      <c r="E110" s="131">
        <f>E109/(0.9*(0.9*($C$7/100))*($L$9*1000))</f>
        <v>0.95248841488828095</v>
      </c>
      <c r="F110" s="132"/>
      <c r="G110" s="131">
        <f>G109/(0.9*(0.9*($C$7/100))*($L$9*1000))</f>
        <v>1.9806124478027429</v>
      </c>
      <c r="H110" s="132"/>
      <c r="I110" s="131">
        <f>I109/(0.9*(0.9*($C$7/100))*($L$9*1000))</f>
        <v>1.4956704045145492</v>
      </c>
      <c r="J110" s="132"/>
      <c r="K110" s="131">
        <f>K109/(0.9*(0.9*($C$7/100))*($L$9*1000))</f>
        <v>2.194530279258192</v>
      </c>
      <c r="L110" s="132"/>
      <c r="M110" s="131">
        <f>M109/(0.9*(0.9*($C$7/100))*($L$9*1000))</f>
        <v>3.07277385907584</v>
      </c>
      <c r="N110" s="132"/>
      <c r="O110" s="131">
        <f>O109/(0.9*(0.9*($C$7/100))*($L$9*1000))</f>
        <v>2.0078933593885608</v>
      </c>
      <c r="P110" s="132"/>
      <c r="Q110" s="131">
        <f>Q109/(0.9*(0.9*($C$7/100))*($L$9*1000))</f>
        <v>2.974053848979044</v>
      </c>
      <c r="R110" s="132"/>
      <c r="S110" s="131">
        <f>S109/(0.9*(0.9*($C$7/100))*($L$9*1000))</f>
        <v>2.5325487730410572</v>
      </c>
      <c r="T110" s="132"/>
      <c r="U110" s="131">
        <f>U109/(0.9*(0.9*($C$7/100))*($L$9*1000))</f>
        <v>0.46226623151856788</v>
      </c>
      <c r="V110" s="132"/>
    </row>
    <row r="111" spans="2:26" x14ac:dyDescent="0.3">
      <c r="B111" s="107" t="s">
        <v>98</v>
      </c>
      <c r="C111" s="133">
        <f>(C110*($L$9))/(0.85*$L$6*100)</f>
        <v>2.8954420643352678E-2</v>
      </c>
      <c r="D111" s="134"/>
      <c r="E111" s="133">
        <f>(E110*($L$9))/(0.85*$L$6*100)</f>
        <v>2.351009466967614E-2</v>
      </c>
      <c r="F111" s="134"/>
      <c r="G111" s="133">
        <f>(G110*($L$9))/(0.85*$L$6*100)</f>
        <v>4.8887089253723995E-2</v>
      </c>
      <c r="H111" s="134"/>
      <c r="I111" s="133">
        <f>(I110*($L$9))/(0.85*$L$6*100)</f>
        <v>3.6917354851916211E-2</v>
      </c>
      <c r="J111" s="134"/>
      <c r="K111" s="133">
        <f>(K110*($L$9))/(0.85*$L$6*100)</f>
        <v>5.4167183363466334E-2</v>
      </c>
      <c r="L111" s="134"/>
      <c r="M111" s="133">
        <f>(M110*($L$9))/(0.85*$L$6*100)</f>
        <v>7.5844706556197211E-2</v>
      </c>
      <c r="N111" s="134"/>
      <c r="O111" s="133">
        <f>(O110*($L$9))/(0.85*$L$6*100)</f>
        <v>4.9560458928391241E-2</v>
      </c>
      <c r="P111" s="134"/>
      <c r="Q111" s="133">
        <f>(Q110*($L$9))/(0.85*$L$6*100)</f>
        <v>7.3408018879067533E-2</v>
      </c>
      <c r="R111" s="134"/>
      <c r="S111" s="133">
        <f>(S110*($L$9))/(0.85*$L$6*100)</f>
        <v>6.2510431076215248E-2</v>
      </c>
      <c r="T111" s="134"/>
      <c r="U111" s="133">
        <f>(U110*($L$9))/(0.85*$L$6*100)</f>
        <v>1.1410031550746659E-2</v>
      </c>
      <c r="V111" s="134"/>
    </row>
    <row r="112" spans="2:26" ht="15" thickBot="1" x14ac:dyDescent="0.35">
      <c r="B112" s="108" t="s">
        <v>15</v>
      </c>
      <c r="C112" s="135">
        <f>ROUNDUP(C109/(0.9*(($C$7-C111/2)/100)*($L$9*1000)),2)</f>
        <v>1.06</v>
      </c>
      <c r="D112" s="136"/>
      <c r="E112" s="135">
        <f>ROUNDUP(E109/(0.9*(($C$7-E111/2)/100)*($L$9*1000)),2)</f>
        <v>0.86</v>
      </c>
      <c r="F112" s="136"/>
      <c r="G112" s="135">
        <f>ROUNDUP(G109/(0.9*(($C$7-G111/2)/100)*($L$9*1000)),2)</f>
        <v>1.79</v>
      </c>
      <c r="H112" s="136"/>
      <c r="I112" s="135">
        <f>ROUNDUP(I109/(0.9*(($C$7-I111/2)/100)*($L$9*1000)),2)</f>
        <v>1.35</v>
      </c>
      <c r="J112" s="136"/>
      <c r="K112" s="135">
        <f>ROUNDUP(K109/(0.9*(($C$7-K111/2)/100)*($L$9*1000)),2)</f>
        <v>1.98</v>
      </c>
      <c r="L112" s="136"/>
      <c r="M112" s="135">
        <f>ROUNDUP(M109/(0.9*(($C$7-M111/2)/100)*($L$9*1000)),2)</f>
        <v>2.78</v>
      </c>
      <c r="N112" s="136"/>
      <c r="O112" s="135">
        <f>ROUNDUP(O109/(0.9*(($C$7-O111/2)/100)*($L$9*1000)),2)</f>
        <v>1.82</v>
      </c>
      <c r="P112" s="136"/>
      <c r="Q112" s="135">
        <f>ROUNDUP(Q109/(0.9*(($C$7-Q111/2)/100)*($L$9*1000)),2)</f>
        <v>2.69</v>
      </c>
      <c r="R112" s="136"/>
      <c r="S112" s="135">
        <f>ROUNDUP(S109/(0.9*(($C$7-S111/2)/100)*($L$9*1000)),2)</f>
        <v>2.2899999999999996</v>
      </c>
      <c r="T112" s="136"/>
      <c r="U112" s="135">
        <f>ROUNDUP(U109/(0.9*(($C$7-U111/2)/100)*($L$9*1000)),2)</f>
        <v>0.42</v>
      </c>
      <c r="V112" s="136"/>
    </row>
    <row r="113" spans="2:22" ht="16.2" thickBot="1" x14ac:dyDescent="0.35">
      <c r="B113" s="61" t="s">
        <v>113</v>
      </c>
      <c r="C113" s="140" t="str">
        <f>IF(C112&gt;$C$12,"φ"&amp;IF(VLOOKUP(VLOOKUP(C112,tablas!$R$3:$T$66,2,TRUE)&amp;VLOOKUP(C112,tablas!$R$3:$T$66,3,TRUE),tablas!$Q$3:$R$66,2,FALSE)&lt;C112,VLOOKUP(C112+0.1,tablas!$R$3:$T$66,2,TRUE),VLOOKUP(C112,tablas!$R$3:$T$66,2,TRUE))&amp;"@"&amp;IF(VLOOKUP(VLOOKUP(C112,tablas!$R$3:$T$66,2,TRUE)&amp;VLOOKUP(C112,tablas!$R$3:$T$66,3,TRUE),tablas!$Q$3:$R$66,2,FALSE)&lt;C112,VLOOKUP(C112+0.1,tablas!$R$3:$T$66,3,TRUE),VLOOKUP(C112,tablas!$R$3:$T$66,3,TRUE)),$C$13)</f>
        <v>φ8@17</v>
      </c>
      <c r="D113" s="141"/>
      <c r="E113" s="140" t="str">
        <f>IF(E112&gt;$C$12,"φ"&amp;IF(VLOOKUP(VLOOKUP(E112,tablas!$R$3:$T$66,2,TRUE)&amp;VLOOKUP(E112,tablas!$R$3:$T$66,3,TRUE),tablas!$Q$3:$R$66,2,FALSE)&lt;E112,VLOOKUP(E112+0.1,tablas!$R$3:$T$66,2,TRUE),VLOOKUP(E112,tablas!$R$3:$T$66,2,TRUE))&amp;"@"&amp;IF(VLOOKUP(VLOOKUP(E112,tablas!$R$3:$T$66,2,TRUE)&amp;VLOOKUP(E112,tablas!$R$3:$T$66,3,TRUE),tablas!$Q$3:$R$66,2,FALSE)&lt;E112,VLOOKUP(E112+0.1,tablas!$R$3:$T$66,3,TRUE),VLOOKUP(E112,tablas!$R$3:$T$66,3,TRUE)),$C$13)</f>
        <v>φ8@17</v>
      </c>
      <c r="F113" s="141"/>
      <c r="G113" s="140" t="str">
        <f>IF(G112&gt;$C$12,"φ"&amp;IF(VLOOKUP(VLOOKUP(G112,tablas!$R$3:$T$66,2,TRUE)&amp;VLOOKUP(G112,tablas!$R$3:$T$66,3,TRUE),tablas!$Q$3:$R$66,2,FALSE)&lt;G112,VLOOKUP(G112+0.1,tablas!$R$3:$T$66,2,TRUE),VLOOKUP(G112,tablas!$R$3:$T$66,2,TRUE))&amp;"@"&amp;IF(VLOOKUP(VLOOKUP(G112,tablas!$R$3:$T$66,2,TRUE)&amp;VLOOKUP(G112,tablas!$R$3:$T$66,3,TRUE),tablas!$Q$3:$R$66,2,FALSE)&lt;G112,VLOOKUP(G112+0.1,tablas!$R$3:$T$66,3,TRUE),VLOOKUP(G112,tablas!$R$3:$T$66,3,TRUE)),$C$13)</f>
        <v>φ8@17</v>
      </c>
      <c r="H113" s="141"/>
      <c r="I113" s="140" t="str">
        <f>IF(I112&gt;$C$12,"φ"&amp;IF(VLOOKUP(VLOOKUP(I112,tablas!$R$3:$T$66,2,TRUE)&amp;VLOOKUP(I112,tablas!$R$3:$T$66,3,TRUE),tablas!$Q$3:$R$66,2,FALSE)&lt;I112,VLOOKUP(I112+0.1,tablas!$R$3:$T$66,2,TRUE),VLOOKUP(I112,tablas!$R$3:$T$66,2,TRUE))&amp;"@"&amp;IF(VLOOKUP(VLOOKUP(I112,tablas!$R$3:$T$66,2,TRUE)&amp;VLOOKUP(I112,tablas!$R$3:$T$66,3,TRUE),tablas!$Q$3:$R$66,2,FALSE)&lt;I112,VLOOKUP(I112+0.1,tablas!$R$3:$T$66,3,TRUE),VLOOKUP(I112,tablas!$R$3:$T$66,3,TRUE)),$C$13)</f>
        <v>φ8@17</v>
      </c>
      <c r="J113" s="141"/>
      <c r="K113" s="140" t="str">
        <f>IF(K112&gt;$C$12,"φ"&amp;IF(VLOOKUP(VLOOKUP(K112,tablas!$R$3:$T$66,2,TRUE)&amp;VLOOKUP(K112,tablas!$R$3:$T$66,3,TRUE),tablas!$Q$3:$R$66,2,FALSE)&lt;K112,VLOOKUP(K112+0.1,tablas!$R$3:$T$66,2,TRUE),VLOOKUP(K112,tablas!$R$3:$T$66,2,TRUE))&amp;"@"&amp;IF(VLOOKUP(VLOOKUP(K112,tablas!$R$3:$T$66,2,TRUE)&amp;VLOOKUP(K112,tablas!$R$3:$T$66,3,TRUE),tablas!$Q$3:$R$66,2,FALSE)&lt;K112,VLOOKUP(K112+0.1,tablas!$R$3:$T$66,3,TRUE),VLOOKUP(K112,tablas!$R$3:$T$66,3,TRUE)),$C$13)</f>
        <v>φ8@17</v>
      </c>
      <c r="L113" s="141"/>
      <c r="M113" s="140" t="str">
        <f>IF(M112&gt;$C$12,"φ"&amp;IF(VLOOKUP(VLOOKUP(M112,tablas!$R$3:$T$66,2,TRUE)&amp;VLOOKUP(M112,tablas!$R$3:$T$66,3,TRUE),tablas!$Q$3:$R$66,2,FALSE)&lt;M112,VLOOKUP(M112+0.1,tablas!$R$3:$T$66,2,TRUE),VLOOKUP(M112,tablas!$R$3:$T$66,2,TRUE))&amp;"@"&amp;IF(VLOOKUP(VLOOKUP(M112,tablas!$R$3:$T$66,2,TRUE)&amp;VLOOKUP(M112,tablas!$R$3:$T$66,3,TRUE),tablas!$Q$3:$R$66,2,FALSE)&lt;M112,VLOOKUP(M112+0.1,tablas!$R$3:$T$66,3,TRUE),VLOOKUP(M112,tablas!$R$3:$T$66,3,TRUE)),$C$13)</f>
        <v>φ8@17</v>
      </c>
      <c r="N113" s="141"/>
      <c r="O113" s="140" t="str">
        <f>IF(O112&gt;$C$12,"φ"&amp;IF(VLOOKUP(VLOOKUP(O112,tablas!$R$3:$T$66,2,TRUE)&amp;VLOOKUP(O112,tablas!$R$3:$T$66,3,TRUE),tablas!$Q$3:$R$66,2,FALSE)&lt;O112,VLOOKUP(O112+0.1,tablas!$R$3:$T$66,2,TRUE),VLOOKUP(O112,tablas!$R$3:$T$66,2,TRUE))&amp;"@"&amp;IF(VLOOKUP(VLOOKUP(O112,tablas!$R$3:$T$66,2,TRUE)&amp;VLOOKUP(O112,tablas!$R$3:$T$66,3,TRUE),tablas!$Q$3:$R$66,2,FALSE)&lt;O112,VLOOKUP(O112+0.1,tablas!$R$3:$T$66,3,TRUE),VLOOKUP(O112,tablas!$R$3:$T$66,3,TRUE)),$C$13)</f>
        <v>φ8@17</v>
      </c>
      <c r="P113" s="141"/>
      <c r="Q113" s="140" t="str">
        <f>IF(Q112&gt;$C$12,"φ"&amp;IF(VLOOKUP(VLOOKUP(Q112,tablas!$R$3:$T$66,2,TRUE)&amp;VLOOKUP(Q112,tablas!$R$3:$T$66,3,TRUE),tablas!$Q$3:$R$66,2,FALSE)&lt;Q112,VLOOKUP(Q112+0.1,tablas!$R$3:$T$66,2,TRUE),VLOOKUP(Q112,tablas!$R$3:$T$66,2,TRUE))&amp;"@"&amp;IF(VLOOKUP(VLOOKUP(Q112,tablas!$R$3:$T$66,2,TRUE)&amp;VLOOKUP(Q112,tablas!$R$3:$T$66,3,TRUE),tablas!$Q$3:$R$66,2,FALSE)&lt;Q112,VLOOKUP(Q112+0.1,tablas!$R$3:$T$66,3,TRUE),VLOOKUP(Q112,tablas!$R$3:$T$66,3,TRUE)),$C$13)</f>
        <v>φ8@17</v>
      </c>
      <c r="R113" s="141"/>
      <c r="S113" s="140" t="str">
        <f>IF(S112&gt;$C$12,"φ"&amp;IF(VLOOKUP(VLOOKUP(S112,tablas!$R$3:$T$66,2,TRUE)&amp;VLOOKUP(S112,tablas!$R$3:$T$66,3,TRUE),tablas!$Q$3:$R$66,2,FALSE)&lt;S112,VLOOKUP(S112+0.1,tablas!$R$3:$T$66,2,TRUE),VLOOKUP(S112,tablas!$R$3:$T$66,2,TRUE))&amp;"@"&amp;IF(VLOOKUP(VLOOKUP(S112,tablas!$R$3:$T$66,2,TRUE)&amp;VLOOKUP(S112,tablas!$R$3:$T$66,3,TRUE),tablas!$Q$3:$R$66,2,FALSE)&lt;S112,VLOOKUP(S112+0.1,tablas!$R$3:$T$66,3,TRUE),VLOOKUP(S112,tablas!$R$3:$T$66,3,TRUE)),$C$13)</f>
        <v>φ8@17</v>
      </c>
      <c r="T113" s="141"/>
      <c r="U113" s="140" t="str">
        <f>IF(U112&gt;$C$12,"φ"&amp;IF(VLOOKUP(VLOOKUP(U112,tablas!$R$3:$T$66,2,TRUE)&amp;VLOOKUP(U112,tablas!$R$3:$T$66,3,TRUE),tablas!$Q$3:$R$66,2,FALSE)&lt;U112,VLOOKUP(U112+0.1,tablas!$R$3:$T$66,2,TRUE),VLOOKUP(U112,tablas!$R$3:$T$66,2,TRUE))&amp;"@"&amp;IF(VLOOKUP(VLOOKUP(U112,tablas!$R$3:$T$66,2,TRUE)&amp;VLOOKUP(U112,tablas!$R$3:$T$66,3,TRUE),tablas!$Q$3:$R$66,2,FALSE)&lt;U112,VLOOKUP(U112+0.1,tablas!$R$3:$T$66,3,TRUE),VLOOKUP(U112,tablas!$R$3:$T$66,3,TRUE)),$C$13)</f>
        <v>φ8@17</v>
      </c>
      <c r="V113" s="141"/>
    </row>
    <row r="114" spans="2:22" x14ac:dyDescent="0.3">
      <c r="C114" t="str">
        <f>IF(C113='2 a 7'!C113:D113,"IGUAL","PUTA LA WEA")</f>
        <v>IGUAL</v>
      </c>
      <c r="E114" t="str">
        <f>IF(E113='2 a 7'!E113:F113,"IGUAL","PUTA LA WEA")</f>
        <v>IGUAL</v>
      </c>
      <c r="G114" t="str">
        <f>IF(G113='2 a 7'!G113:H113,"IGUAL","PUTA LA WEA")</f>
        <v>IGUAL</v>
      </c>
      <c r="I114" t="str">
        <f>IF(I113='2 a 7'!I113:J113,"IGUAL","PUTA LA WEA")</f>
        <v>IGUAL</v>
      </c>
      <c r="K114" t="str">
        <f>IF(K113='2 a 7'!K113:L113,"IGUAL","PUTA LA WEA")</f>
        <v>IGUAL</v>
      </c>
      <c r="M114" t="str">
        <f>IF(M113='2 a 7'!M113:N113,"IGUAL","PUTA LA WEA")</f>
        <v>IGUAL</v>
      </c>
      <c r="O114" t="str">
        <f>IF(O113='2 a 7'!O113:P113,"IGUAL","PUTA LA WEA")</f>
        <v>IGUAL</v>
      </c>
      <c r="Q114" t="str">
        <f>IF(Q113='2 a 7'!Q113:R113,"IGUAL","PUTA LA WEA")</f>
        <v>IGUAL</v>
      </c>
      <c r="S114" t="str">
        <f>IF(S113='2 a 7'!S113:T113,"IGUAL","PUTA LA WEA")</f>
        <v>IGUAL</v>
      </c>
      <c r="U114" t="str">
        <f>IF(U113='2 a 7'!U113:V113,"IGUAL","PUTA LA WEA")</f>
        <v>IGUAL</v>
      </c>
    </row>
  </sheetData>
  <mergeCells count="208">
    <mergeCell ref="U113:V113"/>
    <mergeCell ref="M112:N112"/>
    <mergeCell ref="O112:P112"/>
    <mergeCell ref="Q112:R112"/>
    <mergeCell ref="S112:T112"/>
    <mergeCell ref="U112:V112"/>
    <mergeCell ref="C113:D113"/>
    <mergeCell ref="E113:F113"/>
    <mergeCell ref="G113:H113"/>
    <mergeCell ref="I113:J113"/>
    <mergeCell ref="K113:L113"/>
    <mergeCell ref="M111:N111"/>
    <mergeCell ref="O111:P111"/>
    <mergeCell ref="Q111:R111"/>
    <mergeCell ref="S111:T111"/>
    <mergeCell ref="M113:N113"/>
    <mergeCell ref="O113:P113"/>
    <mergeCell ref="Q113:R113"/>
    <mergeCell ref="S113:T113"/>
    <mergeCell ref="C110:D110"/>
    <mergeCell ref="E110:F110"/>
    <mergeCell ref="G110:H110"/>
    <mergeCell ref="I110:J110"/>
    <mergeCell ref="K110:L110"/>
    <mergeCell ref="U111:V111"/>
    <mergeCell ref="C112:D112"/>
    <mergeCell ref="E112:F112"/>
    <mergeCell ref="G112:H112"/>
    <mergeCell ref="I112:J112"/>
    <mergeCell ref="K112:L112"/>
    <mergeCell ref="M110:N110"/>
    <mergeCell ref="O110:P110"/>
    <mergeCell ref="Q110:R110"/>
    <mergeCell ref="S110:T110"/>
    <mergeCell ref="U110:V110"/>
    <mergeCell ref="C111:D111"/>
    <mergeCell ref="E111:F111"/>
    <mergeCell ref="G111:H111"/>
    <mergeCell ref="I111:J111"/>
    <mergeCell ref="K111:L111"/>
    <mergeCell ref="U108:V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U109:V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2:V102"/>
    <mergeCell ref="W102:X102"/>
    <mergeCell ref="Y102:Z102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0:V100"/>
    <mergeCell ref="W100:X100"/>
    <mergeCell ref="Y100:Z100"/>
    <mergeCell ref="C101:D101"/>
    <mergeCell ref="E101:F101"/>
    <mergeCell ref="G101:H101"/>
    <mergeCell ref="I101:J101"/>
    <mergeCell ref="K101:L101"/>
    <mergeCell ref="Y101:Z101"/>
    <mergeCell ref="M101:N101"/>
    <mergeCell ref="O101:P101"/>
    <mergeCell ref="Q101:R101"/>
    <mergeCell ref="S101:T101"/>
    <mergeCell ref="U101:V101"/>
    <mergeCell ref="W101:X101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C98:D98"/>
    <mergeCell ref="E98:F98"/>
    <mergeCell ref="G98:H98"/>
    <mergeCell ref="I98:J98"/>
    <mergeCell ref="K98:L98"/>
    <mergeCell ref="Y98:Z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M98:N98"/>
    <mergeCell ref="O98:P98"/>
    <mergeCell ref="Q98:R98"/>
    <mergeCell ref="S98:T98"/>
    <mergeCell ref="U98:V98"/>
    <mergeCell ref="W98:X98"/>
    <mergeCell ref="U99:V99"/>
    <mergeCell ref="W99:X99"/>
    <mergeCell ref="Y99:Z99"/>
    <mergeCell ref="U92:V92"/>
    <mergeCell ref="W92:X92"/>
    <mergeCell ref="Y92:Z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0:V90"/>
    <mergeCell ref="W90:X90"/>
    <mergeCell ref="Y90:Z90"/>
    <mergeCell ref="C91:D91"/>
    <mergeCell ref="E91:F91"/>
    <mergeCell ref="G91:H91"/>
    <mergeCell ref="I91:J91"/>
    <mergeCell ref="K91:L91"/>
    <mergeCell ref="Y91:Z91"/>
    <mergeCell ref="M91:N91"/>
    <mergeCell ref="O91:P91"/>
    <mergeCell ref="Q91:R91"/>
    <mergeCell ref="S91:T91"/>
    <mergeCell ref="U91:V91"/>
    <mergeCell ref="W91: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Y88:Z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M88:N88"/>
    <mergeCell ref="O88:P88"/>
    <mergeCell ref="Q88:R88"/>
    <mergeCell ref="S88:T88"/>
    <mergeCell ref="U88:V88"/>
    <mergeCell ref="W88:X88"/>
    <mergeCell ref="U89:V89"/>
    <mergeCell ref="W89:X89"/>
    <mergeCell ref="Y89:Z89"/>
    <mergeCell ref="E4:F4"/>
    <mergeCell ref="H4:I4"/>
    <mergeCell ref="K4:L4"/>
    <mergeCell ref="B84:C84"/>
    <mergeCell ref="C88:D88"/>
    <mergeCell ref="E88:F88"/>
    <mergeCell ref="G88:H88"/>
    <mergeCell ref="I88:J88"/>
    <mergeCell ref="K88:L8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2:L27"/>
  <sheetViews>
    <sheetView topLeftCell="A4" workbookViewId="0">
      <selection activeCell="B3" sqref="B3:L27"/>
    </sheetView>
  </sheetViews>
  <sheetFormatPr baseColWidth="10" defaultRowHeight="14.4" x14ac:dyDescent="0.3"/>
  <cols>
    <col min="1" max="16384" width="11.5546875" style="1"/>
  </cols>
  <sheetData>
    <row r="2" spans="2:12" ht="15" thickBot="1" x14ac:dyDescent="0.35"/>
    <row r="3" spans="2:12" ht="15" thickBot="1" x14ac:dyDescent="0.35">
      <c r="B3" s="150" t="s">
        <v>284</v>
      </c>
      <c r="C3" s="149"/>
      <c r="D3" s="149"/>
      <c r="E3" s="149"/>
      <c r="F3" s="151"/>
      <c r="G3" s="168"/>
      <c r="H3" s="168"/>
      <c r="I3" s="168"/>
      <c r="J3" s="168"/>
      <c r="K3" s="168"/>
      <c r="L3" s="168"/>
    </row>
    <row r="4" spans="2:12" ht="15" thickBot="1" x14ac:dyDescent="0.35">
      <c r="B4" s="152" t="s">
        <v>43</v>
      </c>
      <c r="C4" s="152" t="s">
        <v>246</v>
      </c>
      <c r="D4" s="152" t="s">
        <v>244</v>
      </c>
      <c r="E4" s="156" t="s">
        <v>240</v>
      </c>
      <c r="F4" s="157"/>
      <c r="G4" s="166" t="s">
        <v>241</v>
      </c>
      <c r="H4" s="167"/>
      <c r="I4" s="166" t="s">
        <v>253</v>
      </c>
      <c r="J4" s="167"/>
      <c r="K4" s="166" t="s">
        <v>254</v>
      </c>
      <c r="L4" s="167"/>
    </row>
    <row r="5" spans="2:12" ht="43.8" thickBot="1" x14ac:dyDescent="0.35">
      <c r="B5" s="153"/>
      <c r="C5" s="153"/>
      <c r="D5" s="153"/>
      <c r="E5" s="158" t="s">
        <v>245</v>
      </c>
      <c r="F5" s="159" t="s">
        <v>242</v>
      </c>
      <c r="G5" s="158" t="s">
        <v>245</v>
      </c>
      <c r="H5" s="159" t="s">
        <v>242</v>
      </c>
      <c r="I5" s="158" t="s">
        <v>245</v>
      </c>
      <c r="J5" s="159" t="s">
        <v>242</v>
      </c>
      <c r="K5" s="158" t="s">
        <v>245</v>
      </c>
      <c r="L5" s="159" t="s">
        <v>242</v>
      </c>
    </row>
    <row r="6" spans="2:12" x14ac:dyDescent="0.3">
      <c r="B6" s="154" t="s">
        <v>285</v>
      </c>
      <c r="C6" s="154">
        <f>'1'!$C$12</f>
        <v>2.88</v>
      </c>
      <c r="D6" s="155">
        <v>1070</v>
      </c>
      <c r="E6" s="160">
        <v>1.71</v>
      </c>
      <c r="F6" s="161" t="s">
        <v>277</v>
      </c>
      <c r="G6" s="160">
        <v>1.71</v>
      </c>
      <c r="H6" s="161" t="s">
        <v>277</v>
      </c>
      <c r="I6" s="160">
        <v>5.88</v>
      </c>
      <c r="J6" s="161" t="s">
        <v>273</v>
      </c>
      <c r="K6" s="160">
        <v>4.3199999999999994</v>
      </c>
      <c r="L6" s="161" t="s">
        <v>258</v>
      </c>
    </row>
    <row r="7" spans="2:12" x14ac:dyDescent="0.3">
      <c r="B7" s="154" t="s">
        <v>286</v>
      </c>
      <c r="C7" s="154">
        <f>'1'!$C$12</f>
        <v>2.88</v>
      </c>
      <c r="D7" s="155">
        <v>1070</v>
      </c>
      <c r="E7" s="160">
        <v>0.72</v>
      </c>
      <c r="F7" s="161" t="s">
        <v>277</v>
      </c>
      <c r="G7" s="160">
        <v>0.72</v>
      </c>
      <c r="H7" s="161" t="s">
        <v>277</v>
      </c>
      <c r="I7" s="160">
        <v>2.76</v>
      </c>
      <c r="J7" s="161" t="s">
        <v>277</v>
      </c>
      <c r="K7" s="160">
        <v>2.2599999999999998</v>
      </c>
      <c r="L7" s="161" t="s">
        <v>277</v>
      </c>
    </row>
    <row r="8" spans="2:12" x14ac:dyDescent="0.3">
      <c r="B8" s="154" t="s">
        <v>287</v>
      </c>
      <c r="C8" s="154">
        <f>'1'!$C$12</f>
        <v>2.88</v>
      </c>
      <c r="D8" s="155">
        <v>1070</v>
      </c>
      <c r="E8" s="160">
        <v>0.72</v>
      </c>
      <c r="F8" s="161" t="s">
        <v>277</v>
      </c>
      <c r="G8" s="160">
        <v>0.72</v>
      </c>
      <c r="H8" s="161" t="s">
        <v>277</v>
      </c>
      <c r="I8" s="160">
        <v>2.76</v>
      </c>
      <c r="J8" s="161" t="s">
        <v>277</v>
      </c>
      <c r="K8" s="160">
        <v>2.2599999999999998</v>
      </c>
      <c r="L8" s="161" t="s">
        <v>277</v>
      </c>
    </row>
    <row r="9" spans="2:12" x14ac:dyDescent="0.3">
      <c r="B9" s="154" t="s">
        <v>288</v>
      </c>
      <c r="C9" s="154">
        <f>'1'!$C$12</f>
        <v>2.88</v>
      </c>
      <c r="D9" s="155">
        <v>1070</v>
      </c>
      <c r="E9" s="160">
        <v>1.36</v>
      </c>
      <c r="F9" s="161" t="s">
        <v>277</v>
      </c>
      <c r="G9" s="160">
        <v>1.36</v>
      </c>
      <c r="H9" s="161" t="s">
        <v>277</v>
      </c>
      <c r="I9" s="160">
        <v>4.95</v>
      </c>
      <c r="J9" s="161" t="s">
        <v>248</v>
      </c>
      <c r="K9" s="160">
        <v>3.88</v>
      </c>
      <c r="L9" s="161" t="s">
        <v>255</v>
      </c>
    </row>
    <row r="10" spans="2:12" x14ac:dyDescent="0.3">
      <c r="B10" s="154" t="s">
        <v>289</v>
      </c>
      <c r="C10" s="154">
        <f>'1'!$C$12</f>
        <v>2.88</v>
      </c>
      <c r="D10" s="155">
        <v>1070</v>
      </c>
      <c r="E10" s="160">
        <v>1.06</v>
      </c>
      <c r="F10" s="161" t="s">
        <v>277</v>
      </c>
      <c r="G10" s="160">
        <v>1.06</v>
      </c>
      <c r="H10" s="161" t="s">
        <v>277</v>
      </c>
      <c r="I10" s="160">
        <v>4.34</v>
      </c>
      <c r="J10" s="161" t="s">
        <v>258</v>
      </c>
      <c r="K10" s="160">
        <v>3.75</v>
      </c>
      <c r="L10" s="161" t="s">
        <v>264</v>
      </c>
    </row>
    <row r="11" spans="2:12" x14ac:dyDescent="0.3">
      <c r="B11" s="154" t="s">
        <v>290</v>
      </c>
      <c r="C11" s="154">
        <f>'1'!$C$12</f>
        <v>2.88</v>
      </c>
      <c r="D11" s="155">
        <v>1070</v>
      </c>
      <c r="E11" s="160">
        <v>0.6</v>
      </c>
      <c r="F11" s="161" t="s">
        <v>277</v>
      </c>
      <c r="G11" s="160">
        <v>0.6</v>
      </c>
      <c r="H11" s="161" t="s">
        <v>277</v>
      </c>
      <c r="I11" s="160">
        <v>2.6599999999999997</v>
      </c>
      <c r="J11" s="161" t="s">
        <v>277</v>
      </c>
      <c r="K11" s="160">
        <v>2.46</v>
      </c>
      <c r="L11" s="161" t="s">
        <v>277</v>
      </c>
    </row>
    <row r="12" spans="2:12" x14ac:dyDescent="0.3">
      <c r="B12" s="154" t="s">
        <v>291</v>
      </c>
      <c r="C12" s="154">
        <f>'1'!$C$12</f>
        <v>2.88</v>
      </c>
      <c r="D12" s="155">
        <v>1390</v>
      </c>
      <c r="E12" s="160">
        <v>0.49</v>
      </c>
      <c r="F12" s="161" t="s">
        <v>277</v>
      </c>
      <c r="G12" s="160">
        <v>0.49</v>
      </c>
      <c r="H12" s="161" t="s">
        <v>277</v>
      </c>
      <c r="I12" s="160">
        <v>1.25</v>
      </c>
      <c r="J12" s="161" t="s">
        <v>277</v>
      </c>
      <c r="K12" s="160">
        <v>0.89</v>
      </c>
      <c r="L12" s="161" t="s">
        <v>277</v>
      </c>
    </row>
    <row r="13" spans="2:12" x14ac:dyDescent="0.3">
      <c r="B13" s="154" t="s">
        <v>292</v>
      </c>
      <c r="C13" s="154">
        <f>'1'!$C$12</f>
        <v>2.88</v>
      </c>
      <c r="D13" s="155">
        <v>1390</v>
      </c>
      <c r="E13" s="160">
        <v>0.3</v>
      </c>
      <c r="F13" s="161" t="s">
        <v>277</v>
      </c>
      <c r="G13" s="160">
        <v>0.3</v>
      </c>
      <c r="H13" s="161" t="s">
        <v>277</v>
      </c>
      <c r="I13" s="160">
        <v>0.43</v>
      </c>
      <c r="J13" s="161" t="s">
        <v>277</v>
      </c>
      <c r="K13" s="160">
        <v>0.29000000000000004</v>
      </c>
      <c r="L13" s="161" t="s">
        <v>277</v>
      </c>
    </row>
    <row r="14" spans="2:12" x14ac:dyDescent="0.3">
      <c r="B14" s="154" t="s">
        <v>293</v>
      </c>
      <c r="C14" s="154">
        <f>'1'!$C$12</f>
        <v>2.88</v>
      </c>
      <c r="D14" s="155">
        <v>1390</v>
      </c>
      <c r="E14" s="160">
        <v>1.28</v>
      </c>
      <c r="F14" s="161" t="s">
        <v>277</v>
      </c>
      <c r="G14" s="160">
        <v>1.28</v>
      </c>
      <c r="H14" s="161" t="s">
        <v>277</v>
      </c>
      <c r="I14" s="160">
        <v>1.81</v>
      </c>
      <c r="J14" s="161" t="s">
        <v>277</v>
      </c>
      <c r="K14" s="160">
        <v>1.24</v>
      </c>
      <c r="L14" s="161" t="s">
        <v>277</v>
      </c>
    </row>
    <row r="15" spans="2:12" x14ac:dyDescent="0.3">
      <c r="B15" s="154" t="s">
        <v>294</v>
      </c>
      <c r="C15" s="154">
        <f>'1'!$C$12</f>
        <v>2.88</v>
      </c>
      <c r="D15" s="155">
        <v>1070</v>
      </c>
      <c r="E15" s="160">
        <v>0.6</v>
      </c>
      <c r="F15" s="161" t="s">
        <v>277</v>
      </c>
      <c r="G15" s="160">
        <v>0.6</v>
      </c>
      <c r="H15" s="161" t="s">
        <v>277</v>
      </c>
      <c r="I15" s="160">
        <v>2.6599999999999997</v>
      </c>
      <c r="J15" s="161" t="s">
        <v>277</v>
      </c>
      <c r="K15" s="160">
        <v>2.46</v>
      </c>
      <c r="L15" s="161" t="s">
        <v>277</v>
      </c>
    </row>
    <row r="16" spans="2:12" x14ac:dyDescent="0.3">
      <c r="B16" s="154" t="s">
        <v>295</v>
      </c>
      <c r="C16" s="154">
        <f>'1'!$C$12</f>
        <v>2.88</v>
      </c>
      <c r="D16" s="155">
        <v>1070</v>
      </c>
      <c r="E16" s="160">
        <v>0.99</v>
      </c>
      <c r="F16" s="161" t="s">
        <v>277</v>
      </c>
      <c r="G16" s="160">
        <v>0.99</v>
      </c>
      <c r="H16" s="161" t="s">
        <v>277</v>
      </c>
      <c r="I16" s="160">
        <v>4.04</v>
      </c>
      <c r="J16" s="161" t="s">
        <v>274</v>
      </c>
      <c r="K16" s="160">
        <v>3.5</v>
      </c>
      <c r="L16" s="161" t="s">
        <v>270</v>
      </c>
    </row>
    <row r="17" spans="2:12" x14ac:dyDescent="0.3">
      <c r="B17" s="154" t="s">
        <v>296</v>
      </c>
      <c r="C17" s="154">
        <f>'1'!$C$12</f>
        <v>2.88</v>
      </c>
      <c r="D17" s="155">
        <v>1230</v>
      </c>
      <c r="E17" s="160">
        <v>0.44</v>
      </c>
      <c r="F17" s="161" t="s">
        <v>277</v>
      </c>
      <c r="G17" s="160">
        <v>0.44</v>
      </c>
      <c r="H17" s="161" t="s">
        <v>277</v>
      </c>
      <c r="I17" s="160">
        <v>0.66</v>
      </c>
      <c r="J17" s="161" t="s">
        <v>277</v>
      </c>
      <c r="K17" s="160">
        <v>0.47000000000000003</v>
      </c>
      <c r="L17" s="161" t="s">
        <v>277</v>
      </c>
    </row>
    <row r="18" spans="2:12" x14ac:dyDescent="0.3">
      <c r="B18" s="154" t="s">
        <v>297</v>
      </c>
      <c r="C18" s="154">
        <f>'1'!$C$12</f>
        <v>2.88</v>
      </c>
      <c r="D18" s="155">
        <v>1230</v>
      </c>
      <c r="E18" s="160">
        <v>0.44</v>
      </c>
      <c r="F18" s="161" t="s">
        <v>277</v>
      </c>
      <c r="G18" s="160">
        <v>0.44</v>
      </c>
      <c r="H18" s="161" t="s">
        <v>277</v>
      </c>
      <c r="I18" s="160">
        <v>0.66</v>
      </c>
      <c r="J18" s="161" t="s">
        <v>277</v>
      </c>
      <c r="K18" s="160">
        <v>0.47000000000000003</v>
      </c>
      <c r="L18" s="161" t="s">
        <v>277</v>
      </c>
    </row>
    <row r="19" spans="2:12" x14ac:dyDescent="0.3">
      <c r="B19" s="154" t="s">
        <v>298</v>
      </c>
      <c r="C19" s="154">
        <f>'1'!$C$12</f>
        <v>2.88</v>
      </c>
      <c r="D19" s="155">
        <v>1230</v>
      </c>
      <c r="E19" s="160">
        <v>0.44</v>
      </c>
      <c r="F19" s="161" t="s">
        <v>277</v>
      </c>
      <c r="G19" s="160">
        <v>0.44</v>
      </c>
      <c r="H19" s="161" t="s">
        <v>277</v>
      </c>
      <c r="I19" s="160">
        <v>0.66</v>
      </c>
      <c r="J19" s="161" t="s">
        <v>277</v>
      </c>
      <c r="K19" s="160">
        <v>0.47000000000000003</v>
      </c>
      <c r="L19" s="161" t="s">
        <v>277</v>
      </c>
    </row>
    <row r="20" spans="2:12" x14ac:dyDescent="0.3">
      <c r="B20" s="154" t="s">
        <v>299</v>
      </c>
      <c r="C20" s="154">
        <f>'1'!$C$12</f>
        <v>2.88</v>
      </c>
      <c r="D20" s="155">
        <v>1230</v>
      </c>
      <c r="E20" s="160">
        <v>0.44</v>
      </c>
      <c r="F20" s="161" t="s">
        <v>277</v>
      </c>
      <c r="G20" s="160">
        <v>0.44</v>
      </c>
      <c r="H20" s="161" t="s">
        <v>277</v>
      </c>
      <c r="I20" s="160">
        <v>0.66</v>
      </c>
      <c r="J20" s="161" t="s">
        <v>277</v>
      </c>
      <c r="K20" s="160">
        <v>0.47000000000000003</v>
      </c>
      <c r="L20" s="161" t="s">
        <v>277</v>
      </c>
    </row>
    <row r="21" spans="2:12" x14ac:dyDescent="0.3">
      <c r="B21" s="154" t="s">
        <v>300</v>
      </c>
      <c r="C21" s="154">
        <f>'1'!$C$12</f>
        <v>2.88</v>
      </c>
      <c r="D21" s="155">
        <v>1230</v>
      </c>
      <c r="E21" s="160">
        <v>0.21000000000000002</v>
      </c>
      <c r="F21" s="161" t="s">
        <v>277</v>
      </c>
      <c r="G21" s="160">
        <v>0.21000000000000002</v>
      </c>
      <c r="H21" s="161" t="s">
        <v>277</v>
      </c>
      <c r="I21" s="160">
        <v>0.31</v>
      </c>
      <c r="J21" s="161" t="s">
        <v>277</v>
      </c>
      <c r="K21" s="160">
        <v>0.22</v>
      </c>
      <c r="L21" s="161" t="s">
        <v>277</v>
      </c>
    </row>
    <row r="22" spans="2:12" x14ac:dyDescent="0.3">
      <c r="B22" s="154" t="s">
        <v>301</v>
      </c>
      <c r="C22" s="154">
        <f>'1'!$C$12</f>
        <v>2.88</v>
      </c>
      <c r="D22" s="155">
        <v>1230</v>
      </c>
      <c r="E22" s="160">
        <v>0.21000000000000002</v>
      </c>
      <c r="F22" s="161" t="s">
        <v>277</v>
      </c>
      <c r="G22" s="160">
        <v>0.21000000000000002</v>
      </c>
      <c r="H22" s="161" t="s">
        <v>277</v>
      </c>
      <c r="I22" s="160">
        <v>0.31</v>
      </c>
      <c r="J22" s="161" t="s">
        <v>277</v>
      </c>
      <c r="K22" s="160">
        <v>0.22</v>
      </c>
      <c r="L22" s="161" t="s">
        <v>277</v>
      </c>
    </row>
    <row r="23" spans="2:12" x14ac:dyDescent="0.3">
      <c r="B23" s="154" t="s">
        <v>302</v>
      </c>
      <c r="C23" s="154">
        <f>'1'!$C$12</f>
        <v>2.88</v>
      </c>
      <c r="D23" s="155">
        <v>1230</v>
      </c>
      <c r="E23" s="160">
        <v>0.35000000000000003</v>
      </c>
      <c r="F23" s="161" t="s">
        <v>277</v>
      </c>
      <c r="G23" s="160">
        <v>0.35000000000000003</v>
      </c>
      <c r="H23" s="161" t="s">
        <v>277</v>
      </c>
      <c r="I23" s="160">
        <v>0.52</v>
      </c>
      <c r="J23" s="161" t="s">
        <v>277</v>
      </c>
      <c r="K23" s="160">
        <v>0.37</v>
      </c>
      <c r="L23" s="161" t="s">
        <v>277</v>
      </c>
    </row>
    <row r="24" spans="2:12" x14ac:dyDescent="0.3">
      <c r="B24" s="154" t="s">
        <v>303</v>
      </c>
      <c r="C24" s="154">
        <f>'1'!$C$12</f>
        <v>2.88</v>
      </c>
      <c r="D24" s="155">
        <v>1230</v>
      </c>
      <c r="E24" s="160">
        <v>0.35000000000000003</v>
      </c>
      <c r="F24" s="161" t="s">
        <v>277</v>
      </c>
      <c r="G24" s="160">
        <v>0.35000000000000003</v>
      </c>
      <c r="H24" s="161" t="s">
        <v>277</v>
      </c>
      <c r="I24" s="160">
        <v>0.52</v>
      </c>
      <c r="J24" s="161" t="s">
        <v>277</v>
      </c>
      <c r="K24" s="160">
        <v>0.37</v>
      </c>
      <c r="L24" s="161" t="s">
        <v>277</v>
      </c>
    </row>
    <row r="25" spans="2:12" x14ac:dyDescent="0.3">
      <c r="B25" s="154" t="s">
        <v>304</v>
      </c>
      <c r="C25" s="154">
        <f>'1'!$C$12</f>
        <v>2.88</v>
      </c>
      <c r="D25" s="155">
        <v>1230</v>
      </c>
      <c r="E25" s="160">
        <v>0.11</v>
      </c>
      <c r="F25" s="161" t="s">
        <v>277</v>
      </c>
      <c r="G25" s="160">
        <v>0.11</v>
      </c>
      <c r="H25" s="161" t="s">
        <v>277</v>
      </c>
      <c r="I25" s="160">
        <v>0.16</v>
      </c>
      <c r="J25" s="161" t="s">
        <v>277</v>
      </c>
      <c r="K25" s="160">
        <v>0.12</v>
      </c>
      <c r="L25" s="161" t="s">
        <v>277</v>
      </c>
    </row>
    <row r="26" spans="2:12" x14ac:dyDescent="0.3">
      <c r="B26" s="154" t="s">
        <v>305</v>
      </c>
      <c r="C26" s="154">
        <f>'1'!$C$12</f>
        <v>2.88</v>
      </c>
      <c r="D26" s="155">
        <v>1230</v>
      </c>
      <c r="E26" s="160">
        <v>9.9999999999999992E-2</v>
      </c>
      <c r="F26" s="161" t="s">
        <v>277</v>
      </c>
      <c r="G26" s="160">
        <v>9.9999999999999992E-2</v>
      </c>
      <c r="H26" s="161" t="s">
        <v>277</v>
      </c>
      <c r="I26" s="160">
        <v>0.14000000000000001</v>
      </c>
      <c r="J26" s="161" t="s">
        <v>277</v>
      </c>
      <c r="K26" s="160">
        <v>9.9999999999999992E-2</v>
      </c>
      <c r="L26" s="161" t="s">
        <v>277</v>
      </c>
    </row>
    <row r="27" spans="2:12" ht="15" thickBot="1" x14ac:dyDescent="0.35">
      <c r="B27" s="169" t="s">
        <v>306</v>
      </c>
      <c r="C27" s="162">
        <f>'1'!$C$12</f>
        <v>2.88</v>
      </c>
      <c r="D27" s="170">
        <v>1230</v>
      </c>
      <c r="E27" s="9">
        <v>0.5</v>
      </c>
      <c r="F27" s="9" t="s">
        <v>277</v>
      </c>
      <c r="G27" s="171">
        <v>0.5</v>
      </c>
      <c r="H27" s="172" t="s">
        <v>277</v>
      </c>
      <c r="I27" s="9">
        <v>1.37</v>
      </c>
      <c r="J27" s="9" t="s">
        <v>277</v>
      </c>
      <c r="K27" s="171">
        <v>1.04</v>
      </c>
      <c r="L27" s="172" t="s">
        <v>277</v>
      </c>
    </row>
  </sheetData>
  <mergeCells count="10">
    <mergeCell ref="B3:F3"/>
    <mergeCell ref="G3:I3"/>
    <mergeCell ref="J3:L3"/>
    <mergeCell ref="B4:B5"/>
    <mergeCell ref="C4:C5"/>
    <mergeCell ref="D4:D5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ignacio andres Yañez grandon</cp:lastModifiedBy>
  <cp:lastPrinted>2018-11-12T20:55:56Z</cp:lastPrinted>
  <dcterms:created xsi:type="dcterms:W3CDTF">2018-11-12T17:14:42Z</dcterms:created>
  <dcterms:modified xsi:type="dcterms:W3CDTF">2018-11-13T23:55:51Z</dcterms:modified>
</cp:coreProperties>
</file>