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mos Ingenieria\12° Semestre\Proyecto de Hormigón Armado\Tarea 05\"/>
    </mc:Choice>
  </mc:AlternateContent>
  <xr:revisionPtr revIDLastSave="0" documentId="13_ncr:1_{A8D45D53-1BEF-4118-BF12-23E610745B12}" xr6:coauthVersionLast="38" xr6:coauthVersionMax="38" xr10:uidLastSave="{00000000-0000-0000-0000-000000000000}"/>
  <bookViews>
    <workbookView xWindow="0" yWindow="0" windowWidth="23040" windowHeight="9000" tabRatio="906" activeTab="4" xr2:uid="{DCE08E2E-61A3-415E-97C5-889CEC2E68E5}"/>
  </bookViews>
  <sheets>
    <sheet name="tablas" sheetId="1" r:id="rId1"/>
    <sheet name="-1" sheetId="2" r:id="rId2"/>
    <sheet name="Tabla -1" sheetId="10" r:id="rId3"/>
    <sheet name="1" sheetId="3" r:id="rId4"/>
    <sheet name="Tabla 1" sheetId="11" r:id="rId5"/>
    <sheet name="2 a 7" sheetId="4" r:id="rId6"/>
    <sheet name="8 a 13" sheetId="5" r:id="rId7"/>
    <sheet name="14 a 22" sheetId="6" r:id="rId8"/>
    <sheet name="Tabla 2 al 22" sheetId="14" r:id="rId9"/>
    <sheet name="23" sheetId="7" r:id="rId10"/>
    <sheet name="Tabla 23" sheetId="15" r:id="rId11"/>
    <sheet name="24" sheetId="8" r:id="rId12"/>
    <sheet name="Tabla 24" sheetId="16" r:id="rId13"/>
    <sheet name="Cubierta" sheetId="9" r:id="rId14"/>
    <sheet name="Tabla cub" sheetId="17" r:id="rId15"/>
    <sheet name="Deformaciones" sheetId="18" r:id="rId16"/>
  </sheets>
  <definedNames>
    <definedName name="_xlnm._FilterDatabase" localSheetId="0" hidden="1">tablas!$C$2:$C$92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7" l="1"/>
  <c r="L7" i="17"/>
  <c r="K7" i="17"/>
  <c r="J7" i="17"/>
  <c r="I7" i="17"/>
  <c r="H7" i="17"/>
  <c r="G7" i="17"/>
  <c r="F7" i="17"/>
  <c r="E7" i="17"/>
  <c r="C7" i="17"/>
  <c r="C7" i="16"/>
  <c r="C6" i="16"/>
  <c r="C5" i="16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D7" i="17"/>
  <c r="B7" i="17"/>
  <c r="B7" i="16"/>
  <c r="L7" i="16" s="1"/>
  <c r="D7" i="16"/>
  <c r="D6" i="16"/>
  <c r="D5" i="16"/>
  <c r="B6" i="16"/>
  <c r="F6" i="16" s="1"/>
  <c r="B5" i="16"/>
  <c r="H5" i="16" s="1"/>
  <c r="C47" i="9"/>
  <c r="C48" i="9" s="1"/>
  <c r="C49" i="9" s="1"/>
  <c r="D75" i="8"/>
  <c r="D76" i="8" s="1"/>
  <c r="D77" i="8" s="1"/>
  <c r="D78" i="8" s="1"/>
  <c r="E75" i="8"/>
  <c r="E76" i="8" s="1"/>
  <c r="E77" i="8" s="1"/>
  <c r="C75" i="8"/>
  <c r="C76" i="8" s="1"/>
  <c r="C77" i="8" s="1"/>
  <c r="C78" i="8" s="1"/>
  <c r="C75" i="7"/>
  <c r="D75" i="7"/>
  <c r="D76" i="7" s="1"/>
  <c r="D77" i="7" s="1"/>
  <c r="D78" i="7" s="1"/>
  <c r="E75" i="7"/>
  <c r="E76" i="7" s="1"/>
  <c r="E77" i="7" s="1"/>
  <c r="F75" i="7"/>
  <c r="F76" i="7" s="1"/>
  <c r="F77" i="7" s="1"/>
  <c r="G75" i="7"/>
  <c r="H75" i="7"/>
  <c r="H76" i="7" s="1"/>
  <c r="H77" i="7" s="1"/>
  <c r="H78" i="7" s="1"/>
  <c r="I75" i="7"/>
  <c r="J75" i="7"/>
  <c r="J76" i="7" s="1"/>
  <c r="J77" i="7" s="1"/>
  <c r="K75" i="7"/>
  <c r="L75" i="7"/>
  <c r="L76" i="7" s="1"/>
  <c r="L77" i="7" s="1"/>
  <c r="M75" i="7"/>
  <c r="M76" i="7" s="1"/>
  <c r="M77" i="7" s="1"/>
  <c r="N75" i="7"/>
  <c r="N76" i="7" s="1"/>
  <c r="N77" i="7" s="1"/>
  <c r="O75" i="7"/>
  <c r="O76" i="7" s="1"/>
  <c r="O77" i="7" s="1"/>
  <c r="P75" i="7"/>
  <c r="P76" i="7" s="1"/>
  <c r="P77" i="7" s="1"/>
  <c r="Q75" i="7"/>
  <c r="Q76" i="7" s="1"/>
  <c r="Q77" i="7" s="1"/>
  <c r="R75" i="7"/>
  <c r="R76" i="7" s="1"/>
  <c r="R77" i="7" s="1"/>
  <c r="S75" i="7"/>
  <c r="S76" i="7" s="1"/>
  <c r="S77" i="7" s="1"/>
  <c r="T75" i="7"/>
  <c r="T76" i="7" s="1"/>
  <c r="T77" i="7" s="1"/>
  <c r="U75" i="7"/>
  <c r="U76" i="7" s="1"/>
  <c r="U77" i="7" s="1"/>
  <c r="V75" i="7"/>
  <c r="V76" i="7" s="1"/>
  <c r="V77" i="7" s="1"/>
  <c r="W75" i="7"/>
  <c r="W76" i="7" s="1"/>
  <c r="W77" i="7" s="1"/>
  <c r="X75" i="7"/>
  <c r="X76" i="7" s="1"/>
  <c r="X77" i="7" s="1"/>
  <c r="X78" i="7" s="1"/>
  <c r="J75" i="6"/>
  <c r="I75" i="6"/>
  <c r="H75" i="6"/>
  <c r="G75" i="6"/>
  <c r="G76" i="6" s="1"/>
  <c r="G77" i="6" s="1"/>
  <c r="F75" i="6"/>
  <c r="E75" i="6"/>
  <c r="D75" i="6"/>
  <c r="C75" i="6"/>
  <c r="N76" i="6"/>
  <c r="N77" i="6" s="1"/>
  <c r="L76" i="6"/>
  <c r="L77" i="6" s="1"/>
  <c r="L78" i="6" s="1"/>
  <c r="S75" i="6"/>
  <c r="S76" i="6" s="1"/>
  <c r="S77" i="6" s="1"/>
  <c r="S78" i="6" s="1"/>
  <c r="R75" i="6"/>
  <c r="R76" i="6" s="1"/>
  <c r="R77" i="6" s="1"/>
  <c r="R78" i="6" s="1"/>
  <c r="Q75" i="6"/>
  <c r="P75" i="6"/>
  <c r="P76" i="6" s="1"/>
  <c r="P77" i="6" s="1"/>
  <c r="O75" i="6"/>
  <c r="O76" i="6" s="1"/>
  <c r="O77" i="6" s="1"/>
  <c r="N75" i="6"/>
  <c r="N78" i="6" s="1"/>
  <c r="M75" i="6"/>
  <c r="M76" i="6" s="1"/>
  <c r="M77" i="6" s="1"/>
  <c r="L75" i="6"/>
  <c r="K75" i="6"/>
  <c r="K76" i="6" s="1"/>
  <c r="K77" i="6" s="1"/>
  <c r="K78" i="6" s="1"/>
  <c r="T75" i="6"/>
  <c r="U75" i="6"/>
  <c r="U76" i="6" s="1"/>
  <c r="U77" i="6" s="1"/>
  <c r="V75" i="6"/>
  <c r="V76" i="6" s="1"/>
  <c r="V77" i="6" s="1"/>
  <c r="W75" i="6"/>
  <c r="X75" i="6"/>
  <c r="X76" i="6" s="1"/>
  <c r="X77" i="6" s="1"/>
  <c r="C75" i="5"/>
  <c r="D75" i="5"/>
  <c r="D76" i="5" s="1"/>
  <c r="D77" i="5" s="1"/>
  <c r="E75" i="5"/>
  <c r="E76" i="5" s="1"/>
  <c r="E77" i="5" s="1"/>
  <c r="F75" i="5"/>
  <c r="G75" i="5"/>
  <c r="H75" i="5"/>
  <c r="H76" i="5" s="1"/>
  <c r="H77" i="5" s="1"/>
  <c r="I75" i="5"/>
  <c r="J75" i="5"/>
  <c r="J76" i="5" s="1"/>
  <c r="J77" i="5" s="1"/>
  <c r="K75" i="5"/>
  <c r="L75" i="5"/>
  <c r="M75" i="5"/>
  <c r="M76" i="5" s="1"/>
  <c r="M77" i="5" s="1"/>
  <c r="N75" i="5"/>
  <c r="O75" i="5"/>
  <c r="P75" i="5"/>
  <c r="P76" i="5" s="1"/>
  <c r="P77" i="5" s="1"/>
  <c r="Q75" i="5"/>
  <c r="Q76" i="5" s="1"/>
  <c r="Q77" i="5" s="1"/>
  <c r="R75" i="5"/>
  <c r="R76" i="5" s="1"/>
  <c r="R77" i="5" s="1"/>
  <c r="S75" i="5"/>
  <c r="T75" i="5"/>
  <c r="U75" i="5"/>
  <c r="U76" i="5" s="1"/>
  <c r="U77" i="5" s="1"/>
  <c r="V75" i="5"/>
  <c r="V76" i="5" s="1"/>
  <c r="V77" i="5" s="1"/>
  <c r="W75" i="5"/>
  <c r="W76" i="5" s="1"/>
  <c r="W77" i="5" s="1"/>
  <c r="X75" i="5"/>
  <c r="X76" i="5" s="1"/>
  <c r="X77" i="5" s="1"/>
  <c r="C75" i="4"/>
  <c r="D75" i="4"/>
  <c r="D76" i="4" s="1"/>
  <c r="D77" i="4" s="1"/>
  <c r="E75" i="4"/>
  <c r="F75" i="4"/>
  <c r="F76" i="4" s="1"/>
  <c r="F77" i="4" s="1"/>
  <c r="G75" i="4"/>
  <c r="G76" i="4" s="1"/>
  <c r="G77" i="4" s="1"/>
  <c r="H75" i="4"/>
  <c r="H76" i="4" s="1"/>
  <c r="H77" i="4" s="1"/>
  <c r="I75" i="4"/>
  <c r="I76" i="4" s="1"/>
  <c r="I77" i="4" s="1"/>
  <c r="J75" i="4"/>
  <c r="K75" i="4"/>
  <c r="K76" i="4" s="1"/>
  <c r="K77" i="4" s="1"/>
  <c r="L75" i="4"/>
  <c r="L76" i="4" s="1"/>
  <c r="L77" i="4" s="1"/>
  <c r="M75" i="4"/>
  <c r="N75" i="4"/>
  <c r="N76" i="4" s="1"/>
  <c r="N77" i="4" s="1"/>
  <c r="O75" i="4"/>
  <c r="O76" i="4" s="1"/>
  <c r="O77" i="4" s="1"/>
  <c r="O78" i="4" s="1"/>
  <c r="P75" i="4"/>
  <c r="Q75" i="4"/>
  <c r="R75" i="4"/>
  <c r="R76" i="4" s="1"/>
  <c r="R77" i="4" s="1"/>
  <c r="S75" i="4"/>
  <c r="T75" i="4"/>
  <c r="T76" i="4" s="1"/>
  <c r="T77" i="4" s="1"/>
  <c r="U75" i="4"/>
  <c r="V75" i="4"/>
  <c r="V76" i="4" s="1"/>
  <c r="V77" i="4" s="1"/>
  <c r="W75" i="4"/>
  <c r="W76" i="4" s="1"/>
  <c r="W77" i="4" s="1"/>
  <c r="X75" i="4"/>
  <c r="X76" i="4" s="1"/>
  <c r="X77" i="4" s="1"/>
  <c r="G6" i="16" l="1"/>
  <c r="H6" i="16"/>
  <c r="I6" i="16"/>
  <c r="L5" i="16"/>
  <c r="J6" i="16"/>
  <c r="E5" i="16"/>
  <c r="M5" i="16"/>
  <c r="K6" i="16"/>
  <c r="I5" i="16"/>
  <c r="J5" i="16"/>
  <c r="F5" i="16"/>
  <c r="L6" i="16"/>
  <c r="K5" i="16"/>
  <c r="G5" i="16"/>
  <c r="E6" i="16"/>
  <c r="M6" i="16"/>
  <c r="E7" i="16"/>
  <c r="H7" i="16"/>
  <c r="I7" i="16"/>
  <c r="J7" i="16"/>
  <c r="F7" i="16"/>
  <c r="M7" i="16"/>
  <c r="G7" i="16"/>
  <c r="K7" i="16"/>
  <c r="C50" i="9"/>
  <c r="E78" i="8"/>
  <c r="C76" i="7"/>
  <c r="C77" i="7" s="1"/>
  <c r="C78" i="7" s="1"/>
  <c r="E78" i="7"/>
  <c r="F78" i="7"/>
  <c r="G76" i="7"/>
  <c r="G77" i="7" s="1"/>
  <c r="G78" i="7" s="1"/>
  <c r="I78" i="7"/>
  <c r="I76" i="7"/>
  <c r="I77" i="7" s="1"/>
  <c r="J78" i="7"/>
  <c r="K76" i="7"/>
  <c r="K77" i="7" s="1"/>
  <c r="K78" i="7" s="1"/>
  <c r="L78" i="7"/>
  <c r="M78" i="7"/>
  <c r="N78" i="7"/>
  <c r="O78" i="7"/>
  <c r="P78" i="7"/>
  <c r="Q78" i="7"/>
  <c r="R78" i="7"/>
  <c r="S78" i="7"/>
  <c r="T78" i="7"/>
  <c r="U78" i="7"/>
  <c r="V78" i="7"/>
  <c r="W78" i="7"/>
  <c r="D78" i="6"/>
  <c r="C76" i="6"/>
  <c r="C77" i="6" s="1"/>
  <c r="C78" i="6" s="1"/>
  <c r="C79" i="6" s="1"/>
  <c r="D76" i="6"/>
  <c r="D77" i="6" s="1"/>
  <c r="E76" i="6"/>
  <c r="E77" i="6" s="1"/>
  <c r="E78" i="6" s="1"/>
  <c r="E79" i="6" s="1"/>
  <c r="F76" i="6"/>
  <c r="F77" i="6" s="1"/>
  <c r="F78" i="6" s="1"/>
  <c r="F79" i="6" s="1"/>
  <c r="G78" i="6"/>
  <c r="H76" i="6"/>
  <c r="H77" i="6" s="1"/>
  <c r="H78" i="6" s="1"/>
  <c r="H79" i="6" s="1"/>
  <c r="I76" i="6"/>
  <c r="I77" i="6" s="1"/>
  <c r="I78" i="6" s="1"/>
  <c r="I79" i="6" s="1"/>
  <c r="J76" i="6"/>
  <c r="J77" i="6" s="1"/>
  <c r="J78" i="6" s="1"/>
  <c r="J79" i="6" s="1"/>
  <c r="Q76" i="6"/>
  <c r="Q77" i="6" s="1"/>
  <c r="Q78" i="6" s="1"/>
  <c r="Q79" i="6" s="1"/>
  <c r="O78" i="6"/>
  <c r="M78" i="6"/>
  <c r="P78" i="6"/>
  <c r="T76" i="6"/>
  <c r="T77" i="6" s="1"/>
  <c r="T78" i="6" s="1"/>
  <c r="T79" i="6" s="1"/>
  <c r="U78" i="6"/>
  <c r="V78" i="6"/>
  <c r="W76" i="6"/>
  <c r="W77" i="6" s="1"/>
  <c r="W78" i="6" s="1"/>
  <c r="W79" i="6" s="1"/>
  <c r="X78" i="6"/>
  <c r="C76" i="5"/>
  <c r="C77" i="5" s="1"/>
  <c r="C78" i="5" s="1"/>
  <c r="C79" i="5" s="1"/>
  <c r="D78" i="5"/>
  <c r="D79" i="5" s="1"/>
  <c r="E78" i="5"/>
  <c r="F76" i="5"/>
  <c r="F77" i="5" s="1"/>
  <c r="F78" i="5" s="1"/>
  <c r="F79" i="5" s="1"/>
  <c r="G76" i="5"/>
  <c r="G77" i="5" s="1"/>
  <c r="G78" i="5" s="1"/>
  <c r="G79" i="5" s="1"/>
  <c r="H78" i="5"/>
  <c r="I76" i="5"/>
  <c r="I77" i="5" s="1"/>
  <c r="I78" i="5" s="1"/>
  <c r="I79" i="5" s="1"/>
  <c r="J78" i="5"/>
  <c r="K76" i="5"/>
  <c r="K77" i="5" s="1"/>
  <c r="K78" i="5" s="1"/>
  <c r="K79" i="5" s="1"/>
  <c r="L76" i="5"/>
  <c r="L77" i="5" s="1"/>
  <c r="L78" i="5" s="1"/>
  <c r="L79" i="5" s="1"/>
  <c r="M78" i="5"/>
  <c r="N76" i="5"/>
  <c r="N77" i="5" s="1"/>
  <c r="N78" i="5" s="1"/>
  <c r="N79" i="5" s="1"/>
  <c r="O78" i="5"/>
  <c r="O79" i="5" s="1"/>
  <c r="O76" i="5"/>
  <c r="O77" i="5" s="1"/>
  <c r="P78" i="5"/>
  <c r="Q78" i="5"/>
  <c r="R78" i="5"/>
  <c r="S76" i="5"/>
  <c r="S77" i="5" s="1"/>
  <c r="S78" i="5" s="1"/>
  <c r="S79" i="5" s="1"/>
  <c r="T76" i="5"/>
  <c r="T77" i="5" s="1"/>
  <c r="T78" i="5" s="1"/>
  <c r="T79" i="5" s="1"/>
  <c r="U78" i="5"/>
  <c r="V78" i="5"/>
  <c r="W78" i="5"/>
  <c r="X78" i="5"/>
  <c r="C76" i="4"/>
  <c r="C77" i="4" s="1"/>
  <c r="C78" i="4" s="1"/>
  <c r="C79" i="4" s="1"/>
  <c r="D78" i="4"/>
  <c r="E78" i="4"/>
  <c r="E79" i="4" s="1"/>
  <c r="E76" i="4"/>
  <c r="E77" i="4" s="1"/>
  <c r="F78" i="4"/>
  <c r="G78" i="4"/>
  <c r="H78" i="4"/>
  <c r="I78" i="4"/>
  <c r="J76" i="4"/>
  <c r="J77" i="4" s="1"/>
  <c r="J78" i="4" s="1"/>
  <c r="K78" i="4"/>
  <c r="L78" i="4"/>
  <c r="M76" i="4"/>
  <c r="M77" i="4" s="1"/>
  <c r="M78" i="4" s="1"/>
  <c r="N78" i="4"/>
  <c r="N79" i="4" s="1"/>
  <c r="P76" i="4"/>
  <c r="P77" i="4" s="1"/>
  <c r="P78" i="4" s="1"/>
  <c r="Q76" i="4"/>
  <c r="Q77" i="4" s="1"/>
  <c r="Q78" i="4" s="1"/>
  <c r="R78" i="4"/>
  <c r="S76" i="4"/>
  <c r="S77" i="4" s="1"/>
  <c r="S78" i="4" s="1"/>
  <c r="T78" i="4"/>
  <c r="T79" i="4" s="1"/>
  <c r="U76" i="4"/>
  <c r="U77" i="4" s="1"/>
  <c r="U78" i="4" s="1"/>
  <c r="V78" i="4"/>
  <c r="W78" i="4"/>
  <c r="X78" i="4"/>
  <c r="W75" i="3"/>
  <c r="W76" i="3" s="1"/>
  <c r="W77" i="3" s="1"/>
  <c r="W78" i="3" s="1"/>
  <c r="V75" i="3"/>
  <c r="U75" i="3"/>
  <c r="U76" i="3" s="1"/>
  <c r="U77" i="3" s="1"/>
  <c r="U78" i="3" s="1"/>
  <c r="T75" i="3"/>
  <c r="T76" i="3" s="1"/>
  <c r="T77" i="3" s="1"/>
  <c r="T78" i="3" s="1"/>
  <c r="S75" i="3"/>
  <c r="S76" i="3" s="1"/>
  <c r="S77" i="3" s="1"/>
  <c r="S78" i="3" s="1"/>
  <c r="R75" i="3"/>
  <c r="R76" i="3" s="1"/>
  <c r="R77" i="3" s="1"/>
  <c r="R78" i="3" s="1"/>
  <c r="Q75" i="3"/>
  <c r="Q76" i="3" s="1"/>
  <c r="Q77" i="3" s="1"/>
  <c r="Q78" i="3" s="1"/>
  <c r="P75" i="3"/>
  <c r="O75" i="3"/>
  <c r="N75" i="3"/>
  <c r="N76" i="3" s="1"/>
  <c r="N77" i="3" s="1"/>
  <c r="N78" i="3" s="1"/>
  <c r="M75" i="3"/>
  <c r="M76" i="3" s="1"/>
  <c r="M77" i="3" s="1"/>
  <c r="M78" i="3" s="1"/>
  <c r="L75" i="3"/>
  <c r="L76" i="3" s="1"/>
  <c r="L77" i="3" s="1"/>
  <c r="L78" i="3" s="1"/>
  <c r="K75" i="3"/>
  <c r="J75" i="3"/>
  <c r="I75" i="3"/>
  <c r="I76" i="3" s="1"/>
  <c r="I77" i="3" s="1"/>
  <c r="I78" i="3" s="1"/>
  <c r="H76" i="3"/>
  <c r="H77" i="3" s="1"/>
  <c r="H78" i="3" s="1"/>
  <c r="H75" i="3"/>
  <c r="G76" i="3"/>
  <c r="G77" i="3" s="1"/>
  <c r="G78" i="3" s="1"/>
  <c r="G75" i="3"/>
  <c r="F76" i="3"/>
  <c r="F77" i="3" s="1"/>
  <c r="F78" i="3" s="1"/>
  <c r="F75" i="3"/>
  <c r="E75" i="3"/>
  <c r="D75" i="3"/>
  <c r="C75" i="3"/>
  <c r="O81" i="3"/>
  <c r="N70" i="3"/>
  <c r="C70" i="3"/>
  <c r="G26" i="15"/>
  <c r="D26" i="15"/>
  <c r="D25" i="15"/>
  <c r="J24" i="15"/>
  <c r="D24" i="15"/>
  <c r="K23" i="15"/>
  <c r="D23" i="15"/>
  <c r="L22" i="15"/>
  <c r="D22" i="15"/>
  <c r="M21" i="15"/>
  <c r="D21" i="15"/>
  <c r="E20" i="15"/>
  <c r="D20" i="15"/>
  <c r="F19" i="15"/>
  <c r="D19" i="15"/>
  <c r="G18" i="15"/>
  <c r="D18" i="15"/>
  <c r="D17" i="15"/>
  <c r="J16" i="15"/>
  <c r="D16" i="15"/>
  <c r="K15" i="15"/>
  <c r="D15" i="15"/>
  <c r="L14" i="15"/>
  <c r="D14" i="15"/>
  <c r="M13" i="15"/>
  <c r="D13" i="15"/>
  <c r="M12" i="15"/>
  <c r="D12" i="15"/>
  <c r="E11" i="15"/>
  <c r="D11" i="15"/>
  <c r="G10" i="15"/>
  <c r="D10" i="15"/>
  <c r="D9" i="15"/>
  <c r="H8" i="15"/>
  <c r="D8" i="15"/>
  <c r="J7" i="15"/>
  <c r="D7" i="15"/>
  <c r="K6" i="15"/>
  <c r="D6" i="15"/>
  <c r="L5" i="15"/>
  <c r="D5" i="15"/>
  <c r="B26" i="15"/>
  <c r="M26" i="15" s="1"/>
  <c r="B25" i="15"/>
  <c r="F25" i="15" s="1"/>
  <c r="B24" i="15"/>
  <c r="G24" i="15" s="1"/>
  <c r="B23" i="15"/>
  <c r="H23" i="15" s="1"/>
  <c r="B22" i="15"/>
  <c r="J22" i="15" s="1"/>
  <c r="B21" i="15"/>
  <c r="K21" i="15" s="1"/>
  <c r="B20" i="15"/>
  <c r="L20" i="15" s="1"/>
  <c r="B19" i="15"/>
  <c r="M19" i="15" s="1"/>
  <c r="B18" i="15"/>
  <c r="E18" i="15" s="1"/>
  <c r="B17" i="15"/>
  <c r="F17" i="15" s="1"/>
  <c r="B16" i="15"/>
  <c r="G16" i="15" s="1"/>
  <c r="B15" i="15"/>
  <c r="H15" i="15" s="1"/>
  <c r="B14" i="15"/>
  <c r="J14" i="15" s="1"/>
  <c r="B13" i="15"/>
  <c r="K13" i="15" s="1"/>
  <c r="B12" i="15"/>
  <c r="K12" i="15" s="1"/>
  <c r="B11" i="15"/>
  <c r="L11" i="15" s="1"/>
  <c r="B10" i="15"/>
  <c r="M10" i="15" s="1"/>
  <c r="B9" i="15"/>
  <c r="E9" i="15" s="1"/>
  <c r="B8" i="15"/>
  <c r="F8" i="15" s="1"/>
  <c r="B7" i="15"/>
  <c r="G7" i="15" s="1"/>
  <c r="B6" i="15"/>
  <c r="H6" i="15" s="1"/>
  <c r="B5" i="15"/>
  <c r="J5" i="15" s="1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X79" i="7"/>
  <c r="W79" i="7"/>
  <c r="V79" i="7"/>
  <c r="I24" i="15" s="1"/>
  <c r="U79" i="7"/>
  <c r="I23" i="15" s="1"/>
  <c r="T79" i="7"/>
  <c r="I22" i="15" s="1"/>
  <c r="S79" i="7"/>
  <c r="I21" i="15" s="1"/>
  <c r="R79" i="7"/>
  <c r="I20" i="15" s="1"/>
  <c r="Q79" i="7"/>
  <c r="I19" i="15" s="1"/>
  <c r="P79" i="7"/>
  <c r="I18" i="15" s="1"/>
  <c r="O79" i="7"/>
  <c r="N79" i="7"/>
  <c r="I16" i="15" s="1"/>
  <c r="M79" i="7"/>
  <c r="I15" i="15" s="1"/>
  <c r="L79" i="7"/>
  <c r="I14" i="15" s="1"/>
  <c r="J79" i="7"/>
  <c r="I12" i="15" s="1"/>
  <c r="I79" i="7"/>
  <c r="I11" i="15" s="1"/>
  <c r="H79" i="7"/>
  <c r="F79" i="7"/>
  <c r="I8" i="15" s="1"/>
  <c r="E79" i="7"/>
  <c r="I7" i="15" s="1"/>
  <c r="D79" i="7"/>
  <c r="I6" i="15" s="1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X79" i="6"/>
  <c r="V79" i="6"/>
  <c r="U79" i="6"/>
  <c r="S79" i="6"/>
  <c r="R79" i="6"/>
  <c r="P79" i="6"/>
  <c r="O79" i="6"/>
  <c r="N79" i="6"/>
  <c r="M79" i="6"/>
  <c r="L79" i="6"/>
  <c r="K79" i="6"/>
  <c r="G79" i="6"/>
  <c r="D79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X79" i="5"/>
  <c r="W79" i="5"/>
  <c r="V79" i="5"/>
  <c r="U79" i="5"/>
  <c r="R79" i="5"/>
  <c r="Q79" i="5"/>
  <c r="P79" i="5"/>
  <c r="M79" i="5"/>
  <c r="J79" i="5"/>
  <c r="H79" i="5"/>
  <c r="E79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X79" i="4"/>
  <c r="W79" i="4"/>
  <c r="V79" i="4"/>
  <c r="R79" i="4"/>
  <c r="O79" i="4"/>
  <c r="L79" i="4"/>
  <c r="K79" i="4"/>
  <c r="I79" i="4"/>
  <c r="H79" i="4"/>
  <c r="G79" i="4"/>
  <c r="F79" i="4"/>
  <c r="D79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W74" i="3"/>
  <c r="V74" i="3"/>
  <c r="U74" i="3"/>
  <c r="T74" i="3"/>
  <c r="S74" i="3"/>
  <c r="R74" i="3"/>
  <c r="Q74" i="3"/>
  <c r="P74" i="3"/>
  <c r="O74" i="3"/>
  <c r="M74" i="3"/>
  <c r="L74" i="3"/>
  <c r="K74" i="3"/>
  <c r="J74" i="3"/>
  <c r="I74" i="3"/>
  <c r="H74" i="3"/>
  <c r="G74" i="3"/>
  <c r="F74" i="3"/>
  <c r="E74" i="3"/>
  <c r="D7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G13" i="14"/>
  <c r="G21" i="14"/>
  <c r="M26" i="14"/>
  <c r="E26" i="14"/>
  <c r="M25" i="14"/>
  <c r="E25" i="14"/>
  <c r="M24" i="14"/>
  <c r="E24" i="14"/>
  <c r="M23" i="14"/>
  <c r="E23" i="14"/>
  <c r="L22" i="14"/>
  <c r="E22" i="14"/>
  <c r="L21" i="14"/>
  <c r="E21" i="14"/>
  <c r="E20" i="14"/>
  <c r="E19" i="14"/>
  <c r="N18" i="14"/>
  <c r="E18" i="14"/>
  <c r="M17" i="14"/>
  <c r="E17" i="14"/>
  <c r="M16" i="14"/>
  <c r="E16" i="14"/>
  <c r="M15" i="14"/>
  <c r="E15" i="14"/>
  <c r="M14" i="14"/>
  <c r="E14" i="14"/>
  <c r="L13" i="14"/>
  <c r="E13" i="14"/>
  <c r="E12" i="14"/>
  <c r="H11" i="14"/>
  <c r="E11" i="14"/>
  <c r="F10" i="14"/>
  <c r="E10" i="14"/>
  <c r="F9" i="14"/>
  <c r="E9" i="14"/>
  <c r="F8" i="14"/>
  <c r="E8" i="14"/>
  <c r="F7" i="14"/>
  <c r="E7" i="14"/>
  <c r="F6" i="14"/>
  <c r="E6" i="14"/>
  <c r="C26" i="14"/>
  <c r="K26" i="14" s="1"/>
  <c r="C25" i="14"/>
  <c r="K25" i="14" s="1"/>
  <c r="C24" i="14"/>
  <c r="K24" i="14" s="1"/>
  <c r="C22" i="14"/>
  <c r="I22" i="14" s="1"/>
  <c r="C23" i="14"/>
  <c r="G23" i="14" s="1"/>
  <c r="C21" i="14"/>
  <c r="H21" i="14" s="1"/>
  <c r="C20" i="14"/>
  <c r="F20" i="14" s="1"/>
  <c r="C19" i="14"/>
  <c r="N19" i="14" s="1"/>
  <c r="C18" i="14"/>
  <c r="L18" i="14" s="1"/>
  <c r="C17" i="14"/>
  <c r="K17" i="14" s="1"/>
  <c r="C16" i="14"/>
  <c r="K16" i="14" s="1"/>
  <c r="C15" i="14"/>
  <c r="G15" i="14" s="1"/>
  <c r="C14" i="14"/>
  <c r="K14" i="14" s="1"/>
  <c r="C13" i="14"/>
  <c r="I13" i="14" s="1"/>
  <c r="C12" i="14"/>
  <c r="I12" i="14" s="1"/>
  <c r="C11" i="14"/>
  <c r="G11" i="14" s="1"/>
  <c r="C10" i="14"/>
  <c r="N10" i="14" s="1"/>
  <c r="C9" i="14"/>
  <c r="N9" i="14" s="1"/>
  <c r="C8" i="14"/>
  <c r="N8" i="14" s="1"/>
  <c r="C7" i="14"/>
  <c r="G7" i="14" s="1"/>
  <c r="C6" i="14"/>
  <c r="N6" i="14" s="1"/>
  <c r="M5" i="14"/>
  <c r="C5" i="14"/>
  <c r="K5" i="14" s="1"/>
  <c r="E5" i="14"/>
  <c r="C13" i="9"/>
  <c r="C13" i="8"/>
  <c r="C13" i="7"/>
  <c r="C13" i="6"/>
  <c r="C13" i="5"/>
  <c r="C13" i="4"/>
  <c r="M24" i="11"/>
  <c r="M23" i="11"/>
  <c r="M15" i="11"/>
  <c r="M14" i="11"/>
  <c r="M6" i="11"/>
  <c r="M5" i="11"/>
  <c r="L24" i="11"/>
  <c r="K24" i="11"/>
  <c r="J23" i="11"/>
  <c r="G23" i="11"/>
  <c r="F22" i="11"/>
  <c r="E22" i="11"/>
  <c r="J20" i="11"/>
  <c r="L18" i="11"/>
  <c r="K17" i="11"/>
  <c r="J17" i="11"/>
  <c r="E16" i="11"/>
  <c r="L15" i="11"/>
  <c r="K14" i="11"/>
  <c r="J14" i="11"/>
  <c r="G13" i="11"/>
  <c r="F13" i="11"/>
  <c r="F10" i="11"/>
  <c r="E10" i="11"/>
  <c r="L8" i="11"/>
  <c r="K8" i="11"/>
  <c r="J7" i="11"/>
  <c r="G7" i="11"/>
  <c r="F6" i="11"/>
  <c r="E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B25" i="11"/>
  <c r="K25" i="11" s="1"/>
  <c r="B24" i="11"/>
  <c r="G24" i="11" s="1"/>
  <c r="B23" i="11"/>
  <c r="E23" i="11" s="1"/>
  <c r="B22" i="11"/>
  <c r="L22" i="11" s="1"/>
  <c r="B21" i="11"/>
  <c r="M21" i="11" s="1"/>
  <c r="B20" i="11"/>
  <c r="F20" i="11" s="1"/>
  <c r="B19" i="11"/>
  <c r="E19" i="11" s="1"/>
  <c r="B18" i="11"/>
  <c r="J18" i="11" s="1"/>
  <c r="B17" i="11"/>
  <c r="F17" i="11" s="1"/>
  <c r="B16" i="11"/>
  <c r="L16" i="11" s="1"/>
  <c r="B15" i="11"/>
  <c r="J15" i="11" s="1"/>
  <c r="B14" i="11"/>
  <c r="F14" i="11" s="1"/>
  <c r="B13" i="11"/>
  <c r="L13" i="11" s="1"/>
  <c r="B12" i="11"/>
  <c r="M12" i="11" s="1"/>
  <c r="B11" i="11"/>
  <c r="E11" i="11" s="1"/>
  <c r="B10" i="11"/>
  <c r="M10" i="11" s="1"/>
  <c r="B9" i="11"/>
  <c r="K9" i="11" s="1"/>
  <c r="B8" i="11"/>
  <c r="G8" i="11" s="1"/>
  <c r="B7" i="11"/>
  <c r="E7" i="11" s="1"/>
  <c r="B6" i="11"/>
  <c r="L6" i="11" s="1"/>
  <c r="B5" i="11"/>
  <c r="K5" i="11" s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G36" i="10"/>
  <c r="H28" i="18"/>
  <c r="H27" i="18"/>
  <c r="I27" i="18" s="1"/>
  <c r="H26" i="18"/>
  <c r="I26" i="18" s="1"/>
  <c r="H25" i="18"/>
  <c r="I25" i="18" s="1"/>
  <c r="H24" i="18"/>
  <c r="I24" i="18" s="1"/>
  <c r="H23" i="18"/>
  <c r="I23" i="18" s="1"/>
  <c r="H22" i="18"/>
  <c r="I22" i="18" s="1"/>
  <c r="H21" i="18"/>
  <c r="I21" i="18" s="1"/>
  <c r="H20" i="18"/>
  <c r="I20" i="18" s="1"/>
  <c r="H19" i="18"/>
  <c r="I19" i="18" s="1"/>
  <c r="H18" i="18"/>
  <c r="I18" i="18" s="1"/>
  <c r="H17" i="18"/>
  <c r="I17" i="18" s="1"/>
  <c r="H16" i="18"/>
  <c r="I16" i="18" s="1"/>
  <c r="H15" i="18"/>
  <c r="I15" i="18" s="1"/>
  <c r="H14" i="18"/>
  <c r="I14" i="18" s="1"/>
  <c r="H13" i="18"/>
  <c r="I13" i="18" s="1"/>
  <c r="H12" i="18"/>
  <c r="I12" i="18" s="1"/>
  <c r="H11" i="18"/>
  <c r="I11" i="18" s="1"/>
  <c r="I10" i="18"/>
  <c r="I9" i="18"/>
  <c r="I8" i="18"/>
  <c r="I7" i="18"/>
  <c r="I6" i="18"/>
  <c r="I5" i="18"/>
  <c r="I4" i="18"/>
  <c r="H10" i="18"/>
  <c r="H9" i="18"/>
  <c r="H8" i="18"/>
  <c r="H7" i="18"/>
  <c r="H6" i="18"/>
  <c r="H5" i="18"/>
  <c r="F28" i="18"/>
  <c r="F27" i="18"/>
  <c r="F26" i="18"/>
  <c r="F25" i="18"/>
  <c r="F24" i="18"/>
  <c r="F23" i="18"/>
  <c r="F22" i="18"/>
  <c r="F21" i="18"/>
  <c r="G21" i="18" s="1"/>
  <c r="F20" i="18"/>
  <c r="F19" i="18"/>
  <c r="F18" i="18"/>
  <c r="F17" i="18"/>
  <c r="F16" i="18"/>
  <c r="F15" i="18"/>
  <c r="F14" i="18"/>
  <c r="F13" i="18"/>
  <c r="G13" i="18" s="1"/>
  <c r="F12" i="18"/>
  <c r="F11" i="18"/>
  <c r="F10" i="18"/>
  <c r="F9" i="18"/>
  <c r="F8" i="18"/>
  <c r="F7" i="18"/>
  <c r="F6" i="18"/>
  <c r="F5" i="18"/>
  <c r="G5" i="18" s="1"/>
  <c r="F4" i="18"/>
  <c r="G4" i="18"/>
  <c r="G10" i="18"/>
  <c r="G20" i="18"/>
  <c r="G26" i="18"/>
  <c r="G8" i="18"/>
  <c r="G9" i="18"/>
  <c r="G11" i="18"/>
  <c r="G16" i="18"/>
  <c r="G18" i="18"/>
  <c r="G19" i="18"/>
  <c r="G24" i="18"/>
  <c r="G25" i="18"/>
  <c r="G27" i="18"/>
  <c r="F3" i="18"/>
  <c r="G3" i="18" s="1"/>
  <c r="G23" i="18"/>
  <c r="H4" i="18"/>
  <c r="G28" i="18"/>
  <c r="G22" i="18"/>
  <c r="G17" i="18"/>
  <c r="G15" i="18"/>
  <c r="G14" i="18"/>
  <c r="G12" i="18"/>
  <c r="G7" i="18"/>
  <c r="G6" i="18"/>
  <c r="K5" i="15" l="1"/>
  <c r="J6" i="15"/>
  <c r="H7" i="15"/>
  <c r="G8" i="15"/>
  <c r="F9" i="15"/>
  <c r="F10" i="15"/>
  <c r="M11" i="15"/>
  <c r="L12" i="15"/>
  <c r="L13" i="15"/>
  <c r="K14" i="15"/>
  <c r="J15" i="15"/>
  <c r="H16" i="15"/>
  <c r="G17" i="15"/>
  <c r="F18" i="15"/>
  <c r="E19" i="15"/>
  <c r="M20" i="15"/>
  <c r="L21" i="15"/>
  <c r="K22" i="15"/>
  <c r="J23" i="15"/>
  <c r="H24" i="15"/>
  <c r="G25" i="15"/>
  <c r="F26" i="15"/>
  <c r="M5" i="15"/>
  <c r="L6" i="15"/>
  <c r="K7" i="15"/>
  <c r="J8" i="15"/>
  <c r="J9" i="15"/>
  <c r="H10" i="15"/>
  <c r="F11" i="15"/>
  <c r="E12" i="15"/>
  <c r="M14" i="15"/>
  <c r="L15" i="15"/>
  <c r="K16" i="15"/>
  <c r="J17" i="15"/>
  <c r="H18" i="15"/>
  <c r="G19" i="15"/>
  <c r="F20" i="15"/>
  <c r="E21" i="15"/>
  <c r="M22" i="15"/>
  <c r="L23" i="15"/>
  <c r="K24" i="15"/>
  <c r="J25" i="15"/>
  <c r="H26" i="15"/>
  <c r="M6" i="15"/>
  <c r="L7" i="15"/>
  <c r="K8" i="15"/>
  <c r="K9" i="15"/>
  <c r="I10" i="15"/>
  <c r="G11" i="15"/>
  <c r="F12" i="15"/>
  <c r="E13" i="15"/>
  <c r="E14" i="15"/>
  <c r="M15" i="15"/>
  <c r="L16" i="15"/>
  <c r="K17" i="15"/>
  <c r="J18" i="15"/>
  <c r="H19" i="15"/>
  <c r="G20" i="15"/>
  <c r="F21" i="15"/>
  <c r="E22" i="15"/>
  <c r="M23" i="15"/>
  <c r="L24" i="15"/>
  <c r="K25" i="15"/>
  <c r="I26" i="15"/>
  <c r="E5" i="15"/>
  <c r="E6" i="15"/>
  <c r="M7" i="15"/>
  <c r="L8" i="15"/>
  <c r="L9" i="15"/>
  <c r="J10" i="15"/>
  <c r="H11" i="15"/>
  <c r="G12" i="15"/>
  <c r="F13" i="15"/>
  <c r="F14" i="15"/>
  <c r="E15" i="15"/>
  <c r="M16" i="15"/>
  <c r="L17" i="15"/>
  <c r="K18" i="15"/>
  <c r="J19" i="15"/>
  <c r="H20" i="15"/>
  <c r="G21" i="15"/>
  <c r="F22" i="15"/>
  <c r="E23" i="15"/>
  <c r="M24" i="15"/>
  <c r="L25" i="15"/>
  <c r="J26" i="15"/>
  <c r="F5" i="15"/>
  <c r="F6" i="15"/>
  <c r="E7" i="15"/>
  <c r="M8" i="15"/>
  <c r="M9" i="15"/>
  <c r="K10" i="15"/>
  <c r="J11" i="15"/>
  <c r="H12" i="15"/>
  <c r="G13" i="15"/>
  <c r="G14" i="15"/>
  <c r="F15" i="15"/>
  <c r="E16" i="15"/>
  <c r="M17" i="15"/>
  <c r="L18" i="15"/>
  <c r="K19" i="15"/>
  <c r="J20" i="15"/>
  <c r="H21" i="15"/>
  <c r="G22" i="15"/>
  <c r="F23" i="15"/>
  <c r="E24" i="15"/>
  <c r="M25" i="15"/>
  <c r="K26" i="15"/>
  <c r="G9" i="15"/>
  <c r="H17" i="15"/>
  <c r="G5" i="15"/>
  <c r="G6" i="15"/>
  <c r="F7" i="15"/>
  <c r="E8" i="15"/>
  <c r="L10" i="15"/>
  <c r="K11" i="15"/>
  <c r="J12" i="15"/>
  <c r="J13" i="15"/>
  <c r="H14" i="15"/>
  <c r="G15" i="15"/>
  <c r="F16" i="15"/>
  <c r="E17" i="15"/>
  <c r="M18" i="15"/>
  <c r="L19" i="15"/>
  <c r="K20" i="15"/>
  <c r="J21" i="15"/>
  <c r="H22" i="15"/>
  <c r="G23" i="15"/>
  <c r="F24" i="15"/>
  <c r="E25" i="15"/>
  <c r="L26" i="15"/>
  <c r="H25" i="15"/>
  <c r="I17" i="15"/>
  <c r="I25" i="15"/>
  <c r="E10" i="15"/>
  <c r="E26" i="15"/>
  <c r="L5" i="14"/>
  <c r="F11" i="14"/>
  <c r="K12" i="14"/>
  <c r="K13" i="14"/>
  <c r="L14" i="14"/>
  <c r="L15" i="14"/>
  <c r="L16" i="14"/>
  <c r="L17" i="14"/>
  <c r="M18" i="14"/>
  <c r="K21" i="14"/>
  <c r="K22" i="14"/>
  <c r="L23" i="14"/>
  <c r="L24" i="14"/>
  <c r="L25" i="14"/>
  <c r="L26" i="14"/>
  <c r="G22" i="14"/>
  <c r="G14" i="14"/>
  <c r="G6" i="14"/>
  <c r="N5" i="14"/>
  <c r="H6" i="14"/>
  <c r="H7" i="14"/>
  <c r="H8" i="14"/>
  <c r="H9" i="14"/>
  <c r="H10" i="14"/>
  <c r="K11" i="14"/>
  <c r="M12" i="14"/>
  <c r="M13" i="14"/>
  <c r="N14" i="14"/>
  <c r="N15" i="14"/>
  <c r="N16" i="14"/>
  <c r="N17" i="14"/>
  <c r="I20" i="14"/>
  <c r="M21" i="14"/>
  <c r="M22" i="14"/>
  <c r="N23" i="14"/>
  <c r="N24" i="14"/>
  <c r="N25" i="14"/>
  <c r="N26" i="14"/>
  <c r="G20" i="14"/>
  <c r="G12" i="14"/>
  <c r="F5" i="14"/>
  <c r="I6" i="14"/>
  <c r="I7" i="14"/>
  <c r="I8" i="14"/>
  <c r="I9" i="14"/>
  <c r="I10" i="14"/>
  <c r="M11" i="14"/>
  <c r="N12" i="14"/>
  <c r="N13" i="14"/>
  <c r="F19" i="14"/>
  <c r="K20" i="14"/>
  <c r="N21" i="14"/>
  <c r="N22" i="14"/>
  <c r="G5" i="14"/>
  <c r="G19" i="14"/>
  <c r="K6" i="14"/>
  <c r="K7" i="14"/>
  <c r="K8" i="14"/>
  <c r="K9" i="14"/>
  <c r="K10" i="14"/>
  <c r="F15" i="14"/>
  <c r="F16" i="14"/>
  <c r="F17" i="14"/>
  <c r="F18" i="14"/>
  <c r="H19" i="14"/>
  <c r="M20" i="14"/>
  <c r="F24" i="14"/>
  <c r="F25" i="14"/>
  <c r="F26" i="14"/>
  <c r="G26" i="14"/>
  <c r="G18" i="14"/>
  <c r="G10" i="14"/>
  <c r="H5" i="14"/>
  <c r="L6" i="14"/>
  <c r="L7" i="14"/>
  <c r="L8" i="14"/>
  <c r="L9" i="14"/>
  <c r="M10" i="14"/>
  <c r="F12" i="14"/>
  <c r="F13" i="14"/>
  <c r="F14" i="14"/>
  <c r="H15" i="14"/>
  <c r="H16" i="14"/>
  <c r="H17" i="14"/>
  <c r="H18" i="14"/>
  <c r="K19" i="14"/>
  <c r="F22" i="14"/>
  <c r="F23" i="14"/>
  <c r="H24" i="14"/>
  <c r="H25" i="14"/>
  <c r="H26" i="14"/>
  <c r="G25" i="14"/>
  <c r="G17" i="14"/>
  <c r="G9" i="14"/>
  <c r="H20" i="14"/>
  <c r="N11" i="14"/>
  <c r="N20" i="14"/>
  <c r="L12" i="14"/>
  <c r="I5" i="14"/>
  <c r="M6" i="14"/>
  <c r="M7" i="14"/>
  <c r="M8" i="14"/>
  <c r="M9" i="14"/>
  <c r="H12" i="14"/>
  <c r="H13" i="14"/>
  <c r="H14" i="14"/>
  <c r="I15" i="14"/>
  <c r="I16" i="14"/>
  <c r="I17" i="14"/>
  <c r="K18" i="14"/>
  <c r="M19" i="14"/>
  <c r="F21" i="14"/>
  <c r="H22" i="14"/>
  <c r="H23" i="14"/>
  <c r="I24" i="14"/>
  <c r="I25" i="14"/>
  <c r="I26" i="14"/>
  <c r="G24" i="14"/>
  <c r="G16" i="14"/>
  <c r="G8" i="14"/>
  <c r="L10" i="14"/>
  <c r="L19" i="14"/>
  <c r="N7" i="14"/>
  <c r="K15" i="14"/>
  <c r="K23" i="14"/>
  <c r="L11" i="14"/>
  <c r="L20" i="14"/>
  <c r="L11" i="11"/>
  <c r="L5" i="11"/>
  <c r="F7" i="11"/>
  <c r="J8" i="11"/>
  <c r="L9" i="11"/>
  <c r="F11" i="11"/>
  <c r="E13" i="11"/>
  <c r="G14" i="11"/>
  <c r="K15" i="11"/>
  <c r="G17" i="11"/>
  <c r="K18" i="11"/>
  <c r="G20" i="11"/>
  <c r="L21" i="11"/>
  <c r="F23" i="11"/>
  <c r="J24" i="11"/>
  <c r="L25" i="11"/>
  <c r="M13" i="11"/>
  <c r="M22" i="11"/>
  <c r="G11" i="11"/>
  <c r="G6" i="11"/>
  <c r="K7" i="11"/>
  <c r="E9" i="11"/>
  <c r="G10" i="11"/>
  <c r="E12" i="11"/>
  <c r="J13" i="11"/>
  <c r="L14" i="11"/>
  <c r="J16" i="11"/>
  <c r="L17" i="11"/>
  <c r="F19" i="11"/>
  <c r="E21" i="11"/>
  <c r="G22" i="11"/>
  <c r="K23" i="11"/>
  <c r="E25" i="11"/>
  <c r="M7" i="11"/>
  <c r="M16" i="11"/>
  <c r="M25" i="11"/>
  <c r="J11" i="11"/>
  <c r="J6" i="11"/>
  <c r="L7" i="11"/>
  <c r="F9" i="11"/>
  <c r="J10" i="11"/>
  <c r="F12" i="11"/>
  <c r="K13" i="11"/>
  <c r="E15" i="11"/>
  <c r="K16" i="11"/>
  <c r="E18" i="11"/>
  <c r="J19" i="11"/>
  <c r="F21" i="11"/>
  <c r="J22" i="11"/>
  <c r="L23" i="11"/>
  <c r="F25" i="11"/>
  <c r="M8" i="11"/>
  <c r="M17" i="11"/>
  <c r="K11" i="11"/>
  <c r="K19" i="11"/>
  <c r="L20" i="11"/>
  <c r="E5" i="11"/>
  <c r="K6" i="11"/>
  <c r="E8" i="11"/>
  <c r="G9" i="11"/>
  <c r="K10" i="11"/>
  <c r="G12" i="11"/>
  <c r="F15" i="11"/>
  <c r="F18" i="11"/>
  <c r="L19" i="11"/>
  <c r="G21" i="11"/>
  <c r="K22" i="11"/>
  <c r="E24" i="11"/>
  <c r="G25" i="11"/>
  <c r="M9" i="11"/>
  <c r="M18" i="11"/>
  <c r="K12" i="11"/>
  <c r="K20" i="11"/>
  <c r="J5" i="11"/>
  <c r="F8" i="11"/>
  <c r="J9" i="11"/>
  <c r="L10" i="11"/>
  <c r="J12" i="11"/>
  <c r="E14" i="11"/>
  <c r="G15" i="11"/>
  <c r="E17" i="11"/>
  <c r="G18" i="11"/>
  <c r="E20" i="11"/>
  <c r="J21" i="11"/>
  <c r="F24" i="11"/>
  <c r="J25" i="11"/>
  <c r="M20" i="11"/>
  <c r="L12" i="11"/>
  <c r="K21" i="11"/>
  <c r="M11" i="11"/>
  <c r="M19" i="11"/>
  <c r="G19" i="11"/>
  <c r="H5" i="15"/>
  <c r="C79" i="7"/>
  <c r="I5" i="15" s="1"/>
  <c r="H9" i="15"/>
  <c r="G79" i="7"/>
  <c r="I9" i="15" s="1"/>
  <c r="K79" i="7"/>
  <c r="I13" i="15" s="1"/>
  <c r="H13" i="15"/>
  <c r="J79" i="4"/>
  <c r="I11" i="14"/>
  <c r="I14" i="14"/>
  <c r="M79" i="4"/>
  <c r="P79" i="4"/>
  <c r="I18" i="14"/>
  <c r="Q79" i="4"/>
  <c r="I19" i="14"/>
  <c r="I21" i="14"/>
  <c r="S79" i="4"/>
  <c r="I23" i="14"/>
  <c r="U79" i="4"/>
  <c r="W79" i="3"/>
  <c r="H25" i="11"/>
  <c r="V76" i="3"/>
  <c r="V77" i="3" s="1"/>
  <c r="V78" i="3" s="1"/>
  <c r="U79" i="3"/>
  <c r="I23" i="11" s="1"/>
  <c r="H23" i="11"/>
  <c r="T79" i="3"/>
  <c r="I22" i="11" s="1"/>
  <c r="H22" i="11"/>
  <c r="S79" i="3"/>
  <c r="I21" i="11" s="1"/>
  <c r="H21" i="11"/>
  <c r="R79" i="3"/>
  <c r="I20" i="11" s="1"/>
  <c r="H20" i="11"/>
  <c r="Q79" i="3"/>
  <c r="I19" i="11" s="1"/>
  <c r="H19" i="11"/>
  <c r="P78" i="3"/>
  <c r="P76" i="3"/>
  <c r="P77" i="3" s="1"/>
  <c r="O76" i="3"/>
  <c r="O77" i="3" s="1"/>
  <c r="O78" i="3" s="1"/>
  <c r="M79" i="3"/>
  <c r="I15" i="11" s="1"/>
  <c r="H15" i="11"/>
  <c r="L79" i="3"/>
  <c r="I14" i="11" s="1"/>
  <c r="H14" i="11"/>
  <c r="K76" i="3"/>
  <c r="K77" i="3" s="1"/>
  <c r="K78" i="3" s="1"/>
  <c r="J76" i="3"/>
  <c r="J77" i="3" s="1"/>
  <c r="J78" i="3" s="1"/>
  <c r="H11" i="11"/>
  <c r="I79" i="3"/>
  <c r="I11" i="11" s="1"/>
  <c r="H79" i="3"/>
  <c r="I10" i="11" s="1"/>
  <c r="H10" i="11"/>
  <c r="G79" i="3"/>
  <c r="I9" i="11" s="1"/>
  <c r="H9" i="11"/>
  <c r="F79" i="3"/>
  <c r="I8" i="11" s="1"/>
  <c r="H8" i="11"/>
  <c r="E78" i="3"/>
  <c r="E76" i="3"/>
  <c r="E77" i="3" s="1"/>
  <c r="D76" i="3"/>
  <c r="D77" i="3" s="1"/>
  <c r="D78" i="3" s="1"/>
  <c r="C76" i="3"/>
  <c r="C77" i="3" s="1"/>
  <c r="C78" i="3" s="1"/>
  <c r="J48" i="2"/>
  <c r="K48" i="2"/>
  <c r="J49" i="2"/>
  <c r="K49" i="2"/>
  <c r="J51" i="2"/>
  <c r="K51" i="2"/>
  <c r="C13" i="3"/>
  <c r="Y24" i="1" s="1"/>
  <c r="X3" i="1"/>
  <c r="X2" i="1"/>
  <c r="J22" i="14" l="1"/>
  <c r="J20" i="14"/>
  <c r="J18" i="14"/>
  <c r="J7" i="14"/>
  <c r="I25" i="11"/>
  <c r="J13" i="14"/>
  <c r="J21" i="14"/>
  <c r="J17" i="14"/>
  <c r="J6" i="14"/>
  <c r="J10" i="14"/>
  <c r="J16" i="14"/>
  <c r="J12" i="14"/>
  <c r="J15" i="14"/>
  <c r="J9" i="14"/>
  <c r="J26" i="14"/>
  <c r="J14" i="14"/>
  <c r="J25" i="14"/>
  <c r="J23" i="14"/>
  <c r="J19" i="14"/>
  <c r="J8" i="14"/>
  <c r="J5" i="14"/>
  <c r="J11" i="14"/>
  <c r="J24" i="14"/>
  <c r="V79" i="3"/>
  <c r="I24" i="11" s="1"/>
  <c r="H24" i="11"/>
  <c r="P79" i="3"/>
  <c r="I18" i="11" s="1"/>
  <c r="H18" i="11"/>
  <c r="O79" i="3"/>
  <c r="I17" i="11" s="1"/>
  <c r="H17" i="11"/>
  <c r="K79" i="3"/>
  <c r="I13" i="11" s="1"/>
  <c r="H13" i="11"/>
  <c r="J79" i="3"/>
  <c r="I12" i="11" s="1"/>
  <c r="H12" i="11"/>
  <c r="E79" i="3"/>
  <c r="I7" i="11" s="1"/>
  <c r="H7" i="11"/>
  <c r="D79" i="3"/>
  <c r="I6" i="11" s="1"/>
  <c r="H6" i="11"/>
  <c r="J53" i="2"/>
  <c r="K53" i="2"/>
  <c r="Y6" i="1"/>
  <c r="Y14" i="1"/>
  <c r="Y22" i="1"/>
  <c r="Y8" i="1"/>
  <c r="Y16" i="1"/>
  <c r="Y9" i="1"/>
  <c r="Y17" i="1"/>
  <c r="Y10" i="1"/>
  <c r="Y18" i="1"/>
  <c r="Y26" i="1"/>
  <c r="Y3" i="1"/>
  <c r="Y11" i="1"/>
  <c r="Y19" i="1"/>
  <c r="Y27" i="1"/>
  <c r="Y4" i="1"/>
  <c r="Y12" i="1"/>
  <c r="Y20" i="1"/>
  <c r="Y5" i="1"/>
  <c r="Y13" i="1"/>
  <c r="Y21" i="1"/>
  <c r="Y7" i="1"/>
  <c r="Y15" i="1"/>
  <c r="Y23" i="1"/>
  <c r="Y25" i="1"/>
  <c r="J54" i="2" l="1"/>
  <c r="J50" i="2" s="1"/>
  <c r="K56" i="2"/>
  <c r="J56" i="2"/>
  <c r="K54" i="2"/>
  <c r="K50" i="2" s="1"/>
  <c r="Q6" i="3"/>
  <c r="R6" i="3"/>
  <c r="Q7" i="3"/>
  <c r="R7" i="3"/>
  <c r="Q8" i="3"/>
  <c r="R8" i="3"/>
  <c r="R5" i="3"/>
  <c r="Q5" i="3"/>
  <c r="R4" i="3"/>
  <c r="O6" i="3"/>
  <c r="O7" i="3"/>
  <c r="O8" i="3"/>
  <c r="O9" i="3"/>
  <c r="O5" i="3"/>
  <c r="O4" i="3"/>
  <c r="N6" i="3"/>
  <c r="N7" i="3"/>
  <c r="N8" i="3"/>
  <c r="N9" i="3"/>
  <c r="N5" i="3"/>
  <c r="D12" i="16"/>
  <c r="D11" i="16"/>
  <c r="G10" i="16"/>
  <c r="F10" i="16"/>
  <c r="E10" i="16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G29" i="15"/>
  <c r="F29" i="15"/>
  <c r="E29" i="15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H29" i="14"/>
  <c r="G29" i="14"/>
  <c r="F29" i="14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G28" i="11"/>
  <c r="F28" i="11"/>
  <c r="E28" i="11"/>
  <c r="E93" i="8"/>
  <c r="C93" i="8"/>
  <c r="AC115" i="7"/>
  <c r="AA115" i="7"/>
  <c r="Y115" i="7"/>
  <c r="W115" i="7"/>
  <c r="U115" i="7"/>
  <c r="S115" i="7"/>
  <c r="Q115" i="7"/>
  <c r="O115" i="7"/>
  <c r="M115" i="7"/>
  <c r="K115" i="7"/>
  <c r="I115" i="7"/>
  <c r="G115" i="7"/>
  <c r="E115" i="7"/>
  <c r="C115" i="7"/>
  <c r="Y104" i="7"/>
  <c r="W104" i="7"/>
  <c r="U104" i="7"/>
  <c r="S104" i="7"/>
  <c r="Q104" i="7"/>
  <c r="O104" i="7"/>
  <c r="M104" i="7"/>
  <c r="K104" i="7"/>
  <c r="I104" i="7"/>
  <c r="G104" i="7"/>
  <c r="E104" i="7"/>
  <c r="C104" i="7"/>
  <c r="Y93" i="7"/>
  <c r="W93" i="7"/>
  <c r="U93" i="7"/>
  <c r="S93" i="7"/>
  <c r="Q93" i="7"/>
  <c r="O93" i="7"/>
  <c r="M93" i="7"/>
  <c r="K93" i="7"/>
  <c r="I93" i="7"/>
  <c r="G93" i="7"/>
  <c r="E93" i="7"/>
  <c r="C93" i="7"/>
  <c r="U115" i="6"/>
  <c r="S115" i="6"/>
  <c r="Q115" i="6"/>
  <c r="O115" i="6"/>
  <c r="M115" i="6"/>
  <c r="K115" i="6"/>
  <c r="I115" i="6"/>
  <c r="G115" i="6"/>
  <c r="E115" i="6"/>
  <c r="C115" i="6"/>
  <c r="Y104" i="6"/>
  <c r="W104" i="6"/>
  <c r="U104" i="6"/>
  <c r="S104" i="6"/>
  <c r="Q104" i="6"/>
  <c r="O104" i="6"/>
  <c r="M104" i="6"/>
  <c r="K104" i="6"/>
  <c r="I104" i="6"/>
  <c r="G104" i="6"/>
  <c r="E104" i="6"/>
  <c r="C104" i="6"/>
  <c r="Y93" i="6"/>
  <c r="W93" i="6"/>
  <c r="U93" i="6"/>
  <c r="S93" i="6"/>
  <c r="Q93" i="6"/>
  <c r="O93" i="6"/>
  <c r="M93" i="6"/>
  <c r="K93" i="6"/>
  <c r="I93" i="6"/>
  <c r="G93" i="6"/>
  <c r="E93" i="6"/>
  <c r="C93" i="6"/>
  <c r="U115" i="5"/>
  <c r="S115" i="5"/>
  <c r="Q115" i="5"/>
  <c r="O115" i="5"/>
  <c r="M115" i="5"/>
  <c r="K115" i="5"/>
  <c r="I115" i="5"/>
  <c r="G115" i="5"/>
  <c r="E115" i="5"/>
  <c r="C115" i="5"/>
  <c r="Y104" i="5"/>
  <c r="W104" i="5"/>
  <c r="U104" i="5"/>
  <c r="S104" i="5"/>
  <c r="Q104" i="5"/>
  <c r="O104" i="5"/>
  <c r="M104" i="5"/>
  <c r="K104" i="5"/>
  <c r="I104" i="5"/>
  <c r="G104" i="5"/>
  <c r="E104" i="5"/>
  <c r="C104" i="5"/>
  <c r="Y93" i="5"/>
  <c r="W93" i="5"/>
  <c r="U93" i="5"/>
  <c r="S93" i="5"/>
  <c r="Q93" i="5"/>
  <c r="O93" i="5"/>
  <c r="M93" i="5"/>
  <c r="K93" i="5"/>
  <c r="I93" i="5"/>
  <c r="G93" i="5"/>
  <c r="E93" i="5"/>
  <c r="C93" i="5"/>
  <c r="U115" i="4"/>
  <c r="S115" i="4"/>
  <c r="Q115" i="4"/>
  <c r="O115" i="4"/>
  <c r="M115" i="4"/>
  <c r="K115" i="4"/>
  <c r="I115" i="4"/>
  <c r="G115" i="4"/>
  <c r="E115" i="4"/>
  <c r="C115" i="4"/>
  <c r="Y104" i="4"/>
  <c r="W104" i="4"/>
  <c r="U104" i="4"/>
  <c r="S104" i="4"/>
  <c r="Q104" i="4"/>
  <c r="O104" i="4"/>
  <c r="M104" i="4"/>
  <c r="K104" i="4"/>
  <c r="I104" i="4"/>
  <c r="G104" i="4"/>
  <c r="E104" i="4"/>
  <c r="C104" i="4"/>
  <c r="AE93" i="4"/>
  <c r="AC93" i="4"/>
  <c r="AA93" i="4"/>
  <c r="Y93" i="4"/>
  <c r="W93" i="4"/>
  <c r="U93" i="4"/>
  <c r="S93" i="4"/>
  <c r="Q93" i="4"/>
  <c r="O93" i="4"/>
  <c r="M93" i="4"/>
  <c r="K93" i="4"/>
  <c r="I93" i="4"/>
  <c r="G93" i="4"/>
  <c r="E93" i="4"/>
  <c r="C93" i="4"/>
  <c r="W115" i="3"/>
  <c r="U115" i="3"/>
  <c r="S115" i="3"/>
  <c r="Q115" i="3"/>
  <c r="O115" i="3"/>
  <c r="M115" i="3"/>
  <c r="K115" i="3"/>
  <c r="I115" i="3"/>
  <c r="G115" i="3"/>
  <c r="E115" i="3"/>
  <c r="C115" i="3"/>
  <c r="AA104" i="3"/>
  <c r="Y104" i="3"/>
  <c r="W104" i="3"/>
  <c r="U104" i="3"/>
  <c r="S104" i="3"/>
  <c r="Q104" i="3"/>
  <c r="O104" i="3"/>
  <c r="M104" i="3"/>
  <c r="K104" i="3"/>
  <c r="I104" i="3"/>
  <c r="G104" i="3"/>
  <c r="E104" i="3"/>
  <c r="C104" i="3"/>
  <c r="AA93" i="3"/>
  <c r="Y93" i="3"/>
  <c r="W93" i="3"/>
  <c r="U93" i="3"/>
  <c r="S93" i="3"/>
  <c r="Q93" i="3"/>
  <c r="O93" i="3"/>
  <c r="M93" i="3"/>
  <c r="K93" i="3"/>
  <c r="I93" i="3"/>
  <c r="G93" i="3"/>
  <c r="E93" i="3"/>
  <c r="C93" i="3"/>
  <c r="AE93" i="2"/>
  <c r="AC93" i="2"/>
  <c r="AA93" i="2"/>
  <c r="Y93" i="2"/>
  <c r="W93" i="2"/>
  <c r="U93" i="2"/>
  <c r="S93" i="2"/>
  <c r="Q93" i="2"/>
  <c r="O93" i="2"/>
  <c r="M93" i="2"/>
  <c r="K93" i="2"/>
  <c r="I93" i="2"/>
  <c r="G93" i="2"/>
  <c r="E93" i="2"/>
  <c r="C93" i="2"/>
  <c r="AA126" i="2"/>
  <c r="Y126" i="2"/>
  <c r="W126" i="2"/>
  <c r="U126" i="2"/>
  <c r="S126" i="2"/>
  <c r="Q126" i="2"/>
  <c r="O126" i="2"/>
  <c r="M126" i="2"/>
  <c r="K126" i="2"/>
  <c r="I126" i="2"/>
  <c r="G126" i="2"/>
  <c r="E126" i="2"/>
  <c r="C126" i="2"/>
  <c r="AE104" i="2"/>
  <c r="AC104" i="2"/>
  <c r="AA104" i="2"/>
  <c r="Y104" i="2"/>
  <c r="W104" i="2"/>
  <c r="U104" i="2"/>
  <c r="S104" i="2"/>
  <c r="Q104" i="2"/>
  <c r="O104" i="2"/>
  <c r="M104" i="2"/>
  <c r="K104" i="2"/>
  <c r="I104" i="2"/>
  <c r="G104" i="2"/>
  <c r="E104" i="2"/>
  <c r="C104" i="2"/>
  <c r="AE115" i="2"/>
  <c r="AC115" i="2"/>
  <c r="AA115" i="2"/>
  <c r="Y115" i="2"/>
  <c r="W115" i="2"/>
  <c r="U115" i="2"/>
  <c r="S115" i="2"/>
  <c r="Q115" i="2"/>
  <c r="O115" i="2"/>
  <c r="M115" i="2"/>
  <c r="K115" i="2"/>
  <c r="I115" i="2"/>
  <c r="G115" i="2"/>
  <c r="E115" i="2"/>
  <c r="C115" i="2"/>
  <c r="F36" i="10"/>
  <c r="D94" i="10"/>
  <c r="D90" i="10"/>
  <c r="D91" i="10"/>
  <c r="D92" i="10"/>
  <c r="D93" i="10"/>
  <c r="D83" i="10"/>
  <c r="D84" i="10"/>
  <c r="D85" i="10"/>
  <c r="D86" i="10"/>
  <c r="D87" i="10"/>
  <c r="D88" i="10"/>
  <c r="D89" i="10"/>
  <c r="D82" i="10"/>
  <c r="E36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7" i="10"/>
  <c r="D48" i="10"/>
  <c r="D44" i="10"/>
  <c r="D45" i="10"/>
  <c r="D46" i="10"/>
  <c r="D38" i="10"/>
  <c r="D39" i="10"/>
  <c r="D40" i="10"/>
  <c r="D41" i="10"/>
  <c r="D42" i="10"/>
  <c r="D43" i="10"/>
  <c r="D37" i="10"/>
  <c r="D64" i="8" l="1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E63" i="8"/>
  <c r="D63" i="8"/>
  <c r="C63" i="8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P64" i="4"/>
  <c r="C36" i="9" l="1"/>
  <c r="C35" i="9"/>
  <c r="C23" i="9"/>
  <c r="C21" i="9"/>
  <c r="C20" i="9"/>
  <c r="C12" i="9"/>
  <c r="I7" i="9"/>
  <c r="C7" i="9"/>
  <c r="I6" i="9"/>
  <c r="C6" i="9"/>
  <c r="E64" i="8"/>
  <c r="C64" i="8"/>
  <c r="E51" i="8"/>
  <c r="D51" i="8"/>
  <c r="C51" i="8"/>
  <c r="E49" i="8"/>
  <c r="D49" i="8"/>
  <c r="C49" i="8"/>
  <c r="E48" i="8"/>
  <c r="D48" i="8"/>
  <c r="C48" i="8"/>
  <c r="C12" i="8"/>
  <c r="I7" i="8"/>
  <c r="C7" i="8"/>
  <c r="I6" i="8"/>
  <c r="C6" i="8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C12" i="7"/>
  <c r="I7" i="7"/>
  <c r="C7" i="7"/>
  <c r="I6" i="7"/>
  <c r="C6" i="7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X48" i="6"/>
  <c r="W48" i="6"/>
  <c r="V48" i="6"/>
  <c r="U48" i="6"/>
  <c r="U53" i="6" s="1"/>
  <c r="T48" i="6"/>
  <c r="S48" i="6"/>
  <c r="R48" i="6"/>
  <c r="R53" i="6" s="1"/>
  <c r="Q48" i="6"/>
  <c r="P48" i="6"/>
  <c r="O48" i="6"/>
  <c r="N48" i="6"/>
  <c r="M48" i="6"/>
  <c r="L48" i="6"/>
  <c r="K48" i="6"/>
  <c r="J48" i="6"/>
  <c r="J53" i="6" s="1"/>
  <c r="I48" i="6"/>
  <c r="H48" i="6"/>
  <c r="G48" i="6"/>
  <c r="F48" i="6"/>
  <c r="E48" i="6"/>
  <c r="D48" i="6"/>
  <c r="C48" i="6"/>
  <c r="C12" i="6"/>
  <c r="I7" i="6"/>
  <c r="C7" i="6"/>
  <c r="I6" i="6"/>
  <c r="C6" i="6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C12" i="5"/>
  <c r="I7" i="5"/>
  <c r="C7" i="5"/>
  <c r="I6" i="5"/>
  <c r="C6" i="5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C51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C49" i="4"/>
  <c r="C48" i="4"/>
  <c r="X64" i="4"/>
  <c r="W64" i="4"/>
  <c r="V64" i="4"/>
  <c r="U64" i="4"/>
  <c r="T64" i="4"/>
  <c r="S64" i="4"/>
  <c r="R64" i="4"/>
  <c r="Q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C12" i="4"/>
  <c r="I7" i="4"/>
  <c r="C7" i="4"/>
  <c r="I6" i="4"/>
  <c r="C6" i="4"/>
  <c r="W48" i="3"/>
  <c r="W49" i="3"/>
  <c r="W51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C12" i="3"/>
  <c r="I7" i="3"/>
  <c r="C7" i="3"/>
  <c r="I6" i="3"/>
  <c r="C6" i="3"/>
  <c r="AC48" i="2"/>
  <c r="AD48" i="2"/>
  <c r="AE48" i="2"/>
  <c r="AC49" i="2"/>
  <c r="AD49" i="2"/>
  <c r="AE49" i="2"/>
  <c r="AC51" i="2"/>
  <c r="AD51" i="2"/>
  <c r="AE51" i="2"/>
  <c r="AC64" i="2"/>
  <c r="AD64" i="2"/>
  <c r="AE64" i="2"/>
  <c r="S48" i="2"/>
  <c r="T48" i="2"/>
  <c r="U48" i="2"/>
  <c r="V48" i="2"/>
  <c r="W48" i="2"/>
  <c r="X48" i="2"/>
  <c r="Y48" i="2"/>
  <c r="Z48" i="2"/>
  <c r="H3" i="18" s="1"/>
  <c r="I3" i="18" s="1"/>
  <c r="AA48" i="2"/>
  <c r="AB48" i="2"/>
  <c r="S49" i="2"/>
  <c r="T49" i="2"/>
  <c r="U49" i="2"/>
  <c r="V49" i="2"/>
  <c r="W49" i="2"/>
  <c r="X49" i="2"/>
  <c r="Y49" i="2"/>
  <c r="Z49" i="2"/>
  <c r="AA49" i="2"/>
  <c r="AB49" i="2"/>
  <c r="S51" i="2"/>
  <c r="T51" i="2"/>
  <c r="U51" i="2"/>
  <c r="V51" i="2"/>
  <c r="W51" i="2"/>
  <c r="X51" i="2"/>
  <c r="Y51" i="2"/>
  <c r="Z51" i="2"/>
  <c r="AA51" i="2"/>
  <c r="AB51" i="2"/>
  <c r="S64" i="2"/>
  <c r="T64" i="2"/>
  <c r="U64" i="2"/>
  <c r="V64" i="2"/>
  <c r="W64" i="2"/>
  <c r="X64" i="2"/>
  <c r="Y64" i="2"/>
  <c r="Z64" i="2"/>
  <c r="AA64" i="2"/>
  <c r="AB64" i="2"/>
  <c r="E48" i="2"/>
  <c r="F48" i="2"/>
  <c r="G48" i="2"/>
  <c r="H48" i="2"/>
  <c r="I48" i="2"/>
  <c r="L48" i="2"/>
  <c r="M48" i="2"/>
  <c r="N48" i="2"/>
  <c r="O48" i="2"/>
  <c r="P48" i="2"/>
  <c r="Q48" i="2"/>
  <c r="R48" i="2"/>
  <c r="E49" i="2"/>
  <c r="F49" i="2"/>
  <c r="G49" i="2"/>
  <c r="H49" i="2"/>
  <c r="I49" i="2"/>
  <c r="L49" i="2"/>
  <c r="M49" i="2"/>
  <c r="N49" i="2"/>
  <c r="O49" i="2"/>
  <c r="P49" i="2"/>
  <c r="Q49" i="2"/>
  <c r="R49" i="2"/>
  <c r="E51" i="2"/>
  <c r="F51" i="2"/>
  <c r="G51" i="2"/>
  <c r="H51" i="2"/>
  <c r="I51" i="2"/>
  <c r="L51" i="2"/>
  <c r="M51" i="2"/>
  <c r="N51" i="2"/>
  <c r="O51" i="2"/>
  <c r="P51" i="2"/>
  <c r="Q51" i="2"/>
  <c r="R51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D51" i="2"/>
  <c r="D64" i="2"/>
  <c r="D49" i="2"/>
  <c r="D48" i="2"/>
  <c r="C51" i="2"/>
  <c r="C49" i="2"/>
  <c r="C48" i="2"/>
  <c r="C12" i="2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0" i="1"/>
  <c r="Q11" i="1"/>
  <c r="Q9" i="1"/>
  <c r="Q8" i="1"/>
  <c r="Q7" i="1"/>
  <c r="Q6" i="1"/>
  <c r="Q5" i="1"/>
  <c r="Q4" i="1"/>
  <c r="Q3" i="1"/>
  <c r="C64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3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3" i="1"/>
  <c r="L4" i="1"/>
  <c r="L5" i="1"/>
  <c r="L6" i="1"/>
  <c r="L7" i="1"/>
  <c r="L8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15" i="1"/>
  <c r="I7" i="2"/>
  <c r="C7" i="2"/>
  <c r="C6" i="2"/>
  <c r="I6" i="2"/>
  <c r="C13" i="2" l="1"/>
  <c r="Y28" i="1" s="1"/>
  <c r="X28" i="1"/>
  <c r="Q53" i="6"/>
  <c r="I8" i="5"/>
  <c r="F53" i="6"/>
  <c r="F54" i="6" s="1"/>
  <c r="F50" i="6" s="1"/>
  <c r="N53" i="6"/>
  <c r="N58" i="6" s="1"/>
  <c r="V53" i="6"/>
  <c r="I8" i="6"/>
  <c r="R65" i="6" s="1"/>
  <c r="R66" i="6" s="1"/>
  <c r="R67" i="6" s="1"/>
  <c r="C65" i="8"/>
  <c r="C66" i="8" s="1"/>
  <c r="C67" i="8" s="1"/>
  <c r="D32" i="10"/>
  <c r="D24" i="10"/>
  <c r="D16" i="10"/>
  <c r="D8" i="10"/>
  <c r="D31" i="10"/>
  <c r="D23" i="10"/>
  <c r="D15" i="10"/>
  <c r="D7" i="10"/>
  <c r="D30" i="10"/>
  <c r="D22" i="10"/>
  <c r="D14" i="10"/>
  <c r="D6" i="10"/>
  <c r="D29" i="10"/>
  <c r="D21" i="10"/>
  <c r="D13" i="10"/>
  <c r="D5" i="10"/>
  <c r="D28" i="10"/>
  <c r="D20" i="10"/>
  <c r="D12" i="10"/>
  <c r="D17" i="10"/>
  <c r="D27" i="10"/>
  <c r="D19" i="10"/>
  <c r="D11" i="10"/>
  <c r="D33" i="10"/>
  <c r="D25" i="10"/>
  <c r="D9" i="10"/>
  <c r="D26" i="10"/>
  <c r="D18" i="10"/>
  <c r="D10" i="10"/>
  <c r="Z53" i="2"/>
  <c r="I8" i="9"/>
  <c r="C37" i="9" s="1"/>
  <c r="C38" i="9" s="1"/>
  <c r="C25" i="9"/>
  <c r="I8" i="8"/>
  <c r="D65" i="8" s="1"/>
  <c r="D66" i="8" s="1"/>
  <c r="E53" i="8"/>
  <c r="E58" i="8" s="1"/>
  <c r="C53" i="8"/>
  <c r="D53" i="8"/>
  <c r="I8" i="7"/>
  <c r="Q65" i="7" s="1"/>
  <c r="Q66" i="7" s="1"/>
  <c r="C53" i="7"/>
  <c r="C61" i="7" s="1"/>
  <c r="E53" i="7"/>
  <c r="E61" i="7" s="1"/>
  <c r="I53" i="7"/>
  <c r="I59" i="7" s="1"/>
  <c r="M53" i="7"/>
  <c r="M57" i="7" s="1"/>
  <c r="Q53" i="7"/>
  <c r="Q59" i="7" s="1"/>
  <c r="U53" i="7"/>
  <c r="U57" i="7" s="1"/>
  <c r="G53" i="7"/>
  <c r="G57" i="7" s="1"/>
  <c r="K53" i="7"/>
  <c r="O53" i="7"/>
  <c r="O59" i="7" s="1"/>
  <c r="S53" i="7"/>
  <c r="S54" i="7" s="1"/>
  <c r="S50" i="7" s="1"/>
  <c r="W53" i="7"/>
  <c r="W61" i="7" s="1"/>
  <c r="F53" i="7"/>
  <c r="F56" i="7" s="1"/>
  <c r="N53" i="7"/>
  <c r="N61" i="7" s="1"/>
  <c r="V53" i="7"/>
  <c r="V56" i="7" s="1"/>
  <c r="J53" i="7"/>
  <c r="J57" i="7" s="1"/>
  <c r="R53" i="7"/>
  <c r="D53" i="7"/>
  <c r="D57" i="7" s="1"/>
  <c r="H53" i="7"/>
  <c r="H56" i="7" s="1"/>
  <c r="L53" i="7"/>
  <c r="L58" i="7" s="1"/>
  <c r="P53" i="7"/>
  <c r="P54" i="7" s="1"/>
  <c r="P50" i="7" s="1"/>
  <c r="T53" i="7"/>
  <c r="T61" i="7" s="1"/>
  <c r="X53" i="7"/>
  <c r="X58" i="7" s="1"/>
  <c r="Q67" i="7"/>
  <c r="Q61" i="7"/>
  <c r="Q57" i="7"/>
  <c r="U61" i="7"/>
  <c r="U59" i="7"/>
  <c r="U60" i="7"/>
  <c r="U54" i="7"/>
  <c r="U50" i="7" s="1"/>
  <c r="U58" i="7"/>
  <c r="R54" i="7"/>
  <c r="R50" i="7" s="1"/>
  <c r="V54" i="7"/>
  <c r="V50" i="7" s="1"/>
  <c r="C60" i="7"/>
  <c r="C58" i="7"/>
  <c r="K58" i="7"/>
  <c r="Q68" i="7"/>
  <c r="U65" i="7"/>
  <c r="M65" i="7"/>
  <c r="E65" i="7"/>
  <c r="L65" i="7"/>
  <c r="D65" i="7"/>
  <c r="C57" i="7"/>
  <c r="H65" i="7"/>
  <c r="X65" i="7"/>
  <c r="F65" i="7"/>
  <c r="J65" i="7"/>
  <c r="N65" i="7"/>
  <c r="N66" i="7" s="1"/>
  <c r="R65" i="7"/>
  <c r="V65" i="7"/>
  <c r="D53" i="6"/>
  <c r="D61" i="6" s="1"/>
  <c r="H53" i="6"/>
  <c r="H59" i="6" s="1"/>
  <c r="L53" i="6"/>
  <c r="L57" i="6" s="1"/>
  <c r="P53" i="6"/>
  <c r="T53" i="6"/>
  <c r="X53" i="6"/>
  <c r="X59" i="6" s="1"/>
  <c r="E53" i="6"/>
  <c r="E58" i="6" s="1"/>
  <c r="I53" i="6"/>
  <c r="I61" i="6" s="1"/>
  <c r="M53" i="6"/>
  <c r="M58" i="6" s="1"/>
  <c r="U61" i="6"/>
  <c r="U59" i="6"/>
  <c r="U57" i="6"/>
  <c r="U54" i="6"/>
  <c r="U50" i="6" s="1"/>
  <c r="U60" i="6"/>
  <c r="U56" i="6"/>
  <c r="U58" i="6"/>
  <c r="F59" i="6"/>
  <c r="J61" i="6"/>
  <c r="J59" i="6"/>
  <c r="J57" i="6"/>
  <c r="J54" i="6"/>
  <c r="J50" i="6" s="1"/>
  <c r="J58" i="6"/>
  <c r="J60" i="6"/>
  <c r="J56" i="6"/>
  <c r="N61" i="6"/>
  <c r="N59" i="6"/>
  <c r="N57" i="6"/>
  <c r="N54" i="6"/>
  <c r="N50" i="6" s="1"/>
  <c r="N60" i="6"/>
  <c r="N56" i="6"/>
  <c r="R61" i="6"/>
  <c r="R59" i="6"/>
  <c r="R85" i="6" s="1"/>
  <c r="R57" i="6"/>
  <c r="R54" i="6"/>
  <c r="R50" i="6" s="1"/>
  <c r="R58" i="6"/>
  <c r="R80" i="6" s="1"/>
  <c r="R60" i="6"/>
  <c r="R56" i="6"/>
  <c r="V61" i="6"/>
  <c r="V59" i="6"/>
  <c r="V57" i="6"/>
  <c r="V54" i="6"/>
  <c r="V50" i="6" s="1"/>
  <c r="V60" i="6"/>
  <c r="V56" i="6"/>
  <c r="V58" i="6"/>
  <c r="Q61" i="6"/>
  <c r="Q59" i="6"/>
  <c r="Q57" i="6"/>
  <c r="Q54" i="6"/>
  <c r="Q50" i="6" s="1"/>
  <c r="Q58" i="6"/>
  <c r="Q60" i="6"/>
  <c r="Q56" i="6"/>
  <c r="E65" i="6"/>
  <c r="E66" i="6" s="1"/>
  <c r="E67" i="6" s="1"/>
  <c r="M65" i="6"/>
  <c r="M66" i="6" s="1"/>
  <c r="M67" i="6" s="1"/>
  <c r="U65" i="6"/>
  <c r="U66" i="6" s="1"/>
  <c r="U67" i="6" s="1"/>
  <c r="X54" i="6"/>
  <c r="X50" i="6" s="1"/>
  <c r="D57" i="6"/>
  <c r="T57" i="6"/>
  <c r="T61" i="6"/>
  <c r="F65" i="6"/>
  <c r="F66" i="6" s="1"/>
  <c r="F67" i="6" s="1"/>
  <c r="N65" i="6"/>
  <c r="N66" i="6" s="1"/>
  <c r="N67" i="6" s="1"/>
  <c r="V65" i="6"/>
  <c r="V66" i="6" s="1"/>
  <c r="V67" i="6" s="1"/>
  <c r="C53" i="6"/>
  <c r="G53" i="6"/>
  <c r="K53" i="6"/>
  <c r="O53" i="6"/>
  <c r="S53" i="6"/>
  <c r="W53" i="6"/>
  <c r="C65" i="6"/>
  <c r="C66" i="6" s="1"/>
  <c r="G65" i="6"/>
  <c r="G66" i="6" s="1"/>
  <c r="K65" i="6"/>
  <c r="K66" i="6" s="1"/>
  <c r="O65" i="6"/>
  <c r="O66" i="6" s="1"/>
  <c r="S65" i="6"/>
  <c r="S66" i="6" s="1"/>
  <c r="W65" i="6"/>
  <c r="W66" i="6" s="1"/>
  <c r="I65" i="6"/>
  <c r="I66" i="6" s="1"/>
  <c r="I67" i="6" s="1"/>
  <c r="Q65" i="6"/>
  <c r="Q66" i="6" s="1"/>
  <c r="Q67" i="6" s="1"/>
  <c r="T60" i="6"/>
  <c r="T58" i="6"/>
  <c r="T56" i="6"/>
  <c r="X60" i="6"/>
  <c r="X58" i="6"/>
  <c r="X56" i="6"/>
  <c r="D54" i="6"/>
  <c r="D50" i="6" s="1"/>
  <c r="T54" i="6"/>
  <c r="T50" i="6" s="1"/>
  <c r="X57" i="6"/>
  <c r="T59" i="6"/>
  <c r="H61" i="6"/>
  <c r="X61" i="6"/>
  <c r="N68" i="6"/>
  <c r="R68" i="6"/>
  <c r="R70" i="6" s="1"/>
  <c r="D65" i="6"/>
  <c r="D66" i="6" s="1"/>
  <c r="H65" i="6"/>
  <c r="H66" i="6" s="1"/>
  <c r="L65" i="6"/>
  <c r="L66" i="6" s="1"/>
  <c r="P65" i="6"/>
  <c r="P66" i="6" s="1"/>
  <c r="T65" i="6"/>
  <c r="T66" i="6" s="1"/>
  <c r="X65" i="6"/>
  <c r="X66" i="6" s="1"/>
  <c r="J65" i="6"/>
  <c r="J66" i="6" s="1"/>
  <c r="J67" i="6" s="1"/>
  <c r="F65" i="5"/>
  <c r="J65" i="5"/>
  <c r="J66" i="5" s="1"/>
  <c r="J67" i="5" s="1"/>
  <c r="N65" i="5"/>
  <c r="R65" i="5"/>
  <c r="R66" i="5" s="1"/>
  <c r="V65" i="5"/>
  <c r="V66" i="5" s="1"/>
  <c r="V67" i="5" s="1"/>
  <c r="E65" i="5"/>
  <c r="E66" i="5" s="1"/>
  <c r="E68" i="5" s="1"/>
  <c r="I65" i="5"/>
  <c r="M65" i="5"/>
  <c r="M66" i="5" s="1"/>
  <c r="Q65" i="5"/>
  <c r="U65" i="5"/>
  <c r="U66" i="5" s="1"/>
  <c r="I66" i="5"/>
  <c r="I68" i="5" s="1"/>
  <c r="Q66" i="5"/>
  <c r="Q67" i="5" s="1"/>
  <c r="D53" i="5"/>
  <c r="D54" i="5" s="1"/>
  <c r="D50" i="5" s="1"/>
  <c r="H53" i="5"/>
  <c r="H54" i="5" s="1"/>
  <c r="H50" i="5" s="1"/>
  <c r="L53" i="5"/>
  <c r="P53" i="5"/>
  <c r="T53" i="5"/>
  <c r="T54" i="5" s="1"/>
  <c r="T50" i="5" s="1"/>
  <c r="X53" i="5"/>
  <c r="F66" i="5"/>
  <c r="F67" i="5" s="1"/>
  <c r="N66" i="5"/>
  <c r="N67" i="5" s="1"/>
  <c r="C53" i="5"/>
  <c r="C60" i="5" s="1"/>
  <c r="G53" i="5"/>
  <c r="K53" i="5"/>
  <c r="K54" i="5" s="1"/>
  <c r="K50" i="5" s="1"/>
  <c r="O53" i="5"/>
  <c r="O54" i="5" s="1"/>
  <c r="O50" i="5" s="1"/>
  <c r="S53" i="5"/>
  <c r="W53" i="5"/>
  <c r="E53" i="5"/>
  <c r="I53" i="5"/>
  <c r="I54" i="5" s="1"/>
  <c r="I50" i="5" s="1"/>
  <c r="M53" i="5"/>
  <c r="M54" i="5" s="1"/>
  <c r="M50" i="5" s="1"/>
  <c r="Q53" i="5"/>
  <c r="U53" i="5"/>
  <c r="U54" i="5" s="1"/>
  <c r="U50" i="5" s="1"/>
  <c r="I67" i="5"/>
  <c r="F53" i="5"/>
  <c r="J53" i="5"/>
  <c r="N53" i="5"/>
  <c r="N54" i="5" s="1"/>
  <c r="N50" i="5" s="1"/>
  <c r="R53" i="5"/>
  <c r="V53" i="5"/>
  <c r="X54" i="5"/>
  <c r="X50" i="5" s="1"/>
  <c r="O65" i="5"/>
  <c r="O66" i="5" s="1"/>
  <c r="O67" i="5" s="1"/>
  <c r="C65" i="5"/>
  <c r="C66" i="5" s="1"/>
  <c r="C67" i="5" s="1"/>
  <c r="S65" i="5"/>
  <c r="S66" i="5" s="1"/>
  <c r="S67" i="5" s="1"/>
  <c r="G65" i="5"/>
  <c r="G66" i="5" s="1"/>
  <c r="G67" i="5" s="1"/>
  <c r="X65" i="5"/>
  <c r="X66" i="5" s="1"/>
  <c r="X67" i="5" s="1"/>
  <c r="T65" i="5"/>
  <c r="T66" i="5" s="1"/>
  <c r="T67" i="5" s="1"/>
  <c r="P65" i="5"/>
  <c r="P66" i="5" s="1"/>
  <c r="P67" i="5" s="1"/>
  <c r="L65" i="5"/>
  <c r="L66" i="5" s="1"/>
  <c r="L67" i="5" s="1"/>
  <c r="H65" i="5"/>
  <c r="H66" i="5" s="1"/>
  <c r="H67" i="5" s="1"/>
  <c r="D65" i="5"/>
  <c r="D66" i="5" s="1"/>
  <c r="D67" i="5" s="1"/>
  <c r="W65" i="5"/>
  <c r="W66" i="5" s="1"/>
  <c r="W67" i="5" s="1"/>
  <c r="K65" i="5"/>
  <c r="K66" i="5" s="1"/>
  <c r="K67" i="5" s="1"/>
  <c r="E54" i="5"/>
  <c r="E50" i="5" s="1"/>
  <c r="J54" i="5"/>
  <c r="J50" i="5" s="1"/>
  <c r="I8" i="4"/>
  <c r="X65" i="4" s="1"/>
  <c r="X53" i="4"/>
  <c r="D53" i="4"/>
  <c r="H53" i="4"/>
  <c r="L53" i="4"/>
  <c r="P53" i="4"/>
  <c r="T53" i="4"/>
  <c r="E53" i="4"/>
  <c r="I53" i="4"/>
  <c r="M53" i="4"/>
  <c r="Q53" i="4"/>
  <c r="U53" i="4"/>
  <c r="F53" i="4"/>
  <c r="J53" i="4"/>
  <c r="N53" i="4"/>
  <c r="R53" i="4"/>
  <c r="V53" i="4"/>
  <c r="G53" i="4"/>
  <c r="K53" i="4"/>
  <c r="O53" i="4"/>
  <c r="S53" i="4"/>
  <c r="W53" i="4"/>
  <c r="C53" i="4"/>
  <c r="E54" i="4"/>
  <c r="E50" i="4" s="1"/>
  <c r="I8" i="3"/>
  <c r="T65" i="3" s="1"/>
  <c r="W53" i="3"/>
  <c r="G53" i="3"/>
  <c r="K53" i="3"/>
  <c r="C53" i="3"/>
  <c r="E53" i="3"/>
  <c r="I53" i="3"/>
  <c r="I54" i="3" s="1"/>
  <c r="I50" i="3" s="1"/>
  <c r="M53" i="3"/>
  <c r="Q53" i="3"/>
  <c r="U53" i="3"/>
  <c r="D53" i="3"/>
  <c r="H53" i="3"/>
  <c r="L53" i="3"/>
  <c r="P53" i="3"/>
  <c r="T53" i="3"/>
  <c r="O53" i="3"/>
  <c r="S53" i="3"/>
  <c r="F53" i="3"/>
  <c r="J53" i="3"/>
  <c r="J54" i="3" s="1"/>
  <c r="J50" i="3" s="1"/>
  <c r="N53" i="3"/>
  <c r="N54" i="3" s="1"/>
  <c r="N50" i="3" s="1"/>
  <c r="R53" i="3"/>
  <c r="V53" i="3"/>
  <c r="G54" i="3"/>
  <c r="G50" i="3" s="1"/>
  <c r="M65" i="3"/>
  <c r="K65" i="3"/>
  <c r="L53" i="2"/>
  <c r="L75" i="2" s="1"/>
  <c r="L76" i="2" s="1"/>
  <c r="L77" i="2" s="1"/>
  <c r="L78" i="2" s="1"/>
  <c r="AA53" i="2"/>
  <c r="M53" i="2"/>
  <c r="S53" i="2"/>
  <c r="S75" i="2" s="1"/>
  <c r="S76" i="2" s="1"/>
  <c r="S77" i="2" s="1"/>
  <c r="S78" i="2" s="1"/>
  <c r="E53" i="2"/>
  <c r="W53" i="2"/>
  <c r="AD53" i="2"/>
  <c r="AD75" i="2" s="1"/>
  <c r="AD76" i="2" s="1"/>
  <c r="AD77" i="2" s="1"/>
  <c r="AD78" i="2" s="1"/>
  <c r="Q53" i="2"/>
  <c r="I53" i="2"/>
  <c r="V53" i="2"/>
  <c r="F53" i="2"/>
  <c r="AE53" i="2"/>
  <c r="Y53" i="2"/>
  <c r="U53" i="2"/>
  <c r="R53" i="2"/>
  <c r="R75" i="2" s="1"/>
  <c r="R76" i="2" s="1"/>
  <c r="R77" i="2" s="1"/>
  <c r="R78" i="2" s="1"/>
  <c r="R79" i="2" s="1"/>
  <c r="N53" i="2"/>
  <c r="P53" i="2"/>
  <c r="H53" i="2"/>
  <c r="AB53" i="2"/>
  <c r="X53" i="2"/>
  <c r="T53" i="2"/>
  <c r="AC53" i="2"/>
  <c r="J57" i="2"/>
  <c r="O53" i="2"/>
  <c r="G53" i="2"/>
  <c r="D53" i="2"/>
  <c r="C53" i="2"/>
  <c r="I8" i="2"/>
  <c r="X65" i="2" s="1"/>
  <c r="X66" i="2" s="1"/>
  <c r="E26" i="10" s="1"/>
  <c r="AD79" i="2" l="1"/>
  <c r="S79" i="2"/>
  <c r="L79" i="2"/>
  <c r="U54" i="2"/>
  <c r="U50" i="2" s="1"/>
  <c r="U75" i="2"/>
  <c r="U76" i="2" s="1"/>
  <c r="U77" i="2" s="1"/>
  <c r="U78" i="2" s="1"/>
  <c r="U79" i="2" s="1"/>
  <c r="W54" i="2"/>
  <c r="W50" i="2" s="1"/>
  <c r="W75" i="2"/>
  <c r="W76" i="2" s="1"/>
  <c r="W77" i="2" s="1"/>
  <c r="W78" i="2" s="1"/>
  <c r="W79" i="2" s="1"/>
  <c r="Y54" i="2"/>
  <c r="Y50" i="2" s="1"/>
  <c r="E59" i="2"/>
  <c r="F59" i="2"/>
  <c r="Z59" i="2"/>
  <c r="Z75" i="2"/>
  <c r="Z76" i="2" s="1"/>
  <c r="Z77" i="2" s="1"/>
  <c r="Z78" i="2" s="1"/>
  <c r="Z79" i="2" s="1"/>
  <c r="N54" i="2"/>
  <c r="N50" i="2" s="1"/>
  <c r="Z54" i="2"/>
  <c r="Z50" i="2" s="1"/>
  <c r="E57" i="2"/>
  <c r="E61" i="2"/>
  <c r="Z58" i="2"/>
  <c r="Z57" i="2"/>
  <c r="M56" i="6"/>
  <c r="M59" i="7"/>
  <c r="S59" i="7"/>
  <c r="E65" i="8"/>
  <c r="E66" i="8" s="1"/>
  <c r="E67" i="8" s="1"/>
  <c r="S57" i="7"/>
  <c r="C59" i="7"/>
  <c r="E54" i="7"/>
  <c r="E50" i="7" s="1"/>
  <c r="H59" i="7"/>
  <c r="H58" i="7"/>
  <c r="E56" i="7"/>
  <c r="I56" i="7"/>
  <c r="S60" i="7"/>
  <c r="W57" i="7"/>
  <c r="L59" i="7"/>
  <c r="O61" i="7"/>
  <c r="O57" i="7"/>
  <c r="C54" i="7"/>
  <c r="C50" i="7" s="1"/>
  <c r="F61" i="6"/>
  <c r="H57" i="6"/>
  <c r="H56" i="6"/>
  <c r="H54" i="6"/>
  <c r="H50" i="6" s="1"/>
  <c r="F58" i="6"/>
  <c r="F80" i="6" s="1"/>
  <c r="I106" i="6" s="1"/>
  <c r="H58" i="6"/>
  <c r="F56" i="6"/>
  <c r="H60" i="6"/>
  <c r="F60" i="6"/>
  <c r="F57" i="6"/>
  <c r="G65" i="4"/>
  <c r="G66" i="4" s="1"/>
  <c r="Q65" i="3"/>
  <c r="Q66" i="3" s="1"/>
  <c r="J65" i="3"/>
  <c r="J66" i="3" s="1"/>
  <c r="P65" i="3"/>
  <c r="P66" i="3" s="1"/>
  <c r="D65" i="3"/>
  <c r="D66" i="3" s="1"/>
  <c r="D68" i="3" s="1"/>
  <c r="W65" i="3"/>
  <c r="W66" i="3" s="1"/>
  <c r="W68" i="3" s="1"/>
  <c r="T66" i="3"/>
  <c r="T85" i="3" s="1"/>
  <c r="T86" i="3" s="1"/>
  <c r="T87" i="3" s="1"/>
  <c r="T88" i="3" s="1"/>
  <c r="K66" i="3"/>
  <c r="K67" i="3" s="1"/>
  <c r="G65" i="3"/>
  <c r="F65" i="3"/>
  <c r="L65" i="3"/>
  <c r="C65" i="3"/>
  <c r="C66" i="3" s="1"/>
  <c r="C67" i="3" s="1"/>
  <c r="U65" i="3"/>
  <c r="H65" i="3"/>
  <c r="V65" i="3"/>
  <c r="S65" i="3"/>
  <c r="R65" i="3"/>
  <c r="E65" i="3"/>
  <c r="M66" i="3"/>
  <c r="M67" i="3" s="1"/>
  <c r="I65" i="3"/>
  <c r="O65" i="3"/>
  <c r="N65" i="3"/>
  <c r="D65" i="4"/>
  <c r="D66" i="4" s="1"/>
  <c r="S65" i="4"/>
  <c r="S66" i="4" s="1"/>
  <c r="S85" i="4" s="1"/>
  <c r="E65" i="4"/>
  <c r="E66" i="4" s="1"/>
  <c r="O65" i="4"/>
  <c r="O66" i="4" s="1"/>
  <c r="R65" i="4"/>
  <c r="R66" i="4" s="1"/>
  <c r="R67" i="4" s="1"/>
  <c r="I65" i="4"/>
  <c r="I66" i="4" s="1"/>
  <c r="N65" i="4"/>
  <c r="N66" i="4" s="1"/>
  <c r="N85" i="4" s="1"/>
  <c r="N86" i="4" s="1"/>
  <c r="N87" i="4" s="1"/>
  <c r="N88" i="4" s="1"/>
  <c r="K65" i="4"/>
  <c r="K66" i="4" s="1"/>
  <c r="K70" i="4" s="1"/>
  <c r="V65" i="4"/>
  <c r="V66" i="4" s="1"/>
  <c r="V80" i="4" s="1"/>
  <c r="V81" i="4" s="1"/>
  <c r="V82" i="4" s="1"/>
  <c r="V83" i="4" s="1"/>
  <c r="M65" i="4"/>
  <c r="M66" i="4" s="1"/>
  <c r="C65" i="4"/>
  <c r="C66" i="4" s="1"/>
  <c r="C67" i="4" s="1"/>
  <c r="H65" i="4"/>
  <c r="U65" i="4"/>
  <c r="U66" i="4" s="1"/>
  <c r="U80" i="4" s="1"/>
  <c r="Q65" i="4"/>
  <c r="Q66" i="4" s="1"/>
  <c r="Q80" i="4" s="1"/>
  <c r="Z95" i="4" s="1"/>
  <c r="L65" i="4"/>
  <c r="F65" i="4"/>
  <c r="P65" i="4"/>
  <c r="P66" i="4" s="1"/>
  <c r="P67" i="4" s="1"/>
  <c r="W65" i="4"/>
  <c r="W66" i="4" s="1"/>
  <c r="W80" i="4" s="1"/>
  <c r="J65" i="4"/>
  <c r="J66" i="4" s="1"/>
  <c r="J80" i="4" s="1"/>
  <c r="J81" i="4" s="1"/>
  <c r="J82" i="4" s="1"/>
  <c r="J83" i="4" s="1"/>
  <c r="T65" i="4"/>
  <c r="T66" i="4" s="1"/>
  <c r="Q58" i="4"/>
  <c r="Q61" i="4"/>
  <c r="Q56" i="4"/>
  <c r="Q59" i="4"/>
  <c r="Q57" i="4"/>
  <c r="Q60" i="4"/>
  <c r="G56" i="4"/>
  <c r="G59" i="4"/>
  <c r="G61" i="4"/>
  <c r="G57" i="4"/>
  <c r="G60" i="4"/>
  <c r="G58" i="4"/>
  <c r="M57" i="4"/>
  <c r="M60" i="4"/>
  <c r="M58" i="4"/>
  <c r="M61" i="4"/>
  <c r="M56" i="4"/>
  <c r="M59" i="4"/>
  <c r="X54" i="4"/>
  <c r="X50" i="4" s="1"/>
  <c r="X61" i="4"/>
  <c r="X60" i="4"/>
  <c r="X59" i="4"/>
  <c r="X58" i="4"/>
  <c r="X57" i="4"/>
  <c r="X56" i="4"/>
  <c r="K60" i="4"/>
  <c r="K58" i="4"/>
  <c r="K61" i="4"/>
  <c r="K57" i="4"/>
  <c r="K56" i="4"/>
  <c r="K59" i="4"/>
  <c r="V54" i="4"/>
  <c r="V50" i="4" s="1"/>
  <c r="V59" i="4"/>
  <c r="V57" i="4"/>
  <c r="V60" i="4"/>
  <c r="V58" i="4"/>
  <c r="V61" i="4"/>
  <c r="V56" i="4"/>
  <c r="I54" i="4"/>
  <c r="I50" i="4" s="1"/>
  <c r="I58" i="4"/>
  <c r="I61" i="4"/>
  <c r="I56" i="4"/>
  <c r="I59" i="4"/>
  <c r="I57" i="4"/>
  <c r="I60" i="4"/>
  <c r="X66" i="4"/>
  <c r="X67" i="4" s="1"/>
  <c r="D61" i="4"/>
  <c r="D60" i="4"/>
  <c r="D59" i="4"/>
  <c r="D58" i="4"/>
  <c r="D57" i="4"/>
  <c r="D56" i="4"/>
  <c r="H66" i="4"/>
  <c r="H67" i="4" s="1"/>
  <c r="R54" i="4"/>
  <c r="R50" i="4" s="1"/>
  <c r="R58" i="4"/>
  <c r="R60" i="4"/>
  <c r="R61" i="4"/>
  <c r="R56" i="4"/>
  <c r="R59" i="4"/>
  <c r="R57" i="4"/>
  <c r="E57" i="4"/>
  <c r="E60" i="4"/>
  <c r="E58" i="4"/>
  <c r="E59" i="4"/>
  <c r="E61" i="4"/>
  <c r="E56" i="4"/>
  <c r="L66" i="4"/>
  <c r="L67" i="4" s="1"/>
  <c r="C60" i="4"/>
  <c r="C59" i="4"/>
  <c r="C58" i="4"/>
  <c r="C56" i="4"/>
  <c r="C61" i="4"/>
  <c r="C57" i="4"/>
  <c r="N59" i="4"/>
  <c r="N57" i="4"/>
  <c r="N56" i="4"/>
  <c r="N60" i="4"/>
  <c r="N58" i="4"/>
  <c r="N61" i="4"/>
  <c r="T57" i="4"/>
  <c r="T60" i="4"/>
  <c r="T58" i="4"/>
  <c r="T61" i="4"/>
  <c r="T56" i="4"/>
  <c r="T59" i="4"/>
  <c r="F66" i="4"/>
  <c r="F67" i="4" s="1"/>
  <c r="W56" i="4"/>
  <c r="W59" i="4"/>
  <c r="W57" i="4"/>
  <c r="W60" i="4"/>
  <c r="W61" i="4"/>
  <c r="W58" i="4"/>
  <c r="J54" i="4"/>
  <c r="J50" i="4" s="1"/>
  <c r="J58" i="4"/>
  <c r="J61" i="4"/>
  <c r="J56" i="4"/>
  <c r="J60" i="4"/>
  <c r="J59" i="4"/>
  <c r="J57" i="4"/>
  <c r="P61" i="4"/>
  <c r="P56" i="4"/>
  <c r="P59" i="4"/>
  <c r="P58" i="4"/>
  <c r="P57" i="4"/>
  <c r="P60" i="4"/>
  <c r="S60" i="4"/>
  <c r="S57" i="4"/>
  <c r="S58" i="4"/>
  <c r="S61" i="4"/>
  <c r="S56" i="4"/>
  <c r="S59" i="4"/>
  <c r="F54" i="4"/>
  <c r="F50" i="4" s="1"/>
  <c r="F59" i="4"/>
  <c r="F57" i="4"/>
  <c r="F60" i="4"/>
  <c r="F58" i="4"/>
  <c r="F56" i="4"/>
  <c r="F61" i="4"/>
  <c r="L57" i="4"/>
  <c r="L60" i="4"/>
  <c r="L58" i="4"/>
  <c r="L61" i="4"/>
  <c r="L56" i="4"/>
  <c r="L59" i="4"/>
  <c r="O54" i="4"/>
  <c r="O50" i="4" s="1"/>
  <c r="O56" i="4"/>
  <c r="O59" i="4"/>
  <c r="O57" i="4"/>
  <c r="O60" i="4"/>
  <c r="O58" i="4"/>
  <c r="O61" i="4"/>
  <c r="U57" i="4"/>
  <c r="U60" i="4"/>
  <c r="U58" i="4"/>
  <c r="U61" i="4"/>
  <c r="U59" i="4"/>
  <c r="U56" i="4"/>
  <c r="H61" i="4"/>
  <c r="H56" i="4"/>
  <c r="H59" i="4"/>
  <c r="H57" i="4"/>
  <c r="H60" i="4"/>
  <c r="H58" i="4"/>
  <c r="U68" i="5"/>
  <c r="U67" i="5"/>
  <c r="M60" i="6"/>
  <c r="M54" i="6"/>
  <c r="M50" i="6" s="1"/>
  <c r="M57" i="6"/>
  <c r="D56" i="6"/>
  <c r="M59" i="6"/>
  <c r="M85" i="6" s="1"/>
  <c r="D58" i="6"/>
  <c r="M61" i="6"/>
  <c r="D59" i="6"/>
  <c r="D60" i="6"/>
  <c r="F68" i="6"/>
  <c r="L61" i="6"/>
  <c r="M68" i="6"/>
  <c r="F59" i="7"/>
  <c r="F60" i="7"/>
  <c r="F61" i="7"/>
  <c r="G61" i="7"/>
  <c r="T65" i="7"/>
  <c r="T66" i="7" s="1"/>
  <c r="T70" i="7" s="1"/>
  <c r="C56" i="7"/>
  <c r="T56" i="7"/>
  <c r="U56" i="7"/>
  <c r="Q70" i="7"/>
  <c r="Q71" i="7" s="1"/>
  <c r="Q72" i="7" s="1"/>
  <c r="S65" i="7"/>
  <c r="S66" i="7" s="1"/>
  <c r="S70" i="7" s="1"/>
  <c r="S71" i="7" s="1"/>
  <c r="S72" i="7" s="1"/>
  <c r="P61" i="7"/>
  <c r="O65" i="7"/>
  <c r="O66" i="7" s="1"/>
  <c r="O68" i="7" s="1"/>
  <c r="F58" i="7"/>
  <c r="M60" i="7"/>
  <c r="V66" i="7"/>
  <c r="V67" i="7" s="1"/>
  <c r="E66" i="7"/>
  <c r="E67" i="7" s="1"/>
  <c r="R66" i="7"/>
  <c r="R80" i="7" s="1"/>
  <c r="R81" i="7" s="1"/>
  <c r="R82" i="7" s="1"/>
  <c r="R83" i="7" s="1"/>
  <c r="M66" i="7"/>
  <c r="M67" i="7" s="1"/>
  <c r="M85" i="7" s="1"/>
  <c r="J58" i="7"/>
  <c r="E58" i="7"/>
  <c r="U66" i="7"/>
  <c r="U68" i="7" s="1"/>
  <c r="E57" i="7"/>
  <c r="F66" i="7"/>
  <c r="F67" i="7" s="1"/>
  <c r="S56" i="7"/>
  <c r="E60" i="7"/>
  <c r="K65" i="7"/>
  <c r="K66" i="7" s="1"/>
  <c r="K67" i="7" s="1"/>
  <c r="J66" i="7"/>
  <c r="J80" i="7" s="1"/>
  <c r="X66" i="7"/>
  <c r="X67" i="7" s="1"/>
  <c r="X80" i="7" s="1"/>
  <c r="D66" i="7"/>
  <c r="D67" i="7" s="1"/>
  <c r="S58" i="7"/>
  <c r="E59" i="7"/>
  <c r="C65" i="7"/>
  <c r="C66" i="7" s="1"/>
  <c r="C67" i="7" s="1"/>
  <c r="C85" i="7" s="1"/>
  <c r="H66" i="7"/>
  <c r="H67" i="7" s="1"/>
  <c r="L66" i="7"/>
  <c r="L68" i="7" s="1"/>
  <c r="S61" i="7"/>
  <c r="Z61" i="2"/>
  <c r="Z60" i="2"/>
  <c r="Z56" i="2"/>
  <c r="E67" i="5"/>
  <c r="N68" i="5"/>
  <c r="V70" i="4"/>
  <c r="Q85" i="4"/>
  <c r="T67" i="4"/>
  <c r="T85" i="4"/>
  <c r="T70" i="4"/>
  <c r="T80" i="4"/>
  <c r="T81" i="4" s="1"/>
  <c r="T82" i="4" s="1"/>
  <c r="T83" i="4" s="1"/>
  <c r="N70" i="4"/>
  <c r="U70" i="4"/>
  <c r="O80" i="4"/>
  <c r="O81" i="4" s="1"/>
  <c r="O82" i="4" s="1"/>
  <c r="O83" i="4" s="1"/>
  <c r="O70" i="4"/>
  <c r="O85" i="4"/>
  <c r="T54" i="3"/>
  <c r="T50" i="3" s="1"/>
  <c r="T60" i="3"/>
  <c r="T57" i="3"/>
  <c r="T58" i="3"/>
  <c r="T61" i="3"/>
  <c r="T56" i="3"/>
  <c r="T59" i="3"/>
  <c r="I61" i="3"/>
  <c r="I56" i="3"/>
  <c r="I59" i="3"/>
  <c r="I58" i="3"/>
  <c r="I57" i="3"/>
  <c r="I60" i="3"/>
  <c r="Q61" i="3"/>
  <c r="Q56" i="3"/>
  <c r="Q59" i="3"/>
  <c r="Q57" i="3"/>
  <c r="Q58" i="3"/>
  <c r="Q60" i="3"/>
  <c r="V59" i="3"/>
  <c r="V60" i="3"/>
  <c r="V58" i="3"/>
  <c r="V57" i="3"/>
  <c r="V56" i="3"/>
  <c r="V61" i="3"/>
  <c r="P56" i="3"/>
  <c r="P59" i="3"/>
  <c r="P61" i="3"/>
  <c r="P57" i="3"/>
  <c r="P60" i="3"/>
  <c r="P58" i="3"/>
  <c r="E57" i="3"/>
  <c r="E60" i="3"/>
  <c r="E58" i="3"/>
  <c r="E61" i="3"/>
  <c r="E56" i="3"/>
  <c r="E59" i="3"/>
  <c r="S58" i="3"/>
  <c r="S61" i="3"/>
  <c r="S57" i="3"/>
  <c r="S60" i="3"/>
  <c r="S56" i="3"/>
  <c r="S59" i="3"/>
  <c r="O59" i="3"/>
  <c r="O57" i="3"/>
  <c r="O60" i="3"/>
  <c r="O56" i="3"/>
  <c r="O61" i="3"/>
  <c r="O58" i="3"/>
  <c r="R58" i="3"/>
  <c r="R61" i="3"/>
  <c r="R56" i="3"/>
  <c r="R59" i="3"/>
  <c r="R60" i="3"/>
  <c r="R57" i="3"/>
  <c r="L60" i="3"/>
  <c r="L58" i="3"/>
  <c r="L57" i="3"/>
  <c r="L61" i="3"/>
  <c r="L56" i="3"/>
  <c r="L59" i="3"/>
  <c r="C59" i="3"/>
  <c r="C61" i="3"/>
  <c r="C60" i="3"/>
  <c r="C58" i="3"/>
  <c r="C57" i="3"/>
  <c r="C56" i="3"/>
  <c r="W54" i="3"/>
  <c r="W50" i="3" s="1"/>
  <c r="W57" i="3"/>
  <c r="W60" i="3"/>
  <c r="W59" i="3"/>
  <c r="W58" i="3"/>
  <c r="W56" i="3"/>
  <c r="W61" i="3"/>
  <c r="M57" i="3"/>
  <c r="M60" i="3"/>
  <c r="M58" i="3"/>
  <c r="M59" i="3"/>
  <c r="M61" i="3"/>
  <c r="M56" i="3"/>
  <c r="N57" i="3"/>
  <c r="N60" i="3"/>
  <c r="N56" i="3"/>
  <c r="N59" i="3"/>
  <c r="N58" i="3"/>
  <c r="N61" i="3"/>
  <c r="H56" i="3"/>
  <c r="H61" i="3"/>
  <c r="H59" i="3"/>
  <c r="H57" i="3"/>
  <c r="H58" i="3"/>
  <c r="H60" i="3"/>
  <c r="K54" i="3"/>
  <c r="K50" i="3" s="1"/>
  <c r="K60" i="3"/>
  <c r="K58" i="3"/>
  <c r="K61" i="3"/>
  <c r="K56" i="3"/>
  <c r="K59" i="3"/>
  <c r="K57" i="3"/>
  <c r="J58" i="3"/>
  <c r="J61" i="3"/>
  <c r="J56" i="3"/>
  <c r="J59" i="3"/>
  <c r="J60" i="3"/>
  <c r="J57" i="3"/>
  <c r="D60" i="3"/>
  <c r="D57" i="3"/>
  <c r="D58" i="3"/>
  <c r="D61" i="3"/>
  <c r="D56" i="3"/>
  <c r="D59" i="3"/>
  <c r="G59" i="3"/>
  <c r="G57" i="3"/>
  <c r="G56" i="3"/>
  <c r="G60" i="3"/>
  <c r="G61" i="3"/>
  <c r="G58" i="3"/>
  <c r="F59" i="3"/>
  <c r="F57" i="3"/>
  <c r="F60" i="3"/>
  <c r="F58" i="3"/>
  <c r="F56" i="3"/>
  <c r="F61" i="3"/>
  <c r="U57" i="3"/>
  <c r="U60" i="3"/>
  <c r="U58" i="3"/>
  <c r="U61" i="3"/>
  <c r="U59" i="3"/>
  <c r="U56" i="3"/>
  <c r="P67" i="3"/>
  <c r="P85" i="3"/>
  <c r="V106" i="3" s="1"/>
  <c r="P70" i="3"/>
  <c r="P80" i="3"/>
  <c r="AC58" i="2"/>
  <c r="AC59" i="2"/>
  <c r="AC56" i="2"/>
  <c r="AC60" i="2"/>
  <c r="AC57" i="2"/>
  <c r="AC61" i="2"/>
  <c r="AE60" i="2"/>
  <c r="AE56" i="2"/>
  <c r="AE59" i="2"/>
  <c r="AE58" i="2"/>
  <c r="AE61" i="2"/>
  <c r="AE57" i="2"/>
  <c r="Q57" i="2"/>
  <c r="Q61" i="2"/>
  <c r="Q58" i="2"/>
  <c r="Q59" i="2"/>
  <c r="Q60" i="2"/>
  <c r="Q56" i="2"/>
  <c r="T58" i="2"/>
  <c r="T59" i="2"/>
  <c r="T56" i="2"/>
  <c r="T60" i="2"/>
  <c r="T61" i="2"/>
  <c r="T57" i="2"/>
  <c r="P58" i="2"/>
  <c r="P59" i="2"/>
  <c r="P56" i="2"/>
  <c r="P60" i="2"/>
  <c r="P57" i="2"/>
  <c r="P61" i="2"/>
  <c r="U57" i="2"/>
  <c r="U61" i="2"/>
  <c r="U58" i="2"/>
  <c r="U59" i="2"/>
  <c r="U60" i="2"/>
  <c r="U56" i="2"/>
  <c r="F57" i="2"/>
  <c r="AD54" i="2"/>
  <c r="AD50" i="2" s="1"/>
  <c r="AD57" i="2"/>
  <c r="AD61" i="2"/>
  <c r="AD58" i="2"/>
  <c r="AD59" i="2"/>
  <c r="AD56" i="2"/>
  <c r="AD60" i="2"/>
  <c r="M54" i="2"/>
  <c r="M50" i="2" s="1"/>
  <c r="M57" i="2"/>
  <c r="M61" i="2"/>
  <c r="M58" i="2"/>
  <c r="M59" i="2"/>
  <c r="M56" i="2"/>
  <c r="M60" i="2"/>
  <c r="O59" i="2"/>
  <c r="O56" i="2"/>
  <c r="O60" i="2"/>
  <c r="O57" i="2"/>
  <c r="O61" i="2"/>
  <c r="O58" i="2"/>
  <c r="H57" i="2"/>
  <c r="R56" i="2"/>
  <c r="R60" i="2"/>
  <c r="R57" i="2"/>
  <c r="R61" i="2"/>
  <c r="R58" i="2"/>
  <c r="R59" i="2"/>
  <c r="S54" i="2"/>
  <c r="S50" i="2" s="1"/>
  <c r="S59" i="2"/>
  <c r="S56" i="2"/>
  <c r="S60" i="2"/>
  <c r="S57" i="2"/>
  <c r="S61" i="2"/>
  <c r="S58" i="2"/>
  <c r="D58" i="2"/>
  <c r="G56" i="2"/>
  <c r="X58" i="2"/>
  <c r="X59" i="2"/>
  <c r="X56" i="2"/>
  <c r="X60" i="2"/>
  <c r="X57" i="2"/>
  <c r="X61" i="2"/>
  <c r="Y57" i="2"/>
  <c r="Y61" i="2"/>
  <c r="Y58" i="2"/>
  <c r="Y59" i="2"/>
  <c r="Y56" i="2"/>
  <c r="Y60" i="2"/>
  <c r="V56" i="2"/>
  <c r="V60" i="2"/>
  <c r="V57" i="2"/>
  <c r="V61" i="2"/>
  <c r="V58" i="2"/>
  <c r="V59" i="2"/>
  <c r="W59" i="2"/>
  <c r="W56" i="2"/>
  <c r="W60" i="2"/>
  <c r="W57" i="2"/>
  <c r="W61" i="2"/>
  <c r="W58" i="2"/>
  <c r="AA54" i="2"/>
  <c r="AA50" i="2" s="1"/>
  <c r="AA58" i="2"/>
  <c r="AA61" i="2"/>
  <c r="AA57" i="2"/>
  <c r="AA60" i="2"/>
  <c r="AA56" i="2"/>
  <c r="AA59" i="2"/>
  <c r="AB59" i="2"/>
  <c r="AB56" i="2"/>
  <c r="AB60" i="2"/>
  <c r="AB57" i="2"/>
  <c r="AB61" i="2"/>
  <c r="AB58" i="2"/>
  <c r="N56" i="2"/>
  <c r="N60" i="2"/>
  <c r="N57" i="2"/>
  <c r="N61" i="2"/>
  <c r="N58" i="2"/>
  <c r="N59" i="2"/>
  <c r="I58" i="2"/>
  <c r="E54" i="2"/>
  <c r="E50" i="2" s="1"/>
  <c r="L54" i="2"/>
  <c r="L50" i="2" s="1"/>
  <c r="L58" i="2"/>
  <c r="L61" i="2"/>
  <c r="L56" i="2"/>
  <c r="L60" i="2"/>
  <c r="L57" i="2"/>
  <c r="L59" i="2"/>
  <c r="C33" i="9"/>
  <c r="C29" i="9"/>
  <c r="C30" i="9"/>
  <c r="C32" i="9"/>
  <c r="C28" i="9"/>
  <c r="C31" i="9"/>
  <c r="C26" i="9"/>
  <c r="C22" i="9" s="1"/>
  <c r="C39" i="9"/>
  <c r="C40" i="9"/>
  <c r="E60" i="8"/>
  <c r="D61" i="8"/>
  <c r="D57" i="8"/>
  <c r="D60" i="8"/>
  <c r="D56" i="8"/>
  <c r="D59" i="8"/>
  <c r="D58" i="8"/>
  <c r="C59" i="8"/>
  <c r="C85" i="8" s="1"/>
  <c r="C58" i="8"/>
  <c r="C80" i="8" s="1"/>
  <c r="C81" i="8" s="1"/>
  <c r="C82" i="8" s="1"/>
  <c r="C83" i="8" s="1"/>
  <c r="C84" i="8" s="1"/>
  <c r="C60" i="8"/>
  <c r="C61" i="8"/>
  <c r="C57" i="8"/>
  <c r="C56" i="8"/>
  <c r="E80" i="8"/>
  <c r="E81" i="8" s="1"/>
  <c r="E82" i="8" s="1"/>
  <c r="E83" i="8" s="1"/>
  <c r="E84" i="8" s="1"/>
  <c r="E56" i="8"/>
  <c r="E54" i="8"/>
  <c r="E50" i="8" s="1"/>
  <c r="E59" i="8"/>
  <c r="E85" i="8" s="1"/>
  <c r="E86" i="8" s="1"/>
  <c r="E87" i="8" s="1"/>
  <c r="E88" i="8" s="1"/>
  <c r="E89" i="8" s="1"/>
  <c r="E57" i="8"/>
  <c r="C54" i="8"/>
  <c r="C50" i="8" s="1"/>
  <c r="E61" i="8"/>
  <c r="E68" i="8"/>
  <c r="E70" i="8" s="1"/>
  <c r="E71" i="8" s="1"/>
  <c r="E72" i="8" s="1"/>
  <c r="E73" i="8" s="1"/>
  <c r="E74" i="8" s="1"/>
  <c r="D67" i="8"/>
  <c r="D68" i="8"/>
  <c r="D54" i="8"/>
  <c r="D50" i="8" s="1"/>
  <c r="C68" i="8"/>
  <c r="D61" i="7"/>
  <c r="I61" i="7"/>
  <c r="P65" i="7"/>
  <c r="W59" i="7"/>
  <c r="G58" i="7"/>
  <c r="G59" i="7"/>
  <c r="W65" i="7"/>
  <c r="G65" i="7"/>
  <c r="G66" i="7" s="1"/>
  <c r="I65" i="7"/>
  <c r="S68" i="7"/>
  <c r="S67" i="7"/>
  <c r="S80" i="7"/>
  <c r="T117" i="7" s="1"/>
  <c r="W54" i="7"/>
  <c r="W50" i="7" s="1"/>
  <c r="W56" i="7"/>
  <c r="W60" i="7"/>
  <c r="G60" i="7"/>
  <c r="I54" i="7"/>
  <c r="I50" i="7" s="1"/>
  <c r="N70" i="7"/>
  <c r="G54" i="7"/>
  <c r="G50" i="7" s="1"/>
  <c r="W58" i="7"/>
  <c r="G56" i="7"/>
  <c r="D59" i="7"/>
  <c r="I58" i="7"/>
  <c r="I57" i="7"/>
  <c r="N58" i="7"/>
  <c r="N56" i="7"/>
  <c r="I60" i="7"/>
  <c r="K59" i="7"/>
  <c r="K85" i="7"/>
  <c r="F117" i="7" s="1"/>
  <c r="V57" i="7"/>
  <c r="M58" i="7"/>
  <c r="M61" i="7"/>
  <c r="H60" i="7"/>
  <c r="K57" i="7"/>
  <c r="X56" i="7"/>
  <c r="K61" i="7"/>
  <c r="V59" i="7"/>
  <c r="V60" i="7"/>
  <c r="X57" i="7"/>
  <c r="M54" i="7"/>
  <c r="M50" i="7" s="1"/>
  <c r="K54" i="7"/>
  <c r="K50" i="7" s="1"/>
  <c r="K56" i="7"/>
  <c r="K60" i="7"/>
  <c r="V58" i="7"/>
  <c r="V61" i="7"/>
  <c r="H57" i="7"/>
  <c r="M56" i="7"/>
  <c r="K70" i="7"/>
  <c r="J56" i="7"/>
  <c r="Q58" i="7"/>
  <c r="Q60" i="7"/>
  <c r="O56" i="7"/>
  <c r="O60" i="7"/>
  <c r="J60" i="7"/>
  <c r="Q56" i="7"/>
  <c r="Q80" i="7"/>
  <c r="Q85" i="7"/>
  <c r="Q86" i="7" s="1"/>
  <c r="Q87" i="7" s="1"/>
  <c r="Q88" i="7" s="1"/>
  <c r="O54" i="7"/>
  <c r="O50" i="7" s="1"/>
  <c r="O58" i="7"/>
  <c r="O80" i="7"/>
  <c r="O81" i="7" s="1"/>
  <c r="O82" i="7" s="1"/>
  <c r="O83" i="7" s="1"/>
  <c r="J61" i="7"/>
  <c r="Q54" i="7"/>
  <c r="Q50" i="7" s="1"/>
  <c r="D56" i="7"/>
  <c r="N54" i="7"/>
  <c r="N50" i="7" s="1"/>
  <c r="T54" i="7"/>
  <c r="T50" i="7" s="1"/>
  <c r="D58" i="7"/>
  <c r="N57" i="7"/>
  <c r="F54" i="7"/>
  <c r="F50" i="7" s="1"/>
  <c r="N60" i="7"/>
  <c r="P57" i="7"/>
  <c r="D54" i="7"/>
  <c r="D50" i="7" s="1"/>
  <c r="T58" i="7"/>
  <c r="N80" i="7"/>
  <c r="N81" i="7" s="1"/>
  <c r="N82" i="7" s="1"/>
  <c r="N83" i="7" s="1"/>
  <c r="N85" i="7"/>
  <c r="N86" i="7" s="1"/>
  <c r="N87" i="7" s="1"/>
  <c r="N88" i="7" s="1"/>
  <c r="F57" i="7"/>
  <c r="D60" i="7"/>
  <c r="P60" i="7"/>
  <c r="N59" i="7"/>
  <c r="L54" i="7"/>
  <c r="L50" i="7" s="1"/>
  <c r="L61" i="7"/>
  <c r="L57" i="7"/>
  <c r="L60" i="7"/>
  <c r="O67" i="7"/>
  <c r="P56" i="7"/>
  <c r="R58" i="7"/>
  <c r="R61" i="7"/>
  <c r="R59" i="7"/>
  <c r="J59" i="7"/>
  <c r="J54" i="7"/>
  <c r="J50" i="7" s="1"/>
  <c r="X61" i="7"/>
  <c r="X59" i="7"/>
  <c r="X54" i="7"/>
  <c r="X50" i="7" s="1"/>
  <c r="X60" i="7"/>
  <c r="H61" i="7"/>
  <c r="H54" i="7"/>
  <c r="H50" i="7" s="1"/>
  <c r="O85" i="7"/>
  <c r="R60" i="7"/>
  <c r="R57" i="7"/>
  <c r="L56" i="7"/>
  <c r="O70" i="7"/>
  <c r="P59" i="7"/>
  <c r="P58" i="7"/>
  <c r="R56" i="7"/>
  <c r="T59" i="7"/>
  <c r="T57" i="7"/>
  <c r="T60" i="7"/>
  <c r="N67" i="7"/>
  <c r="N68" i="7"/>
  <c r="D68" i="7"/>
  <c r="T80" i="7"/>
  <c r="AB117" i="7" s="1"/>
  <c r="M68" i="7"/>
  <c r="F68" i="7"/>
  <c r="E56" i="6"/>
  <c r="E57" i="6"/>
  <c r="L54" i="6"/>
  <c r="L50" i="6" s="1"/>
  <c r="L56" i="6"/>
  <c r="I54" i="6"/>
  <c r="I50" i="6" s="1"/>
  <c r="E59" i="6"/>
  <c r="E85" i="6" s="1"/>
  <c r="Q85" i="6"/>
  <c r="Q86" i="6" s="1"/>
  <c r="Q87" i="6" s="1"/>
  <c r="Q88" i="6" s="1"/>
  <c r="I68" i="6"/>
  <c r="P56" i="6"/>
  <c r="I56" i="6"/>
  <c r="I57" i="6"/>
  <c r="L59" i="6"/>
  <c r="P58" i="6"/>
  <c r="L58" i="6"/>
  <c r="U68" i="6"/>
  <c r="P54" i="6"/>
  <c r="P50" i="6" s="1"/>
  <c r="I60" i="6"/>
  <c r="I59" i="6"/>
  <c r="I85" i="6" s="1"/>
  <c r="E60" i="6"/>
  <c r="E61" i="6"/>
  <c r="P57" i="6"/>
  <c r="P59" i="6"/>
  <c r="P61" i="6"/>
  <c r="P60" i="6"/>
  <c r="L60" i="6"/>
  <c r="Q68" i="6"/>
  <c r="I58" i="6"/>
  <c r="I80" i="6" s="1"/>
  <c r="E54" i="6"/>
  <c r="E50" i="6" s="1"/>
  <c r="H67" i="6"/>
  <c r="H68" i="6"/>
  <c r="S67" i="6"/>
  <c r="S68" i="6"/>
  <c r="J85" i="6"/>
  <c r="T67" i="6"/>
  <c r="T68" i="6"/>
  <c r="D67" i="6"/>
  <c r="D68" i="6"/>
  <c r="J68" i="6"/>
  <c r="T85" i="6"/>
  <c r="O67" i="6"/>
  <c r="O68" i="6"/>
  <c r="E68" i="6"/>
  <c r="K60" i="6"/>
  <c r="K58" i="6"/>
  <c r="K56" i="6"/>
  <c r="K59" i="6"/>
  <c r="K85" i="6" s="1"/>
  <c r="K54" i="6"/>
  <c r="K50" i="6" s="1"/>
  <c r="K61" i="6"/>
  <c r="K57" i="6"/>
  <c r="Q80" i="6"/>
  <c r="M80" i="6"/>
  <c r="F106" i="6"/>
  <c r="R81" i="6"/>
  <c r="R82" i="6" s="1"/>
  <c r="R83" i="6" s="1"/>
  <c r="N80" i="6"/>
  <c r="F70" i="6"/>
  <c r="F85" i="6"/>
  <c r="U80" i="6"/>
  <c r="X67" i="6"/>
  <c r="X68" i="6"/>
  <c r="C67" i="6"/>
  <c r="C68" i="6"/>
  <c r="O60" i="6"/>
  <c r="O58" i="6"/>
  <c r="O56" i="6"/>
  <c r="O61" i="6"/>
  <c r="O57" i="6"/>
  <c r="O59" i="6"/>
  <c r="O54" i="6"/>
  <c r="O50" i="6" s="1"/>
  <c r="P67" i="6"/>
  <c r="P68" i="6"/>
  <c r="P70" i="6" s="1"/>
  <c r="V68" i="6"/>
  <c r="V70" i="6" s="1"/>
  <c r="K67" i="6"/>
  <c r="K68" i="6"/>
  <c r="W60" i="6"/>
  <c r="W58" i="6"/>
  <c r="W56" i="6"/>
  <c r="W61" i="6"/>
  <c r="W57" i="6"/>
  <c r="W59" i="6"/>
  <c r="W54" i="6"/>
  <c r="W50" i="6" s="1"/>
  <c r="G60" i="6"/>
  <c r="G58" i="6"/>
  <c r="G56" i="6"/>
  <c r="G61" i="6"/>
  <c r="G57" i="6"/>
  <c r="G59" i="6"/>
  <c r="G54" i="6"/>
  <c r="G50" i="6" s="1"/>
  <c r="E80" i="6"/>
  <c r="V80" i="6"/>
  <c r="R86" i="6"/>
  <c r="R87" i="6" s="1"/>
  <c r="R88" i="6" s="1"/>
  <c r="N70" i="6"/>
  <c r="J80" i="6"/>
  <c r="L67" i="6"/>
  <c r="L68" i="6"/>
  <c r="W67" i="6"/>
  <c r="W68" i="6"/>
  <c r="G67" i="6"/>
  <c r="G68" i="6"/>
  <c r="S60" i="6"/>
  <c r="S58" i="6"/>
  <c r="S56" i="6"/>
  <c r="S70" i="6" s="1"/>
  <c r="S59" i="6"/>
  <c r="S54" i="6"/>
  <c r="S50" i="6" s="1"/>
  <c r="S61" i="6"/>
  <c r="S57" i="6"/>
  <c r="C60" i="6"/>
  <c r="C58" i="6"/>
  <c r="C56" i="6"/>
  <c r="C59" i="6"/>
  <c r="C54" i="6"/>
  <c r="C50" i="6" s="1"/>
  <c r="C61" i="6"/>
  <c r="C57" i="6"/>
  <c r="V85" i="6"/>
  <c r="R71" i="6"/>
  <c r="R72" i="6" s="1"/>
  <c r="N85" i="6"/>
  <c r="U85" i="6"/>
  <c r="M68" i="5"/>
  <c r="M67" i="5"/>
  <c r="R67" i="5"/>
  <c r="R68" i="5"/>
  <c r="V58" i="5"/>
  <c r="V80" i="5"/>
  <c r="V81" i="5" s="1"/>
  <c r="V82" i="5" s="1"/>
  <c r="V83" i="5" s="1"/>
  <c r="V57" i="5"/>
  <c r="V61" i="5"/>
  <c r="V70" i="5"/>
  <c r="V59" i="5"/>
  <c r="V56" i="5"/>
  <c r="V85" i="5"/>
  <c r="V86" i="5" s="1"/>
  <c r="V87" i="5" s="1"/>
  <c r="V88" i="5" s="1"/>
  <c r="V60" i="5"/>
  <c r="F58" i="5"/>
  <c r="F80" i="5" s="1"/>
  <c r="F57" i="5"/>
  <c r="F61" i="5"/>
  <c r="F59" i="5"/>
  <c r="F85" i="5" s="1"/>
  <c r="F56" i="5"/>
  <c r="F60" i="5"/>
  <c r="Q80" i="5"/>
  <c r="Z95" i="5" s="1"/>
  <c r="Q57" i="5"/>
  <c r="Q61" i="5"/>
  <c r="Q56" i="5"/>
  <c r="Q60" i="5"/>
  <c r="Q70" i="5"/>
  <c r="Q58" i="5"/>
  <c r="Q85" i="5"/>
  <c r="Q86" i="5" s="1"/>
  <c r="Q87" i="5" s="1"/>
  <c r="Q88" i="5" s="1"/>
  <c r="Q59" i="5"/>
  <c r="W70" i="5"/>
  <c r="W85" i="5"/>
  <c r="W86" i="5" s="1"/>
  <c r="W87" i="5" s="1"/>
  <c r="W88" i="5" s="1"/>
  <c r="W59" i="5"/>
  <c r="W58" i="5"/>
  <c r="W60" i="5"/>
  <c r="W80" i="5"/>
  <c r="W81" i="5" s="1"/>
  <c r="W82" i="5" s="1"/>
  <c r="W83" i="5" s="1"/>
  <c r="W61" i="5"/>
  <c r="W56" i="5"/>
  <c r="W57" i="5"/>
  <c r="G54" i="5"/>
  <c r="G50" i="5" s="1"/>
  <c r="G59" i="5"/>
  <c r="G85" i="5" s="1"/>
  <c r="G58" i="5"/>
  <c r="G80" i="5" s="1"/>
  <c r="G81" i="5" s="1"/>
  <c r="G82" i="5" s="1"/>
  <c r="G83" i="5" s="1"/>
  <c r="G60" i="5"/>
  <c r="G61" i="5"/>
  <c r="G56" i="5"/>
  <c r="G57" i="5"/>
  <c r="L54" i="5"/>
  <c r="L50" i="5" s="1"/>
  <c r="L56" i="5"/>
  <c r="L60" i="5"/>
  <c r="L59" i="5"/>
  <c r="L85" i="5" s="1"/>
  <c r="L61" i="5"/>
  <c r="L57" i="5"/>
  <c r="L58" i="5"/>
  <c r="L80" i="5" s="1"/>
  <c r="L68" i="5"/>
  <c r="R58" i="5"/>
  <c r="R80" i="5"/>
  <c r="R81" i="5" s="1"/>
  <c r="R82" i="5" s="1"/>
  <c r="R83" i="5" s="1"/>
  <c r="R57" i="5"/>
  <c r="R61" i="5"/>
  <c r="R85" i="5"/>
  <c r="R86" i="5" s="1"/>
  <c r="R87" i="5" s="1"/>
  <c r="R88" i="5" s="1"/>
  <c r="R59" i="5"/>
  <c r="R60" i="5"/>
  <c r="R70" i="5"/>
  <c r="R56" i="5"/>
  <c r="M57" i="5"/>
  <c r="M61" i="5"/>
  <c r="M56" i="5"/>
  <c r="M60" i="5"/>
  <c r="M58" i="5"/>
  <c r="M80" i="5" s="1"/>
  <c r="M59" i="5"/>
  <c r="M85" i="5" s="1"/>
  <c r="S70" i="5"/>
  <c r="S85" i="5"/>
  <c r="S59" i="5"/>
  <c r="S58" i="5"/>
  <c r="S56" i="5"/>
  <c r="S60" i="5"/>
  <c r="S57" i="5"/>
  <c r="S80" i="5"/>
  <c r="S81" i="5" s="1"/>
  <c r="S82" i="5" s="1"/>
  <c r="S83" i="5" s="1"/>
  <c r="S61" i="5"/>
  <c r="C57" i="5"/>
  <c r="C56" i="5"/>
  <c r="X60" i="5"/>
  <c r="X56" i="5"/>
  <c r="X59" i="5"/>
  <c r="X85" i="5" s="1"/>
  <c r="X57" i="5"/>
  <c r="X61" i="5"/>
  <c r="X58" i="5"/>
  <c r="X80" i="5" s="1"/>
  <c r="H56" i="5"/>
  <c r="H60" i="5"/>
  <c r="H59" i="5"/>
  <c r="H85" i="5" s="1"/>
  <c r="Q106" i="5" s="1"/>
  <c r="H57" i="5"/>
  <c r="H61" i="5"/>
  <c r="H58" i="5"/>
  <c r="H80" i="5" s="1"/>
  <c r="N58" i="5"/>
  <c r="N80" i="5"/>
  <c r="N81" i="5" s="1"/>
  <c r="N82" i="5" s="1"/>
  <c r="N83" i="5" s="1"/>
  <c r="N57" i="5"/>
  <c r="N61" i="5"/>
  <c r="N85" i="5"/>
  <c r="N86" i="5" s="1"/>
  <c r="N87" i="5" s="1"/>
  <c r="N88" i="5" s="1"/>
  <c r="N70" i="5"/>
  <c r="N56" i="5"/>
  <c r="N59" i="5"/>
  <c r="N60" i="5"/>
  <c r="I57" i="5"/>
  <c r="I61" i="5"/>
  <c r="I56" i="5"/>
  <c r="I60" i="5"/>
  <c r="I58" i="5"/>
  <c r="I80" i="5" s="1"/>
  <c r="I59" i="5"/>
  <c r="I85" i="5" s="1"/>
  <c r="O70" i="5"/>
  <c r="O85" i="5"/>
  <c r="U117" i="5" s="1"/>
  <c r="O59" i="5"/>
  <c r="O58" i="5"/>
  <c r="O60" i="5"/>
  <c r="O56" i="5"/>
  <c r="O80" i="5"/>
  <c r="O81" i="5" s="1"/>
  <c r="O82" i="5" s="1"/>
  <c r="O83" i="5" s="1"/>
  <c r="O61" i="5"/>
  <c r="O57" i="5"/>
  <c r="T56" i="5"/>
  <c r="T60" i="5"/>
  <c r="T70" i="5"/>
  <c r="T85" i="5"/>
  <c r="T86" i="5" s="1"/>
  <c r="T87" i="5" s="1"/>
  <c r="T88" i="5" s="1"/>
  <c r="T59" i="5"/>
  <c r="T80" i="5"/>
  <c r="T81" i="5" s="1"/>
  <c r="T82" i="5" s="1"/>
  <c r="T83" i="5" s="1"/>
  <c r="T61" i="5"/>
  <c r="T57" i="5"/>
  <c r="T58" i="5"/>
  <c r="D60" i="5"/>
  <c r="D56" i="5"/>
  <c r="D59" i="5"/>
  <c r="D85" i="5" s="1"/>
  <c r="D57" i="5"/>
  <c r="D61" i="5"/>
  <c r="D58" i="5"/>
  <c r="D80" i="5" s="1"/>
  <c r="D81" i="5" s="1"/>
  <c r="D82" i="5" s="1"/>
  <c r="D83" i="5" s="1"/>
  <c r="J58" i="5"/>
  <c r="J80" i="5"/>
  <c r="J81" i="5" s="1"/>
  <c r="J82" i="5" s="1"/>
  <c r="J83" i="5" s="1"/>
  <c r="J57" i="5"/>
  <c r="J61" i="5"/>
  <c r="J70" i="5"/>
  <c r="J85" i="5"/>
  <c r="D106" i="5" s="1"/>
  <c r="J59" i="5"/>
  <c r="J60" i="5"/>
  <c r="J56" i="5"/>
  <c r="U80" i="5"/>
  <c r="R106" i="5" s="1"/>
  <c r="U57" i="5"/>
  <c r="U61" i="5"/>
  <c r="U56" i="5"/>
  <c r="U60" i="5"/>
  <c r="U70" i="5"/>
  <c r="U58" i="5"/>
  <c r="U85" i="5"/>
  <c r="U86" i="5" s="1"/>
  <c r="U87" i="5" s="1"/>
  <c r="U88" i="5" s="1"/>
  <c r="U59" i="5"/>
  <c r="E57" i="5"/>
  <c r="E61" i="5"/>
  <c r="E56" i="5"/>
  <c r="E60" i="5"/>
  <c r="E58" i="5"/>
  <c r="E80" i="5" s="1"/>
  <c r="E59" i="5"/>
  <c r="E85" i="5" s="1"/>
  <c r="K70" i="5"/>
  <c r="K85" i="5"/>
  <c r="F117" i="5" s="1"/>
  <c r="K59" i="5"/>
  <c r="K58" i="5"/>
  <c r="K56" i="5"/>
  <c r="K57" i="5"/>
  <c r="K60" i="5"/>
  <c r="K80" i="5"/>
  <c r="K81" i="5" s="1"/>
  <c r="K82" i="5" s="1"/>
  <c r="K83" i="5" s="1"/>
  <c r="K61" i="5"/>
  <c r="P56" i="5"/>
  <c r="P60" i="5"/>
  <c r="P70" i="5"/>
  <c r="P85" i="5"/>
  <c r="P59" i="5"/>
  <c r="P57" i="5"/>
  <c r="P58" i="5"/>
  <c r="P80" i="5"/>
  <c r="P81" i="5" s="1"/>
  <c r="P82" i="5" s="1"/>
  <c r="P83" i="5" s="1"/>
  <c r="P61" i="5"/>
  <c r="V68" i="5"/>
  <c r="Q68" i="5"/>
  <c r="C58" i="5"/>
  <c r="C80" i="5" s="1"/>
  <c r="I95" i="5" s="1"/>
  <c r="X68" i="5"/>
  <c r="F68" i="5"/>
  <c r="C59" i="5"/>
  <c r="C85" i="5" s="1"/>
  <c r="V54" i="5"/>
  <c r="V50" i="5" s="1"/>
  <c r="J68" i="5"/>
  <c r="H68" i="5"/>
  <c r="R54" i="5"/>
  <c r="R50" i="5" s="1"/>
  <c r="Q54" i="5"/>
  <c r="Q50" i="5" s="1"/>
  <c r="S54" i="5"/>
  <c r="S50" i="5" s="1"/>
  <c r="C61" i="5"/>
  <c r="D68" i="5"/>
  <c r="W54" i="5"/>
  <c r="W50" i="5" s="1"/>
  <c r="F54" i="5"/>
  <c r="F50" i="5" s="1"/>
  <c r="C54" i="5"/>
  <c r="C50" i="5" s="1"/>
  <c r="G68" i="5"/>
  <c r="P54" i="5"/>
  <c r="P50" i="5" s="1"/>
  <c r="C68" i="5"/>
  <c r="W68" i="5"/>
  <c r="S68" i="5"/>
  <c r="P68" i="5"/>
  <c r="T68" i="5"/>
  <c r="O68" i="5"/>
  <c r="K68" i="5"/>
  <c r="U54" i="4"/>
  <c r="U50" i="4" s="1"/>
  <c r="K54" i="4"/>
  <c r="K50" i="4" s="1"/>
  <c r="P54" i="4"/>
  <c r="P50" i="4" s="1"/>
  <c r="N54" i="4"/>
  <c r="N50" i="4" s="1"/>
  <c r="Q54" i="4"/>
  <c r="Q50" i="4" s="1"/>
  <c r="T54" i="4"/>
  <c r="T50" i="4" s="1"/>
  <c r="D54" i="4"/>
  <c r="D50" i="4" s="1"/>
  <c r="S54" i="4"/>
  <c r="S50" i="4" s="1"/>
  <c r="T68" i="4"/>
  <c r="W54" i="4"/>
  <c r="W50" i="4" s="1"/>
  <c r="M54" i="4"/>
  <c r="M50" i="4" s="1"/>
  <c r="H54" i="4"/>
  <c r="H50" i="4" s="1"/>
  <c r="G54" i="4"/>
  <c r="G50" i="4" s="1"/>
  <c r="L54" i="4"/>
  <c r="L50" i="4" s="1"/>
  <c r="C54" i="4"/>
  <c r="C50" i="4" s="1"/>
  <c r="H68" i="4"/>
  <c r="Q68" i="4"/>
  <c r="G67" i="4"/>
  <c r="G68" i="4"/>
  <c r="O67" i="4"/>
  <c r="O68" i="4"/>
  <c r="K67" i="4"/>
  <c r="L54" i="3"/>
  <c r="L50" i="3" s="1"/>
  <c r="H54" i="3"/>
  <c r="H50" i="3" s="1"/>
  <c r="R54" i="3"/>
  <c r="R50" i="3" s="1"/>
  <c r="U54" i="3"/>
  <c r="U50" i="3" s="1"/>
  <c r="C54" i="3"/>
  <c r="C50" i="3" s="1"/>
  <c r="E54" i="3"/>
  <c r="E50" i="3" s="1"/>
  <c r="M54" i="3"/>
  <c r="M50" i="3" s="1"/>
  <c r="P54" i="3"/>
  <c r="P50" i="3" s="1"/>
  <c r="P68" i="3"/>
  <c r="T68" i="3"/>
  <c r="Q54" i="3"/>
  <c r="Q50" i="3" s="1"/>
  <c r="D54" i="3"/>
  <c r="D50" i="3" s="1"/>
  <c r="V54" i="3"/>
  <c r="V50" i="3" s="1"/>
  <c r="F54" i="3"/>
  <c r="F50" i="3" s="1"/>
  <c r="O54" i="3"/>
  <c r="O50" i="3" s="1"/>
  <c r="S54" i="3"/>
  <c r="S50" i="3" s="1"/>
  <c r="M68" i="3"/>
  <c r="I57" i="2"/>
  <c r="J59" i="2"/>
  <c r="X54" i="2"/>
  <c r="X50" i="2" s="1"/>
  <c r="AC54" i="2"/>
  <c r="AC50" i="2" s="1"/>
  <c r="I54" i="2"/>
  <c r="I50" i="2" s="1"/>
  <c r="I61" i="2"/>
  <c r="AE54" i="2"/>
  <c r="AE50" i="2" s="1"/>
  <c r="I59" i="2"/>
  <c r="H59" i="2"/>
  <c r="H54" i="2"/>
  <c r="H50" i="2" s="1"/>
  <c r="R54" i="2"/>
  <c r="R50" i="2" s="1"/>
  <c r="H61" i="2"/>
  <c r="V54" i="2"/>
  <c r="V50" i="2" s="1"/>
  <c r="K61" i="2"/>
  <c r="H56" i="2"/>
  <c r="H58" i="2"/>
  <c r="H60" i="2"/>
  <c r="F54" i="2"/>
  <c r="F50" i="2" s="1"/>
  <c r="J58" i="2"/>
  <c r="J60" i="2"/>
  <c r="E58" i="2"/>
  <c r="F58" i="2"/>
  <c r="F56" i="2"/>
  <c r="F60" i="2"/>
  <c r="E60" i="2"/>
  <c r="E56" i="2"/>
  <c r="F61" i="2"/>
  <c r="Q54" i="2"/>
  <c r="Q50" i="2" s="1"/>
  <c r="J61" i="2"/>
  <c r="AC65" i="2"/>
  <c r="AC66" i="2" s="1"/>
  <c r="K59" i="2"/>
  <c r="K58" i="2"/>
  <c r="X67" i="2"/>
  <c r="X68" i="2"/>
  <c r="I56" i="2"/>
  <c r="K60" i="2"/>
  <c r="P54" i="2"/>
  <c r="P50" i="2" s="1"/>
  <c r="U65" i="2"/>
  <c r="U66" i="2" s="1"/>
  <c r="I60" i="2"/>
  <c r="G54" i="2"/>
  <c r="G50" i="2" s="1"/>
  <c r="O54" i="2"/>
  <c r="O50" i="2" s="1"/>
  <c r="G65" i="2"/>
  <c r="G66" i="2" s="1"/>
  <c r="AD65" i="2"/>
  <c r="AD66" i="2" s="1"/>
  <c r="S65" i="2"/>
  <c r="S66" i="2" s="1"/>
  <c r="AA65" i="2"/>
  <c r="AA66" i="2" s="1"/>
  <c r="E29" i="10" s="1"/>
  <c r="V65" i="2"/>
  <c r="V66" i="2" s="1"/>
  <c r="W65" i="2"/>
  <c r="W66" i="2" s="1"/>
  <c r="Z65" i="2"/>
  <c r="Z66" i="2" s="1"/>
  <c r="E28" i="10" s="1"/>
  <c r="AB54" i="2"/>
  <c r="AB50" i="2" s="1"/>
  <c r="Y65" i="2"/>
  <c r="Y66" i="2" s="1"/>
  <c r="E27" i="10" s="1"/>
  <c r="AB65" i="2"/>
  <c r="AB66" i="2" s="1"/>
  <c r="E30" i="10" s="1"/>
  <c r="T54" i="2"/>
  <c r="T50" i="2" s="1"/>
  <c r="AE65" i="2"/>
  <c r="AE66" i="2" s="1"/>
  <c r="E33" i="10" s="1"/>
  <c r="T65" i="2"/>
  <c r="T66" i="2" s="1"/>
  <c r="E22" i="10" s="1"/>
  <c r="G61" i="2"/>
  <c r="G60" i="2"/>
  <c r="G59" i="2"/>
  <c r="G58" i="2"/>
  <c r="K57" i="2"/>
  <c r="G57" i="2"/>
  <c r="J65" i="2"/>
  <c r="J66" i="2" s="1"/>
  <c r="E12" i="10" s="1"/>
  <c r="H65" i="2"/>
  <c r="H66" i="2" s="1"/>
  <c r="E10" i="10" s="1"/>
  <c r="P65" i="2"/>
  <c r="P66" i="2" s="1"/>
  <c r="E18" i="10" s="1"/>
  <c r="K65" i="2"/>
  <c r="K66" i="2" s="1"/>
  <c r="E13" i="10" s="1"/>
  <c r="L65" i="2"/>
  <c r="L66" i="2" s="1"/>
  <c r="N65" i="2"/>
  <c r="N66" i="2" s="1"/>
  <c r="E16" i="10" s="1"/>
  <c r="O65" i="2"/>
  <c r="O66" i="2" s="1"/>
  <c r="E17" i="10" s="1"/>
  <c r="I65" i="2"/>
  <c r="I66" i="2" s="1"/>
  <c r="E11" i="10" s="1"/>
  <c r="R65" i="2"/>
  <c r="R66" i="2" s="1"/>
  <c r="E65" i="2"/>
  <c r="E66" i="2" s="1"/>
  <c r="E7" i="10" s="1"/>
  <c r="Q65" i="2"/>
  <c r="Q66" i="2" s="1"/>
  <c r="E19" i="10" s="1"/>
  <c r="F65" i="2"/>
  <c r="F66" i="2" s="1"/>
  <c r="E8" i="10" s="1"/>
  <c r="M65" i="2"/>
  <c r="M66" i="2" s="1"/>
  <c r="E15" i="10" s="1"/>
  <c r="C65" i="2"/>
  <c r="C66" i="2" s="1"/>
  <c r="E5" i="10" s="1"/>
  <c r="D65" i="2"/>
  <c r="D66" i="2" s="1"/>
  <c r="D56" i="2"/>
  <c r="C58" i="2"/>
  <c r="C61" i="2"/>
  <c r="C57" i="2"/>
  <c r="C60" i="2"/>
  <c r="C56" i="2"/>
  <c r="C59" i="2"/>
  <c r="D54" i="2"/>
  <c r="D50" i="2" s="1"/>
  <c r="D57" i="2"/>
  <c r="D59" i="2"/>
  <c r="D60" i="2"/>
  <c r="D61" i="2"/>
  <c r="C54" i="2"/>
  <c r="C50" i="2" s="1"/>
  <c r="X75" i="2" l="1"/>
  <c r="X76" i="2" s="1"/>
  <c r="X77" i="2" s="1"/>
  <c r="X78" i="2" s="1"/>
  <c r="X79" i="2" s="1"/>
  <c r="V68" i="2"/>
  <c r="E24" i="10"/>
  <c r="U70" i="2"/>
  <c r="E23" i="10"/>
  <c r="AC67" i="2"/>
  <c r="E31" i="10"/>
  <c r="R85" i="2"/>
  <c r="E20" i="10"/>
  <c r="S85" i="2"/>
  <c r="E21" i="10"/>
  <c r="D68" i="2"/>
  <c r="E6" i="10"/>
  <c r="AD85" i="2"/>
  <c r="P117" i="2" s="1"/>
  <c r="E32" i="10"/>
  <c r="W68" i="2"/>
  <c r="E25" i="10"/>
  <c r="G67" i="2"/>
  <c r="E9" i="10"/>
  <c r="L70" i="2"/>
  <c r="E14" i="10"/>
  <c r="K68" i="3"/>
  <c r="X80" i="2"/>
  <c r="X81" i="2" s="1"/>
  <c r="X82" i="2" s="1"/>
  <c r="X83" i="2" s="1"/>
  <c r="X84" i="2" s="1"/>
  <c r="C57" i="9"/>
  <c r="C58" i="9" s="1"/>
  <c r="C59" i="9" s="1"/>
  <c r="C60" i="9" s="1"/>
  <c r="N67" i="4"/>
  <c r="X68" i="4"/>
  <c r="R85" i="4"/>
  <c r="U85" i="4"/>
  <c r="U86" i="4" s="1"/>
  <c r="U87" i="4" s="1"/>
  <c r="U88" i="4" s="1"/>
  <c r="U68" i="4"/>
  <c r="N68" i="4"/>
  <c r="R80" i="4"/>
  <c r="R81" i="4" s="1"/>
  <c r="R82" i="4" s="1"/>
  <c r="R83" i="4" s="1"/>
  <c r="U67" i="4"/>
  <c r="R70" i="4"/>
  <c r="R68" i="4"/>
  <c r="N80" i="4"/>
  <c r="N81" i="4" s="1"/>
  <c r="N82" i="4" s="1"/>
  <c r="N83" i="4" s="1"/>
  <c r="R68" i="7"/>
  <c r="C68" i="7"/>
  <c r="E68" i="7"/>
  <c r="E80" i="7"/>
  <c r="T85" i="7"/>
  <c r="T86" i="7" s="1"/>
  <c r="T87" i="7" s="1"/>
  <c r="T88" i="7" s="1"/>
  <c r="T67" i="7"/>
  <c r="T68" i="7"/>
  <c r="E85" i="7"/>
  <c r="W95" i="7" s="1"/>
  <c r="S85" i="7"/>
  <c r="U85" i="7"/>
  <c r="U86" i="7" s="1"/>
  <c r="U87" i="7" s="1"/>
  <c r="U88" i="7" s="1"/>
  <c r="M70" i="6"/>
  <c r="L106" i="5"/>
  <c r="K68" i="4"/>
  <c r="K85" i="4"/>
  <c r="F117" i="4" s="1"/>
  <c r="K80" i="4"/>
  <c r="K81" i="4" s="1"/>
  <c r="K82" i="4" s="1"/>
  <c r="K83" i="4" s="1"/>
  <c r="S68" i="4"/>
  <c r="S67" i="4"/>
  <c r="S80" i="4"/>
  <c r="S81" i="4" s="1"/>
  <c r="S82" i="4" s="1"/>
  <c r="S83" i="4" s="1"/>
  <c r="P68" i="4"/>
  <c r="J70" i="4"/>
  <c r="L68" i="4"/>
  <c r="V67" i="4"/>
  <c r="W81" i="4"/>
  <c r="W82" i="4" s="1"/>
  <c r="W83" i="4" s="1"/>
  <c r="L95" i="4"/>
  <c r="M67" i="4"/>
  <c r="M68" i="4"/>
  <c r="M70" i="4" s="1"/>
  <c r="E67" i="4"/>
  <c r="E68" i="4"/>
  <c r="D68" i="4"/>
  <c r="D67" i="4"/>
  <c r="D85" i="4" s="1"/>
  <c r="S70" i="4"/>
  <c r="S71" i="4" s="1"/>
  <c r="S72" i="4" s="1"/>
  <c r="W70" i="4"/>
  <c r="W71" i="4" s="1"/>
  <c r="W72" i="4" s="1"/>
  <c r="W85" i="4"/>
  <c r="P85" i="4"/>
  <c r="P86" i="4" s="1"/>
  <c r="P87" i="4" s="1"/>
  <c r="P88" i="4" s="1"/>
  <c r="J67" i="4"/>
  <c r="W67" i="4"/>
  <c r="P70" i="4"/>
  <c r="P71" i="4" s="1"/>
  <c r="P72" i="4" s="1"/>
  <c r="P73" i="4" s="1"/>
  <c r="W68" i="4"/>
  <c r="C68" i="4"/>
  <c r="P80" i="4"/>
  <c r="P81" i="4" s="1"/>
  <c r="P82" i="4" s="1"/>
  <c r="P83" i="4" s="1"/>
  <c r="E85" i="4"/>
  <c r="N95" i="4" s="1"/>
  <c r="J68" i="4"/>
  <c r="J85" i="4"/>
  <c r="D106" i="4" s="1"/>
  <c r="V68" i="4"/>
  <c r="V85" i="4"/>
  <c r="V86" i="4" s="1"/>
  <c r="V87" i="4" s="1"/>
  <c r="V88" i="4" s="1"/>
  <c r="F68" i="4"/>
  <c r="F70" i="4" s="1"/>
  <c r="Q67" i="3"/>
  <c r="Q80" i="3"/>
  <c r="Q81" i="3" s="1"/>
  <c r="Q82" i="3" s="1"/>
  <c r="Q83" i="3" s="1"/>
  <c r="Q68" i="3"/>
  <c r="Q70" i="3"/>
  <c r="Q71" i="3" s="1"/>
  <c r="Q72" i="3" s="1"/>
  <c r="Q85" i="3"/>
  <c r="Q86" i="3" s="1"/>
  <c r="Q87" i="3" s="1"/>
  <c r="Q88" i="3" s="1"/>
  <c r="T67" i="3"/>
  <c r="T80" i="3"/>
  <c r="V117" i="3" s="1"/>
  <c r="T70" i="3"/>
  <c r="T71" i="3" s="1"/>
  <c r="T72" i="3" s="1"/>
  <c r="T73" i="3" s="1"/>
  <c r="J68" i="3"/>
  <c r="J67" i="3"/>
  <c r="J85" i="3" s="1"/>
  <c r="K80" i="3"/>
  <c r="K81" i="3" s="1"/>
  <c r="K82" i="3" s="1"/>
  <c r="K83" i="3" s="1"/>
  <c r="W80" i="3"/>
  <c r="AB106" i="3" s="1"/>
  <c r="W85" i="3"/>
  <c r="W86" i="3" s="1"/>
  <c r="W87" i="3" s="1"/>
  <c r="W88" i="3" s="1"/>
  <c r="W70" i="3"/>
  <c r="C80" i="3"/>
  <c r="C81" i="3" s="1"/>
  <c r="C82" i="3" s="1"/>
  <c r="C83" i="3" s="1"/>
  <c r="C68" i="3"/>
  <c r="W67" i="3"/>
  <c r="K85" i="3"/>
  <c r="K86" i="3" s="1"/>
  <c r="K87" i="3" s="1"/>
  <c r="K88" i="3" s="1"/>
  <c r="C85" i="3"/>
  <c r="C86" i="3" s="1"/>
  <c r="C87" i="3" s="1"/>
  <c r="C88" i="3" s="1"/>
  <c r="M80" i="3"/>
  <c r="M81" i="3" s="1"/>
  <c r="M82" i="3" s="1"/>
  <c r="M83" i="3" s="1"/>
  <c r="R66" i="3"/>
  <c r="R68" i="3" s="1"/>
  <c r="L66" i="3"/>
  <c r="L68" i="3" s="1"/>
  <c r="D67" i="3"/>
  <c r="M85" i="3"/>
  <c r="S106" i="3" s="1"/>
  <c r="S66" i="3"/>
  <c r="S68" i="3" s="1"/>
  <c r="F66" i="3"/>
  <c r="F68" i="3" s="1"/>
  <c r="N66" i="3"/>
  <c r="N68" i="3" s="1"/>
  <c r="V66" i="3"/>
  <c r="V68" i="3" s="1"/>
  <c r="G66" i="3"/>
  <c r="G68" i="3" s="1"/>
  <c r="E66" i="3"/>
  <c r="E68" i="3" s="1"/>
  <c r="O66" i="3"/>
  <c r="O68" i="3" s="1"/>
  <c r="H66" i="3"/>
  <c r="H68" i="3" s="1"/>
  <c r="I66" i="3"/>
  <c r="I68" i="3" s="1"/>
  <c r="U66" i="3"/>
  <c r="U68" i="3" s="1"/>
  <c r="M85" i="4"/>
  <c r="S117" i="4" s="1"/>
  <c r="M80" i="4"/>
  <c r="M81" i="4" s="1"/>
  <c r="M82" i="4" s="1"/>
  <c r="M83" i="4" s="1"/>
  <c r="I67" i="4"/>
  <c r="I80" i="4" s="1"/>
  <c r="I68" i="4"/>
  <c r="Q70" i="4"/>
  <c r="Q71" i="4" s="1"/>
  <c r="Q72" i="4" s="1"/>
  <c r="Q73" i="4" s="1"/>
  <c r="Q67" i="4"/>
  <c r="F80" i="4"/>
  <c r="F81" i="4" s="1"/>
  <c r="F82" i="4" s="1"/>
  <c r="F83" i="4" s="1"/>
  <c r="F85" i="4"/>
  <c r="C106" i="4" s="1"/>
  <c r="X85" i="4"/>
  <c r="X86" i="4" s="1"/>
  <c r="X87" i="4" s="1"/>
  <c r="X88" i="4" s="1"/>
  <c r="X80" i="4"/>
  <c r="X81" i="4" s="1"/>
  <c r="X82" i="4" s="1"/>
  <c r="X83" i="4" s="1"/>
  <c r="H80" i="4"/>
  <c r="U106" i="4" s="1"/>
  <c r="H85" i="4"/>
  <c r="H95" i="4" s="1"/>
  <c r="L85" i="4"/>
  <c r="L117" i="4" s="1"/>
  <c r="L80" i="4"/>
  <c r="H117" i="4" s="1"/>
  <c r="E80" i="4"/>
  <c r="E81" i="4" s="1"/>
  <c r="E82" i="4" s="1"/>
  <c r="E83" i="4" s="1"/>
  <c r="E70" i="4"/>
  <c r="I70" i="5"/>
  <c r="S117" i="6"/>
  <c r="N117" i="6"/>
  <c r="M86" i="6"/>
  <c r="M87" i="6" s="1"/>
  <c r="M88" i="6" s="1"/>
  <c r="E70" i="6"/>
  <c r="E71" i="6" s="1"/>
  <c r="E72" i="6" s="1"/>
  <c r="E73" i="6" s="1"/>
  <c r="J85" i="7"/>
  <c r="D106" i="7" s="1"/>
  <c r="U70" i="7"/>
  <c r="U71" i="7" s="1"/>
  <c r="U72" i="7" s="1"/>
  <c r="C80" i="7"/>
  <c r="C81" i="7" s="1"/>
  <c r="C82" i="7" s="1"/>
  <c r="C83" i="7" s="1"/>
  <c r="K80" i="7"/>
  <c r="K117" i="7" s="1"/>
  <c r="L67" i="7"/>
  <c r="J67" i="7"/>
  <c r="U67" i="7"/>
  <c r="V80" i="7"/>
  <c r="U80" i="7"/>
  <c r="AC117" i="7" s="1"/>
  <c r="J70" i="7"/>
  <c r="J68" i="7"/>
  <c r="V70" i="7"/>
  <c r="V85" i="7"/>
  <c r="AD117" i="7" s="1"/>
  <c r="R95" i="7"/>
  <c r="H68" i="7"/>
  <c r="F80" i="7"/>
  <c r="G106" i="7" s="1"/>
  <c r="V68" i="7"/>
  <c r="H85" i="7"/>
  <c r="H95" i="7" s="1"/>
  <c r="H80" i="7"/>
  <c r="H81" i="7" s="1"/>
  <c r="H82" i="7" s="1"/>
  <c r="H83" i="7" s="1"/>
  <c r="X68" i="7"/>
  <c r="X70" i="7" s="1"/>
  <c r="M80" i="7"/>
  <c r="M81" i="7" s="1"/>
  <c r="M82" i="7" s="1"/>
  <c r="M83" i="7" s="1"/>
  <c r="W66" i="7"/>
  <c r="W80" i="7" s="1"/>
  <c r="K86" i="7"/>
  <c r="K87" i="7" s="1"/>
  <c r="K88" i="7" s="1"/>
  <c r="F85" i="7"/>
  <c r="E106" i="7" s="1"/>
  <c r="R70" i="7"/>
  <c r="R71" i="7" s="1"/>
  <c r="R72" i="7" s="1"/>
  <c r="K68" i="7"/>
  <c r="R85" i="7"/>
  <c r="M70" i="7"/>
  <c r="R67" i="7"/>
  <c r="X85" i="7"/>
  <c r="X86" i="7" s="1"/>
  <c r="X87" i="7" s="1"/>
  <c r="X88" i="7" s="1"/>
  <c r="P66" i="7"/>
  <c r="P80" i="7" s="1"/>
  <c r="P81" i="7" s="1"/>
  <c r="P82" i="7" s="1"/>
  <c r="D80" i="7"/>
  <c r="D81" i="7" s="1"/>
  <c r="D82" i="7" s="1"/>
  <c r="D83" i="7" s="1"/>
  <c r="I66" i="7"/>
  <c r="I68" i="7" s="1"/>
  <c r="D85" i="7"/>
  <c r="T71" i="7"/>
  <c r="T72" i="7" s="1"/>
  <c r="T73" i="7" s="1"/>
  <c r="S81" i="7"/>
  <c r="S82" i="7" s="1"/>
  <c r="S83" i="7" s="1"/>
  <c r="O86" i="5"/>
  <c r="O87" i="5" s="1"/>
  <c r="O88" i="5" s="1"/>
  <c r="C70" i="5"/>
  <c r="C71" i="5" s="1"/>
  <c r="T106" i="5"/>
  <c r="Z106" i="5"/>
  <c r="H81" i="5"/>
  <c r="H82" i="5" s="1"/>
  <c r="H83" i="5" s="1"/>
  <c r="W106" i="5"/>
  <c r="N106" i="5"/>
  <c r="U106" i="5"/>
  <c r="R95" i="5"/>
  <c r="J86" i="5"/>
  <c r="J87" i="5" s="1"/>
  <c r="J88" i="5" s="1"/>
  <c r="H70" i="4"/>
  <c r="L70" i="4"/>
  <c r="L71" i="4" s="1"/>
  <c r="L72" i="4" s="1"/>
  <c r="L73" i="4" s="1"/>
  <c r="P86" i="3"/>
  <c r="P87" i="3" s="1"/>
  <c r="P88" i="3" s="1"/>
  <c r="K70" i="3"/>
  <c r="C67" i="2"/>
  <c r="C68" i="2"/>
  <c r="AC68" i="2"/>
  <c r="R117" i="7"/>
  <c r="F106" i="7"/>
  <c r="D117" i="3"/>
  <c r="M70" i="3"/>
  <c r="F95" i="8"/>
  <c r="N71" i="7"/>
  <c r="N72" i="7" s="1"/>
  <c r="E70" i="7"/>
  <c r="E71" i="7" s="1"/>
  <c r="E72" i="7" s="1"/>
  <c r="E73" i="7" s="1"/>
  <c r="C86" i="7"/>
  <c r="C87" i="7" s="1"/>
  <c r="C88" i="7" s="1"/>
  <c r="C95" i="7"/>
  <c r="H95" i="5"/>
  <c r="D70" i="5"/>
  <c r="S80" i="2"/>
  <c r="W85" i="2"/>
  <c r="W86" i="2" s="1"/>
  <c r="W87" i="2" s="1"/>
  <c r="W88" i="2" s="1"/>
  <c r="W89" i="2" s="1"/>
  <c r="M25" i="10" s="1"/>
  <c r="J95" i="4"/>
  <c r="R71" i="4"/>
  <c r="R72" i="4" s="1"/>
  <c r="R73" i="4" s="1"/>
  <c r="U81" i="4"/>
  <c r="U82" i="4" s="1"/>
  <c r="U83" i="4" s="1"/>
  <c r="K71" i="4"/>
  <c r="K72" i="4" s="1"/>
  <c r="T71" i="4"/>
  <c r="T72" i="4" s="1"/>
  <c r="G80" i="4"/>
  <c r="G81" i="4" s="1"/>
  <c r="G82" i="4" s="1"/>
  <c r="G83" i="4" s="1"/>
  <c r="G70" i="4"/>
  <c r="G85" i="4"/>
  <c r="X70" i="4"/>
  <c r="O71" i="4"/>
  <c r="O72" i="4" s="1"/>
  <c r="N71" i="4"/>
  <c r="N72" i="4" s="1"/>
  <c r="U71" i="4"/>
  <c r="U72" i="4" s="1"/>
  <c r="U73" i="4" s="1"/>
  <c r="Q81" i="4"/>
  <c r="Q82" i="4" s="1"/>
  <c r="Q83" i="4" s="1"/>
  <c r="V71" i="4"/>
  <c r="V72" i="4" s="1"/>
  <c r="V73" i="4" s="1"/>
  <c r="C70" i="4"/>
  <c r="C71" i="4" s="1"/>
  <c r="C80" i="4"/>
  <c r="G95" i="4" s="1"/>
  <c r="C85" i="4"/>
  <c r="K95" i="4" s="1"/>
  <c r="P81" i="3"/>
  <c r="P82" i="3" s="1"/>
  <c r="P83" i="3" s="1"/>
  <c r="P71" i="3"/>
  <c r="P72" i="3" s="1"/>
  <c r="Z80" i="2"/>
  <c r="Z70" i="2"/>
  <c r="Z85" i="2"/>
  <c r="S128" i="2" s="1"/>
  <c r="L85" i="2"/>
  <c r="X85" i="2"/>
  <c r="S70" i="2"/>
  <c r="R80" i="2"/>
  <c r="AD70" i="2"/>
  <c r="AD80" i="2"/>
  <c r="U80" i="2"/>
  <c r="L80" i="2"/>
  <c r="W70" i="2"/>
  <c r="W71" i="2" s="1"/>
  <c r="W72" i="2" s="1"/>
  <c r="W73" i="2" s="1"/>
  <c r="W74" i="2" s="1"/>
  <c r="W80" i="2"/>
  <c r="W81" i="2" s="1"/>
  <c r="W82" i="2" s="1"/>
  <c r="W83" i="2" s="1"/>
  <c r="W84" i="2" s="1"/>
  <c r="G85" i="2"/>
  <c r="G86" i="2" s="1"/>
  <c r="G87" i="2" s="1"/>
  <c r="G88" i="2" s="1"/>
  <c r="G89" i="2" s="1"/>
  <c r="M9" i="10" s="1"/>
  <c r="R70" i="2"/>
  <c r="X70" i="2"/>
  <c r="U85" i="2"/>
  <c r="U86" i="2" s="1"/>
  <c r="U87" i="2" s="1"/>
  <c r="U88" i="2" s="1"/>
  <c r="U89" i="2" s="1"/>
  <c r="M23" i="10" s="1"/>
  <c r="C52" i="9"/>
  <c r="C53" i="9" s="1"/>
  <c r="C54" i="9" s="1"/>
  <c r="C55" i="9" s="1"/>
  <c r="C42" i="9"/>
  <c r="C43" i="9" s="1"/>
  <c r="C44" i="9" s="1"/>
  <c r="C45" i="9" s="1"/>
  <c r="C70" i="8"/>
  <c r="D70" i="8"/>
  <c r="D71" i="8" s="1"/>
  <c r="D72" i="8" s="1"/>
  <c r="D79" i="8" s="1"/>
  <c r="E79" i="8"/>
  <c r="D85" i="8"/>
  <c r="D86" i="8" s="1"/>
  <c r="D87" i="8" s="1"/>
  <c r="D88" i="8" s="1"/>
  <c r="D89" i="8" s="1"/>
  <c r="D80" i="8"/>
  <c r="C86" i="8"/>
  <c r="C87" i="8" s="1"/>
  <c r="C88" i="8" s="1"/>
  <c r="C89" i="8" s="1"/>
  <c r="C95" i="8"/>
  <c r="C70" i="7"/>
  <c r="P67" i="7"/>
  <c r="K71" i="7"/>
  <c r="K72" i="7" s="1"/>
  <c r="K73" i="7" s="1"/>
  <c r="J95" i="7"/>
  <c r="G68" i="7"/>
  <c r="G67" i="7"/>
  <c r="W117" i="7"/>
  <c r="U117" i="7"/>
  <c r="Q81" i="7"/>
  <c r="Q82" i="7" s="1"/>
  <c r="Q83" i="7" s="1"/>
  <c r="Y117" i="7"/>
  <c r="K95" i="7"/>
  <c r="Z95" i="7"/>
  <c r="L70" i="7"/>
  <c r="L71" i="7" s="1"/>
  <c r="L72" i="7" s="1"/>
  <c r="L73" i="7" s="1"/>
  <c r="H70" i="7"/>
  <c r="O86" i="7"/>
  <c r="O87" i="7" s="1"/>
  <c r="O88" i="7" s="1"/>
  <c r="S73" i="7"/>
  <c r="X106" i="7"/>
  <c r="O71" i="7"/>
  <c r="O72" i="7" s="1"/>
  <c r="O73" i="7" s="1"/>
  <c r="S117" i="7"/>
  <c r="S118" i="7" s="1"/>
  <c r="S119" i="7" s="1"/>
  <c r="E62" i="15" s="1"/>
  <c r="M86" i="7"/>
  <c r="M87" i="7" s="1"/>
  <c r="M88" i="7" s="1"/>
  <c r="N117" i="7"/>
  <c r="Q73" i="7"/>
  <c r="D70" i="7"/>
  <c r="S95" i="7"/>
  <c r="U95" i="7"/>
  <c r="E81" i="7"/>
  <c r="E82" i="7" s="1"/>
  <c r="E83" i="7" s="1"/>
  <c r="T106" i="7"/>
  <c r="G117" i="7"/>
  <c r="E117" i="7"/>
  <c r="E118" i="7" s="1"/>
  <c r="E119" i="7" s="1"/>
  <c r="E55" i="15" s="1"/>
  <c r="Z106" i="7"/>
  <c r="V95" i="7"/>
  <c r="J81" i="7"/>
  <c r="J82" i="7" s="1"/>
  <c r="J83" i="7" s="1"/>
  <c r="P95" i="7"/>
  <c r="D95" i="7"/>
  <c r="M95" i="7"/>
  <c r="D86" i="7"/>
  <c r="D87" i="7" s="1"/>
  <c r="D88" i="7" s="1"/>
  <c r="U106" i="7"/>
  <c r="V86" i="7"/>
  <c r="V87" i="7" s="1"/>
  <c r="V88" i="7" s="1"/>
  <c r="P117" i="7"/>
  <c r="T81" i="7"/>
  <c r="T82" i="7" s="1"/>
  <c r="T83" i="7" s="1"/>
  <c r="D117" i="7"/>
  <c r="X81" i="7"/>
  <c r="X82" i="7" s="1"/>
  <c r="X83" i="7" s="1"/>
  <c r="F70" i="7"/>
  <c r="W95" i="6"/>
  <c r="E86" i="6"/>
  <c r="E87" i="6" s="1"/>
  <c r="E88" i="6" s="1"/>
  <c r="S80" i="6"/>
  <c r="S81" i="6" s="1"/>
  <c r="S82" i="6" s="1"/>
  <c r="S83" i="6" s="1"/>
  <c r="U70" i="6"/>
  <c r="S85" i="6"/>
  <c r="S86" i="6" s="1"/>
  <c r="S87" i="6" s="1"/>
  <c r="S88" i="6" s="1"/>
  <c r="O70" i="6"/>
  <c r="O71" i="6" s="1"/>
  <c r="O72" i="6" s="1"/>
  <c r="O73" i="6" s="1"/>
  <c r="F81" i="6"/>
  <c r="F82" i="6" s="1"/>
  <c r="F83" i="6" s="1"/>
  <c r="N95" i="6"/>
  <c r="I70" i="6"/>
  <c r="P85" i="6"/>
  <c r="W85" i="6"/>
  <c r="W86" i="6" s="1"/>
  <c r="W87" i="6" s="1"/>
  <c r="W88" i="6" s="1"/>
  <c r="O80" i="6"/>
  <c r="R95" i="6" s="1"/>
  <c r="J70" i="6"/>
  <c r="J71" i="6" s="1"/>
  <c r="J72" i="6" s="1"/>
  <c r="Q70" i="6"/>
  <c r="R73" i="6"/>
  <c r="W80" i="6"/>
  <c r="L95" i="6" s="1"/>
  <c r="P80" i="6"/>
  <c r="T95" i="6" s="1"/>
  <c r="O85" i="6"/>
  <c r="U117" i="6" s="1"/>
  <c r="K80" i="6"/>
  <c r="K81" i="6" s="1"/>
  <c r="K82" i="6" s="1"/>
  <c r="K83" i="6" s="1"/>
  <c r="Y95" i="6"/>
  <c r="W70" i="6"/>
  <c r="W71" i="6" s="1"/>
  <c r="W72" i="6" s="1"/>
  <c r="K70" i="6"/>
  <c r="K71" i="6" s="1"/>
  <c r="K72" i="6" s="1"/>
  <c r="T70" i="6"/>
  <c r="G106" i="6"/>
  <c r="C70" i="6"/>
  <c r="C71" i="6" s="1"/>
  <c r="C72" i="6" s="1"/>
  <c r="T80" i="6"/>
  <c r="C80" i="6"/>
  <c r="G95" i="6" s="1"/>
  <c r="G85" i="6"/>
  <c r="M106" i="6" s="1"/>
  <c r="C106" i="6"/>
  <c r="E106" i="6"/>
  <c r="E107" i="6" s="1"/>
  <c r="E108" i="6" s="1"/>
  <c r="X95" i="6"/>
  <c r="F86" i="6"/>
  <c r="F87" i="6" s="1"/>
  <c r="F88" i="6" s="1"/>
  <c r="V86" i="6"/>
  <c r="V87" i="6" s="1"/>
  <c r="V88" i="6" s="1"/>
  <c r="C85" i="6"/>
  <c r="T106" i="6"/>
  <c r="G117" i="6"/>
  <c r="P95" i="6"/>
  <c r="Z106" i="6"/>
  <c r="V95" i="6"/>
  <c r="E117" i="6"/>
  <c r="J81" i="6"/>
  <c r="J82" i="6" s="1"/>
  <c r="J83" i="6" s="1"/>
  <c r="L106" i="6"/>
  <c r="V81" i="6"/>
  <c r="V82" i="6" s="1"/>
  <c r="V83" i="6" s="1"/>
  <c r="G80" i="6"/>
  <c r="F71" i="6"/>
  <c r="F72" i="6" s="1"/>
  <c r="F73" i="6" s="1"/>
  <c r="V106" i="6"/>
  <c r="I81" i="6"/>
  <c r="I82" i="6" s="1"/>
  <c r="I83" i="6" s="1"/>
  <c r="K86" i="6"/>
  <c r="K87" i="6" s="1"/>
  <c r="K88" i="6" s="1"/>
  <c r="F117" i="6"/>
  <c r="D70" i="6"/>
  <c r="D85" i="6"/>
  <c r="D80" i="6"/>
  <c r="H85" i="6"/>
  <c r="H80" i="6"/>
  <c r="H70" i="6"/>
  <c r="C117" i="6"/>
  <c r="Y106" i="6"/>
  <c r="I86" i="6"/>
  <c r="I87" i="6" s="1"/>
  <c r="I88" i="6" s="1"/>
  <c r="D106" i="6"/>
  <c r="J86" i="6"/>
  <c r="J87" i="6" s="1"/>
  <c r="J88" i="6" s="1"/>
  <c r="S71" i="6"/>
  <c r="S72" i="6" s="1"/>
  <c r="L70" i="6"/>
  <c r="L80" i="6"/>
  <c r="L85" i="6"/>
  <c r="N71" i="6"/>
  <c r="N72" i="6" s="1"/>
  <c r="S95" i="6"/>
  <c r="U95" i="6"/>
  <c r="E81" i="6"/>
  <c r="E82" i="6" s="1"/>
  <c r="E83" i="6" s="1"/>
  <c r="G70" i="6"/>
  <c r="X80" i="6"/>
  <c r="X70" i="6"/>
  <c r="X85" i="6"/>
  <c r="J95" i="6"/>
  <c r="N81" i="6"/>
  <c r="N82" i="6" s="1"/>
  <c r="N83" i="6" s="1"/>
  <c r="V71" i="6"/>
  <c r="V72" i="6" s="1"/>
  <c r="V73" i="6" s="1"/>
  <c r="Q117" i="6"/>
  <c r="M81" i="6"/>
  <c r="M82" i="6" s="1"/>
  <c r="M83" i="6" s="1"/>
  <c r="J106" i="6"/>
  <c r="I107" i="6" s="1"/>
  <c r="I108" i="6" s="1"/>
  <c r="T86" i="6"/>
  <c r="T87" i="6" s="1"/>
  <c r="T88" i="6" s="1"/>
  <c r="N86" i="6"/>
  <c r="N87" i="6" s="1"/>
  <c r="N88" i="6" s="1"/>
  <c r="U86" i="6"/>
  <c r="U87" i="6" s="1"/>
  <c r="U88" i="6" s="1"/>
  <c r="P71" i="6"/>
  <c r="P72" i="6" s="1"/>
  <c r="P73" i="6" s="1"/>
  <c r="P106" i="6"/>
  <c r="U81" i="6"/>
  <c r="U82" i="6" s="1"/>
  <c r="U83" i="6" s="1"/>
  <c r="R106" i="6"/>
  <c r="Z95" i="6"/>
  <c r="Q81" i="6"/>
  <c r="Q82" i="6" s="1"/>
  <c r="Q83" i="6" s="1"/>
  <c r="X81" i="5"/>
  <c r="X82" i="5" s="1"/>
  <c r="X83" i="5" s="1"/>
  <c r="D117" i="5"/>
  <c r="K86" i="5"/>
  <c r="K87" i="5" s="1"/>
  <c r="K88" i="5" s="1"/>
  <c r="H86" i="5"/>
  <c r="H87" i="5" s="1"/>
  <c r="H88" i="5" s="1"/>
  <c r="H70" i="5"/>
  <c r="X70" i="5"/>
  <c r="X71" i="5" s="1"/>
  <c r="X72" i="5" s="1"/>
  <c r="X73" i="5" s="1"/>
  <c r="P106" i="5"/>
  <c r="S106" i="5"/>
  <c r="J95" i="5"/>
  <c r="I96" i="5" s="1"/>
  <c r="I97" i="5" s="1"/>
  <c r="I98" i="5" s="1"/>
  <c r="I99" i="5" s="1"/>
  <c r="I100" i="5" s="1"/>
  <c r="I101" i="5" s="1"/>
  <c r="G70" i="5"/>
  <c r="L70" i="5"/>
  <c r="L71" i="5" s="1"/>
  <c r="L72" i="5" s="1"/>
  <c r="L73" i="5" s="1"/>
  <c r="M81" i="5"/>
  <c r="M82" i="5" s="1"/>
  <c r="M83" i="5" s="1"/>
  <c r="J106" i="5"/>
  <c r="L81" i="5"/>
  <c r="L82" i="5" s="1"/>
  <c r="L83" i="5" s="1"/>
  <c r="H117" i="5"/>
  <c r="E81" i="5"/>
  <c r="E82" i="5" s="1"/>
  <c r="E83" i="5" s="1"/>
  <c r="U95" i="5"/>
  <c r="S95" i="5"/>
  <c r="M95" i="5"/>
  <c r="D95" i="5"/>
  <c r="D86" i="5"/>
  <c r="D87" i="5" s="1"/>
  <c r="D88" i="5" s="1"/>
  <c r="I81" i="5"/>
  <c r="I82" i="5" s="1"/>
  <c r="I83" i="5" s="1"/>
  <c r="V106" i="5"/>
  <c r="K95" i="5"/>
  <c r="C95" i="5"/>
  <c r="S117" i="5"/>
  <c r="M86" i="5"/>
  <c r="M87" i="5" s="1"/>
  <c r="M88" i="5" s="1"/>
  <c r="F81" i="5"/>
  <c r="F82" i="5" s="1"/>
  <c r="F83" i="5" s="1"/>
  <c r="I106" i="5"/>
  <c r="Y95" i="5"/>
  <c r="Y96" i="5" s="1"/>
  <c r="Y97" i="5" s="1"/>
  <c r="G106" i="5"/>
  <c r="N95" i="5"/>
  <c r="W95" i="5"/>
  <c r="E86" i="5"/>
  <c r="E87" i="5" s="1"/>
  <c r="E88" i="5" s="1"/>
  <c r="I86" i="5"/>
  <c r="I87" i="5" s="1"/>
  <c r="I88" i="5" s="1"/>
  <c r="Y106" i="5"/>
  <c r="C117" i="5"/>
  <c r="K106" i="5"/>
  <c r="M106" i="5"/>
  <c r="O71" i="5"/>
  <c r="O72" i="5" s="1"/>
  <c r="P95" i="5"/>
  <c r="J71" i="5"/>
  <c r="J72" i="5" s="1"/>
  <c r="J73" i="5" s="1"/>
  <c r="W71" i="5"/>
  <c r="W72" i="5" s="1"/>
  <c r="Q71" i="5"/>
  <c r="Q72" i="5" s="1"/>
  <c r="Q73" i="5" s="1"/>
  <c r="F70" i="5"/>
  <c r="P71" i="5"/>
  <c r="P72" i="5" s="1"/>
  <c r="K71" i="5"/>
  <c r="K72" i="5" s="1"/>
  <c r="T71" i="5"/>
  <c r="T72" i="5" s="1"/>
  <c r="G117" i="5"/>
  <c r="K117" i="5"/>
  <c r="E95" i="5"/>
  <c r="E70" i="5"/>
  <c r="U71" i="5"/>
  <c r="U72" i="5" s="1"/>
  <c r="U73" i="5" s="1"/>
  <c r="N71" i="5"/>
  <c r="N72" i="5" s="1"/>
  <c r="N73" i="5" s="1"/>
  <c r="M70" i="5"/>
  <c r="Q81" i="5"/>
  <c r="Q82" i="5" s="1"/>
  <c r="Q83" i="5" s="1"/>
  <c r="V71" i="5"/>
  <c r="V72" i="5" s="1"/>
  <c r="V73" i="5" s="1"/>
  <c r="S71" i="5"/>
  <c r="S72" i="5" s="1"/>
  <c r="R71" i="5"/>
  <c r="R72" i="5" s="1"/>
  <c r="V95" i="5"/>
  <c r="E117" i="5"/>
  <c r="E118" i="5" s="1"/>
  <c r="E119" i="5" s="1"/>
  <c r="I117" i="5"/>
  <c r="C86" i="5"/>
  <c r="C87" i="5" s="1"/>
  <c r="C88" i="5" s="1"/>
  <c r="U81" i="5"/>
  <c r="U82" i="5" s="1"/>
  <c r="U83" i="5" s="1"/>
  <c r="L95" i="5"/>
  <c r="C81" i="5"/>
  <c r="C82" i="5" s="1"/>
  <c r="C83" i="5" s="1"/>
  <c r="H106" i="5"/>
  <c r="O117" i="5"/>
  <c r="G95" i="5"/>
  <c r="O106" i="5"/>
  <c r="F106" i="5"/>
  <c r="G86" i="5"/>
  <c r="G87" i="5" s="1"/>
  <c r="G88" i="5" s="1"/>
  <c r="F86" i="5"/>
  <c r="F87" i="5" s="1"/>
  <c r="F88" i="5" s="1"/>
  <c r="E106" i="5"/>
  <c r="C106" i="5"/>
  <c r="C107" i="5" s="1"/>
  <c r="C108" i="5" s="1"/>
  <c r="X95" i="5"/>
  <c r="N117" i="5"/>
  <c r="F95" i="5"/>
  <c r="Q117" i="5"/>
  <c r="J117" i="5"/>
  <c r="X106" i="5"/>
  <c r="X86" i="5"/>
  <c r="X87" i="5" s="1"/>
  <c r="X88" i="5" s="1"/>
  <c r="V117" i="5"/>
  <c r="U118" i="5" s="1"/>
  <c r="U119" i="5" s="1"/>
  <c r="P86" i="5"/>
  <c r="P87" i="5" s="1"/>
  <c r="P88" i="5" s="1"/>
  <c r="Q95" i="5"/>
  <c r="Q96" i="5" s="1"/>
  <c r="Q97" i="5" s="1"/>
  <c r="O95" i="5"/>
  <c r="T117" i="5"/>
  <c r="Q107" i="5"/>
  <c r="Q108" i="5" s="1"/>
  <c r="R117" i="5"/>
  <c r="P117" i="5"/>
  <c r="S86" i="5"/>
  <c r="S87" i="5" s="1"/>
  <c r="S88" i="5" s="1"/>
  <c r="T95" i="5"/>
  <c r="M117" i="5"/>
  <c r="L117" i="5"/>
  <c r="L86" i="5"/>
  <c r="L87" i="5" s="1"/>
  <c r="L88" i="5" s="1"/>
  <c r="P117" i="4"/>
  <c r="R117" i="4"/>
  <c r="M86" i="4"/>
  <c r="M87" i="4" s="1"/>
  <c r="M88" i="4" s="1"/>
  <c r="N106" i="4"/>
  <c r="R106" i="4"/>
  <c r="P106" i="4"/>
  <c r="Z106" i="4"/>
  <c r="E117" i="4"/>
  <c r="T106" i="4"/>
  <c r="G117" i="4"/>
  <c r="L106" i="4"/>
  <c r="P95" i="4"/>
  <c r="V95" i="4"/>
  <c r="W86" i="4"/>
  <c r="W87" i="4" s="1"/>
  <c r="W88" i="4" s="1"/>
  <c r="Q86" i="4"/>
  <c r="Q87" i="4" s="1"/>
  <c r="Q88" i="4" s="1"/>
  <c r="T86" i="4"/>
  <c r="T87" i="4" s="1"/>
  <c r="T88" i="4" s="1"/>
  <c r="U117" i="4"/>
  <c r="R95" i="4"/>
  <c r="R86" i="4"/>
  <c r="R87" i="4" s="1"/>
  <c r="R88" i="4" s="1"/>
  <c r="K117" i="3"/>
  <c r="J117" i="3"/>
  <c r="I117" i="3"/>
  <c r="R106" i="3"/>
  <c r="R117" i="3"/>
  <c r="T95" i="3"/>
  <c r="G117" i="3"/>
  <c r="N106" i="3"/>
  <c r="W67" i="2"/>
  <c r="U71" i="2"/>
  <c r="U72" i="2" s="1"/>
  <c r="U68" i="2"/>
  <c r="U67" i="2"/>
  <c r="T67" i="2"/>
  <c r="T68" i="2"/>
  <c r="G68" i="2"/>
  <c r="AA67" i="2"/>
  <c r="AA68" i="2"/>
  <c r="AB67" i="2"/>
  <c r="AB68" i="2"/>
  <c r="Z67" i="2"/>
  <c r="Z68" i="2"/>
  <c r="O117" i="2"/>
  <c r="S68" i="2"/>
  <c r="S67" i="2"/>
  <c r="V67" i="2"/>
  <c r="V75" i="2" s="1"/>
  <c r="V76" i="2" s="1"/>
  <c r="V77" i="2" s="1"/>
  <c r="V78" i="2" s="1"/>
  <c r="V79" i="2" s="1"/>
  <c r="AE68" i="2"/>
  <c r="AE67" i="2"/>
  <c r="Y67" i="2"/>
  <c r="Y68" i="2"/>
  <c r="AB128" i="2"/>
  <c r="AD68" i="2"/>
  <c r="AD67" i="2"/>
  <c r="I67" i="2"/>
  <c r="I68" i="2"/>
  <c r="N67" i="2"/>
  <c r="N68" i="2"/>
  <c r="K67" i="2"/>
  <c r="K68" i="2"/>
  <c r="M68" i="2"/>
  <c r="M67" i="2"/>
  <c r="P67" i="2"/>
  <c r="P68" i="2"/>
  <c r="F68" i="2"/>
  <c r="F67" i="2"/>
  <c r="E67" i="2"/>
  <c r="E68" i="2"/>
  <c r="H67" i="2"/>
  <c r="H68" i="2"/>
  <c r="Q67" i="2"/>
  <c r="Q68" i="2"/>
  <c r="R68" i="2"/>
  <c r="R67" i="2"/>
  <c r="O67" i="2"/>
  <c r="O68" i="2"/>
  <c r="L67" i="2"/>
  <c r="L68" i="2"/>
  <c r="J67" i="2"/>
  <c r="J68" i="2"/>
  <c r="D67" i="2"/>
  <c r="D75" i="2" s="1"/>
  <c r="D76" i="2" s="1"/>
  <c r="D77" i="2" s="1"/>
  <c r="D78" i="2" s="1"/>
  <c r="D79" i="2" s="1"/>
  <c r="AC118" i="7" l="1"/>
  <c r="AC119" i="7" s="1"/>
  <c r="E67" i="15" s="1"/>
  <c r="M75" i="2"/>
  <c r="M76" i="2" s="1"/>
  <c r="M77" i="2" s="1"/>
  <c r="M78" i="2" s="1"/>
  <c r="M79" i="2" s="1"/>
  <c r="AC70" i="2"/>
  <c r="AC71" i="2" s="1"/>
  <c r="AC72" i="2" s="1"/>
  <c r="O75" i="2"/>
  <c r="O76" i="2" s="1"/>
  <c r="O77" i="2" s="1"/>
  <c r="O78" i="2" s="1"/>
  <c r="O79" i="2" s="1"/>
  <c r="K75" i="2"/>
  <c r="E75" i="2"/>
  <c r="E76" i="2" s="1"/>
  <c r="E77" i="2" s="1"/>
  <c r="E78" i="2" s="1"/>
  <c r="E79" i="2" s="1"/>
  <c r="AE75" i="2"/>
  <c r="AE76" i="2" s="1"/>
  <c r="AE77" i="2" s="1"/>
  <c r="AE78" i="2" s="1"/>
  <c r="AE79" i="2" s="1"/>
  <c r="F128" i="2"/>
  <c r="K128" i="2"/>
  <c r="F75" i="2"/>
  <c r="F76" i="2" s="1"/>
  <c r="F77" i="2" s="1"/>
  <c r="F78" i="2" s="1"/>
  <c r="F79" i="2" s="1"/>
  <c r="C75" i="2"/>
  <c r="C76" i="2" s="1"/>
  <c r="C77" i="2" s="1"/>
  <c r="C78" i="2" s="1"/>
  <c r="C79" i="2" s="1"/>
  <c r="K76" i="2"/>
  <c r="K77" i="2" s="1"/>
  <c r="K78" i="2" s="1"/>
  <c r="K79" i="2" s="1"/>
  <c r="AC80" i="2"/>
  <c r="AC75" i="2"/>
  <c r="AC76" i="2" s="1"/>
  <c r="AC77" i="2" s="1"/>
  <c r="AC78" i="2" s="1"/>
  <c r="AC79" i="2" s="1"/>
  <c r="I31" i="10" s="1"/>
  <c r="N75" i="2"/>
  <c r="N76" i="2" s="1"/>
  <c r="N77" i="2" s="1"/>
  <c r="N78" i="2" s="1"/>
  <c r="N79" i="2" s="1"/>
  <c r="Y75" i="2"/>
  <c r="Y76" i="2" s="1"/>
  <c r="Y77" i="2" s="1"/>
  <c r="Y78" i="2" s="1"/>
  <c r="Y79" i="2" s="1"/>
  <c r="H75" i="2"/>
  <c r="H76" i="2" s="1"/>
  <c r="H77" i="2" s="1"/>
  <c r="H78" i="2" s="1"/>
  <c r="H79" i="2" s="1"/>
  <c r="AA75" i="2"/>
  <c r="AA76" i="2" s="1"/>
  <c r="AA77" i="2" s="1"/>
  <c r="AA78" i="2" s="1"/>
  <c r="AA79" i="2" s="1"/>
  <c r="T75" i="2"/>
  <c r="T76" i="2" s="1"/>
  <c r="T77" i="2" s="1"/>
  <c r="T78" i="2" s="1"/>
  <c r="T79" i="2" s="1"/>
  <c r="J75" i="2"/>
  <c r="J76" i="2" s="1"/>
  <c r="J77" i="2" s="1"/>
  <c r="J78" i="2" s="1"/>
  <c r="J79" i="2" s="1"/>
  <c r="Q75" i="2"/>
  <c r="Q76" i="2" s="1"/>
  <c r="Q77" i="2" s="1"/>
  <c r="Q78" i="2" s="1"/>
  <c r="Q79" i="2" s="1"/>
  <c r="P75" i="2"/>
  <c r="P76" i="2" s="1"/>
  <c r="P77" i="2" s="1"/>
  <c r="P78" i="2" s="1"/>
  <c r="P79" i="2" s="1"/>
  <c r="I75" i="2"/>
  <c r="I76" i="2" s="1"/>
  <c r="I77" i="2" s="1"/>
  <c r="I78" i="2" s="1"/>
  <c r="I79" i="2" s="1"/>
  <c r="AB75" i="2"/>
  <c r="AB76" i="2" s="1"/>
  <c r="AB77" i="2" s="1"/>
  <c r="AB78" i="2" s="1"/>
  <c r="AB79" i="2" s="1"/>
  <c r="G80" i="2"/>
  <c r="S95" i="2" s="1"/>
  <c r="G75" i="2"/>
  <c r="G76" i="2" s="1"/>
  <c r="G77" i="2" s="1"/>
  <c r="G78" i="2" s="1"/>
  <c r="G79" i="2" s="1"/>
  <c r="K96" i="5"/>
  <c r="K97" i="5" s="1"/>
  <c r="W107" i="5"/>
  <c r="W108" i="5" s="1"/>
  <c r="K107" i="5"/>
  <c r="K108" i="5" s="1"/>
  <c r="K26" i="10"/>
  <c r="J26" i="10"/>
  <c r="AC85" i="2"/>
  <c r="L9" i="10"/>
  <c r="K25" i="10"/>
  <c r="J25" i="10"/>
  <c r="L25" i="10"/>
  <c r="I23" i="10"/>
  <c r="H23" i="10"/>
  <c r="F25" i="10"/>
  <c r="L23" i="10"/>
  <c r="J70" i="3"/>
  <c r="U107" i="5"/>
  <c r="U108" i="5" s="1"/>
  <c r="G71" i="5"/>
  <c r="G72" i="5" s="1"/>
  <c r="Q117" i="7"/>
  <c r="Q118" i="7" s="1"/>
  <c r="Q119" i="7" s="1"/>
  <c r="AB117" i="2"/>
  <c r="M117" i="3"/>
  <c r="G128" i="2"/>
  <c r="O117" i="3"/>
  <c r="E106" i="4"/>
  <c r="C46" i="9"/>
  <c r="C56" i="9"/>
  <c r="AC120" i="7"/>
  <c r="AC121" i="7" s="1"/>
  <c r="AC122" i="7" s="1"/>
  <c r="AC123" i="7" s="1"/>
  <c r="I95" i="7"/>
  <c r="I96" i="7" s="1"/>
  <c r="I97" i="7" s="1"/>
  <c r="C61" i="9"/>
  <c r="Z95" i="3"/>
  <c r="J106" i="3"/>
  <c r="T117" i="4"/>
  <c r="S118" i="4" s="1"/>
  <c r="S119" i="4" s="1"/>
  <c r="F62" i="14" s="1"/>
  <c r="X95" i="4"/>
  <c r="F106" i="4"/>
  <c r="E107" i="4" s="1"/>
  <c r="E108" i="4" s="1"/>
  <c r="E86" i="4"/>
  <c r="E87" i="4" s="1"/>
  <c r="E88" i="4" s="1"/>
  <c r="M107" i="5"/>
  <c r="M108" i="5" s="1"/>
  <c r="X71" i="7"/>
  <c r="X72" i="7" s="1"/>
  <c r="X73" i="7" s="1"/>
  <c r="M71" i="7"/>
  <c r="M72" i="7" s="1"/>
  <c r="M73" i="7" s="1"/>
  <c r="V71" i="7"/>
  <c r="V72" i="7" s="1"/>
  <c r="V73" i="7" s="1"/>
  <c r="K81" i="7"/>
  <c r="K82" i="7" s="1"/>
  <c r="K83" i="7" s="1"/>
  <c r="C96" i="7"/>
  <c r="C97" i="7" s="1"/>
  <c r="E30" i="15" s="1"/>
  <c r="J117" i="7"/>
  <c r="F86" i="7"/>
  <c r="F87" i="7" s="1"/>
  <c r="F88" i="7" s="1"/>
  <c r="C106" i="7"/>
  <c r="I106" i="7"/>
  <c r="J71" i="7"/>
  <c r="J72" i="7" s="1"/>
  <c r="J73" i="7" s="1"/>
  <c r="X95" i="7"/>
  <c r="W96" i="7" s="1"/>
  <c r="W97" i="7" s="1"/>
  <c r="T95" i="7"/>
  <c r="S96" i="7" s="1"/>
  <c r="S97" i="7" s="1"/>
  <c r="O95" i="7"/>
  <c r="O96" i="7" s="1"/>
  <c r="O97" i="7" s="1"/>
  <c r="E36" i="15" s="1"/>
  <c r="N106" i="7"/>
  <c r="E86" i="7"/>
  <c r="E87" i="7" s="1"/>
  <c r="E88" i="7" s="1"/>
  <c r="E95" i="7"/>
  <c r="F81" i="7"/>
  <c r="F82" i="7" s="1"/>
  <c r="F83" i="7" s="1"/>
  <c r="U81" i="7"/>
  <c r="U82" i="7" s="1"/>
  <c r="U83" i="7" s="1"/>
  <c r="N95" i="7"/>
  <c r="M96" i="7" s="1"/>
  <c r="M97" i="7" s="1"/>
  <c r="P83" i="7"/>
  <c r="P68" i="7"/>
  <c r="G95" i="7"/>
  <c r="G96" i="7" s="1"/>
  <c r="G97" i="7" s="1"/>
  <c r="AA117" i="7"/>
  <c r="AA118" i="7" s="1"/>
  <c r="AA119" i="7" s="1"/>
  <c r="S86" i="7"/>
  <c r="S87" i="7" s="1"/>
  <c r="S88" i="7" s="1"/>
  <c r="R106" i="7"/>
  <c r="W106" i="7"/>
  <c r="W107" i="7" s="1"/>
  <c r="W108" i="7" s="1"/>
  <c r="J86" i="7"/>
  <c r="J87" i="7" s="1"/>
  <c r="J88" i="7" s="1"/>
  <c r="P106" i="7"/>
  <c r="W67" i="7"/>
  <c r="W68" i="7"/>
  <c r="M71" i="6"/>
  <c r="M72" i="6" s="1"/>
  <c r="P81" i="6"/>
  <c r="P82" i="6" s="1"/>
  <c r="P83" i="6" s="1"/>
  <c r="U71" i="6"/>
  <c r="U72" i="6" s="1"/>
  <c r="O107" i="5"/>
  <c r="O108" i="5" s="1"/>
  <c r="O109" i="5" s="1"/>
  <c r="O110" i="5" s="1"/>
  <c r="O111" i="5" s="1"/>
  <c r="O112" i="5" s="1"/>
  <c r="I107" i="5"/>
  <c r="I108" i="5" s="1"/>
  <c r="I71" i="5"/>
  <c r="I72" i="5" s="1"/>
  <c r="I73" i="5" s="1"/>
  <c r="S107" i="5"/>
  <c r="S108" i="5" s="1"/>
  <c r="S109" i="5" s="1"/>
  <c r="S110" i="5" s="1"/>
  <c r="S111" i="5" s="1"/>
  <c r="S112" i="5" s="1"/>
  <c r="Y107" i="5"/>
  <c r="Y108" i="5" s="1"/>
  <c r="Y109" i="5" s="1"/>
  <c r="Y110" i="5" s="1"/>
  <c r="Y111" i="5" s="1"/>
  <c r="Y112" i="5" s="1"/>
  <c r="G118" i="5"/>
  <c r="G119" i="5" s="1"/>
  <c r="G120" i="5" s="1"/>
  <c r="G121" i="5" s="1"/>
  <c r="G122" i="5" s="1"/>
  <c r="G123" i="5" s="1"/>
  <c r="K118" i="5"/>
  <c r="K119" i="5" s="1"/>
  <c r="K120" i="5" s="1"/>
  <c r="K121" i="5" s="1"/>
  <c r="K122" i="5" s="1"/>
  <c r="K123" i="5" s="1"/>
  <c r="J71" i="4"/>
  <c r="J72" i="4" s="1"/>
  <c r="F86" i="4"/>
  <c r="F87" i="4" s="1"/>
  <c r="F88" i="4" s="1"/>
  <c r="J106" i="4"/>
  <c r="T95" i="4"/>
  <c r="S95" i="4"/>
  <c r="U95" i="4"/>
  <c r="U96" i="4" s="1"/>
  <c r="U97" i="4" s="1"/>
  <c r="K96" i="4"/>
  <c r="K97" i="4" s="1"/>
  <c r="J117" i="4"/>
  <c r="X106" i="4"/>
  <c r="N117" i="4"/>
  <c r="C107" i="4"/>
  <c r="C108" i="4" s="1"/>
  <c r="V117" i="4"/>
  <c r="U118" i="4" s="1"/>
  <c r="U119" i="4" s="1"/>
  <c r="M95" i="4"/>
  <c r="M96" i="4" s="1"/>
  <c r="M97" i="4" s="1"/>
  <c r="D95" i="4"/>
  <c r="D86" i="4"/>
  <c r="D87" i="4" s="1"/>
  <c r="D88" i="4" s="1"/>
  <c r="D117" i="4"/>
  <c r="J86" i="4"/>
  <c r="J87" i="4" s="1"/>
  <c r="J88" i="4" s="1"/>
  <c r="D70" i="4"/>
  <c r="D71" i="4" s="1"/>
  <c r="D72" i="4" s="1"/>
  <c r="D80" i="4"/>
  <c r="D81" i="4" s="1"/>
  <c r="D82" i="4" s="1"/>
  <c r="D83" i="4" s="1"/>
  <c r="Q117" i="4"/>
  <c r="Q118" i="4" s="1"/>
  <c r="Q119" i="4" s="1"/>
  <c r="F61" i="14" s="1"/>
  <c r="H86" i="4"/>
  <c r="H87" i="4" s="1"/>
  <c r="H88" i="4" s="1"/>
  <c r="G96" i="4"/>
  <c r="G97" i="4" s="1"/>
  <c r="W95" i="4"/>
  <c r="H106" i="4"/>
  <c r="F71" i="4"/>
  <c r="F72" i="4" s="1"/>
  <c r="F73" i="4" s="1"/>
  <c r="G106" i="4"/>
  <c r="M117" i="4"/>
  <c r="L86" i="4"/>
  <c r="L87" i="4" s="1"/>
  <c r="L88" i="4" s="1"/>
  <c r="Y95" i="4"/>
  <c r="Y96" i="4" s="1"/>
  <c r="Y97" i="4" s="1"/>
  <c r="I70" i="4"/>
  <c r="S106" i="4"/>
  <c r="S107" i="4" s="1"/>
  <c r="S108" i="4" s="1"/>
  <c r="I106" i="4"/>
  <c r="E95" i="3"/>
  <c r="W71" i="3"/>
  <c r="W72" i="3" s="1"/>
  <c r="T81" i="3"/>
  <c r="T82" i="3" s="1"/>
  <c r="T83" i="3" s="1"/>
  <c r="W81" i="3"/>
  <c r="W82" i="3" s="1"/>
  <c r="W83" i="3" s="1"/>
  <c r="Q106" i="3"/>
  <c r="Q107" i="3" s="1"/>
  <c r="Q108" i="3" s="1"/>
  <c r="J80" i="3"/>
  <c r="J81" i="3" s="1"/>
  <c r="J82" i="3" s="1"/>
  <c r="J83" i="3" s="1"/>
  <c r="D80" i="3"/>
  <c r="G95" i="3" s="1"/>
  <c r="K71" i="3"/>
  <c r="K72" i="3" s="1"/>
  <c r="D70" i="3"/>
  <c r="J86" i="3"/>
  <c r="J87" i="3" s="1"/>
  <c r="J88" i="3" s="1"/>
  <c r="G106" i="3"/>
  <c r="AB95" i="3"/>
  <c r="H106" i="3"/>
  <c r="E106" i="3"/>
  <c r="C95" i="3"/>
  <c r="D85" i="3"/>
  <c r="D86" i="3" s="1"/>
  <c r="D87" i="3" s="1"/>
  <c r="D88" i="3" s="1"/>
  <c r="U67" i="3"/>
  <c r="U70" i="3" s="1"/>
  <c r="N67" i="3"/>
  <c r="N85" i="3" s="1"/>
  <c r="M86" i="3"/>
  <c r="M87" i="3" s="1"/>
  <c r="M88" i="3" s="1"/>
  <c r="Q73" i="3"/>
  <c r="O67" i="3"/>
  <c r="R67" i="3"/>
  <c r="R70" i="3" s="1"/>
  <c r="R71" i="3" s="1"/>
  <c r="R72" i="3" s="1"/>
  <c r="E67" i="3"/>
  <c r="E85" i="3" s="1"/>
  <c r="M95" i="3" s="1"/>
  <c r="H67" i="3"/>
  <c r="G67" i="3"/>
  <c r="F67" i="3"/>
  <c r="I67" i="3"/>
  <c r="V67" i="3"/>
  <c r="S67" i="3"/>
  <c r="L67" i="3"/>
  <c r="V106" i="4"/>
  <c r="U107" i="4" s="1"/>
  <c r="U108" i="4" s="1"/>
  <c r="I81" i="4"/>
  <c r="I82" i="4" s="1"/>
  <c r="I83" i="4" s="1"/>
  <c r="Q106" i="4"/>
  <c r="Q107" i="4" s="1"/>
  <c r="Q108" i="4" s="1"/>
  <c r="E71" i="4"/>
  <c r="E72" i="4" s="1"/>
  <c r="E73" i="4" s="1"/>
  <c r="I85" i="4"/>
  <c r="H81" i="4"/>
  <c r="H82" i="4" s="1"/>
  <c r="H83" i="4" s="1"/>
  <c r="W106" i="4"/>
  <c r="H71" i="4"/>
  <c r="H72" i="4" s="1"/>
  <c r="L81" i="4"/>
  <c r="L82" i="4" s="1"/>
  <c r="L83" i="4" s="1"/>
  <c r="O117" i="4"/>
  <c r="O118" i="4" s="1"/>
  <c r="O119" i="4" s="1"/>
  <c r="W96" i="5"/>
  <c r="W97" i="5" s="1"/>
  <c r="W98" i="5" s="1"/>
  <c r="W99" i="5" s="1"/>
  <c r="W100" i="5" s="1"/>
  <c r="W101" i="5" s="1"/>
  <c r="W73" i="5"/>
  <c r="T117" i="6"/>
  <c r="S118" i="6" s="1"/>
  <c r="S119" i="6" s="1"/>
  <c r="S120" i="6" s="1"/>
  <c r="S121" i="6" s="1"/>
  <c r="S122" i="6" s="1"/>
  <c r="S123" i="6" s="1"/>
  <c r="V81" i="7"/>
  <c r="V82" i="7" s="1"/>
  <c r="V83" i="7" s="1"/>
  <c r="L106" i="7"/>
  <c r="Y95" i="7"/>
  <c r="Y96" i="7" s="1"/>
  <c r="Y97" i="7" s="1"/>
  <c r="N73" i="7"/>
  <c r="W70" i="7"/>
  <c r="S106" i="7"/>
  <c r="S107" i="7" s="1"/>
  <c r="S108" i="7" s="1"/>
  <c r="I117" i="7"/>
  <c r="Q106" i="7"/>
  <c r="L80" i="7"/>
  <c r="L85" i="7"/>
  <c r="P70" i="7"/>
  <c r="P85" i="7"/>
  <c r="J106" i="7"/>
  <c r="Q95" i="7"/>
  <c r="Q96" i="7" s="1"/>
  <c r="Q97" i="7" s="1"/>
  <c r="E107" i="7"/>
  <c r="E108" i="7" s="1"/>
  <c r="W85" i="7"/>
  <c r="I67" i="7"/>
  <c r="Z117" i="7"/>
  <c r="Y118" i="7" s="1"/>
  <c r="Y119" i="7" s="1"/>
  <c r="R86" i="7"/>
  <c r="R87" i="7" s="1"/>
  <c r="R88" i="7" s="1"/>
  <c r="H86" i="7"/>
  <c r="H87" i="7" s="1"/>
  <c r="H88" i="7" s="1"/>
  <c r="W81" i="7"/>
  <c r="W82" i="7" s="1"/>
  <c r="W83" i="7" s="1"/>
  <c r="L95" i="7"/>
  <c r="K96" i="7" s="1"/>
  <c r="K97" i="7" s="1"/>
  <c r="H71" i="7"/>
  <c r="H72" i="7" s="1"/>
  <c r="K106" i="6"/>
  <c r="K107" i="6" s="1"/>
  <c r="K108" i="6" s="1"/>
  <c r="G96" i="5"/>
  <c r="G97" i="5" s="1"/>
  <c r="G98" i="5" s="1"/>
  <c r="G99" i="5" s="1"/>
  <c r="G100" i="5" s="1"/>
  <c r="G101" i="5" s="1"/>
  <c r="C118" i="5"/>
  <c r="C119" i="5" s="1"/>
  <c r="C120" i="5" s="1"/>
  <c r="C121" i="5" s="1"/>
  <c r="C122" i="5" s="1"/>
  <c r="C123" i="5" s="1"/>
  <c r="U96" i="5"/>
  <c r="U97" i="5" s="1"/>
  <c r="U98" i="5" s="1"/>
  <c r="U99" i="5" s="1"/>
  <c r="U100" i="5" s="1"/>
  <c r="U101" i="5" s="1"/>
  <c r="E96" i="5"/>
  <c r="E97" i="5" s="1"/>
  <c r="E98" i="5" s="1"/>
  <c r="E99" i="5" s="1"/>
  <c r="E100" i="5" s="1"/>
  <c r="E101" i="5" s="1"/>
  <c r="C96" i="5"/>
  <c r="C97" i="5" s="1"/>
  <c r="C98" i="5" s="1"/>
  <c r="C99" i="5" s="1"/>
  <c r="C100" i="5" s="1"/>
  <c r="C101" i="5" s="1"/>
  <c r="M96" i="5"/>
  <c r="M97" i="5" s="1"/>
  <c r="M98" i="5" s="1"/>
  <c r="M99" i="5" s="1"/>
  <c r="M100" i="5" s="1"/>
  <c r="M101" i="5" s="1"/>
  <c r="P73" i="5"/>
  <c r="S118" i="5"/>
  <c r="S119" i="5" s="1"/>
  <c r="S120" i="5" s="1"/>
  <c r="S121" i="5" s="1"/>
  <c r="S122" i="5" s="1"/>
  <c r="S123" i="5" s="1"/>
  <c r="G73" i="5"/>
  <c r="M71" i="3"/>
  <c r="M72" i="3" s="1"/>
  <c r="C71" i="8"/>
  <c r="C72" i="8" s="1"/>
  <c r="C79" i="8" s="1"/>
  <c r="I117" i="6"/>
  <c r="K117" i="6"/>
  <c r="D71" i="5"/>
  <c r="D72" i="5" s="1"/>
  <c r="O96" i="5"/>
  <c r="O97" i="5" s="1"/>
  <c r="O98" i="5" s="1"/>
  <c r="O99" i="5" s="1"/>
  <c r="O100" i="5" s="1"/>
  <c r="O101" i="5" s="1"/>
  <c r="I118" i="5"/>
  <c r="I119" i="5" s="1"/>
  <c r="I120" i="5" s="1"/>
  <c r="I121" i="5" s="1"/>
  <c r="I122" i="5" s="1"/>
  <c r="I123" i="5" s="1"/>
  <c r="J73" i="4"/>
  <c r="O73" i="4"/>
  <c r="N73" i="4"/>
  <c r="G71" i="4"/>
  <c r="G72" i="4" s="1"/>
  <c r="T73" i="4"/>
  <c r="M71" i="4"/>
  <c r="M72" i="4" s="1"/>
  <c r="M73" i="4" s="1"/>
  <c r="O106" i="4"/>
  <c r="O107" i="4" s="1"/>
  <c r="O108" i="4" s="1"/>
  <c r="K73" i="4"/>
  <c r="X71" i="4"/>
  <c r="X72" i="4" s="1"/>
  <c r="X73" i="4" s="1"/>
  <c r="W73" i="4"/>
  <c r="S73" i="4"/>
  <c r="P73" i="3"/>
  <c r="O80" i="2"/>
  <c r="O70" i="2"/>
  <c r="O85" i="2"/>
  <c r="P70" i="2"/>
  <c r="P80" i="2"/>
  <c r="P85" i="2"/>
  <c r="M70" i="2"/>
  <c r="M80" i="2"/>
  <c r="M85" i="2"/>
  <c r="V85" i="2"/>
  <c r="V80" i="2"/>
  <c r="V117" i="2" s="1"/>
  <c r="AB80" i="2"/>
  <c r="X128" i="2" s="1"/>
  <c r="AB70" i="2"/>
  <c r="AB85" i="2"/>
  <c r="N128" i="2" s="1"/>
  <c r="J80" i="2"/>
  <c r="J85" i="2"/>
  <c r="J70" i="2"/>
  <c r="Q80" i="2"/>
  <c r="J106" i="2" s="1"/>
  <c r="Q70" i="2"/>
  <c r="Q85" i="2"/>
  <c r="G117" i="2" s="1"/>
  <c r="E80" i="2"/>
  <c r="E70" i="2"/>
  <c r="E85" i="2"/>
  <c r="K70" i="2"/>
  <c r="K85" i="2"/>
  <c r="E106" i="2" s="1"/>
  <c r="K80" i="2"/>
  <c r="I106" i="2" s="1"/>
  <c r="I80" i="2"/>
  <c r="I85" i="2"/>
  <c r="I70" i="2"/>
  <c r="I71" i="2" s="1"/>
  <c r="I72" i="2" s="1"/>
  <c r="C70" i="2"/>
  <c r="C85" i="2"/>
  <c r="C86" i="2" s="1"/>
  <c r="C87" i="2" s="1"/>
  <c r="C88" i="2" s="1"/>
  <c r="C89" i="2" s="1"/>
  <c r="M5" i="10" s="1"/>
  <c r="C80" i="2"/>
  <c r="C81" i="2" s="1"/>
  <c r="C82" i="2" s="1"/>
  <c r="C83" i="2" s="1"/>
  <c r="C84" i="2" s="1"/>
  <c r="T85" i="2"/>
  <c r="T70" i="2"/>
  <c r="T80" i="2"/>
  <c r="F70" i="2"/>
  <c r="F85" i="2"/>
  <c r="F80" i="2"/>
  <c r="D70" i="2"/>
  <c r="D85" i="2"/>
  <c r="D80" i="2"/>
  <c r="H80" i="2"/>
  <c r="T95" i="2" s="1"/>
  <c r="H70" i="2"/>
  <c r="H85" i="2"/>
  <c r="W95" i="2" s="1"/>
  <c r="N85" i="2"/>
  <c r="N80" i="2"/>
  <c r="N70" i="2"/>
  <c r="Y70" i="2"/>
  <c r="Y80" i="2"/>
  <c r="Y85" i="2"/>
  <c r="AE70" i="2"/>
  <c r="AE80" i="2"/>
  <c r="AE85" i="2"/>
  <c r="D128" i="2" s="1"/>
  <c r="AA80" i="2"/>
  <c r="AA70" i="2"/>
  <c r="AA85" i="2"/>
  <c r="G70" i="2"/>
  <c r="E95" i="8"/>
  <c r="E96" i="8" s="1"/>
  <c r="E97" i="8" s="1"/>
  <c r="D95" i="8"/>
  <c r="C96" i="8" s="1"/>
  <c r="C97" i="8" s="1"/>
  <c r="E11" i="16" s="1"/>
  <c r="D73" i="8"/>
  <c r="D74" i="8" s="1"/>
  <c r="D81" i="8"/>
  <c r="D82" i="8" s="1"/>
  <c r="D83" i="8" s="1"/>
  <c r="D84" i="8" s="1"/>
  <c r="G85" i="7"/>
  <c r="G70" i="7"/>
  <c r="G80" i="7"/>
  <c r="C71" i="7"/>
  <c r="C72" i="7" s="1"/>
  <c r="C107" i="7"/>
  <c r="C108" i="7" s="1"/>
  <c r="U96" i="7"/>
  <c r="U97" i="7" s="1"/>
  <c r="F71" i="7"/>
  <c r="F72" i="7" s="1"/>
  <c r="F73" i="7" s="1"/>
  <c r="E120" i="7"/>
  <c r="E121" i="7" s="1"/>
  <c r="E122" i="7" s="1"/>
  <c r="E123" i="7" s="1"/>
  <c r="R73" i="7"/>
  <c r="U73" i="7"/>
  <c r="D71" i="7"/>
  <c r="D72" i="7" s="1"/>
  <c r="D73" i="7" s="1"/>
  <c r="S120" i="7"/>
  <c r="S121" i="7" s="1"/>
  <c r="S122" i="7" s="1"/>
  <c r="S123" i="7" s="1"/>
  <c r="W96" i="6"/>
  <c r="W97" i="6" s="1"/>
  <c r="W98" i="6" s="1"/>
  <c r="W99" i="6" s="1"/>
  <c r="W100" i="6" s="1"/>
  <c r="W101" i="6" s="1"/>
  <c r="U96" i="6"/>
  <c r="U97" i="6" s="1"/>
  <c r="U98" i="6" s="1"/>
  <c r="U99" i="6" s="1"/>
  <c r="U100" i="6" s="1"/>
  <c r="U101" i="6" s="1"/>
  <c r="S96" i="6"/>
  <c r="S97" i="6" s="1"/>
  <c r="S98" i="6" s="1"/>
  <c r="S99" i="6" s="1"/>
  <c r="S100" i="6" s="1"/>
  <c r="S101" i="6" s="1"/>
  <c r="K73" i="6"/>
  <c r="O81" i="6"/>
  <c r="O82" i="6" s="1"/>
  <c r="O83" i="6" s="1"/>
  <c r="C81" i="6"/>
  <c r="C82" i="6" s="1"/>
  <c r="C83" i="6" s="1"/>
  <c r="I71" i="6"/>
  <c r="I72" i="6" s="1"/>
  <c r="V117" i="6"/>
  <c r="U118" i="6" s="1"/>
  <c r="U119" i="6" s="1"/>
  <c r="U120" i="6" s="1"/>
  <c r="U121" i="6" s="1"/>
  <c r="U122" i="6" s="1"/>
  <c r="U123" i="6" s="1"/>
  <c r="P86" i="6"/>
  <c r="P87" i="6" s="1"/>
  <c r="P88" i="6" s="1"/>
  <c r="W81" i="6"/>
  <c r="W82" i="6" s="1"/>
  <c r="W83" i="6" s="1"/>
  <c r="Q71" i="6"/>
  <c r="Q72" i="6" s="1"/>
  <c r="Y96" i="6"/>
  <c r="Y97" i="6" s="1"/>
  <c r="Y98" i="6" s="1"/>
  <c r="Y99" i="6" s="1"/>
  <c r="Y100" i="6" s="1"/>
  <c r="Y101" i="6" s="1"/>
  <c r="T71" i="6"/>
  <c r="T72" i="6" s="1"/>
  <c r="O86" i="6"/>
  <c r="O87" i="6" s="1"/>
  <c r="O88" i="6" s="1"/>
  <c r="I95" i="6"/>
  <c r="I96" i="6" s="1"/>
  <c r="I97" i="6" s="1"/>
  <c r="I98" i="6" s="1"/>
  <c r="I99" i="6" s="1"/>
  <c r="I100" i="6" s="1"/>
  <c r="I101" i="6" s="1"/>
  <c r="E95" i="6"/>
  <c r="T81" i="6"/>
  <c r="T82" i="6" s="1"/>
  <c r="T83" i="6" s="1"/>
  <c r="P117" i="6"/>
  <c r="R117" i="6"/>
  <c r="Q118" i="6" s="1"/>
  <c r="Q119" i="6" s="1"/>
  <c r="Q120" i="6" s="1"/>
  <c r="Q121" i="6" s="1"/>
  <c r="Q122" i="6" s="1"/>
  <c r="Q123" i="6" s="1"/>
  <c r="G86" i="6"/>
  <c r="G87" i="6" s="1"/>
  <c r="G88" i="6" s="1"/>
  <c r="Y107" i="6"/>
  <c r="Y108" i="6" s="1"/>
  <c r="Y109" i="6" s="1"/>
  <c r="Y110" i="6" s="1"/>
  <c r="Y111" i="6" s="1"/>
  <c r="Y112" i="6" s="1"/>
  <c r="I109" i="6"/>
  <c r="I110" i="6" s="1"/>
  <c r="I111" i="6" s="1"/>
  <c r="I112" i="6" s="1"/>
  <c r="L117" i="6"/>
  <c r="L86" i="6"/>
  <c r="L87" i="6" s="1"/>
  <c r="L88" i="6" s="1"/>
  <c r="M117" i="6"/>
  <c r="M118" i="6" s="1"/>
  <c r="M119" i="6" s="1"/>
  <c r="U73" i="6"/>
  <c r="D117" i="6"/>
  <c r="C118" i="6" s="1"/>
  <c r="C119" i="6" s="1"/>
  <c r="X81" i="6"/>
  <c r="X82" i="6" s="1"/>
  <c r="X83" i="6" s="1"/>
  <c r="N73" i="6"/>
  <c r="S73" i="6"/>
  <c r="J73" i="6"/>
  <c r="E109" i="6"/>
  <c r="E110" i="6" s="1"/>
  <c r="E111" i="6" s="1"/>
  <c r="E112" i="6" s="1"/>
  <c r="G71" i="6"/>
  <c r="G72" i="6" s="1"/>
  <c r="L71" i="6"/>
  <c r="L72" i="6" s="1"/>
  <c r="H71" i="6"/>
  <c r="H72" i="6" s="1"/>
  <c r="H73" i="6" s="1"/>
  <c r="O95" i="6"/>
  <c r="O96" i="6" s="1"/>
  <c r="O97" i="6" s="1"/>
  <c r="Q95" i="6"/>
  <c r="Q96" i="6" s="1"/>
  <c r="Q97" i="6" s="1"/>
  <c r="D81" i="6"/>
  <c r="D82" i="6" s="1"/>
  <c r="D83" i="6" s="1"/>
  <c r="W73" i="6"/>
  <c r="E118" i="6"/>
  <c r="E119" i="6" s="1"/>
  <c r="C107" i="6"/>
  <c r="C108" i="6" s="1"/>
  <c r="C73" i="6"/>
  <c r="X71" i="6"/>
  <c r="X72" i="6" s="1"/>
  <c r="X73" i="6" s="1"/>
  <c r="S106" i="6"/>
  <c r="S107" i="6" s="1"/>
  <c r="S108" i="6" s="1"/>
  <c r="H86" i="6"/>
  <c r="H87" i="6" s="1"/>
  <c r="H88" i="6" s="1"/>
  <c r="H95" i="6"/>
  <c r="G96" i="6" s="1"/>
  <c r="G97" i="6" s="1"/>
  <c r="Q106" i="6"/>
  <c r="Q107" i="6" s="1"/>
  <c r="Q108" i="6" s="1"/>
  <c r="O106" i="6"/>
  <c r="O107" i="6" s="1"/>
  <c r="O108" i="6" s="1"/>
  <c r="G81" i="6"/>
  <c r="G82" i="6" s="1"/>
  <c r="G83" i="6" s="1"/>
  <c r="F95" i="6"/>
  <c r="H117" i="6"/>
  <c r="G118" i="6" s="1"/>
  <c r="G119" i="6" s="1"/>
  <c r="H106" i="6"/>
  <c r="G107" i="6" s="1"/>
  <c r="G108" i="6" s="1"/>
  <c r="O117" i="6"/>
  <c r="L81" i="6"/>
  <c r="L82" i="6" s="1"/>
  <c r="L83" i="6" s="1"/>
  <c r="D71" i="6"/>
  <c r="D72" i="6" s="1"/>
  <c r="D73" i="6" s="1"/>
  <c r="X106" i="6"/>
  <c r="J117" i="6"/>
  <c r="X86" i="6"/>
  <c r="X87" i="6" s="1"/>
  <c r="X88" i="6" s="1"/>
  <c r="W106" i="6"/>
  <c r="N106" i="6"/>
  <c r="M107" i="6" s="1"/>
  <c r="M108" i="6" s="1"/>
  <c r="U106" i="6"/>
  <c r="U107" i="6" s="1"/>
  <c r="U108" i="6" s="1"/>
  <c r="H81" i="6"/>
  <c r="H82" i="6" s="1"/>
  <c r="H83" i="6" s="1"/>
  <c r="D86" i="6"/>
  <c r="D87" i="6" s="1"/>
  <c r="D88" i="6" s="1"/>
  <c r="D95" i="6"/>
  <c r="M95" i="6"/>
  <c r="M96" i="6" s="1"/>
  <c r="M97" i="6" s="1"/>
  <c r="K95" i="6"/>
  <c r="K96" i="6" s="1"/>
  <c r="K97" i="6" s="1"/>
  <c r="C95" i="6"/>
  <c r="C86" i="6"/>
  <c r="C87" i="6" s="1"/>
  <c r="C88" i="6" s="1"/>
  <c r="T73" i="5"/>
  <c r="H71" i="5"/>
  <c r="H72" i="5" s="1"/>
  <c r="S96" i="5"/>
  <c r="S97" i="5" s="1"/>
  <c r="S98" i="5" s="1"/>
  <c r="S99" i="5" s="1"/>
  <c r="S100" i="5" s="1"/>
  <c r="S101" i="5" s="1"/>
  <c r="O73" i="5"/>
  <c r="G107" i="5"/>
  <c r="G108" i="5" s="1"/>
  <c r="G109" i="5" s="1"/>
  <c r="G110" i="5" s="1"/>
  <c r="G111" i="5" s="1"/>
  <c r="G112" i="5" s="1"/>
  <c r="M71" i="5"/>
  <c r="M72" i="5" s="1"/>
  <c r="M73" i="5" s="1"/>
  <c r="E71" i="5"/>
  <c r="E72" i="5" s="1"/>
  <c r="E73" i="5" s="1"/>
  <c r="K73" i="5"/>
  <c r="R73" i="5"/>
  <c r="R90" i="6" s="1"/>
  <c r="S73" i="5"/>
  <c r="F71" i="5"/>
  <c r="F72" i="5" s="1"/>
  <c r="F73" i="5" s="1"/>
  <c r="M118" i="5"/>
  <c r="M119" i="5" s="1"/>
  <c r="M120" i="5" s="1"/>
  <c r="M121" i="5" s="1"/>
  <c r="M122" i="5" s="1"/>
  <c r="M123" i="5" s="1"/>
  <c r="E107" i="5"/>
  <c r="E108" i="5" s="1"/>
  <c r="E109" i="5" s="1"/>
  <c r="E110" i="5" s="1"/>
  <c r="E111" i="5" s="1"/>
  <c r="E112" i="5" s="1"/>
  <c r="V70" i="2"/>
  <c r="V71" i="2" s="1"/>
  <c r="V72" i="2" s="1"/>
  <c r="V73" i="2" s="1"/>
  <c r="V74" i="2" s="1"/>
  <c r="I118" i="3"/>
  <c r="I119" i="3" s="1"/>
  <c r="U73" i="2"/>
  <c r="U74" i="2" s="1"/>
  <c r="O118" i="5"/>
  <c r="O119" i="5" s="1"/>
  <c r="O120" i="5" s="1"/>
  <c r="O121" i="5" s="1"/>
  <c r="O122" i="5" s="1"/>
  <c r="O123" i="5" s="1"/>
  <c r="Q118" i="5"/>
  <c r="Q119" i="5" s="1"/>
  <c r="Q120" i="5" s="1"/>
  <c r="Q121" i="5" s="1"/>
  <c r="Q122" i="5" s="1"/>
  <c r="Q123" i="5" s="1"/>
  <c r="C72" i="5"/>
  <c r="C73" i="5" s="1"/>
  <c r="W109" i="5"/>
  <c r="W110" i="5" s="1"/>
  <c r="W111" i="5" s="1"/>
  <c r="W112" i="5" s="1"/>
  <c r="K98" i="5"/>
  <c r="K99" i="5" s="1"/>
  <c r="K100" i="5" s="1"/>
  <c r="K101" i="5" s="1"/>
  <c r="Q98" i="5"/>
  <c r="Q99" i="5" s="1"/>
  <c r="Q100" i="5" s="1"/>
  <c r="Q101" i="5" s="1"/>
  <c r="U109" i="5"/>
  <c r="U110" i="5" s="1"/>
  <c r="U111" i="5" s="1"/>
  <c r="U112" i="5" s="1"/>
  <c r="M109" i="5"/>
  <c r="M110" i="5" s="1"/>
  <c r="M111" i="5" s="1"/>
  <c r="M112" i="5" s="1"/>
  <c r="Y98" i="5"/>
  <c r="Y99" i="5" s="1"/>
  <c r="Y100" i="5" s="1"/>
  <c r="Y101" i="5" s="1"/>
  <c r="U120" i="5"/>
  <c r="U121" i="5" s="1"/>
  <c r="U122" i="5" s="1"/>
  <c r="U123" i="5" s="1"/>
  <c r="I109" i="5"/>
  <c r="I110" i="5" s="1"/>
  <c r="I111" i="5" s="1"/>
  <c r="I112" i="5" s="1"/>
  <c r="C109" i="5"/>
  <c r="C110" i="5" s="1"/>
  <c r="C111" i="5" s="1"/>
  <c r="C112" i="5" s="1"/>
  <c r="Q109" i="5"/>
  <c r="Q110" i="5" s="1"/>
  <c r="Q111" i="5" s="1"/>
  <c r="Q112" i="5" s="1"/>
  <c r="K109" i="5"/>
  <c r="K110" i="5" s="1"/>
  <c r="K111" i="5" s="1"/>
  <c r="K112" i="5" s="1"/>
  <c r="E120" i="5"/>
  <c r="E121" i="5" s="1"/>
  <c r="E122" i="5" s="1"/>
  <c r="E123" i="5" s="1"/>
  <c r="G118" i="4"/>
  <c r="G119" i="4" s="1"/>
  <c r="I117" i="4"/>
  <c r="K117" i="4"/>
  <c r="K118" i="4" s="1"/>
  <c r="K119" i="4" s="1"/>
  <c r="M106" i="4"/>
  <c r="M107" i="4" s="1"/>
  <c r="M108" i="4" s="1"/>
  <c r="K106" i="4"/>
  <c r="K107" i="4" s="1"/>
  <c r="K108" i="4" s="1"/>
  <c r="F46" i="14" s="1"/>
  <c r="E118" i="4"/>
  <c r="E119" i="4" s="1"/>
  <c r="I95" i="4"/>
  <c r="I96" i="4" s="1"/>
  <c r="I97" i="4" s="1"/>
  <c r="O86" i="4"/>
  <c r="O87" i="4" s="1"/>
  <c r="O88" i="4" s="1"/>
  <c r="F95" i="4"/>
  <c r="C72" i="4"/>
  <c r="C73" i="4" s="1"/>
  <c r="G86" i="4"/>
  <c r="G87" i="4" s="1"/>
  <c r="G88" i="4" s="1"/>
  <c r="E95" i="4"/>
  <c r="C81" i="4"/>
  <c r="C82" i="4" s="1"/>
  <c r="C83" i="4" s="1"/>
  <c r="K86" i="4"/>
  <c r="K87" i="4" s="1"/>
  <c r="K88" i="4" s="1"/>
  <c r="C95" i="4"/>
  <c r="C86" i="4"/>
  <c r="C87" i="4" s="1"/>
  <c r="C88" i="4" s="1"/>
  <c r="S86" i="4"/>
  <c r="S87" i="4" s="1"/>
  <c r="S88" i="4" s="1"/>
  <c r="C71" i="3"/>
  <c r="C72" i="3" s="1"/>
  <c r="X106" i="2"/>
  <c r="X86" i="2"/>
  <c r="X87" i="2" s="1"/>
  <c r="X88" i="2" s="1"/>
  <c r="X89" i="2" s="1"/>
  <c r="M26" i="10" s="1"/>
  <c r="AD117" i="2"/>
  <c r="I128" i="2"/>
  <c r="H128" i="2"/>
  <c r="U128" i="2"/>
  <c r="D117" i="2"/>
  <c r="T117" i="2"/>
  <c r="AC117" i="2"/>
  <c r="Y117" i="2"/>
  <c r="AA117" i="2"/>
  <c r="C128" i="2"/>
  <c r="E128" i="2"/>
  <c r="P106" i="2"/>
  <c r="M117" i="2"/>
  <c r="U95" i="2"/>
  <c r="O118" i="2"/>
  <c r="O119" i="2" s="1"/>
  <c r="E73" i="10" s="1"/>
  <c r="Z81" i="2"/>
  <c r="Z82" i="2" s="1"/>
  <c r="Z83" i="2" s="1"/>
  <c r="Z84" i="2" s="1"/>
  <c r="R117" i="2"/>
  <c r="S81" i="2"/>
  <c r="S82" i="2" s="1"/>
  <c r="S83" i="2" s="1"/>
  <c r="S84" i="2" s="1"/>
  <c r="J117" i="2"/>
  <c r="R81" i="2"/>
  <c r="R82" i="2" s="1"/>
  <c r="R83" i="2" s="1"/>
  <c r="R84" i="2" s="1"/>
  <c r="K117" i="2"/>
  <c r="I117" i="2"/>
  <c r="H117" i="2"/>
  <c r="X71" i="2"/>
  <c r="X72" i="2" s="1"/>
  <c r="AF106" i="2"/>
  <c r="U81" i="2"/>
  <c r="U82" i="2" s="1"/>
  <c r="U83" i="2" s="1"/>
  <c r="U84" i="2" s="1"/>
  <c r="AB106" i="2"/>
  <c r="AD71" i="2"/>
  <c r="AD72" i="2" s="1"/>
  <c r="AD81" i="2"/>
  <c r="AD82" i="2" s="1"/>
  <c r="AD83" i="2" s="1"/>
  <c r="AD84" i="2" s="1"/>
  <c r="S86" i="2"/>
  <c r="S87" i="2" s="1"/>
  <c r="S88" i="2" s="1"/>
  <c r="S89" i="2" s="1"/>
  <c r="M21" i="10" s="1"/>
  <c r="R106" i="2"/>
  <c r="AC73" i="2"/>
  <c r="AC74" i="2" s="1"/>
  <c r="AD86" i="2"/>
  <c r="AD87" i="2" s="1"/>
  <c r="AD88" i="2" s="1"/>
  <c r="AD89" i="2" s="1"/>
  <c r="M32" i="10" s="1"/>
  <c r="S71" i="2"/>
  <c r="S72" i="2" s="1"/>
  <c r="Z86" i="2"/>
  <c r="Z87" i="2" s="1"/>
  <c r="Z88" i="2" s="1"/>
  <c r="Z89" i="2" s="1"/>
  <c r="M28" i="10" s="1"/>
  <c r="AB86" i="2"/>
  <c r="AB87" i="2" s="1"/>
  <c r="AB88" i="2" s="1"/>
  <c r="AB89" i="2" s="1"/>
  <c r="M30" i="10" s="1"/>
  <c r="L81" i="2"/>
  <c r="L82" i="2" s="1"/>
  <c r="L83" i="2" s="1"/>
  <c r="L84" i="2" s="1"/>
  <c r="P95" i="2"/>
  <c r="M106" i="2"/>
  <c r="O106" i="2"/>
  <c r="V95" i="2"/>
  <c r="L86" i="2"/>
  <c r="L87" i="2" s="1"/>
  <c r="L88" i="2" s="1"/>
  <c r="L89" i="2" s="1"/>
  <c r="M14" i="10" s="1"/>
  <c r="F106" i="2"/>
  <c r="K106" i="2"/>
  <c r="Z71" i="2"/>
  <c r="Z72" i="2" s="1"/>
  <c r="L71" i="2"/>
  <c r="L72" i="2" s="1"/>
  <c r="R71" i="2"/>
  <c r="R72" i="2" s="1"/>
  <c r="R86" i="2"/>
  <c r="R87" i="2" s="1"/>
  <c r="R88" i="2" s="1"/>
  <c r="R89" i="2" s="1"/>
  <c r="M20" i="10" s="1"/>
  <c r="C98" i="7" l="1"/>
  <c r="C99" i="7" s="1"/>
  <c r="C100" i="7" s="1"/>
  <c r="C101" i="7" s="1"/>
  <c r="G81" i="2"/>
  <c r="G82" i="2" s="1"/>
  <c r="G83" i="2" s="1"/>
  <c r="G84" i="2" s="1"/>
  <c r="E129" i="2"/>
  <c r="E130" i="2" s="1"/>
  <c r="E83" i="10" s="1"/>
  <c r="V81" i="2"/>
  <c r="V82" i="2" s="1"/>
  <c r="V83" i="2" s="1"/>
  <c r="V84" i="2" s="1"/>
  <c r="AC81" i="2"/>
  <c r="AC82" i="2" s="1"/>
  <c r="AC83" i="2" s="1"/>
  <c r="Z128" i="2"/>
  <c r="P128" i="2"/>
  <c r="AA128" i="2"/>
  <c r="AA129" i="2" s="1"/>
  <c r="AA130" i="2" s="1"/>
  <c r="E94" i="10" s="1"/>
  <c r="R95" i="2"/>
  <c r="H31" i="10"/>
  <c r="K118" i="6"/>
  <c r="K119" i="6" s="1"/>
  <c r="S96" i="4"/>
  <c r="S97" i="4" s="1"/>
  <c r="C96" i="4"/>
  <c r="C97" i="4" s="1"/>
  <c r="F30" i="14" s="1"/>
  <c r="C79" i="3"/>
  <c r="I5" i="11" s="1"/>
  <c r="H5" i="11"/>
  <c r="I107" i="7"/>
  <c r="I108" i="7" s="1"/>
  <c r="E45" i="15" s="1"/>
  <c r="E61" i="15"/>
  <c r="Q120" i="7"/>
  <c r="Q121" i="7" s="1"/>
  <c r="Q122" i="7" s="1"/>
  <c r="W96" i="4"/>
  <c r="W97" i="4" s="1"/>
  <c r="W98" i="4" s="1"/>
  <c r="W99" i="4" s="1"/>
  <c r="W100" i="4" s="1"/>
  <c r="W101" i="4" s="1"/>
  <c r="L30" i="10"/>
  <c r="K20" i="10"/>
  <c r="J20" i="10"/>
  <c r="K24" i="10"/>
  <c r="J24" i="10"/>
  <c r="F24" i="10"/>
  <c r="L20" i="10"/>
  <c r="L28" i="10"/>
  <c r="K23" i="10"/>
  <c r="J23" i="10"/>
  <c r="K5" i="10"/>
  <c r="J5" i="10"/>
  <c r="L5" i="10"/>
  <c r="L21" i="10"/>
  <c r="I20" i="10"/>
  <c r="H20" i="10"/>
  <c r="K28" i="10"/>
  <c r="J28" i="10"/>
  <c r="K21" i="10"/>
  <c r="J21" i="10"/>
  <c r="I14" i="10"/>
  <c r="H14" i="10"/>
  <c r="L32" i="10"/>
  <c r="F31" i="10"/>
  <c r="K32" i="10"/>
  <c r="J32" i="10"/>
  <c r="L26" i="10"/>
  <c r="AC86" i="2"/>
  <c r="AC87" i="2" s="1"/>
  <c r="AC88" i="2" s="1"/>
  <c r="AC89" i="2" s="1"/>
  <c r="M31" i="10" s="1"/>
  <c r="R128" i="2"/>
  <c r="N117" i="2"/>
  <c r="M118" i="2" s="1"/>
  <c r="M119" i="2" s="1"/>
  <c r="I21" i="10"/>
  <c r="H21" i="10"/>
  <c r="I28" i="10"/>
  <c r="H28" i="10"/>
  <c r="I25" i="10"/>
  <c r="H25" i="10"/>
  <c r="I32" i="10"/>
  <c r="H32" i="10"/>
  <c r="F23" i="10"/>
  <c r="K9" i="10"/>
  <c r="J9" i="10"/>
  <c r="L14" i="10"/>
  <c r="K14" i="10"/>
  <c r="J14" i="10"/>
  <c r="G25" i="10"/>
  <c r="I28" i="18"/>
  <c r="AA118" i="2"/>
  <c r="AA119" i="2" s="1"/>
  <c r="E79" i="10" s="1"/>
  <c r="J71" i="3"/>
  <c r="J72" i="3" s="1"/>
  <c r="Y128" i="2"/>
  <c r="Y129" i="2" s="1"/>
  <c r="Y130" i="2" s="1"/>
  <c r="E93" i="10" s="1"/>
  <c r="AB81" i="2"/>
  <c r="AB82" i="2" s="1"/>
  <c r="AB83" i="2" s="1"/>
  <c r="AB84" i="2" s="1"/>
  <c r="G129" i="2"/>
  <c r="G130" i="2" s="1"/>
  <c r="E84" i="10" s="1"/>
  <c r="F61" i="15"/>
  <c r="G30" i="15"/>
  <c r="C109" i="7"/>
  <c r="C110" i="7" s="1"/>
  <c r="C111" i="7" s="1"/>
  <c r="C112" i="7" s="1"/>
  <c r="E42" i="15"/>
  <c r="E109" i="7"/>
  <c r="E110" i="7" s="1"/>
  <c r="E111" i="7" s="1"/>
  <c r="E112" i="7" s="1"/>
  <c r="E43" i="15"/>
  <c r="M98" i="4"/>
  <c r="M99" i="4" s="1"/>
  <c r="M100" i="4" s="1"/>
  <c r="M101" i="4" s="1"/>
  <c r="F35" i="14"/>
  <c r="U98" i="4"/>
  <c r="U99" i="4" s="1"/>
  <c r="U100" i="4" s="1"/>
  <c r="U101" i="4" s="1"/>
  <c r="F39" i="14"/>
  <c r="W109" i="7"/>
  <c r="W110" i="7" s="1"/>
  <c r="W111" i="7" s="1"/>
  <c r="W112" i="7" s="1"/>
  <c r="E52" i="15"/>
  <c r="I98" i="7"/>
  <c r="I99" i="7" s="1"/>
  <c r="I100" i="7" s="1"/>
  <c r="I101" i="7" s="1"/>
  <c r="E33" i="15"/>
  <c r="O120" i="4"/>
  <c r="O121" i="4" s="1"/>
  <c r="O122" i="4" s="1"/>
  <c r="O123" i="4" s="1"/>
  <c r="F60" i="14"/>
  <c r="G120" i="4"/>
  <c r="G121" i="4" s="1"/>
  <c r="G122" i="4" s="1"/>
  <c r="G123" i="4" s="1"/>
  <c r="F56" i="14"/>
  <c r="O109" i="4"/>
  <c r="O110" i="4" s="1"/>
  <c r="O111" i="4" s="1"/>
  <c r="O112" i="4" s="1"/>
  <c r="F48" i="14"/>
  <c r="K98" i="7"/>
  <c r="K99" i="7" s="1"/>
  <c r="K100" i="7" s="1"/>
  <c r="K101" i="7" s="1"/>
  <c r="E34" i="15"/>
  <c r="Q98" i="7"/>
  <c r="Q99" i="7" s="1"/>
  <c r="Q100" i="7" s="1"/>
  <c r="Q101" i="7" s="1"/>
  <c r="E37" i="15"/>
  <c r="Q109" i="3"/>
  <c r="Q110" i="3" s="1"/>
  <c r="Q111" i="3" s="1"/>
  <c r="Q112" i="3" s="1"/>
  <c r="E49" i="11"/>
  <c r="S109" i="4"/>
  <c r="S110" i="4" s="1"/>
  <c r="S111" i="4" s="1"/>
  <c r="S112" i="4" s="1"/>
  <c r="F50" i="14"/>
  <c r="U120" i="4"/>
  <c r="U121" i="4" s="1"/>
  <c r="U122" i="4" s="1"/>
  <c r="U123" i="4" s="1"/>
  <c r="F63" i="14"/>
  <c r="I98" i="4"/>
  <c r="I99" i="4" s="1"/>
  <c r="I100" i="4" s="1"/>
  <c r="I101" i="4" s="1"/>
  <c r="F33" i="14"/>
  <c r="I120" i="3"/>
  <c r="I121" i="3" s="1"/>
  <c r="I122" i="3" s="1"/>
  <c r="I123" i="3" s="1"/>
  <c r="E58" i="11"/>
  <c r="E98" i="8"/>
  <c r="E99" i="8" s="1"/>
  <c r="E100" i="8" s="1"/>
  <c r="E101" i="8" s="1"/>
  <c r="E12" i="16"/>
  <c r="S109" i="7"/>
  <c r="S110" i="7" s="1"/>
  <c r="S111" i="7" s="1"/>
  <c r="S112" i="7" s="1"/>
  <c r="E50" i="15"/>
  <c r="C109" i="4"/>
  <c r="C110" i="4" s="1"/>
  <c r="C111" i="4" s="1"/>
  <c r="C112" i="4" s="1"/>
  <c r="F42" i="14"/>
  <c r="E120" i="4"/>
  <c r="E121" i="4" s="1"/>
  <c r="E122" i="4" s="1"/>
  <c r="E123" i="4" s="1"/>
  <c r="F55" i="14"/>
  <c r="C51" i="9"/>
  <c r="S98" i="4"/>
  <c r="S99" i="4" s="1"/>
  <c r="S100" i="4" s="1"/>
  <c r="S101" i="4" s="1"/>
  <c r="F38" i="14"/>
  <c r="Q109" i="4"/>
  <c r="Q110" i="4" s="1"/>
  <c r="Q111" i="4" s="1"/>
  <c r="Q112" i="4" s="1"/>
  <c r="F49" i="14"/>
  <c r="AA120" i="7"/>
  <c r="AA121" i="7" s="1"/>
  <c r="AA122" i="7" s="1"/>
  <c r="AA123" i="7" s="1"/>
  <c r="E66" i="15"/>
  <c r="G67" i="15"/>
  <c r="F67" i="15"/>
  <c r="Y98" i="4"/>
  <c r="Y99" i="4" s="1"/>
  <c r="Y100" i="4" s="1"/>
  <c r="Y101" i="4" s="1"/>
  <c r="F41" i="14"/>
  <c r="G98" i="7"/>
  <c r="G99" i="7" s="1"/>
  <c r="G100" i="7" s="1"/>
  <c r="G101" i="7" s="1"/>
  <c r="E32" i="15"/>
  <c r="M109" i="4"/>
  <c r="M110" i="4" s="1"/>
  <c r="M111" i="4" s="1"/>
  <c r="M112" i="4" s="1"/>
  <c r="F47" i="14"/>
  <c r="G62" i="15"/>
  <c r="F62" i="15"/>
  <c r="G55" i="15"/>
  <c r="F55" i="15"/>
  <c r="Y98" i="7"/>
  <c r="Y99" i="7" s="1"/>
  <c r="Y100" i="7" s="1"/>
  <c r="Y101" i="7" s="1"/>
  <c r="E41" i="15"/>
  <c r="Y120" i="7"/>
  <c r="Y121" i="7" s="1"/>
  <c r="Y122" i="7" s="1"/>
  <c r="Y123" i="7" s="1"/>
  <c r="E65" i="15"/>
  <c r="U109" i="4"/>
  <c r="U110" i="4" s="1"/>
  <c r="U111" i="4" s="1"/>
  <c r="U112" i="4" s="1"/>
  <c r="F51" i="14"/>
  <c r="G98" i="4"/>
  <c r="G99" i="4" s="1"/>
  <c r="G100" i="4" s="1"/>
  <c r="G101" i="4" s="1"/>
  <c r="F32" i="14"/>
  <c r="E109" i="4"/>
  <c r="E110" i="4" s="1"/>
  <c r="E111" i="4" s="1"/>
  <c r="E112" i="4" s="1"/>
  <c r="F43" i="14"/>
  <c r="S98" i="7"/>
  <c r="S99" i="7" s="1"/>
  <c r="S100" i="7" s="1"/>
  <c r="S101" i="7" s="1"/>
  <c r="E38" i="15"/>
  <c r="K98" i="4"/>
  <c r="K99" i="4" s="1"/>
  <c r="K100" i="4" s="1"/>
  <c r="K101" i="4" s="1"/>
  <c r="F34" i="14"/>
  <c r="K120" i="4"/>
  <c r="K121" i="4" s="1"/>
  <c r="K122" i="4" s="1"/>
  <c r="K123" i="4" s="1"/>
  <c r="F58" i="14"/>
  <c r="U98" i="7"/>
  <c r="U99" i="7" s="1"/>
  <c r="U100" i="7" s="1"/>
  <c r="U101" i="7" s="1"/>
  <c r="E39" i="15"/>
  <c r="M98" i="7"/>
  <c r="M99" i="7" s="1"/>
  <c r="M100" i="7" s="1"/>
  <c r="M101" i="7" s="1"/>
  <c r="E35" i="15"/>
  <c r="W98" i="7"/>
  <c r="W99" i="7" s="1"/>
  <c r="W100" i="7" s="1"/>
  <c r="W101" i="7" s="1"/>
  <c r="E40" i="15"/>
  <c r="E70" i="3"/>
  <c r="E71" i="3" s="1"/>
  <c r="E72" i="3" s="1"/>
  <c r="E73" i="3" s="1"/>
  <c r="I107" i="4"/>
  <c r="I108" i="4" s="1"/>
  <c r="I118" i="7"/>
  <c r="I119" i="7" s="1"/>
  <c r="C73" i="8"/>
  <c r="C74" i="8" s="1"/>
  <c r="Q107" i="7"/>
  <c r="Q108" i="7" s="1"/>
  <c r="W71" i="7"/>
  <c r="W72" i="7" s="1"/>
  <c r="W73" i="7" s="1"/>
  <c r="M73" i="6"/>
  <c r="Q73" i="6"/>
  <c r="Q90" i="6" s="1"/>
  <c r="K90" i="6"/>
  <c r="W90" i="5"/>
  <c r="W90" i="6"/>
  <c r="M118" i="4"/>
  <c r="M119" i="4" s="1"/>
  <c r="F59" i="14" s="1"/>
  <c r="I118" i="4"/>
  <c r="I119" i="4" s="1"/>
  <c r="O95" i="4"/>
  <c r="O96" i="4" s="1"/>
  <c r="O97" i="4" s="1"/>
  <c r="W107" i="4"/>
  <c r="W108" i="4" s="1"/>
  <c r="Q95" i="4"/>
  <c r="Q96" i="4" s="1"/>
  <c r="Q97" i="4" s="1"/>
  <c r="F37" i="14" s="1"/>
  <c r="I71" i="4"/>
  <c r="I72" i="4" s="1"/>
  <c r="I73" i="4" s="1"/>
  <c r="G107" i="4"/>
  <c r="G108" i="4" s="1"/>
  <c r="F44" i="14" s="1"/>
  <c r="H73" i="4"/>
  <c r="G107" i="3"/>
  <c r="G108" i="3" s="1"/>
  <c r="E44" i="11" s="1"/>
  <c r="P95" i="3"/>
  <c r="D95" i="3"/>
  <c r="C96" i="3" s="1"/>
  <c r="C97" i="3" s="1"/>
  <c r="E29" i="11" s="1"/>
  <c r="K73" i="3"/>
  <c r="D81" i="3"/>
  <c r="D82" i="3" s="1"/>
  <c r="D83" i="3" s="1"/>
  <c r="W73" i="3"/>
  <c r="D71" i="3"/>
  <c r="D72" i="3" s="1"/>
  <c r="D73" i="3" s="1"/>
  <c r="I95" i="3"/>
  <c r="J73" i="3"/>
  <c r="U80" i="3"/>
  <c r="U81" i="3" s="1"/>
  <c r="U82" i="3" s="1"/>
  <c r="U83" i="3" s="1"/>
  <c r="E80" i="3"/>
  <c r="K95" i="3" s="1"/>
  <c r="N80" i="3"/>
  <c r="U85" i="3"/>
  <c r="E86" i="3"/>
  <c r="E87" i="3" s="1"/>
  <c r="E88" i="3" s="1"/>
  <c r="J95" i="3"/>
  <c r="R85" i="3"/>
  <c r="R80" i="3"/>
  <c r="U71" i="3"/>
  <c r="U72" i="3" s="1"/>
  <c r="U73" i="3" s="1"/>
  <c r="O85" i="3"/>
  <c r="O70" i="3"/>
  <c r="O80" i="3"/>
  <c r="F80" i="3"/>
  <c r="F70" i="3"/>
  <c r="F85" i="3"/>
  <c r="G80" i="3"/>
  <c r="G85" i="3"/>
  <c r="G70" i="3"/>
  <c r="L70" i="3"/>
  <c r="L80" i="3"/>
  <c r="L85" i="3"/>
  <c r="V85" i="3"/>
  <c r="V70" i="3"/>
  <c r="V80" i="3"/>
  <c r="H70" i="3"/>
  <c r="H85" i="3"/>
  <c r="H80" i="3"/>
  <c r="S70" i="3"/>
  <c r="S85" i="3"/>
  <c r="S80" i="3"/>
  <c r="I80" i="3"/>
  <c r="I85" i="3"/>
  <c r="I70" i="3"/>
  <c r="N86" i="3"/>
  <c r="N87" i="3" s="1"/>
  <c r="N88" i="3" s="1"/>
  <c r="U106" i="3"/>
  <c r="U107" i="3" s="1"/>
  <c r="U108" i="3" s="1"/>
  <c r="T106" i="3"/>
  <c r="S107" i="3" s="1"/>
  <c r="S108" i="3" s="1"/>
  <c r="C117" i="4"/>
  <c r="C118" i="4" s="1"/>
  <c r="C119" i="4" s="1"/>
  <c r="Y106" i="4"/>
  <c r="Y107" i="4" s="1"/>
  <c r="Y108" i="4" s="1"/>
  <c r="F53" i="14" s="1"/>
  <c r="I86" i="4"/>
  <c r="I87" i="4" s="1"/>
  <c r="I88" i="4" s="1"/>
  <c r="I118" i="6"/>
  <c r="I119" i="6" s="1"/>
  <c r="I120" i="6" s="1"/>
  <c r="I121" i="6" s="1"/>
  <c r="I122" i="6" s="1"/>
  <c r="I123" i="6" s="1"/>
  <c r="T73" i="6"/>
  <c r="T90" i="6" s="1"/>
  <c r="V117" i="7"/>
  <c r="U118" i="7" s="1"/>
  <c r="U119" i="7" s="1"/>
  <c r="E63" i="15" s="1"/>
  <c r="P86" i="7"/>
  <c r="P87" i="7" s="1"/>
  <c r="P88" i="7" s="1"/>
  <c r="P71" i="7"/>
  <c r="P72" i="7" s="1"/>
  <c r="L86" i="7"/>
  <c r="L87" i="7" s="1"/>
  <c r="L88" i="7" s="1"/>
  <c r="M117" i="7"/>
  <c r="M118" i="7" s="1"/>
  <c r="M119" i="7" s="1"/>
  <c r="L117" i="7"/>
  <c r="K118" i="7" s="1"/>
  <c r="K119" i="7" s="1"/>
  <c r="H117" i="7"/>
  <c r="G118" i="7" s="1"/>
  <c r="G119" i="7" s="1"/>
  <c r="L81" i="7"/>
  <c r="L82" i="7" s="1"/>
  <c r="L83" i="7" s="1"/>
  <c r="O117" i="7"/>
  <c r="O118" i="7" s="1"/>
  <c r="O119" i="7" s="1"/>
  <c r="H106" i="7"/>
  <c r="G107" i="7" s="1"/>
  <c r="G108" i="7" s="1"/>
  <c r="H73" i="7"/>
  <c r="I85" i="7"/>
  <c r="I80" i="7"/>
  <c r="I70" i="7"/>
  <c r="W86" i="7"/>
  <c r="W87" i="7" s="1"/>
  <c r="W88" i="7" s="1"/>
  <c r="X117" i="7"/>
  <c r="W118" i="7" s="1"/>
  <c r="W119" i="7" s="1"/>
  <c r="N90" i="6"/>
  <c r="P90" i="5"/>
  <c r="X90" i="7"/>
  <c r="P90" i="6"/>
  <c r="J90" i="7"/>
  <c r="R73" i="3"/>
  <c r="M73" i="3"/>
  <c r="G71" i="2"/>
  <c r="G72" i="2" s="1"/>
  <c r="E131" i="2"/>
  <c r="E132" i="2" s="1"/>
  <c r="E133" i="2" s="1"/>
  <c r="E134" i="2" s="1"/>
  <c r="D71" i="2"/>
  <c r="D72" i="2" s="1"/>
  <c r="D73" i="2" s="1"/>
  <c r="D74" i="2" s="1"/>
  <c r="AA131" i="2"/>
  <c r="AA132" i="2" s="1"/>
  <c r="AA133" i="2" s="1"/>
  <c r="AA134" i="2" s="1"/>
  <c r="O120" i="2"/>
  <c r="O121" i="2" s="1"/>
  <c r="O122" i="2" s="1"/>
  <c r="O123" i="2" s="1"/>
  <c r="C71" i="2"/>
  <c r="C72" i="2" s="1"/>
  <c r="C73" i="2" s="1"/>
  <c r="C74" i="2" s="1"/>
  <c r="J90" i="5"/>
  <c r="O90" i="5"/>
  <c r="S90" i="6"/>
  <c r="U90" i="6"/>
  <c r="V90" i="6"/>
  <c r="O90" i="6"/>
  <c r="R90" i="7"/>
  <c r="J90" i="6"/>
  <c r="N90" i="5"/>
  <c r="U90" i="7"/>
  <c r="V90" i="5"/>
  <c r="K90" i="7"/>
  <c r="S90" i="7"/>
  <c r="T90" i="7"/>
  <c r="L90" i="5"/>
  <c r="Q90" i="7"/>
  <c r="V90" i="7"/>
  <c r="O90" i="7"/>
  <c r="T90" i="5"/>
  <c r="N90" i="7"/>
  <c r="R90" i="5"/>
  <c r="U90" i="5"/>
  <c r="Q90" i="5"/>
  <c r="D73" i="5"/>
  <c r="G73" i="4"/>
  <c r="G90" i="5" s="1"/>
  <c r="X90" i="5"/>
  <c r="K90" i="5"/>
  <c r="S90" i="5"/>
  <c r="D73" i="4"/>
  <c r="C95" i="2"/>
  <c r="E95" i="2"/>
  <c r="C98" i="8"/>
  <c r="C99" i="8" s="1"/>
  <c r="C100" i="8" s="1"/>
  <c r="C101" i="8" s="1"/>
  <c r="O106" i="7"/>
  <c r="O107" i="7" s="1"/>
  <c r="O108" i="7" s="1"/>
  <c r="G81" i="7"/>
  <c r="G82" i="7" s="1"/>
  <c r="G83" i="7" s="1"/>
  <c r="F95" i="7"/>
  <c r="E96" i="7" s="1"/>
  <c r="E97" i="7" s="1"/>
  <c r="G71" i="7"/>
  <c r="G72" i="7" s="1"/>
  <c r="G86" i="7"/>
  <c r="G87" i="7" s="1"/>
  <c r="G88" i="7" s="1"/>
  <c r="M106" i="7"/>
  <c r="M107" i="7" s="1"/>
  <c r="M108" i="7" s="1"/>
  <c r="K106" i="7"/>
  <c r="K107" i="7" s="1"/>
  <c r="K108" i="7" s="1"/>
  <c r="C73" i="7"/>
  <c r="O98" i="7"/>
  <c r="O99" i="7" s="1"/>
  <c r="O100" i="7" s="1"/>
  <c r="O101" i="7" s="1"/>
  <c r="O118" i="6"/>
  <c r="O119" i="6" s="1"/>
  <c r="O120" i="6" s="1"/>
  <c r="O121" i="6" s="1"/>
  <c r="O122" i="6" s="1"/>
  <c r="O123" i="6" s="1"/>
  <c r="G73" i="6"/>
  <c r="G90" i="6" s="1"/>
  <c r="I73" i="6"/>
  <c r="L73" i="6"/>
  <c r="L90" i="6" s="1"/>
  <c r="E96" i="6"/>
  <c r="E97" i="6" s="1"/>
  <c r="E98" i="6" s="1"/>
  <c r="E99" i="6" s="1"/>
  <c r="E100" i="6" s="1"/>
  <c r="E101" i="6" s="1"/>
  <c r="C120" i="6"/>
  <c r="C121" i="6" s="1"/>
  <c r="C122" i="6" s="1"/>
  <c r="C123" i="6" s="1"/>
  <c r="M109" i="6"/>
  <c r="M110" i="6" s="1"/>
  <c r="M111" i="6" s="1"/>
  <c r="M112" i="6" s="1"/>
  <c r="G120" i="6"/>
  <c r="G121" i="6" s="1"/>
  <c r="G122" i="6" s="1"/>
  <c r="G123" i="6" s="1"/>
  <c r="G98" i="6"/>
  <c r="G99" i="6" s="1"/>
  <c r="G100" i="6" s="1"/>
  <c r="G101" i="6" s="1"/>
  <c r="S109" i="6"/>
  <c r="S110" i="6" s="1"/>
  <c r="S111" i="6" s="1"/>
  <c r="S112" i="6" s="1"/>
  <c r="X90" i="6"/>
  <c r="K98" i="6"/>
  <c r="K99" i="6" s="1"/>
  <c r="K100" i="6" s="1"/>
  <c r="K101" i="6" s="1"/>
  <c r="K120" i="6"/>
  <c r="K121" i="6" s="1"/>
  <c r="K122" i="6" s="1"/>
  <c r="K123" i="6" s="1"/>
  <c r="Q109" i="6"/>
  <c r="Q110" i="6" s="1"/>
  <c r="Q111" i="6" s="1"/>
  <c r="Q112" i="6" s="1"/>
  <c r="E120" i="6"/>
  <c r="E121" i="6" s="1"/>
  <c r="E122" i="6" s="1"/>
  <c r="E123" i="6" s="1"/>
  <c r="M98" i="6"/>
  <c r="M99" i="6" s="1"/>
  <c r="M100" i="6" s="1"/>
  <c r="M101" i="6" s="1"/>
  <c r="W107" i="6"/>
  <c r="W108" i="6" s="1"/>
  <c r="O98" i="6"/>
  <c r="O99" i="6" s="1"/>
  <c r="O100" i="6" s="1"/>
  <c r="O101" i="6" s="1"/>
  <c r="G109" i="6"/>
  <c r="G110" i="6" s="1"/>
  <c r="G111" i="6" s="1"/>
  <c r="G112" i="6" s="1"/>
  <c r="C109" i="6"/>
  <c r="C110" i="6" s="1"/>
  <c r="C111" i="6" s="1"/>
  <c r="C112" i="6" s="1"/>
  <c r="M120" i="6"/>
  <c r="M121" i="6" s="1"/>
  <c r="M122" i="6" s="1"/>
  <c r="M123" i="6" s="1"/>
  <c r="K109" i="6"/>
  <c r="K110" i="6" s="1"/>
  <c r="K111" i="6" s="1"/>
  <c r="K112" i="6" s="1"/>
  <c r="C96" i="6"/>
  <c r="C97" i="6" s="1"/>
  <c r="U109" i="6"/>
  <c r="U110" i="6" s="1"/>
  <c r="U111" i="6" s="1"/>
  <c r="U112" i="6" s="1"/>
  <c r="O109" i="6"/>
  <c r="O110" i="6" s="1"/>
  <c r="O111" i="6" s="1"/>
  <c r="O112" i="6" s="1"/>
  <c r="Q98" i="6"/>
  <c r="Q99" i="6" s="1"/>
  <c r="Q100" i="6" s="1"/>
  <c r="Q101" i="6" s="1"/>
  <c r="C90" i="6"/>
  <c r="F90" i="5"/>
  <c r="H73" i="5"/>
  <c r="M90" i="7"/>
  <c r="E90" i="7"/>
  <c r="G118" i="2"/>
  <c r="G119" i="2" s="1"/>
  <c r="E69" i="10" s="1"/>
  <c r="V86" i="2"/>
  <c r="V87" i="2" s="1"/>
  <c r="V88" i="2" s="1"/>
  <c r="V89" i="2" s="1"/>
  <c r="M24" i="10" s="1"/>
  <c r="Z117" i="2"/>
  <c r="Y118" i="2" s="1"/>
  <c r="Y119" i="2" s="1"/>
  <c r="E78" i="10" s="1"/>
  <c r="AE117" i="2"/>
  <c r="AC118" i="2"/>
  <c r="AC119" i="2" s="1"/>
  <c r="E80" i="10" s="1"/>
  <c r="U96" i="2"/>
  <c r="U97" i="2" s="1"/>
  <c r="E46" i="10" s="1"/>
  <c r="E96" i="4"/>
  <c r="E97" i="4" s="1"/>
  <c r="Q120" i="4"/>
  <c r="Q121" i="4" s="1"/>
  <c r="Q122" i="4" s="1"/>
  <c r="Q123" i="4" s="1"/>
  <c r="K109" i="4"/>
  <c r="K110" i="4" s="1"/>
  <c r="K111" i="4" s="1"/>
  <c r="K112" i="4" s="1"/>
  <c r="C98" i="4"/>
  <c r="C99" i="4" s="1"/>
  <c r="C100" i="4" s="1"/>
  <c r="C101" i="4" s="1"/>
  <c r="S120" i="4"/>
  <c r="S121" i="4" s="1"/>
  <c r="S122" i="4" s="1"/>
  <c r="S123" i="4" s="1"/>
  <c r="C73" i="3"/>
  <c r="AE95" i="2"/>
  <c r="AA81" i="2"/>
  <c r="AA82" i="2" s="1"/>
  <c r="AA83" i="2" s="1"/>
  <c r="AA84" i="2" s="1"/>
  <c r="T128" i="2"/>
  <c r="S129" i="2" s="1"/>
  <c r="S130" i="2" s="1"/>
  <c r="E90" i="10" s="1"/>
  <c r="W128" i="2"/>
  <c r="W129" i="2" s="1"/>
  <c r="W130" i="2" s="1"/>
  <c r="E92" i="10" s="1"/>
  <c r="O107" i="2"/>
  <c r="O108" i="2" s="1"/>
  <c r="E58" i="10" s="1"/>
  <c r="L117" i="2"/>
  <c r="K118" i="2" s="1"/>
  <c r="K119" i="2" s="1"/>
  <c r="E71" i="10" s="1"/>
  <c r="L128" i="2"/>
  <c r="K129" i="2" s="1"/>
  <c r="K130" i="2" s="1"/>
  <c r="E86" i="10" s="1"/>
  <c r="O128" i="2"/>
  <c r="I118" i="2"/>
  <c r="I119" i="2" s="1"/>
  <c r="E70" i="10" s="1"/>
  <c r="C129" i="2"/>
  <c r="C130" i="2" s="1"/>
  <c r="E82" i="10" s="1"/>
  <c r="F117" i="2"/>
  <c r="Q128" i="2"/>
  <c r="M128" i="2"/>
  <c r="M129" i="2" s="1"/>
  <c r="M130" i="2" s="1"/>
  <c r="E87" i="10" s="1"/>
  <c r="AF95" i="2"/>
  <c r="AA86" i="2"/>
  <c r="AA87" i="2" s="1"/>
  <c r="AA88" i="2" s="1"/>
  <c r="AA89" i="2" s="1"/>
  <c r="M29" i="10" s="1"/>
  <c r="J128" i="2"/>
  <c r="I129" i="2" s="1"/>
  <c r="I130" i="2" s="1"/>
  <c r="E85" i="10" s="1"/>
  <c r="AE81" i="2"/>
  <c r="AE82" i="2" s="1"/>
  <c r="AE83" i="2" s="1"/>
  <c r="AE84" i="2" s="1"/>
  <c r="V128" i="2"/>
  <c r="U129" i="2" s="1"/>
  <c r="U130" i="2" s="1"/>
  <c r="E91" i="10" s="1"/>
  <c r="AF117" i="2"/>
  <c r="S117" i="2"/>
  <c r="S118" i="2" s="1"/>
  <c r="S119" i="2" s="1"/>
  <c r="E75" i="10" s="1"/>
  <c r="Q117" i="2"/>
  <c r="Q118" i="2" s="1"/>
  <c r="Q119" i="2" s="1"/>
  <c r="E74" i="10" s="1"/>
  <c r="U117" i="2"/>
  <c r="U118" i="2" s="1"/>
  <c r="U119" i="2" s="1"/>
  <c r="E76" i="10" s="1"/>
  <c r="W117" i="2"/>
  <c r="AE86" i="2"/>
  <c r="AE87" i="2" s="1"/>
  <c r="AE88" i="2" s="1"/>
  <c r="AE89" i="2" s="1"/>
  <c r="M33" i="10" s="1"/>
  <c r="X117" i="2"/>
  <c r="X73" i="2"/>
  <c r="X74" i="2" s="1"/>
  <c r="I107" i="2"/>
  <c r="I108" i="2" s="1"/>
  <c r="E55" i="10" s="1"/>
  <c r="E107" i="2"/>
  <c r="E108" i="2" s="1"/>
  <c r="E53" i="10" s="1"/>
  <c r="AD73" i="2"/>
  <c r="AD74" i="2" s="1"/>
  <c r="P81" i="2"/>
  <c r="P82" i="2" s="1"/>
  <c r="P83" i="2" s="1"/>
  <c r="P84" i="2" s="1"/>
  <c r="H106" i="2"/>
  <c r="AE106" i="2"/>
  <c r="AE107" i="2" s="1"/>
  <c r="AE108" i="2" s="1"/>
  <c r="E66" i="10" s="1"/>
  <c r="Q86" i="2"/>
  <c r="Q87" i="2" s="1"/>
  <c r="Q88" i="2" s="1"/>
  <c r="Q89" i="2" s="1"/>
  <c r="M19" i="10" s="1"/>
  <c r="AD106" i="2"/>
  <c r="C117" i="2"/>
  <c r="C118" i="2" s="1"/>
  <c r="C119" i="2" s="1"/>
  <c r="E67" i="10" s="1"/>
  <c r="N86" i="2"/>
  <c r="N87" i="2" s="1"/>
  <c r="N88" i="2" s="1"/>
  <c r="N89" i="2" s="1"/>
  <c r="M16" i="10" s="1"/>
  <c r="U106" i="2"/>
  <c r="W106" i="2"/>
  <c r="W107" i="2" s="1"/>
  <c r="W108" i="2" s="1"/>
  <c r="E62" i="10" s="1"/>
  <c r="F86" i="2"/>
  <c r="F87" i="2" s="1"/>
  <c r="F88" i="2" s="1"/>
  <c r="F89" i="2" s="1"/>
  <c r="M8" i="10" s="1"/>
  <c r="L95" i="2"/>
  <c r="Q95" i="2"/>
  <c r="O86" i="2"/>
  <c r="O87" i="2" s="1"/>
  <c r="O88" i="2" s="1"/>
  <c r="O89" i="2" s="1"/>
  <c r="M17" i="10" s="1"/>
  <c r="V106" i="2"/>
  <c r="Y106" i="2"/>
  <c r="D81" i="2"/>
  <c r="D82" i="2" s="1"/>
  <c r="D83" i="2" s="1"/>
  <c r="D84" i="2" s="1"/>
  <c r="I95" i="2"/>
  <c r="T86" i="2"/>
  <c r="T87" i="2" s="1"/>
  <c r="T88" i="2" s="1"/>
  <c r="T89" i="2" s="1"/>
  <c r="M22" i="10" s="1"/>
  <c r="AA71" i="2"/>
  <c r="AA72" i="2" s="1"/>
  <c r="Y86" i="2"/>
  <c r="Y87" i="2" s="1"/>
  <c r="Y88" i="2" s="1"/>
  <c r="Y89" i="2" s="1"/>
  <c r="M27" i="10" s="1"/>
  <c r="S96" i="2"/>
  <c r="S97" i="2" s="1"/>
  <c r="E45" i="10" s="1"/>
  <c r="AB71" i="2"/>
  <c r="AB72" i="2" s="1"/>
  <c r="Q81" i="2"/>
  <c r="Q82" i="2" s="1"/>
  <c r="Q83" i="2" s="1"/>
  <c r="Q84" i="2" s="1"/>
  <c r="N106" i="2"/>
  <c r="M107" i="2" s="1"/>
  <c r="M108" i="2" s="1"/>
  <c r="E57" i="10" s="1"/>
  <c r="E117" i="2"/>
  <c r="J81" i="2"/>
  <c r="J82" i="2" s="1"/>
  <c r="J83" i="2" s="1"/>
  <c r="J84" i="2" s="1"/>
  <c r="C106" i="2"/>
  <c r="J95" i="2"/>
  <c r="AC95" i="2"/>
  <c r="O81" i="2"/>
  <c r="O82" i="2" s="1"/>
  <c r="O83" i="2" s="1"/>
  <c r="O84" i="2" s="1"/>
  <c r="D106" i="2"/>
  <c r="AA106" i="2"/>
  <c r="AA107" i="2" s="1"/>
  <c r="AA108" i="2" s="1"/>
  <c r="E64" i="10" s="1"/>
  <c r="D86" i="2"/>
  <c r="D87" i="2" s="1"/>
  <c r="D88" i="2" s="1"/>
  <c r="D89" i="2" s="1"/>
  <c r="M6" i="10" s="1"/>
  <c r="D95" i="2"/>
  <c r="G95" i="2"/>
  <c r="Z73" i="2"/>
  <c r="Z74" i="2" s="1"/>
  <c r="I81" i="2"/>
  <c r="I82" i="2" s="1"/>
  <c r="I83" i="2" s="1"/>
  <c r="I84" i="2" s="1"/>
  <c r="Y95" i="2"/>
  <c r="M86" i="2"/>
  <c r="M87" i="2" s="1"/>
  <c r="M88" i="2" s="1"/>
  <c r="M89" i="2" s="1"/>
  <c r="M15" i="10" s="1"/>
  <c r="X95" i="2"/>
  <c r="W96" i="2" s="1"/>
  <c r="W97" i="2" s="1"/>
  <c r="E47" i="10" s="1"/>
  <c r="Q106" i="2"/>
  <c r="Q107" i="2" s="1"/>
  <c r="Q108" i="2" s="1"/>
  <c r="E59" i="10" s="1"/>
  <c r="F81" i="2"/>
  <c r="F82" i="2" s="1"/>
  <c r="F83" i="2" s="1"/>
  <c r="F84" i="2" s="1"/>
  <c r="O95" i="2"/>
  <c r="O96" i="2" s="1"/>
  <c r="O97" i="2" s="1"/>
  <c r="E43" i="10" s="1"/>
  <c r="T106" i="2"/>
  <c r="T81" i="2"/>
  <c r="T82" i="2" s="1"/>
  <c r="T83" i="2" s="1"/>
  <c r="T84" i="2" s="1"/>
  <c r="Y81" i="2"/>
  <c r="Y82" i="2" s="1"/>
  <c r="Y83" i="2" s="1"/>
  <c r="Y84" i="2" s="1"/>
  <c r="AE71" i="2"/>
  <c r="AE72" i="2" s="1"/>
  <c r="K81" i="2"/>
  <c r="K82" i="2" s="1"/>
  <c r="K83" i="2" s="1"/>
  <c r="K84" i="2" s="1"/>
  <c r="G106" i="2"/>
  <c r="N95" i="2"/>
  <c r="P86" i="2"/>
  <c r="P87" i="2" s="1"/>
  <c r="P88" i="2" s="1"/>
  <c r="P89" i="2" s="1"/>
  <c r="M18" i="10" s="1"/>
  <c r="Z106" i="2"/>
  <c r="AC106" i="2"/>
  <c r="E86" i="2"/>
  <c r="E87" i="2" s="1"/>
  <c r="E88" i="2" s="1"/>
  <c r="E89" i="2" s="1"/>
  <c r="M7" i="10" s="1"/>
  <c r="H95" i="2"/>
  <c r="K95" i="2"/>
  <c r="AB95" i="2"/>
  <c r="AD95" i="2"/>
  <c r="S106" i="2"/>
  <c r="I86" i="2"/>
  <c r="I87" i="2" s="1"/>
  <c r="I88" i="2" s="1"/>
  <c r="I89" i="2" s="1"/>
  <c r="M11" i="10" s="1"/>
  <c r="AA95" i="2"/>
  <c r="F95" i="2"/>
  <c r="E81" i="2"/>
  <c r="E82" i="2" s="1"/>
  <c r="E83" i="2" s="1"/>
  <c r="E84" i="2" s="1"/>
  <c r="M95" i="2"/>
  <c r="J86" i="2"/>
  <c r="J87" i="2" s="1"/>
  <c r="J88" i="2" s="1"/>
  <c r="J89" i="2" s="1"/>
  <c r="M12" i="10" s="1"/>
  <c r="Z95" i="2"/>
  <c r="M81" i="2"/>
  <c r="M82" i="2" s="1"/>
  <c r="M83" i="2" s="1"/>
  <c r="M84" i="2" s="1"/>
  <c r="L106" i="2"/>
  <c r="K107" i="2" s="1"/>
  <c r="K108" i="2" s="1"/>
  <c r="E56" i="10" s="1"/>
  <c r="T71" i="2"/>
  <c r="T72" i="2" s="1"/>
  <c r="S73" i="2"/>
  <c r="S74" i="2" s="1"/>
  <c r="Y71" i="2"/>
  <c r="Y72" i="2" s="1"/>
  <c r="L73" i="2"/>
  <c r="L74" i="2" s="1"/>
  <c r="G73" i="2"/>
  <c r="G74" i="2" s="1"/>
  <c r="Q71" i="2"/>
  <c r="Q72" i="2" s="1"/>
  <c r="Q73" i="2" s="1"/>
  <c r="Q74" i="2" s="1"/>
  <c r="I73" i="2"/>
  <c r="I74" i="2" s="1"/>
  <c r="J71" i="2"/>
  <c r="J72" i="2" s="1"/>
  <c r="J73" i="2" s="1"/>
  <c r="J74" i="2" s="1"/>
  <c r="E71" i="2"/>
  <c r="E72" i="2" s="1"/>
  <c r="N81" i="2"/>
  <c r="N82" i="2" s="1"/>
  <c r="N83" i="2" s="1"/>
  <c r="N84" i="2" s="1"/>
  <c r="H81" i="2"/>
  <c r="H82" i="2" s="1"/>
  <c r="H83" i="2" s="1"/>
  <c r="H84" i="2" s="1"/>
  <c r="F71" i="2"/>
  <c r="F72" i="2" s="1"/>
  <c r="F73" i="2" s="1"/>
  <c r="F74" i="2" s="1"/>
  <c r="K86" i="2"/>
  <c r="K87" i="2" s="1"/>
  <c r="K88" i="2" s="1"/>
  <c r="K89" i="2" s="1"/>
  <c r="M13" i="10" s="1"/>
  <c r="O71" i="2"/>
  <c r="O72" i="2" s="1"/>
  <c r="K71" i="2"/>
  <c r="K72" i="2" s="1"/>
  <c r="K73" i="2" s="1"/>
  <c r="K74" i="2" s="1"/>
  <c r="P71" i="2"/>
  <c r="P72" i="2" s="1"/>
  <c r="N71" i="2"/>
  <c r="N72" i="2" s="1"/>
  <c r="H71" i="2"/>
  <c r="H72" i="2" s="1"/>
  <c r="R73" i="2"/>
  <c r="R74" i="2" s="1"/>
  <c r="H86" i="2"/>
  <c r="H87" i="2" s="1"/>
  <c r="H88" i="2" s="1"/>
  <c r="H89" i="2" s="1"/>
  <c r="M10" i="10" s="1"/>
  <c r="M71" i="2"/>
  <c r="M72" i="2" s="1"/>
  <c r="F30" i="15" l="1"/>
  <c r="I109" i="7"/>
  <c r="I110" i="7" s="1"/>
  <c r="I111" i="7" s="1"/>
  <c r="I112" i="7" s="1"/>
  <c r="Q123" i="7"/>
  <c r="G61" i="15" s="1"/>
  <c r="Q96" i="2"/>
  <c r="Q97" i="2" s="1"/>
  <c r="E44" i="10" s="1"/>
  <c r="O129" i="2"/>
  <c r="O130" i="2" s="1"/>
  <c r="AC84" i="2"/>
  <c r="K31" i="10" s="1"/>
  <c r="J31" i="10"/>
  <c r="F40" i="14"/>
  <c r="G109" i="4"/>
  <c r="G110" i="4" s="1"/>
  <c r="G111" i="4" s="1"/>
  <c r="G112" i="4" s="1"/>
  <c r="G113" i="6" s="1"/>
  <c r="F5" i="11"/>
  <c r="C74" i="3"/>
  <c r="G5" i="11" s="1"/>
  <c r="G109" i="3"/>
  <c r="G110" i="3" s="1"/>
  <c r="G111" i="3" s="1"/>
  <c r="M120" i="4"/>
  <c r="M121" i="4" s="1"/>
  <c r="M122" i="4" s="1"/>
  <c r="M123" i="4" s="1"/>
  <c r="M124" i="6" s="1"/>
  <c r="Y109" i="4"/>
  <c r="Y110" i="4" s="1"/>
  <c r="Y111" i="4" s="1"/>
  <c r="Y112" i="4" s="1"/>
  <c r="Q98" i="4"/>
  <c r="Q99" i="4" s="1"/>
  <c r="Q100" i="4" s="1"/>
  <c r="Q101" i="4" s="1"/>
  <c r="Q129" i="2"/>
  <c r="Q130" i="2" s="1"/>
  <c r="Q131" i="2" s="1"/>
  <c r="Q132" i="2" s="1"/>
  <c r="Q133" i="2" s="1"/>
  <c r="Q134" i="2" s="1"/>
  <c r="E72" i="10"/>
  <c r="M120" i="2"/>
  <c r="M121" i="2" s="1"/>
  <c r="M122" i="2" s="1"/>
  <c r="F72" i="10" s="1"/>
  <c r="K7" i="10"/>
  <c r="J7" i="10"/>
  <c r="F12" i="10"/>
  <c r="L12" i="10"/>
  <c r="F8" i="10"/>
  <c r="I11" i="10"/>
  <c r="H11" i="10"/>
  <c r="I27" i="10"/>
  <c r="H27" i="10"/>
  <c r="K13" i="10"/>
  <c r="J13" i="10"/>
  <c r="K12" i="10"/>
  <c r="J12" i="10"/>
  <c r="L19" i="10"/>
  <c r="I26" i="10"/>
  <c r="H26" i="10"/>
  <c r="K29" i="10"/>
  <c r="J29" i="10"/>
  <c r="K30" i="10"/>
  <c r="J30" i="10"/>
  <c r="G23" i="10"/>
  <c r="I18" i="10"/>
  <c r="H18" i="10"/>
  <c r="L7" i="10"/>
  <c r="L15" i="10"/>
  <c r="L22" i="10"/>
  <c r="L8" i="10"/>
  <c r="L33" i="10"/>
  <c r="L24" i="10"/>
  <c r="F21" i="10"/>
  <c r="G31" i="10"/>
  <c r="L10" i="10"/>
  <c r="F19" i="10"/>
  <c r="K27" i="10"/>
  <c r="J27" i="10"/>
  <c r="K19" i="10"/>
  <c r="J19" i="10"/>
  <c r="K18" i="10"/>
  <c r="J18" i="10"/>
  <c r="L29" i="10"/>
  <c r="F6" i="10"/>
  <c r="L31" i="10"/>
  <c r="F11" i="10"/>
  <c r="G24" i="10"/>
  <c r="F13" i="10"/>
  <c r="K16" i="10"/>
  <c r="J16" i="10"/>
  <c r="F20" i="10"/>
  <c r="F9" i="10"/>
  <c r="L11" i="10"/>
  <c r="K22" i="10"/>
  <c r="J22" i="10"/>
  <c r="K11" i="10"/>
  <c r="J11" i="10"/>
  <c r="K17" i="10"/>
  <c r="J17" i="10"/>
  <c r="I30" i="10"/>
  <c r="H30" i="10"/>
  <c r="K6" i="10"/>
  <c r="J6" i="10"/>
  <c r="F32" i="10"/>
  <c r="I15" i="10"/>
  <c r="H15" i="10"/>
  <c r="K10" i="10"/>
  <c r="J10" i="10"/>
  <c r="I22" i="10"/>
  <c r="H22" i="10"/>
  <c r="I17" i="10"/>
  <c r="H17" i="10"/>
  <c r="F14" i="10"/>
  <c r="K15" i="10"/>
  <c r="J15" i="10"/>
  <c r="L18" i="10"/>
  <c r="I24" i="10"/>
  <c r="H24" i="10"/>
  <c r="L16" i="10"/>
  <c r="I9" i="10"/>
  <c r="H9" i="10"/>
  <c r="K33" i="10"/>
  <c r="J33" i="10"/>
  <c r="I10" i="10"/>
  <c r="H10" i="10"/>
  <c r="L6" i="10"/>
  <c r="I29" i="10"/>
  <c r="H29" i="10"/>
  <c r="F28" i="10"/>
  <c r="L13" i="10"/>
  <c r="K8" i="10"/>
  <c r="J8" i="10"/>
  <c r="L27" i="10"/>
  <c r="L17" i="10"/>
  <c r="F26" i="10"/>
  <c r="F5" i="10"/>
  <c r="F73" i="10"/>
  <c r="G73" i="10"/>
  <c r="AA120" i="2"/>
  <c r="AA121" i="2" s="1"/>
  <c r="AA122" i="2" s="1"/>
  <c r="AA123" i="2" s="1"/>
  <c r="F94" i="10"/>
  <c r="G94" i="10"/>
  <c r="F83" i="10"/>
  <c r="G83" i="10"/>
  <c r="Y131" i="2"/>
  <c r="Y132" i="2" s="1"/>
  <c r="Y133" i="2" s="1"/>
  <c r="Y134" i="2" s="1"/>
  <c r="G131" i="2"/>
  <c r="G132" i="2" s="1"/>
  <c r="G133" i="2" s="1"/>
  <c r="G134" i="2" s="1"/>
  <c r="C96" i="2"/>
  <c r="C97" i="2" s="1"/>
  <c r="E37" i="10" s="1"/>
  <c r="U120" i="7"/>
  <c r="U121" i="7" s="1"/>
  <c r="U122" i="7" s="1"/>
  <c r="U123" i="7" s="1"/>
  <c r="K113" i="6"/>
  <c r="G46" i="14"/>
  <c r="G36" i="15"/>
  <c r="F36" i="15"/>
  <c r="W120" i="7"/>
  <c r="W121" i="7" s="1"/>
  <c r="W122" i="7" s="1"/>
  <c r="W123" i="7" s="1"/>
  <c r="E64" i="15"/>
  <c r="O120" i="7"/>
  <c r="O121" i="7" s="1"/>
  <c r="O122" i="7" s="1"/>
  <c r="O123" i="7" s="1"/>
  <c r="E60" i="15"/>
  <c r="C120" i="4"/>
  <c r="C121" i="4" s="1"/>
  <c r="C122" i="4" s="1"/>
  <c r="C123" i="4" s="1"/>
  <c r="F54" i="14"/>
  <c r="F35" i="15"/>
  <c r="F38" i="15"/>
  <c r="G65" i="15"/>
  <c r="F65" i="15"/>
  <c r="L90" i="7"/>
  <c r="I120" i="7"/>
  <c r="I121" i="7" s="1"/>
  <c r="I122" i="7" s="1"/>
  <c r="I123" i="7" s="1"/>
  <c r="E57" i="15"/>
  <c r="M113" i="6"/>
  <c r="G47" i="14"/>
  <c r="F45" i="15"/>
  <c r="G63" i="14"/>
  <c r="F34" i="15"/>
  <c r="F33" i="15"/>
  <c r="F43" i="15"/>
  <c r="E88" i="10"/>
  <c r="E89" i="10"/>
  <c r="F44" i="11"/>
  <c r="Q124" i="6"/>
  <c r="G61" i="14"/>
  <c r="E98" i="7"/>
  <c r="E99" i="7" s="1"/>
  <c r="E100" i="7" s="1"/>
  <c r="E101" i="7" s="1"/>
  <c r="E31" i="15"/>
  <c r="G120" i="7"/>
  <c r="G121" i="7" s="1"/>
  <c r="G122" i="7" s="1"/>
  <c r="G123" i="7" s="1"/>
  <c r="E56" i="15"/>
  <c r="I109" i="4"/>
  <c r="I110" i="4" s="1"/>
  <c r="I111" i="4" s="1"/>
  <c r="I112" i="4" s="1"/>
  <c r="F45" i="14"/>
  <c r="F39" i="15"/>
  <c r="G43" i="14"/>
  <c r="F41" i="15"/>
  <c r="K120" i="7"/>
  <c r="K121" i="7" s="1"/>
  <c r="K122" i="7" s="1"/>
  <c r="K123" i="7" s="1"/>
  <c r="E58" i="15"/>
  <c r="S109" i="3"/>
  <c r="S110" i="3" s="1"/>
  <c r="S111" i="3" s="1"/>
  <c r="S112" i="3" s="1"/>
  <c r="E50" i="11"/>
  <c r="F32" i="15"/>
  <c r="G66" i="15"/>
  <c r="F66" i="15"/>
  <c r="E124" i="6"/>
  <c r="G55" i="14"/>
  <c r="G12" i="16"/>
  <c r="F12" i="16"/>
  <c r="S113" i="6"/>
  <c r="G50" i="14"/>
  <c r="G48" i="14"/>
  <c r="F52" i="15"/>
  <c r="F42" i="15"/>
  <c r="K109" i="7"/>
  <c r="K110" i="7" s="1"/>
  <c r="K111" i="7" s="1"/>
  <c r="K112" i="7" s="1"/>
  <c r="E46" i="15"/>
  <c r="O109" i="7"/>
  <c r="O110" i="7" s="1"/>
  <c r="O111" i="7" s="1"/>
  <c r="O112" i="7" s="1"/>
  <c r="E48" i="15"/>
  <c r="M120" i="7"/>
  <c r="M121" i="7" s="1"/>
  <c r="M122" i="7" s="1"/>
  <c r="M123" i="7" s="1"/>
  <c r="E59" i="15"/>
  <c r="U109" i="3"/>
  <c r="U110" i="3" s="1"/>
  <c r="U111" i="3" s="1"/>
  <c r="U112" i="3" s="1"/>
  <c r="E51" i="11"/>
  <c r="W109" i="4"/>
  <c r="W110" i="4" s="1"/>
  <c r="W111" i="4" s="1"/>
  <c r="W112" i="4" s="1"/>
  <c r="F52" i="14"/>
  <c r="G58" i="14"/>
  <c r="G102" i="6"/>
  <c r="G32" i="14"/>
  <c r="E98" i="4"/>
  <c r="E99" i="4" s="1"/>
  <c r="E100" i="4" s="1"/>
  <c r="E101" i="4" s="1"/>
  <c r="F31" i="14"/>
  <c r="M109" i="7"/>
  <c r="M110" i="7" s="1"/>
  <c r="M111" i="7" s="1"/>
  <c r="M112" i="7" s="1"/>
  <c r="E47" i="15"/>
  <c r="G11" i="16"/>
  <c r="F11" i="16"/>
  <c r="O98" i="4"/>
  <c r="O99" i="4" s="1"/>
  <c r="O100" i="4" s="1"/>
  <c r="O101" i="4" s="1"/>
  <c r="F36" i="14"/>
  <c r="G40" i="14"/>
  <c r="Q113" i="6"/>
  <c r="G49" i="14"/>
  <c r="G42" i="14"/>
  <c r="G58" i="11"/>
  <c r="F58" i="11"/>
  <c r="G49" i="11"/>
  <c r="F49" i="11"/>
  <c r="G124" i="6"/>
  <c r="G56" i="14"/>
  <c r="G39" i="14"/>
  <c r="S124" i="7"/>
  <c r="G62" i="14"/>
  <c r="I120" i="4"/>
  <c r="I121" i="4" s="1"/>
  <c r="I122" i="4" s="1"/>
  <c r="I123" i="4" s="1"/>
  <c r="F57" i="14"/>
  <c r="F40" i="15"/>
  <c r="G34" i="14"/>
  <c r="U113" i="6"/>
  <c r="G51" i="14"/>
  <c r="C102" i="7"/>
  <c r="G30" i="14"/>
  <c r="G109" i="7"/>
  <c r="G110" i="7" s="1"/>
  <c r="G111" i="7" s="1"/>
  <c r="G112" i="7" s="1"/>
  <c r="E44" i="15"/>
  <c r="Q109" i="7"/>
  <c r="Q110" i="7" s="1"/>
  <c r="Q111" i="7" s="1"/>
  <c r="Q112" i="7" s="1"/>
  <c r="E49" i="15"/>
  <c r="G41" i="14"/>
  <c r="G38" i="14"/>
  <c r="F50" i="15"/>
  <c r="G33" i="14"/>
  <c r="G37" i="15"/>
  <c r="F37" i="15"/>
  <c r="O124" i="6"/>
  <c r="G60" i="14"/>
  <c r="G35" i="14"/>
  <c r="I96" i="3"/>
  <c r="I97" i="3" s="1"/>
  <c r="I90" i="5"/>
  <c r="E81" i="3"/>
  <c r="E82" i="3" s="1"/>
  <c r="E83" i="3" s="1"/>
  <c r="C98" i="3"/>
  <c r="C99" i="3" s="1"/>
  <c r="C100" i="3" s="1"/>
  <c r="C101" i="3" s="1"/>
  <c r="F117" i="3"/>
  <c r="H117" i="3"/>
  <c r="G118" i="3" s="1"/>
  <c r="G119" i="3" s="1"/>
  <c r="W117" i="3"/>
  <c r="U86" i="3"/>
  <c r="U87" i="3" s="1"/>
  <c r="U88" i="3" s="1"/>
  <c r="N71" i="3"/>
  <c r="N72" i="3" s="1"/>
  <c r="Y106" i="3"/>
  <c r="W106" i="3"/>
  <c r="D106" i="3"/>
  <c r="F106" i="3"/>
  <c r="E107" i="3" s="1"/>
  <c r="E108" i="3" s="1"/>
  <c r="N81" i="3"/>
  <c r="N82" i="3" s="1"/>
  <c r="N83" i="3" s="1"/>
  <c r="L106" i="3"/>
  <c r="O86" i="3"/>
  <c r="O87" i="3" s="1"/>
  <c r="O88" i="3" s="1"/>
  <c r="R86" i="3"/>
  <c r="R87" i="3" s="1"/>
  <c r="R88" i="3" s="1"/>
  <c r="S117" i="3"/>
  <c r="P117" i="3"/>
  <c r="O118" i="3" s="1"/>
  <c r="O119" i="3" s="1"/>
  <c r="C117" i="3"/>
  <c r="C118" i="3" s="1"/>
  <c r="C119" i="3" s="1"/>
  <c r="O82" i="3"/>
  <c r="O83" i="3" s="1"/>
  <c r="AA106" i="3"/>
  <c r="AA107" i="3" s="1"/>
  <c r="AA108" i="3" s="1"/>
  <c r="E117" i="3"/>
  <c r="O71" i="3"/>
  <c r="O72" i="3" s="1"/>
  <c r="O73" i="3" s="1"/>
  <c r="R81" i="3"/>
  <c r="R82" i="3" s="1"/>
  <c r="R83" i="3" s="1"/>
  <c r="X106" i="3"/>
  <c r="Q117" i="3"/>
  <c r="Q118" i="3" s="1"/>
  <c r="Q119" i="3" s="1"/>
  <c r="L117" i="3"/>
  <c r="K118" i="3" s="1"/>
  <c r="K119" i="3" s="1"/>
  <c r="P106" i="3"/>
  <c r="O106" i="3"/>
  <c r="L86" i="3"/>
  <c r="L87" i="3" s="1"/>
  <c r="L88" i="3" s="1"/>
  <c r="I106" i="3"/>
  <c r="I107" i="3" s="1"/>
  <c r="I108" i="3" s="1"/>
  <c r="S81" i="3"/>
  <c r="S82" i="3" s="1"/>
  <c r="S83" i="3" s="1"/>
  <c r="U117" i="3"/>
  <c r="U118" i="3" s="1"/>
  <c r="U119" i="3" s="1"/>
  <c r="Z106" i="3"/>
  <c r="L71" i="3"/>
  <c r="L72" i="3" s="1"/>
  <c r="F86" i="3"/>
  <c r="F87" i="3" s="1"/>
  <c r="F88" i="3" s="1"/>
  <c r="N95" i="3"/>
  <c r="M96" i="3" s="1"/>
  <c r="M97" i="3" s="1"/>
  <c r="I71" i="3"/>
  <c r="I72" i="3" s="1"/>
  <c r="T117" i="3"/>
  <c r="S86" i="3"/>
  <c r="S87" i="3" s="1"/>
  <c r="S88" i="3" s="1"/>
  <c r="G71" i="3"/>
  <c r="G72" i="3" s="1"/>
  <c r="W95" i="3"/>
  <c r="R95" i="3"/>
  <c r="H86" i="3"/>
  <c r="H87" i="3" s="1"/>
  <c r="H88" i="3" s="1"/>
  <c r="Y95" i="3"/>
  <c r="Y96" i="3" s="1"/>
  <c r="Y97" i="3" s="1"/>
  <c r="L95" i="3"/>
  <c r="K96" i="3" s="1"/>
  <c r="K97" i="3" s="1"/>
  <c r="C106" i="3"/>
  <c r="I81" i="3"/>
  <c r="I82" i="3" s="1"/>
  <c r="I83" i="3" s="1"/>
  <c r="H71" i="3"/>
  <c r="H72" i="3" s="1"/>
  <c r="S71" i="3"/>
  <c r="S72" i="3" s="1"/>
  <c r="X117" i="3"/>
  <c r="V81" i="3"/>
  <c r="V82" i="3" s="1"/>
  <c r="V83" i="3" s="1"/>
  <c r="Q95" i="3"/>
  <c r="G86" i="3"/>
  <c r="G87" i="3" s="1"/>
  <c r="G88" i="3" s="1"/>
  <c r="F71" i="3"/>
  <c r="F72" i="3" s="1"/>
  <c r="V71" i="3"/>
  <c r="V72" i="3" s="1"/>
  <c r="F95" i="3"/>
  <c r="E96" i="3" s="1"/>
  <c r="E97" i="3" s="1"/>
  <c r="G81" i="3"/>
  <c r="G82" i="3" s="1"/>
  <c r="G83" i="3" s="1"/>
  <c r="F81" i="3"/>
  <c r="F82" i="3" s="1"/>
  <c r="F83" i="3" s="1"/>
  <c r="O95" i="3"/>
  <c r="O96" i="3" s="1"/>
  <c r="O97" i="3" s="1"/>
  <c r="S95" i="3"/>
  <c r="S96" i="3" s="1"/>
  <c r="S97" i="3" s="1"/>
  <c r="H95" i="3"/>
  <c r="G96" i="3" s="1"/>
  <c r="G97" i="3" s="1"/>
  <c r="H81" i="3"/>
  <c r="H82" i="3" s="1"/>
  <c r="H83" i="3" s="1"/>
  <c r="U95" i="3"/>
  <c r="I86" i="3"/>
  <c r="I87" i="3" s="1"/>
  <c r="I88" i="3" s="1"/>
  <c r="X95" i="3"/>
  <c r="AA95" i="3"/>
  <c r="AA96" i="3" s="1"/>
  <c r="AA97" i="3" s="1"/>
  <c r="V95" i="3"/>
  <c r="K106" i="3"/>
  <c r="M106" i="3"/>
  <c r="M107" i="3" s="1"/>
  <c r="M108" i="3" s="1"/>
  <c r="L81" i="3"/>
  <c r="L82" i="3" s="1"/>
  <c r="L83" i="3" s="1"/>
  <c r="V86" i="3"/>
  <c r="V87" i="3" s="1"/>
  <c r="V88" i="3" s="1"/>
  <c r="N117" i="3"/>
  <c r="M118" i="3" s="1"/>
  <c r="M119" i="3" s="1"/>
  <c r="P73" i="7"/>
  <c r="P90" i="7" s="1"/>
  <c r="I71" i="7"/>
  <c r="I72" i="7" s="1"/>
  <c r="I73" i="7" s="1"/>
  <c r="V106" i="7"/>
  <c r="U107" i="7" s="1"/>
  <c r="U108" i="7" s="1"/>
  <c r="I81" i="7"/>
  <c r="I82" i="7" s="1"/>
  <c r="I83" i="7" s="1"/>
  <c r="I86" i="7"/>
  <c r="I87" i="7" s="1"/>
  <c r="I88" i="7" s="1"/>
  <c r="C117" i="7"/>
  <c r="C118" i="7" s="1"/>
  <c r="C119" i="7" s="1"/>
  <c r="Y106" i="7"/>
  <c r="Y107" i="7" s="1"/>
  <c r="Y108" i="7" s="1"/>
  <c r="H90" i="6"/>
  <c r="I90" i="6"/>
  <c r="C90" i="7"/>
  <c r="F90" i="6"/>
  <c r="D90" i="7"/>
  <c r="S120" i="2"/>
  <c r="S121" i="2" s="1"/>
  <c r="S122" i="2" s="1"/>
  <c r="S123" i="2" s="1"/>
  <c r="W131" i="2"/>
  <c r="W132" i="2" s="1"/>
  <c r="W133" i="2" s="1"/>
  <c r="W134" i="2" s="1"/>
  <c r="U98" i="2"/>
  <c r="U99" i="2" s="1"/>
  <c r="U100" i="2" s="1"/>
  <c r="U101" i="2" s="1"/>
  <c r="Q109" i="2"/>
  <c r="Q110" i="2" s="1"/>
  <c r="Q111" i="2" s="1"/>
  <c r="Q112" i="2" s="1"/>
  <c r="Q98" i="2"/>
  <c r="Q99" i="2" s="1"/>
  <c r="Q100" i="2" s="1"/>
  <c r="Q101" i="2" s="1"/>
  <c r="S131" i="2"/>
  <c r="S132" i="2" s="1"/>
  <c r="S133" i="2" s="1"/>
  <c r="S134" i="2" s="1"/>
  <c r="G120" i="2"/>
  <c r="G121" i="2" s="1"/>
  <c r="G122" i="2" s="1"/>
  <c r="G123" i="2" s="1"/>
  <c r="I120" i="2"/>
  <c r="I121" i="2" s="1"/>
  <c r="I122" i="2" s="1"/>
  <c r="I123" i="2" s="1"/>
  <c r="W98" i="2"/>
  <c r="W99" i="2" s="1"/>
  <c r="W100" i="2" s="1"/>
  <c r="W101" i="2" s="1"/>
  <c r="AE109" i="2"/>
  <c r="AE110" i="2" s="1"/>
  <c r="AE111" i="2" s="1"/>
  <c r="AE112" i="2" s="1"/>
  <c r="C131" i="2"/>
  <c r="C132" i="2" s="1"/>
  <c r="C133" i="2" s="1"/>
  <c r="C134" i="2" s="1"/>
  <c r="W109" i="2"/>
  <c r="W110" i="2" s="1"/>
  <c r="W111" i="2" s="1"/>
  <c r="W112" i="2" s="1"/>
  <c r="I131" i="2"/>
  <c r="I132" i="2" s="1"/>
  <c r="I133" i="2" s="1"/>
  <c r="I134" i="2" s="1"/>
  <c r="O131" i="2"/>
  <c r="O132" i="2" s="1"/>
  <c r="O133" i="2" s="1"/>
  <c r="O134" i="2" s="1"/>
  <c r="AC120" i="2"/>
  <c r="AC121" i="2" s="1"/>
  <c r="AC122" i="2" s="1"/>
  <c r="AC123" i="2" s="1"/>
  <c r="M109" i="2"/>
  <c r="M110" i="2" s="1"/>
  <c r="M111" i="2" s="1"/>
  <c r="M112" i="2" s="1"/>
  <c r="U120" i="2"/>
  <c r="U121" i="2" s="1"/>
  <c r="U122" i="2" s="1"/>
  <c r="U123" i="2" s="1"/>
  <c r="K131" i="2"/>
  <c r="K132" i="2" s="1"/>
  <c r="K133" i="2" s="1"/>
  <c r="K134" i="2" s="1"/>
  <c r="E109" i="2"/>
  <c r="E110" i="2" s="1"/>
  <c r="E111" i="2" s="1"/>
  <c r="E112" i="2" s="1"/>
  <c r="K120" i="2"/>
  <c r="K121" i="2" s="1"/>
  <c r="K122" i="2" s="1"/>
  <c r="K123" i="2" s="1"/>
  <c r="Y120" i="2"/>
  <c r="Y121" i="2" s="1"/>
  <c r="Y122" i="2" s="1"/>
  <c r="Y123" i="2" s="1"/>
  <c r="U131" i="2"/>
  <c r="U132" i="2" s="1"/>
  <c r="U133" i="2" s="1"/>
  <c r="U134" i="2" s="1"/>
  <c r="AA109" i="2"/>
  <c r="AA110" i="2" s="1"/>
  <c r="AA111" i="2" s="1"/>
  <c r="AA112" i="2" s="1"/>
  <c r="K109" i="2"/>
  <c r="K110" i="2" s="1"/>
  <c r="K111" i="2" s="1"/>
  <c r="K112" i="2" s="1"/>
  <c r="O98" i="2"/>
  <c r="O99" i="2" s="1"/>
  <c r="O100" i="2" s="1"/>
  <c r="O101" i="2" s="1"/>
  <c r="S98" i="2"/>
  <c r="S99" i="2" s="1"/>
  <c r="S100" i="2" s="1"/>
  <c r="S101" i="2" s="1"/>
  <c r="C120" i="2"/>
  <c r="C121" i="2" s="1"/>
  <c r="C122" i="2" s="1"/>
  <c r="C123" i="2" s="1"/>
  <c r="Q120" i="2"/>
  <c r="Q121" i="2" s="1"/>
  <c r="Q122" i="2" s="1"/>
  <c r="Q123" i="2" s="1"/>
  <c r="M131" i="2"/>
  <c r="M132" i="2" s="1"/>
  <c r="M133" i="2" s="1"/>
  <c r="M134" i="2" s="1"/>
  <c r="O109" i="2"/>
  <c r="O110" i="2" s="1"/>
  <c r="O111" i="2" s="1"/>
  <c r="O112" i="2" s="1"/>
  <c r="D90" i="6"/>
  <c r="E90" i="6"/>
  <c r="D90" i="5"/>
  <c r="M90" i="6"/>
  <c r="E90" i="5"/>
  <c r="H90" i="7"/>
  <c r="F90" i="7"/>
  <c r="M90" i="5"/>
  <c r="H90" i="5"/>
  <c r="C90" i="5"/>
  <c r="E96" i="2"/>
  <c r="E97" i="2" s="1"/>
  <c r="E38" i="10" s="1"/>
  <c r="G73" i="7"/>
  <c r="W90" i="7"/>
  <c r="C98" i="6"/>
  <c r="C99" i="6" s="1"/>
  <c r="C100" i="6" s="1"/>
  <c r="C101" i="6" s="1"/>
  <c r="W109" i="6"/>
  <c r="W110" i="6" s="1"/>
  <c r="W111" i="6" s="1"/>
  <c r="W112" i="6" s="1"/>
  <c r="AE96" i="2"/>
  <c r="AE97" i="2" s="1"/>
  <c r="E51" i="10" s="1"/>
  <c r="AE118" i="2"/>
  <c r="AE119" i="2" s="1"/>
  <c r="E81" i="10" s="1"/>
  <c r="E118" i="2"/>
  <c r="E119" i="2" s="1"/>
  <c r="E68" i="10" s="1"/>
  <c r="S107" i="2"/>
  <c r="S108" i="2" s="1"/>
  <c r="E60" i="10" s="1"/>
  <c r="AC107" i="2"/>
  <c r="AC108" i="2" s="1"/>
  <c r="E65" i="10" s="1"/>
  <c r="AB73" i="2"/>
  <c r="AB74" i="2" s="1"/>
  <c r="G107" i="2"/>
  <c r="G108" i="2" s="1"/>
  <c r="E54" i="10" s="1"/>
  <c r="W118" i="2"/>
  <c r="W119" i="2" s="1"/>
  <c r="E77" i="10" s="1"/>
  <c r="H73" i="2"/>
  <c r="H74" i="2" s="1"/>
  <c r="M96" i="2"/>
  <c r="M97" i="2" s="1"/>
  <c r="E42" i="10" s="1"/>
  <c r="AA96" i="2"/>
  <c r="AA97" i="2" s="1"/>
  <c r="E49" i="10" s="1"/>
  <c r="I109" i="2"/>
  <c r="I110" i="2" s="1"/>
  <c r="I111" i="2" s="1"/>
  <c r="I112" i="2" s="1"/>
  <c r="P73" i="2"/>
  <c r="P74" i="2" s="1"/>
  <c r="G96" i="2"/>
  <c r="G97" i="2" s="1"/>
  <c r="E39" i="10" s="1"/>
  <c r="U107" i="2"/>
  <c r="U108" i="2" s="1"/>
  <c r="E61" i="10" s="1"/>
  <c r="O73" i="2"/>
  <c r="O74" i="2" s="1"/>
  <c r="Y107" i="2"/>
  <c r="Y108" i="2" s="1"/>
  <c r="E63" i="10" s="1"/>
  <c r="C107" i="2"/>
  <c r="C108" i="2" s="1"/>
  <c r="E52" i="10" s="1"/>
  <c r="Y73" i="2"/>
  <c r="Y74" i="2" s="1"/>
  <c r="T73" i="2"/>
  <c r="T74" i="2" s="1"/>
  <c r="K96" i="2"/>
  <c r="K97" i="2" s="1"/>
  <c r="E41" i="10" s="1"/>
  <c r="AA73" i="2"/>
  <c r="AA74" i="2" s="1"/>
  <c r="AC96" i="2"/>
  <c r="AC97" i="2" s="1"/>
  <c r="E50" i="10" s="1"/>
  <c r="I96" i="2"/>
  <c r="I97" i="2" s="1"/>
  <c r="E40" i="10" s="1"/>
  <c r="AE73" i="2"/>
  <c r="AE74" i="2" s="1"/>
  <c r="Y96" i="2"/>
  <c r="Y97" i="2" s="1"/>
  <c r="E48" i="10" s="1"/>
  <c r="E73" i="2"/>
  <c r="E74" i="2" s="1"/>
  <c r="N73" i="2"/>
  <c r="N74" i="2" s="1"/>
  <c r="M73" i="2"/>
  <c r="M74" i="2" s="1"/>
  <c r="G37" i="14" l="1"/>
  <c r="G44" i="14"/>
  <c r="G53" i="14"/>
  <c r="G59" i="14"/>
  <c r="M123" i="2"/>
  <c r="G72" i="10" s="1"/>
  <c r="K107" i="3"/>
  <c r="K108" i="3" s="1"/>
  <c r="K109" i="3" s="1"/>
  <c r="K110" i="3" s="1"/>
  <c r="K111" i="3" s="1"/>
  <c r="K112" i="3" s="1"/>
  <c r="G112" i="3"/>
  <c r="G44" i="11" s="1"/>
  <c r="Y113" i="6"/>
  <c r="W118" i="3"/>
  <c r="W119" i="3" s="1"/>
  <c r="Q102" i="7"/>
  <c r="Q102" i="6"/>
  <c r="S124" i="6"/>
  <c r="F63" i="15"/>
  <c r="Q124" i="7"/>
  <c r="C107" i="3"/>
  <c r="C108" i="3" s="1"/>
  <c r="C109" i="3" s="1"/>
  <c r="C110" i="3" s="1"/>
  <c r="C111" i="3" s="1"/>
  <c r="C112" i="3" s="1"/>
  <c r="C98" i="2"/>
  <c r="C99" i="2" s="1"/>
  <c r="C100" i="2" s="1"/>
  <c r="F18" i="10"/>
  <c r="F7" i="10"/>
  <c r="G9" i="10"/>
  <c r="I13" i="10"/>
  <c r="H13" i="10"/>
  <c r="F22" i="10"/>
  <c r="F30" i="10"/>
  <c r="I5" i="10"/>
  <c r="H5" i="10"/>
  <c r="F33" i="10"/>
  <c r="I8" i="10"/>
  <c r="H8" i="10"/>
  <c r="F27" i="10"/>
  <c r="G32" i="10"/>
  <c r="G12" i="10"/>
  <c r="G11" i="10"/>
  <c r="I16" i="10"/>
  <c r="H16" i="10"/>
  <c r="I7" i="10"/>
  <c r="H7" i="10"/>
  <c r="I6" i="10"/>
  <c r="H6" i="10"/>
  <c r="F15" i="10"/>
  <c r="I33" i="10"/>
  <c r="H33" i="10"/>
  <c r="F17" i="10"/>
  <c r="F10" i="10"/>
  <c r="G13" i="10"/>
  <c r="G6" i="10"/>
  <c r="G28" i="10"/>
  <c r="F16" i="10"/>
  <c r="G21" i="10"/>
  <c r="I19" i="10"/>
  <c r="H19" i="10"/>
  <c r="F29" i="10"/>
  <c r="I12" i="10"/>
  <c r="H12" i="10"/>
  <c r="G26" i="10"/>
  <c r="G20" i="10"/>
  <c r="G5" i="10"/>
  <c r="G14" i="10"/>
  <c r="G19" i="10"/>
  <c r="G8" i="10"/>
  <c r="F45" i="10"/>
  <c r="G45" i="10"/>
  <c r="F55" i="10"/>
  <c r="G55" i="10"/>
  <c r="F58" i="10"/>
  <c r="G58" i="10"/>
  <c r="F64" i="10"/>
  <c r="F76" i="10"/>
  <c r="G76" i="10"/>
  <c r="F87" i="10"/>
  <c r="G87" i="10"/>
  <c r="F57" i="10"/>
  <c r="F59" i="10"/>
  <c r="G59" i="10"/>
  <c r="F74" i="10"/>
  <c r="G74" i="10"/>
  <c r="F66" i="10"/>
  <c r="G66" i="10"/>
  <c r="F46" i="10"/>
  <c r="G46" i="10"/>
  <c r="F67" i="10"/>
  <c r="G67" i="10"/>
  <c r="F78" i="10"/>
  <c r="G78" i="10"/>
  <c r="F47" i="10"/>
  <c r="G47" i="10"/>
  <c r="F92" i="10"/>
  <c r="G92" i="10"/>
  <c r="F71" i="10"/>
  <c r="G71" i="10"/>
  <c r="F80" i="10"/>
  <c r="G80" i="10"/>
  <c r="F70" i="10"/>
  <c r="G70" i="10"/>
  <c r="F69" i="10"/>
  <c r="G69" i="10"/>
  <c r="F75" i="10"/>
  <c r="G75" i="10"/>
  <c r="F84" i="10"/>
  <c r="G84" i="10"/>
  <c r="F79" i="10"/>
  <c r="G79" i="10"/>
  <c r="F91" i="10"/>
  <c r="G91" i="10"/>
  <c r="F82" i="10"/>
  <c r="G82" i="10"/>
  <c r="F43" i="10"/>
  <c r="G43" i="10"/>
  <c r="F53" i="10"/>
  <c r="G53" i="10"/>
  <c r="F56" i="10"/>
  <c r="G56" i="10"/>
  <c r="F85" i="10"/>
  <c r="G85" i="10"/>
  <c r="F90" i="10"/>
  <c r="G90" i="10"/>
  <c r="F93" i="10"/>
  <c r="G93" i="10"/>
  <c r="F86" i="10"/>
  <c r="G86" i="10"/>
  <c r="F62" i="10"/>
  <c r="G62" i="10"/>
  <c r="F44" i="10"/>
  <c r="G44" i="10"/>
  <c r="C102" i="6"/>
  <c r="C120" i="3"/>
  <c r="C121" i="3" s="1"/>
  <c r="C122" i="3" s="1"/>
  <c r="C123" i="3" s="1"/>
  <c r="E55" i="11"/>
  <c r="M120" i="3"/>
  <c r="M121" i="3" s="1"/>
  <c r="M122" i="3" s="1"/>
  <c r="M123" i="3" s="1"/>
  <c r="E60" i="11"/>
  <c r="W120" i="3"/>
  <c r="W121" i="3" s="1"/>
  <c r="W122" i="3" s="1"/>
  <c r="W123" i="3" s="1"/>
  <c r="E65" i="11"/>
  <c r="O120" i="3"/>
  <c r="O121" i="3" s="1"/>
  <c r="O122" i="3" s="1"/>
  <c r="O123" i="3" s="1"/>
  <c r="E61" i="11"/>
  <c r="I102" i="5"/>
  <c r="H33" i="14"/>
  <c r="I102" i="6"/>
  <c r="F49" i="15"/>
  <c r="H40" i="14"/>
  <c r="W102" i="6"/>
  <c r="W102" i="5"/>
  <c r="H58" i="14"/>
  <c r="K124" i="5"/>
  <c r="F48" i="15"/>
  <c r="G34" i="15"/>
  <c r="K102" i="7"/>
  <c r="F57" i="15"/>
  <c r="Y109" i="7"/>
  <c r="Y110" i="7" s="1"/>
  <c r="Y111" i="7" s="1"/>
  <c r="Y112" i="7" s="1"/>
  <c r="E53" i="15"/>
  <c r="F89" i="10"/>
  <c r="F88" i="10"/>
  <c r="C120" i="7"/>
  <c r="C121" i="7" s="1"/>
  <c r="C122" i="7" s="1"/>
  <c r="C123" i="7" s="1"/>
  <c r="E54" i="15"/>
  <c r="I109" i="3"/>
  <c r="I110" i="3" s="1"/>
  <c r="I111" i="3" s="1"/>
  <c r="I112" i="3" s="1"/>
  <c r="E45" i="11"/>
  <c r="H34" i="14"/>
  <c r="K102" i="5"/>
  <c r="C113" i="7"/>
  <c r="G42" i="15"/>
  <c r="G50" i="11"/>
  <c r="F50" i="11"/>
  <c r="G41" i="15"/>
  <c r="Y102" i="7"/>
  <c r="F56" i="15"/>
  <c r="G38" i="15"/>
  <c r="S102" i="7"/>
  <c r="G64" i="15"/>
  <c r="F64" i="15"/>
  <c r="H35" i="14"/>
  <c r="M102" i="5"/>
  <c r="G50" i="15"/>
  <c r="S113" i="7"/>
  <c r="F44" i="15"/>
  <c r="S124" i="5"/>
  <c r="H62" i="14"/>
  <c r="G36" i="14"/>
  <c r="G31" i="14"/>
  <c r="G52" i="14"/>
  <c r="F46" i="15"/>
  <c r="H63" i="14"/>
  <c r="U124" i="6"/>
  <c r="U124" i="5"/>
  <c r="M109" i="3"/>
  <c r="M110" i="3" s="1"/>
  <c r="M111" i="3" s="1"/>
  <c r="M112" i="3" s="1"/>
  <c r="E47" i="11"/>
  <c r="K124" i="6"/>
  <c r="G40" i="15"/>
  <c r="W102" i="7"/>
  <c r="G52" i="15"/>
  <c r="H55" i="14"/>
  <c r="E124" i="5"/>
  <c r="E124" i="7"/>
  <c r="F58" i="15"/>
  <c r="H43" i="14"/>
  <c r="E113" i="6"/>
  <c r="E113" i="5"/>
  <c r="F31" i="15"/>
  <c r="U124" i="7"/>
  <c r="G63" i="15"/>
  <c r="G35" i="15"/>
  <c r="M102" i="7"/>
  <c r="U120" i="3"/>
  <c r="U121" i="3" s="1"/>
  <c r="U122" i="3" s="1"/>
  <c r="U123" i="3" s="1"/>
  <c r="E64" i="11"/>
  <c r="U109" i="7"/>
  <c r="U110" i="7" s="1"/>
  <c r="U111" i="7" s="1"/>
  <c r="U112" i="7" s="1"/>
  <c r="E51" i="15"/>
  <c r="E46" i="11"/>
  <c r="H60" i="14"/>
  <c r="O124" i="5"/>
  <c r="H38" i="14"/>
  <c r="S102" i="5"/>
  <c r="S102" i="6"/>
  <c r="H39" i="14"/>
  <c r="U102" i="6"/>
  <c r="U102" i="5"/>
  <c r="H42" i="14"/>
  <c r="C113" i="5"/>
  <c r="Y113" i="5"/>
  <c r="H53" i="14"/>
  <c r="G51" i="11"/>
  <c r="F51" i="11"/>
  <c r="M102" i="6"/>
  <c r="G43" i="15"/>
  <c r="E113" i="7"/>
  <c r="G45" i="15"/>
  <c r="K102" i="6"/>
  <c r="K120" i="3"/>
  <c r="K121" i="3" s="1"/>
  <c r="K122" i="3" s="1"/>
  <c r="K123" i="3" s="1"/>
  <c r="E59" i="11"/>
  <c r="AA109" i="3"/>
  <c r="AA110" i="3" s="1"/>
  <c r="AA111" i="3" s="1"/>
  <c r="AA112" i="3" s="1"/>
  <c r="E54" i="11"/>
  <c r="C102" i="5"/>
  <c r="H30" i="14"/>
  <c r="G57" i="14"/>
  <c r="O113" i="5"/>
  <c r="H48" i="14"/>
  <c r="O113" i="6"/>
  <c r="G39" i="15"/>
  <c r="U102" i="7"/>
  <c r="M124" i="5"/>
  <c r="H59" i="14"/>
  <c r="G54" i="14"/>
  <c r="C113" i="6"/>
  <c r="Q120" i="3"/>
  <c r="Q121" i="3" s="1"/>
  <c r="Q122" i="3" s="1"/>
  <c r="Q123" i="3" s="1"/>
  <c r="E62" i="11"/>
  <c r="H41" i="14"/>
  <c r="Y102" i="6"/>
  <c r="Y102" i="5"/>
  <c r="H56" i="14"/>
  <c r="G124" i="5"/>
  <c r="H49" i="14"/>
  <c r="Q113" i="5"/>
  <c r="F47" i="15"/>
  <c r="H32" i="14"/>
  <c r="G102" i="5"/>
  <c r="F59" i="15"/>
  <c r="Q124" i="5"/>
  <c r="H61" i="14"/>
  <c r="G33" i="15"/>
  <c r="I102" i="7"/>
  <c r="H47" i="14"/>
  <c r="M113" i="5"/>
  <c r="E109" i="3"/>
  <c r="E110" i="3" s="1"/>
  <c r="E111" i="3" s="1"/>
  <c r="E112" i="3" s="1"/>
  <c r="E43" i="11"/>
  <c r="G120" i="3"/>
  <c r="G121" i="3" s="1"/>
  <c r="G122" i="3" s="1"/>
  <c r="G123" i="3" s="1"/>
  <c r="E57" i="11"/>
  <c r="H51" i="14"/>
  <c r="U113" i="5"/>
  <c r="Q102" i="5"/>
  <c r="H37" i="14"/>
  <c r="H50" i="14"/>
  <c r="S113" i="5"/>
  <c r="G32" i="15"/>
  <c r="G102" i="7"/>
  <c r="G113" i="5"/>
  <c r="H44" i="14"/>
  <c r="I113" i="7"/>
  <c r="G45" i="14"/>
  <c r="F60" i="15"/>
  <c r="K113" i="5"/>
  <c r="H46" i="14"/>
  <c r="K98" i="3"/>
  <c r="K99" i="3" s="1"/>
  <c r="K100" i="3" s="1"/>
  <c r="K101" i="3" s="1"/>
  <c r="E33" i="11"/>
  <c r="M98" i="3"/>
  <c r="M99" i="3" s="1"/>
  <c r="M100" i="3" s="1"/>
  <c r="M101" i="3" s="1"/>
  <c r="E34" i="11"/>
  <c r="G29" i="11"/>
  <c r="F29" i="11"/>
  <c r="AA98" i="3"/>
  <c r="AA99" i="3" s="1"/>
  <c r="AA100" i="3" s="1"/>
  <c r="AA101" i="3" s="1"/>
  <c r="E41" i="11"/>
  <c r="G98" i="3"/>
  <c r="G99" i="3" s="1"/>
  <c r="G100" i="3" s="1"/>
  <c r="G101" i="3" s="1"/>
  <c r="E31" i="11"/>
  <c r="S98" i="3"/>
  <c r="S99" i="3" s="1"/>
  <c r="S100" i="3" s="1"/>
  <c r="S101" i="3" s="1"/>
  <c r="E37" i="11"/>
  <c r="O98" i="3"/>
  <c r="O99" i="3" s="1"/>
  <c r="O100" i="3" s="1"/>
  <c r="O101" i="3" s="1"/>
  <c r="E35" i="11"/>
  <c r="E98" i="3"/>
  <c r="E99" i="3" s="1"/>
  <c r="E100" i="3" s="1"/>
  <c r="E101" i="3" s="1"/>
  <c r="E30" i="11"/>
  <c r="Y98" i="3"/>
  <c r="Y99" i="3" s="1"/>
  <c r="Y100" i="3" s="1"/>
  <c r="Y101" i="3" s="1"/>
  <c r="E40" i="11"/>
  <c r="I98" i="3"/>
  <c r="I99" i="3" s="1"/>
  <c r="I100" i="3" s="1"/>
  <c r="I101" i="3" s="1"/>
  <c r="E32" i="11"/>
  <c r="W107" i="3"/>
  <c r="W108" i="3" s="1"/>
  <c r="Y107" i="3"/>
  <c r="Y108" i="3" s="1"/>
  <c r="E118" i="3"/>
  <c r="E119" i="3" s="1"/>
  <c r="S118" i="3"/>
  <c r="S119" i="3" s="1"/>
  <c r="N73" i="3"/>
  <c r="G73" i="3"/>
  <c r="S73" i="3"/>
  <c r="F73" i="3"/>
  <c r="Q96" i="3"/>
  <c r="Q97" i="3" s="1"/>
  <c r="I73" i="3"/>
  <c r="H73" i="3"/>
  <c r="W96" i="3"/>
  <c r="W97" i="3" s="1"/>
  <c r="L73" i="3"/>
  <c r="O107" i="3"/>
  <c r="O108" i="3" s="1"/>
  <c r="U96" i="3"/>
  <c r="U97" i="3" s="1"/>
  <c r="V73" i="3"/>
  <c r="I90" i="7"/>
  <c r="G90" i="7"/>
  <c r="C109" i="2"/>
  <c r="C110" i="2" s="1"/>
  <c r="C111" i="2" s="1"/>
  <c r="C112" i="2" s="1"/>
  <c r="I98" i="2"/>
  <c r="I99" i="2" s="1"/>
  <c r="I100" i="2" s="1"/>
  <c r="I101" i="2" s="1"/>
  <c r="Y109" i="2"/>
  <c r="Y110" i="2" s="1"/>
  <c r="Y111" i="2" s="1"/>
  <c r="Y112" i="2" s="1"/>
  <c r="M98" i="2"/>
  <c r="M99" i="2" s="1"/>
  <c r="M100" i="2" s="1"/>
  <c r="M101" i="2" s="1"/>
  <c r="AE120" i="2"/>
  <c r="AE121" i="2" s="1"/>
  <c r="AE122" i="2" s="1"/>
  <c r="AE123" i="2" s="1"/>
  <c r="Y98" i="2"/>
  <c r="Y99" i="2" s="1"/>
  <c r="Y100" i="2" s="1"/>
  <c r="Y101" i="2" s="1"/>
  <c r="AC109" i="2"/>
  <c r="AC110" i="2" s="1"/>
  <c r="AC111" i="2" s="1"/>
  <c r="AC112" i="2" s="1"/>
  <c r="S109" i="2"/>
  <c r="S110" i="2" s="1"/>
  <c r="S111" i="2" s="1"/>
  <c r="S112" i="2" s="1"/>
  <c r="E120" i="2"/>
  <c r="E121" i="2" s="1"/>
  <c r="E122" i="2" s="1"/>
  <c r="E123" i="2" s="1"/>
  <c r="W120" i="2"/>
  <c r="W121" i="2" s="1"/>
  <c r="W122" i="2" s="1"/>
  <c r="W123" i="2" s="1"/>
  <c r="AA98" i="2"/>
  <c r="AA99" i="2" s="1"/>
  <c r="AA100" i="2" s="1"/>
  <c r="AA101" i="2" s="1"/>
  <c r="G64" i="10"/>
  <c r="K98" i="2"/>
  <c r="K99" i="2" s="1"/>
  <c r="K100" i="2" s="1"/>
  <c r="K101" i="2" s="1"/>
  <c r="U109" i="2"/>
  <c r="U110" i="2" s="1"/>
  <c r="U111" i="2" s="1"/>
  <c r="U112" i="2" s="1"/>
  <c r="G109" i="2"/>
  <c r="G110" i="2" s="1"/>
  <c r="G111" i="2" s="1"/>
  <c r="G112" i="2" s="1"/>
  <c r="E98" i="2"/>
  <c r="E99" i="2" s="1"/>
  <c r="E100" i="2" s="1"/>
  <c r="E101" i="2" s="1"/>
  <c r="G57" i="10"/>
  <c r="AC98" i="2"/>
  <c r="AC99" i="2" s="1"/>
  <c r="AC100" i="2" s="1"/>
  <c r="AC101" i="2" s="1"/>
  <c r="AE98" i="2"/>
  <c r="AE99" i="2" s="1"/>
  <c r="AE100" i="2" s="1"/>
  <c r="AE101" i="2" s="1"/>
  <c r="G98" i="2"/>
  <c r="G99" i="2" s="1"/>
  <c r="G100" i="2" s="1"/>
  <c r="G101" i="2" s="1"/>
  <c r="F37" i="10" l="1"/>
  <c r="C101" i="2"/>
  <c r="G37" i="10" s="1"/>
  <c r="N79" i="3"/>
  <c r="I16" i="11" s="1"/>
  <c r="H16" i="11"/>
  <c r="N74" i="3"/>
  <c r="G16" i="11" s="1"/>
  <c r="F16" i="11"/>
  <c r="E42" i="11"/>
  <c r="G16" i="10"/>
  <c r="G10" i="10"/>
  <c r="G33" i="10"/>
  <c r="G29" i="10"/>
  <c r="G17" i="10"/>
  <c r="G27" i="10"/>
  <c r="G30" i="10"/>
  <c r="G7" i="10"/>
  <c r="G15" i="10"/>
  <c r="G22" i="10"/>
  <c r="G18" i="10"/>
  <c r="F49" i="10"/>
  <c r="G49" i="10"/>
  <c r="F42" i="10"/>
  <c r="G42" i="10"/>
  <c r="F60" i="10"/>
  <c r="G60" i="10"/>
  <c r="F39" i="10"/>
  <c r="G39" i="10"/>
  <c r="F65" i="10"/>
  <c r="G65" i="10"/>
  <c r="F63" i="10"/>
  <c r="G63" i="10"/>
  <c r="F52" i="10"/>
  <c r="G52" i="10"/>
  <c r="F51" i="10"/>
  <c r="G51" i="10"/>
  <c r="F81" i="10"/>
  <c r="G81" i="10"/>
  <c r="F50" i="10"/>
  <c r="G50" i="10"/>
  <c r="F54" i="10"/>
  <c r="G54" i="10"/>
  <c r="F68" i="10"/>
  <c r="G68" i="10"/>
  <c r="F61" i="10"/>
  <c r="G61" i="10"/>
  <c r="F38" i="10"/>
  <c r="G38" i="10"/>
  <c r="F40" i="10"/>
  <c r="G40" i="10"/>
  <c r="F77" i="10"/>
  <c r="G77" i="10"/>
  <c r="F41" i="10"/>
  <c r="G41" i="10"/>
  <c r="F48" i="10"/>
  <c r="G48" i="10"/>
  <c r="H57" i="14"/>
  <c r="I124" i="5"/>
  <c r="I124" i="6"/>
  <c r="G64" i="11"/>
  <c r="F64" i="11"/>
  <c r="O102" i="5"/>
  <c r="H36" i="14"/>
  <c r="O102" i="7"/>
  <c r="O102" i="6"/>
  <c r="G45" i="11"/>
  <c r="F45" i="11"/>
  <c r="G57" i="15"/>
  <c r="I124" i="7"/>
  <c r="G61" i="11"/>
  <c r="F61" i="11"/>
  <c r="M113" i="7"/>
  <c r="G47" i="15"/>
  <c r="S120" i="3"/>
  <c r="S121" i="3" s="1"/>
  <c r="S122" i="3" s="1"/>
  <c r="S123" i="3" s="1"/>
  <c r="E63" i="11"/>
  <c r="G62" i="11"/>
  <c r="F62" i="11"/>
  <c r="G46" i="15"/>
  <c r="K113" i="7"/>
  <c r="F54" i="15"/>
  <c r="G65" i="11"/>
  <c r="F65" i="11"/>
  <c r="G89" i="10"/>
  <c r="G88" i="10"/>
  <c r="E120" i="3"/>
  <c r="E121" i="3" s="1"/>
  <c r="E122" i="3" s="1"/>
  <c r="E123" i="3" s="1"/>
  <c r="E56" i="11"/>
  <c r="G57" i="11"/>
  <c r="F57" i="11"/>
  <c r="G58" i="15"/>
  <c r="K124" i="7"/>
  <c r="G49" i="15"/>
  <c r="Q113" i="7"/>
  <c r="O109" i="3"/>
  <c r="O110" i="3" s="1"/>
  <c r="O111" i="3" s="1"/>
  <c r="O112" i="3" s="1"/>
  <c r="E48" i="11"/>
  <c r="Y109" i="3"/>
  <c r="Y110" i="3" s="1"/>
  <c r="Y111" i="3" s="1"/>
  <c r="Y112" i="3" s="1"/>
  <c r="E53" i="11"/>
  <c r="G42" i="11"/>
  <c r="F42" i="11"/>
  <c r="G54" i="11"/>
  <c r="F54" i="11"/>
  <c r="G46" i="11"/>
  <c r="F46" i="11"/>
  <c r="H52" i="14"/>
  <c r="W113" i="5"/>
  <c r="G44" i="15"/>
  <c r="G113" i="7"/>
  <c r="O113" i="7"/>
  <c r="G48" i="15"/>
  <c r="G60" i="11"/>
  <c r="F60" i="11"/>
  <c r="W109" i="3"/>
  <c r="W110" i="3" s="1"/>
  <c r="W111" i="3" s="1"/>
  <c r="W112" i="3" s="1"/>
  <c r="E52" i="11"/>
  <c r="O124" i="7"/>
  <c r="G60" i="15"/>
  <c r="G43" i="11"/>
  <c r="F43" i="11"/>
  <c r="G59" i="15"/>
  <c r="M124" i="7"/>
  <c r="G47" i="11"/>
  <c r="F47" i="11"/>
  <c r="W113" i="6"/>
  <c r="G59" i="11"/>
  <c r="F59" i="11"/>
  <c r="F51" i="15"/>
  <c r="G31" i="15"/>
  <c r="E102" i="7"/>
  <c r="E102" i="5"/>
  <c r="H31" i="14"/>
  <c r="E102" i="6"/>
  <c r="G124" i="7"/>
  <c r="G56" i="15"/>
  <c r="F53" i="15"/>
  <c r="I113" i="5"/>
  <c r="H45" i="14"/>
  <c r="I113" i="6"/>
  <c r="C124" i="5"/>
  <c r="H54" i="14"/>
  <c r="C124" i="6"/>
  <c r="W113" i="7"/>
  <c r="G55" i="11"/>
  <c r="F55" i="11"/>
  <c r="U98" i="3"/>
  <c r="U99" i="3" s="1"/>
  <c r="U100" i="3" s="1"/>
  <c r="U101" i="3" s="1"/>
  <c r="E38" i="11"/>
  <c r="G30" i="11"/>
  <c r="F30" i="11"/>
  <c r="G41" i="11"/>
  <c r="F41" i="11"/>
  <c r="G35" i="11"/>
  <c r="F35" i="11"/>
  <c r="Q98" i="3"/>
  <c r="Q99" i="3" s="1"/>
  <c r="Q100" i="3" s="1"/>
  <c r="Q101" i="3" s="1"/>
  <c r="E36" i="11"/>
  <c r="G32" i="11"/>
  <c r="F32" i="11"/>
  <c r="G37" i="11"/>
  <c r="F37" i="11"/>
  <c r="G34" i="11"/>
  <c r="F34" i="11"/>
  <c r="W98" i="3"/>
  <c r="W99" i="3" s="1"/>
  <c r="W100" i="3" s="1"/>
  <c r="W101" i="3" s="1"/>
  <c r="E39" i="11"/>
  <c r="G40" i="11"/>
  <c r="F40" i="11"/>
  <c r="G31" i="11"/>
  <c r="F31" i="11"/>
  <c r="G33" i="11"/>
  <c r="F33" i="11"/>
  <c r="G52" i="11" l="1"/>
  <c r="F52" i="11"/>
  <c r="G53" i="11"/>
  <c r="F53" i="11"/>
  <c r="C124" i="7"/>
  <c r="G54" i="15"/>
  <c r="Y113" i="7"/>
  <c r="G53" i="15"/>
  <c r="G48" i="11"/>
  <c r="F48" i="11"/>
  <c r="G56" i="11"/>
  <c r="F56" i="11"/>
  <c r="U113" i="7"/>
  <c r="G51" i="15"/>
  <c r="G63" i="11"/>
  <c r="F63" i="11"/>
  <c r="G39" i="11"/>
  <c r="F39" i="11"/>
  <c r="G36" i="11"/>
  <c r="F36" i="11"/>
  <c r="G38" i="11"/>
  <c r="F38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0" authorId="0" shapeId="0" xr:uid="{9AEFCDE6-E585-48E9-9DA0-6274B3EEB25A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5" authorId="0" shapeId="0" xr:uid="{6475F54B-E01F-4EA3-AC1A-6824C5CA6527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0" authorId="0" shapeId="0" xr:uid="{1C77A2F5-67A3-4C2D-95FD-D9CD019D2789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5" authorId="0" shapeId="0" xr:uid="{5EFA158D-A61B-4F06-93FE-254706AFA883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0" authorId="0" shapeId="0" xr:uid="{3E303B13-A6C1-4BB7-B461-EB0C2A2DD088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5" authorId="0" shapeId="0" xr:uid="{51D0571F-7F5B-4427-A863-3B243500B4BE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0" authorId="0" shapeId="0" xr:uid="{678EF6D8-758B-4751-902C-79BC9D5BC932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5" authorId="0" shapeId="0" xr:uid="{B767A8AA-A1CC-403A-98FD-8704AF8B4764}">
      <text>
        <r>
          <rPr>
            <b/>
            <sz val="9"/>
            <color indexed="81"/>
            <rFont val="Tahoma"/>
            <family val="2"/>
          </rPr>
          <t>Momento negativo lado largo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0" authorId="0" shapeId="0" xr:uid="{A8B8C284-8AB3-4414-9EF8-C73BE183463C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5" authorId="0" shapeId="0" xr:uid="{EAE4B066-6C94-4703-86E0-3EF126FE0FB9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0" authorId="0" shapeId="0" xr:uid="{3E594379-F64D-4EA8-982A-BD80A8FAAB13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5" authorId="0" shapeId="0" xr:uid="{7771CCDC-C5B0-4B56-8B62-E0F623F74CBF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0" authorId="0" shapeId="0" xr:uid="{790EA216-4ED3-48E3-B4B4-3934A147DBE2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5" authorId="0" shapeId="0" xr:uid="{515DBABC-6DBF-4141-8CCC-54BCE66DADA2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0" authorId="0" shapeId="0" xr:uid="{9B66ADC6-3ABE-48C3-842F-82DDFFA975E8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5" authorId="0" shapeId="0" xr:uid="{BC9424A9-8799-4AB5-BA40-D2108E261681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0" authorId="0" shapeId="0" xr:uid="{993B6573-7305-48A1-B5E5-C5C97B7BE741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5" authorId="0" shapeId="0" xr:uid="{C88DEBFE-24C4-43FF-94F8-92F49D917694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0" authorId="0" shapeId="0" xr:uid="{C55E62B5-728E-40D7-99FC-943984DC0BB7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5" authorId="0" shapeId="0" xr:uid="{25ACE69A-19FA-49A5-97CE-87CDA0DDF91B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0" authorId="0" shapeId="0" xr:uid="{FAE3D23C-BC8D-4A08-9096-8EF92BF99C1A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5" authorId="0" shapeId="0" xr:uid="{9259DB04-EEAB-4956-8385-4D5B8610DCA2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0" authorId="0" shapeId="0" xr:uid="{8AB4D803-07E6-45A8-9F6C-AFD36C84A0E9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5" authorId="0" shapeId="0" xr:uid="{48029FE0-BDBE-4F8F-BE5E-4E1D7CB47806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0" authorId="0" shapeId="0" xr:uid="{EFE6D758-B0D7-43B6-BBB9-4323587A2782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5" authorId="0" shapeId="0" xr:uid="{FF6C9D4F-DC7B-4751-B500-AAA95F7C2D93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0" authorId="0" shapeId="0" xr:uid="{13D6B80D-E921-49B6-9C4B-DB08D64BFAD5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5" authorId="0" shapeId="0" xr:uid="{E3D42ABD-A5AF-41ED-A3D9-25D45B79C673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42" authorId="0" shapeId="0" xr:uid="{51BCBF67-B987-4A78-ABE7-E5601031F034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47" authorId="0" shapeId="0" xr:uid="{FFD83DC2-02D9-4B31-BC1D-551D205DFA04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52" authorId="0" shapeId="0" xr:uid="{9889F1F6-1BC5-448E-A38F-1AD3ADF8DCEE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57" authorId="0" shapeId="0" xr:uid="{C5BD8772-71AB-43B4-BA02-242A2F31E750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sharedStrings.xml><?xml version="1.0" encoding="utf-8"?>
<sst xmlns="http://schemas.openxmlformats.org/spreadsheetml/2006/main" count="2693" uniqueCount="344">
  <si>
    <t>Caso</t>
  </si>
  <si>
    <t>ɛ</t>
  </si>
  <si>
    <t>Δx</t>
  </si>
  <si>
    <t>Δy</t>
  </si>
  <si>
    <t>mx</t>
  </si>
  <si>
    <t>my</t>
  </si>
  <si>
    <t>mex</t>
  </si>
  <si>
    <t>mey</t>
  </si>
  <si>
    <t>2a</t>
  </si>
  <si>
    <t>5a</t>
  </si>
  <si>
    <t>5b</t>
  </si>
  <si>
    <t>k</t>
  </si>
  <si>
    <t>2b</t>
  </si>
  <si>
    <t>3a</t>
  </si>
  <si>
    <t>3b</t>
  </si>
  <si>
    <t>As [cm2/m]</t>
  </si>
  <si>
    <t>φ [mm]</t>
  </si>
  <si>
    <t>s [cm]</t>
  </si>
  <si>
    <t>Nivel -1</t>
  </si>
  <si>
    <t>e [cm]</t>
  </si>
  <si>
    <t>rec [cm]</t>
  </si>
  <si>
    <t>s_max [cm]</t>
  </si>
  <si>
    <t>d [cm]</t>
  </si>
  <si>
    <t>Habitacional</t>
  </si>
  <si>
    <t>Balcones</t>
  </si>
  <si>
    <t>Autos</t>
  </si>
  <si>
    <t>Techo</t>
  </si>
  <si>
    <t>Á. com. y esc.</t>
  </si>
  <si>
    <t>Tabique</t>
  </si>
  <si>
    <t>Sobrecargas [kgf/m2]</t>
  </si>
  <si>
    <t>Peso Propio [kgf/m2]</t>
  </si>
  <si>
    <t>Yeso</t>
  </si>
  <si>
    <t>e_yeso [cm]</t>
  </si>
  <si>
    <t>e_sl [cm]</t>
  </si>
  <si>
    <t>γ_yeso [kgf/m2*cm]</t>
  </si>
  <si>
    <t>γ_sl [kgf/m2*cm]</t>
  </si>
  <si>
    <t>Sobrelosa</t>
  </si>
  <si>
    <t xml:space="preserve">PP_adic </t>
  </si>
  <si>
    <t>γ_h [kgf/m3]</t>
  </si>
  <si>
    <t>Materiales</t>
  </si>
  <si>
    <t>Hormigón</t>
  </si>
  <si>
    <t>G35</t>
  </si>
  <si>
    <t>A63-42H</t>
  </si>
  <si>
    <t>N° Losa</t>
  </si>
  <si>
    <t>Lx (m)</t>
  </si>
  <si>
    <t>Ly (m)</t>
  </si>
  <si>
    <t>e (cm)</t>
  </si>
  <si>
    <t>SC</t>
  </si>
  <si>
    <t>Tipo H.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</si>
  <si>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</si>
  <si>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</si>
  <si>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</si>
  <si>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</si>
  <si>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</si>
  <si>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</si>
  <si>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</si>
  <si>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</si>
  <si>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</si>
  <si>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</si>
  <si>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</si>
  <si>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</si>
  <si>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</si>
  <si>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</si>
  <si>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</si>
  <si>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</si>
  <si>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</si>
  <si>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</si>
  <si>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</si>
  <si>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</si>
  <si>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</si>
  <si>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</si>
  <si>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</si>
  <si>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</si>
  <si>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</si>
  <si>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</si>
  <si>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</si>
  <si>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</si>
  <si>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</si>
  <si>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G36</t>
  </si>
  <si>
    <t>f'c [tonf/cm2]</t>
  </si>
  <si>
    <t>fy [tonf/cm2]</t>
  </si>
  <si>
    <t>Lx [m]</t>
  </si>
  <si>
    <t>Ly [m]</t>
  </si>
  <si>
    <t>SC [kgf/m2]</t>
  </si>
  <si>
    <t>ε</t>
  </si>
  <si>
    <t>λ</t>
  </si>
  <si>
    <t>e_min [cm]</t>
  </si>
  <si>
    <t>Cargas</t>
  </si>
  <si>
    <t>As_min [cm2/m]</t>
  </si>
  <si>
    <t>PP_losa [kgf/m2]</t>
  </si>
  <si>
    <t>PP_t [kgf/m2]</t>
  </si>
  <si>
    <t>q_u [kgf/m2]</t>
  </si>
  <si>
    <t>Ku [kgf*m/m]</t>
  </si>
  <si>
    <t>α</t>
  </si>
  <si>
    <t>Parámetros</t>
  </si>
  <si>
    <t>Dimensiones Losa</t>
  </si>
  <si>
    <t>Momentos últimos</t>
  </si>
  <si>
    <t>Mx [kgf*m/m]</t>
  </si>
  <si>
    <t>a [cm/m]</t>
  </si>
  <si>
    <t xml:space="preserve">As_min </t>
  </si>
  <si>
    <t>Fs</t>
  </si>
  <si>
    <t>Fi</t>
  </si>
  <si>
    <t>My [kgf*m/m]</t>
  </si>
  <si>
    <t>Mex [kgf*m/m]</t>
  </si>
  <si>
    <t>Mey [kgf*m/m]</t>
  </si>
  <si>
    <t>F'+</t>
  </si>
  <si>
    <t>F'-</t>
  </si>
  <si>
    <t>Interacciones entre losas</t>
  </si>
  <si>
    <t>x</t>
  </si>
  <si>
    <t>y</t>
  </si>
  <si>
    <t>Me [kgf*m/m]</t>
  </si>
  <si>
    <t>Dif [%]</t>
  </si>
  <si>
    <t>Mu [kgf*m/m]</t>
  </si>
  <si>
    <t>F'</t>
  </si>
  <si>
    <t>Ejes</t>
  </si>
  <si>
    <t>SC (kgf/m2)</t>
  </si>
  <si>
    <t>f'c (tonf/m2)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</si>
  <si>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</si>
  <si>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</si>
  <si>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</si>
  <si>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</si>
  <si>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</si>
  <si>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</si>
  <si>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</si>
  <si>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</si>
  <si>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</si>
  <si>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</si>
  <si>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</si>
  <si>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</si>
  <si>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</si>
  <si>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</si>
  <si>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</si>
  <si>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</si>
  <si>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</si>
  <si>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</si>
  <si>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</si>
  <si>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</si>
  <si>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Nivel 1</t>
  </si>
  <si>
    <t>121</t>
  </si>
  <si>
    <t>201</t>
  </si>
  <si>
    <t>Nivel 2 a 7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</si>
  <si>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</si>
  <si>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</si>
  <si>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</si>
  <si>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</si>
  <si>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</si>
  <si>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</si>
  <si>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</si>
  <si>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</si>
  <si>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</si>
  <si>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</si>
  <si>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</si>
  <si>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</si>
  <si>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</si>
  <si>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</si>
  <si>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</si>
  <si>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</si>
  <si>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</si>
  <si>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</si>
  <si>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</si>
  <si>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</si>
  <si>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</si>
  <si>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Nivel 8 a 13</t>
  </si>
  <si>
    <t>801</t>
  </si>
  <si>
    <t>G30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</si>
  <si>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</si>
  <si>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</si>
  <si>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</si>
  <si>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</si>
  <si>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</si>
  <si>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</si>
  <si>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</si>
  <si>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</si>
  <si>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</si>
  <si>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</si>
  <si>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</si>
  <si>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</si>
  <si>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</si>
  <si>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</si>
  <si>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</si>
  <si>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</si>
  <si>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</si>
  <si>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</si>
  <si>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</si>
  <si>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</si>
  <si>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</si>
  <si>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1401</t>
  </si>
  <si>
    <t>G20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</si>
  <si>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</si>
  <si>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</si>
  <si>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</si>
  <si>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</si>
  <si>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</si>
  <si>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</si>
  <si>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</si>
  <si>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</si>
  <si>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</si>
  <si>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</si>
  <si>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</si>
  <si>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</si>
  <si>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</si>
  <si>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</si>
  <si>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</si>
  <si>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</si>
  <si>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</si>
  <si>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</si>
  <si>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</si>
  <si>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</si>
  <si>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</si>
  <si>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Nivel 23</t>
  </si>
  <si>
    <t>Nivel 14 a 22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</si>
  <si>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</si>
  <si>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</si>
  <si>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</si>
  <si>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</si>
  <si>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</si>
  <si>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</si>
  <si>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</si>
  <si>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</si>
  <si>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</si>
  <si>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</si>
  <si>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</si>
  <si>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</si>
  <si>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</si>
  <si>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</si>
  <si>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</si>
  <si>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</si>
  <si>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</si>
  <si>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</si>
  <si>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</si>
  <si>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</si>
  <si>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</si>
  <si>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</si>
  <si>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Nivel 24</t>
  </si>
  <si>
    <t>2401</t>
  </si>
  <si>
    <t>2402</t>
  </si>
  <si>
    <t>2403</t>
  </si>
  <si>
    <t>Nivel Cubierta</t>
  </si>
  <si>
    <t>CU</t>
  </si>
  <si>
    <t>Acero ref.</t>
  </si>
  <si>
    <t>$F_{s}$</t>
  </si>
  <si>
    <t>$F_{i}$</t>
  </si>
  <si>
    <t>Enfierradura</t>
  </si>
  <si>
    <t>Losa del nivel -1</t>
  </si>
  <si>
    <t>$q_{u} \quad (kgf/m^2)$</t>
  </si>
  <si>
    <t>$As \quad (cm^{2}/m)$</t>
  </si>
  <si>
    <t xml:space="preserve">$Ag_{min} \quad (cm^{2}/m)$ </t>
  </si>
  <si>
    <t>$F'_{s}$</t>
  </si>
  <si>
    <t>$F'_{i}$</t>
  </si>
  <si>
    <t>Losa del nivel 1</t>
  </si>
  <si>
    <t>Losa del nivel 2 al 22</t>
  </si>
  <si>
    <t>(2-22)01</t>
  </si>
  <si>
    <t>(2-22)02</t>
  </si>
  <si>
    <t>(2-22)03</t>
  </si>
  <si>
    <t>(2-22)04</t>
  </si>
  <si>
    <t>(2-22)05</t>
  </si>
  <si>
    <t>(2-22)06</t>
  </si>
  <si>
    <t>(2-22)07</t>
  </si>
  <si>
    <t>(2-22)08</t>
  </si>
  <si>
    <t>(2-22)09</t>
  </si>
  <si>
    <t>(2-22)10</t>
  </si>
  <si>
    <t>(2-22)11</t>
  </si>
  <si>
    <t>(2-22)12</t>
  </si>
  <si>
    <t>(2-22)13</t>
  </si>
  <si>
    <t>(2-22)14</t>
  </si>
  <si>
    <t>(2-22)15</t>
  </si>
  <si>
    <t>(2-22)16</t>
  </si>
  <si>
    <t>(2-22)17</t>
  </si>
  <si>
    <t>(2-22)18</t>
  </si>
  <si>
    <t>(2-22)19</t>
  </si>
  <si>
    <t>(2-22)20</t>
  </si>
  <si>
    <t>(2-22)21</t>
  </si>
  <si>
    <t>(2-22)22</t>
  </si>
  <si>
    <t>Losa del nivel 23</t>
  </si>
  <si>
    <t>Losa del nivel 24</t>
  </si>
  <si>
    <t>Losa de Cubierta</t>
  </si>
  <si>
    <t>$PP_{adic}$</t>
  </si>
  <si>
    <t>Área común y escalera</t>
  </si>
  <si>
    <t>Losas</t>
  </si>
  <si>
    <t>Mu $[kgf \cdot m/m]$</t>
  </si>
  <si>
    <t>As $[cm^2/m]$</t>
  </si>
  <si>
    <t>Ocupación</t>
  </si>
  <si>
    <t>Sobrecargas $[kgf/m^2]$</t>
  </si>
  <si>
    <t>Peso Propio $[kgf/m^2]$</t>
  </si>
  <si>
    <t>Elemento</t>
  </si>
  <si>
    <t>Nivel</t>
  </si>
  <si>
    <t>Cubierta</t>
  </si>
  <si>
    <t>Acero refuerzo</t>
  </si>
  <si>
    <t>$As_{min} \quad [cm^2/m]$</t>
  </si>
  <si>
    <t>$e_{min} [cm]$</t>
  </si>
  <si>
    <t>$L_y [m]$</t>
  </si>
  <si>
    <t>$L_x [m]$</t>
  </si>
  <si>
    <t>Condición de apoyo</t>
  </si>
  <si>
    <t>$\phi 8@16$</t>
  </si>
  <si>
    <t>$\phi 10@20$</t>
  </si>
  <si>
    <t>$\phi 8@14$</t>
  </si>
  <si>
    <t>Mx $[kgf \cdot m/m]$</t>
  </si>
  <si>
    <t>My $[kgf \cdot m/m]$</t>
  </si>
  <si>
    <t>Mex $[kgf \cdot m/m]$</t>
  </si>
  <si>
    <t>Mey $[kgf \cdot m/m]$</t>
  </si>
  <si>
    <t>Ku $[kgf \cdot m/m]$</t>
  </si>
  <si>
    <t>SC $[kgf/m^2]$</t>
  </si>
  <si>
    <t>Cond. apoyo</t>
  </si>
  <si>
    <t>$PP_{losa} [kgf/m^2]$</t>
  </si>
  <si>
    <t>$PP_t [kgf/m^2]$</t>
  </si>
  <si>
    <t>$q_u [kgf/m^2]$</t>
  </si>
  <si>
    <t>$\alpha$</t>
  </si>
  <si>
    <t>$\Delta x$</t>
  </si>
  <si>
    <t>$\Delta y$</t>
  </si>
  <si>
    <t>$\epsilon$</t>
  </si>
  <si>
    <t>$\lambda$</t>
  </si>
  <si>
    <t>Franja de losa</t>
  </si>
  <si>
    <t>$\phi8@17$</t>
  </si>
  <si>
    <t>-</t>
  </si>
  <si>
    <t>$\Delta_z_{max} [cm]$</t>
  </si>
  <si>
    <t>$\Delta_z_{min} [cm]$</t>
  </si>
  <si>
    <t>$\Delta_{elast} [cm]$</t>
  </si>
  <si>
    <t>$\Delta_{creep} [cm]$</t>
  </si>
  <si>
    <t>204-215</t>
  </si>
  <si>
    <t>304-315</t>
  </si>
  <si>
    <t>404-415</t>
  </si>
  <si>
    <t>504-515</t>
  </si>
  <si>
    <t>604-615</t>
  </si>
  <si>
    <t>704-715</t>
  </si>
  <si>
    <t>804-815</t>
  </si>
  <si>
    <t>904-915</t>
  </si>
  <si>
    <t>1004-1015</t>
  </si>
  <si>
    <t>1104-1115</t>
  </si>
  <si>
    <t>1204-1215</t>
  </si>
  <si>
    <t>1304-1315</t>
  </si>
  <si>
    <t>1404-1415</t>
  </si>
  <si>
    <t>1504-1515</t>
  </si>
  <si>
    <t>1604-1615</t>
  </si>
  <si>
    <t>1704-1715</t>
  </si>
  <si>
    <t>1804-1815</t>
  </si>
  <si>
    <t>1904-1915</t>
  </si>
  <si>
    <t>2004-2015</t>
  </si>
  <si>
    <t>2104-2115</t>
  </si>
  <si>
    <t>2204-2215</t>
  </si>
  <si>
    <t>2404</t>
  </si>
  <si>
    <t>CU01</t>
  </si>
  <si>
    <t>$\Delta_{adm}  [cm]$</t>
  </si>
  <si>
    <t>Estado</t>
  </si>
  <si>
    <t>$\phi$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</si>
</sst>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9" xfId="0" applyBorder="1"/>
    <xf numFmtId="0" fontId="0" fillId="0" borderId="21" xfId="0" applyBorder="1"/>
    <xf numFmtId="0" fontId="0" fillId="0" borderId="6" xfId="0" applyBorder="1" applyAlignment="1">
      <alignment horizontal="right"/>
    </xf>
    <xf numFmtId="0" fontId="0" fillId="0" borderId="0" xfId="0" applyBorder="1"/>
    <xf numFmtId="49" fontId="0" fillId="0" borderId="0" xfId="0" applyNumberFormat="1"/>
    <xf numFmtId="1" fontId="0" fillId="0" borderId="0" xfId="0" applyNumberFormat="1"/>
    <xf numFmtId="164" fontId="3" fillId="0" borderId="0" xfId="0" applyNumberFormat="1" applyFont="1" applyBorder="1" applyAlignment="1">
      <alignment horizontal="center" vertical="center"/>
    </xf>
    <xf numFmtId="0" fontId="0" fillId="5" borderId="12" xfId="0" applyFill="1" applyBorder="1"/>
    <xf numFmtId="0" fontId="2" fillId="0" borderId="5" xfId="0" applyFont="1" applyBorder="1"/>
    <xf numFmtId="0" fontId="2" fillId="0" borderId="7" xfId="0" applyFont="1" applyBorder="1"/>
    <xf numFmtId="0" fontId="2" fillId="0" borderId="18" xfId="0" applyFont="1" applyBorder="1"/>
    <xf numFmtId="0" fontId="3" fillId="0" borderId="18" xfId="0" applyFont="1" applyBorder="1"/>
    <xf numFmtId="0" fontId="3" fillId="0" borderId="20" xfId="0" applyFont="1" applyBorder="1"/>
    <xf numFmtId="0" fontId="3" fillId="5" borderId="10" xfId="0" applyFont="1" applyFill="1" applyBorder="1"/>
    <xf numFmtId="0" fontId="2" fillId="0" borderId="10" xfId="0" applyFont="1" applyFill="1" applyBorder="1"/>
    <xf numFmtId="0" fontId="3" fillId="0" borderId="0" xfId="0" applyFont="1" applyFill="1" applyBorder="1"/>
    <xf numFmtId="0" fontId="6" fillId="0" borderId="0" xfId="0" applyFont="1"/>
    <xf numFmtId="2" fontId="2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0" fillId="5" borderId="12" xfId="0" applyFill="1" applyBorder="1" applyAlignment="1">
      <alignment horizontal="right"/>
    </xf>
    <xf numFmtId="164" fontId="0" fillId="0" borderId="0" xfId="0" applyNumberFormat="1"/>
    <xf numFmtId="0" fontId="4" fillId="6" borderId="1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0" fontId="2" fillId="7" borderId="10" xfId="0" applyFont="1" applyFill="1" applyBorder="1" applyAlignment="1"/>
    <xf numFmtId="0" fontId="2" fillId="7" borderId="12" xfId="0" applyFont="1" applyFill="1" applyBorder="1" applyAlignment="1"/>
    <xf numFmtId="0" fontId="2" fillId="0" borderId="10" xfId="0" applyFont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8" xfId="0" applyFill="1" applyBorder="1" applyAlignment="1">
      <alignment horizontal="center" vertical="center"/>
    </xf>
    <xf numFmtId="49" fontId="0" fillId="0" borderId="0" xfId="0" applyNumberFormat="1" applyBorder="1"/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7" xfId="0" applyFill="1" applyBorder="1"/>
    <xf numFmtId="0" fontId="2" fillId="3" borderId="16" xfId="0" applyFont="1" applyFill="1" applyBorder="1"/>
    <xf numFmtId="0" fontId="2" fillId="7" borderId="11" xfId="0" applyFont="1" applyFill="1" applyBorder="1" applyAlignment="1"/>
    <xf numFmtId="0" fontId="0" fillId="0" borderId="15" xfId="0" applyNumberFormat="1" applyBorder="1" applyAlignment="1">
      <alignment horizontal="center"/>
    </xf>
    <xf numFmtId="0" fontId="2" fillId="3" borderId="5" xfId="0" applyFont="1" applyFill="1" applyBorder="1"/>
    <xf numFmtId="0" fontId="0" fillId="3" borderId="6" xfId="0" applyFill="1" applyBorder="1"/>
    <xf numFmtId="0" fontId="2" fillId="3" borderId="2" xfId="0" applyFont="1" applyFill="1" applyBorder="1"/>
    <xf numFmtId="0" fontId="0" fillId="3" borderId="4" xfId="0" applyFill="1" applyBorder="1" applyAlignment="1">
      <alignment horizontal="right"/>
    </xf>
    <xf numFmtId="0" fontId="0" fillId="0" borderId="11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49" fontId="2" fillId="6" borderId="4" xfId="0" applyNumberFormat="1" applyFont="1" applyFill="1" applyBorder="1" applyAlignment="1">
      <alignment horizontal="center"/>
    </xf>
    <xf numFmtId="0" fontId="2" fillId="6" borderId="3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" fontId="0" fillId="0" borderId="0" xfId="0" applyNumberFormat="1" applyBorder="1"/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right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4" fillId="0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/>
    <xf numFmtId="0" fontId="0" fillId="0" borderId="0" xfId="0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11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49" fontId="2" fillId="0" borderId="11" xfId="0" applyNumberFormat="1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0" fillId="0" borderId="0" xfId="0" applyNumberFormat="1"/>
    <xf numFmtId="2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0" fillId="0" borderId="25" xfId="0" applyNumberFormat="1" applyBorder="1" applyAlignment="1">
      <alignment horizontal="center" vertical="center" wrapText="1"/>
    </xf>
    <xf numFmtId="0" fontId="0" fillId="0" borderId="24" xfId="0" applyNumberFormat="1" applyBorder="1" applyAlignment="1">
      <alignment horizontal="center" vertical="center" wrapText="1"/>
    </xf>
    <xf numFmtId="0" fontId="2" fillId="0" borderId="23" xfId="0" applyNumberFormat="1" applyFont="1" applyBorder="1" applyAlignment="1">
      <alignment horizontal="center" vertical="center" wrapText="1"/>
    </xf>
    <xf numFmtId="0" fontId="2" fillId="0" borderId="24" xfId="0" applyNumberFormat="1" applyFont="1" applyBorder="1" applyAlignment="1">
      <alignment horizontal="center" vertical="center" wrapText="1"/>
    </xf>
    <xf numFmtId="0" fontId="2" fillId="0" borderId="25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2" fillId="0" borderId="31" xfId="0" applyNumberFormat="1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NumberFormat="1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1" xfId="0" applyNumberFormat="1" applyFont="1" applyBorder="1" applyAlignment="1">
      <alignment horizontal="center" vertical="center" wrapText="1"/>
    </xf>
    <xf numFmtId="49" fontId="0" fillId="0" borderId="23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" fillId="0" borderId="35" xfId="0" applyNumberFormat="1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49" fontId="2" fillId="0" borderId="35" xfId="0" applyNumberFormat="1" applyFont="1" applyBorder="1" applyAlignment="1">
      <alignment horizontal="center" vertical="center" wrapText="1"/>
    </xf>
    <xf numFmtId="49" fontId="2" fillId="0" borderId="33" xfId="0" applyNumberFormat="1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49" fontId="2" fillId="0" borderId="31" xfId="0" applyNumberFormat="1" applyFont="1" applyBorder="1" applyAlignment="1">
      <alignment horizontal="center" vertical="center" wrapText="1"/>
    </xf>
    <xf numFmtId="0" fontId="2" fillId="0" borderId="33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 wrapText="1"/>
    </xf>
    <xf numFmtId="0" fontId="2" fillId="0" borderId="26" xfId="0" applyNumberFormat="1" applyFont="1" applyBorder="1" applyAlignment="1">
      <alignment horizontal="center" vertical="center" wrapText="1"/>
    </xf>
    <xf numFmtId="0" fontId="2" fillId="0" borderId="27" xfId="0" applyNumberFormat="1" applyFont="1" applyBorder="1" applyAlignment="1">
      <alignment horizontal="center" vertical="center" wrapText="1"/>
    </xf>
    <xf numFmtId="0" fontId="2" fillId="0" borderId="26" xfId="0" applyNumberFormat="1" applyFont="1" applyBorder="1" applyAlignment="1">
      <alignment horizontal="center" vertical="center" wrapText="1"/>
    </xf>
    <xf numFmtId="0" fontId="2" fillId="0" borderId="27" xfId="0" applyNumberFormat="1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 wrapText="1"/>
    </xf>
    <xf numFmtId="0" fontId="0" fillId="0" borderId="23" xfId="0" applyNumberFormat="1" applyBorder="1" applyAlignment="1">
      <alignment horizontal="center" vertical="center" wrapText="1"/>
    </xf>
    <xf numFmtId="0" fontId="0" fillId="0" borderId="34" xfId="0" applyNumberFormat="1" applyBorder="1" applyAlignment="1">
      <alignment horizontal="center" vertical="center" wrapText="1"/>
    </xf>
    <xf numFmtId="0" fontId="0" fillId="0" borderId="36" xfId="0" applyNumberFormat="1" applyBorder="1" applyAlignment="1">
      <alignment horizontal="center" vertical="center" wrapText="1"/>
    </xf>
    <xf numFmtId="0" fontId="0" fillId="0" borderId="37" xfId="0" applyNumberFormat="1" applyBorder="1" applyAlignment="1">
      <alignment horizontal="center" vertical="center" wrapText="1"/>
    </xf>
    <xf numFmtId="49" fontId="0" fillId="0" borderId="31" xfId="0" applyNumberFormat="1" applyBorder="1" applyAlignment="1">
      <alignment horizontal="center" vertical="center" wrapText="1"/>
    </xf>
    <xf numFmtId="49" fontId="2" fillId="0" borderId="23" xfId="0" applyNumberFormat="1" applyFont="1" applyBorder="1" applyAlignment="1">
      <alignment horizontal="center" vertical="center" wrapText="1"/>
    </xf>
    <xf numFmtId="49" fontId="0" fillId="0" borderId="35" xfId="0" applyNumberFormat="1" applyBorder="1" applyAlignment="1">
      <alignment horizontal="center" vertical="center" wrapText="1"/>
    </xf>
    <xf numFmtId="49" fontId="0" fillId="0" borderId="33" xfId="0" applyNumberForma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5" xfId="0" applyBorder="1" applyAlignment="1">
      <alignment horizontal="center"/>
    </xf>
    <xf numFmtId="49" fontId="2" fillId="0" borderId="38" xfId="0" applyNumberFormat="1" applyFont="1" applyBorder="1" applyAlignment="1">
      <alignment horizontal="center" vertical="center" wrapText="1"/>
    </xf>
    <xf numFmtId="0" fontId="0" fillId="0" borderId="29" xfId="0" applyNumberFormat="1" applyBorder="1" applyAlignment="1">
      <alignment horizontal="center" vertical="center" wrapText="1"/>
    </xf>
    <xf numFmtId="0" fontId="0" fillId="0" borderId="32" xfId="0" applyNumberFormat="1" applyBorder="1" applyAlignment="1">
      <alignment horizontal="center" vertical="center" wrapText="1"/>
    </xf>
    <xf numFmtId="0" fontId="2" fillId="0" borderId="39" xfId="0" applyNumberFormat="1" applyFont="1" applyBorder="1" applyAlignment="1">
      <alignment horizontal="center" vertical="center" wrapText="1"/>
    </xf>
    <xf numFmtId="0" fontId="2" fillId="0" borderId="28" xfId="0" applyNumberFormat="1" applyFont="1" applyBorder="1" applyAlignment="1">
      <alignment horizontal="center" vertical="center" wrapText="1"/>
    </xf>
    <xf numFmtId="0" fontId="2" fillId="0" borderId="22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8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4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B9E5-6A71-4F38-B31E-2C4AC01B7314}">
  <dimension ref="B1:AA92"/>
  <sheetViews>
    <sheetView showGridLines="0" topLeftCell="A25" zoomScale="70" zoomScaleNormal="70" workbookViewId="0">
      <selection activeCell="O3" sqref="O3"/>
    </sheetView>
  </sheetViews>
  <sheetFormatPr defaultColWidth="11.42578125" defaultRowHeight="15" x14ac:dyDescent="0.25"/>
  <cols>
    <col min="1" max="1" width="2.85546875" style="1" customWidth="1"/>
    <col min="2" max="2" width="7.140625" style="1" hidden="1" customWidth="1"/>
    <col min="3" max="3" width="11.42578125" style="1"/>
    <col min="4" max="6" width="11.42578125" style="13"/>
    <col min="7" max="10" width="11.42578125" style="19"/>
    <col min="11" max="11" width="4.28515625" style="19" customWidth="1"/>
    <col min="12" max="12" width="9.5703125" style="1" hidden="1" customWidth="1"/>
    <col min="13" max="13" width="6.28515625" style="1" bestFit="1" customWidth="1"/>
    <col min="14" max="14" width="4" style="19" bestFit="1" customWidth="1"/>
    <col min="15" max="15" width="8.85546875" style="13" bestFit="1" customWidth="1"/>
    <col min="16" max="16" width="2.85546875" style="1" customWidth="1"/>
    <col min="17" max="17" width="11.28515625" style="13" hidden="1" customWidth="1"/>
    <col min="18" max="18" width="14.28515625" style="13" customWidth="1"/>
    <col min="19" max="20" width="14.28515625" style="1" customWidth="1"/>
    <col min="21" max="21" width="11.5703125"/>
    <col min="22" max="25" width="11.42578125" style="1"/>
    <col min="26" max="26" width="11.85546875" style="1" bestFit="1" customWidth="1"/>
    <col min="27" max="27" width="15.28515625" style="1" bestFit="1" customWidth="1"/>
    <col min="28" max="16384" width="11.42578125" style="1"/>
  </cols>
  <sheetData>
    <row r="1" spans="2:27" ht="15.75" thickBot="1" x14ac:dyDescent="0.3"/>
    <row r="2" spans="2:27" ht="15.75" thickBot="1" x14ac:dyDescent="0.3">
      <c r="C2" s="29" t="s">
        <v>0</v>
      </c>
      <c r="D2" s="32" t="s">
        <v>1</v>
      </c>
      <c r="E2" s="32" t="s">
        <v>2</v>
      </c>
      <c r="F2" s="32" t="s">
        <v>3</v>
      </c>
      <c r="G2" s="30" t="s">
        <v>4</v>
      </c>
      <c r="H2" s="30" t="s">
        <v>5</v>
      </c>
      <c r="I2" s="30" t="s">
        <v>6</v>
      </c>
      <c r="J2" s="33" t="s">
        <v>7</v>
      </c>
      <c r="K2" s="42"/>
      <c r="M2" s="29" t="s">
        <v>0</v>
      </c>
      <c r="N2" s="30" t="s">
        <v>1</v>
      </c>
      <c r="O2" s="31" t="s">
        <v>343</v>
      </c>
      <c r="Q2" s="58"/>
      <c r="R2" s="53" t="s">
        <v>15</v>
      </c>
      <c r="S2" s="54" t="s">
        <v>16</v>
      </c>
      <c r="T2" s="55" t="s">
        <v>17</v>
      </c>
      <c r="V2" s="34" t="s">
        <v>285</v>
      </c>
      <c r="W2" s="34" t="s">
        <v>19</v>
      </c>
      <c r="X2" s="195" t="str">
        <f>'-1'!B12</f>
        <v>$As_{min} \quad [cm^2/m]$</v>
      </c>
      <c r="Y2" s="195"/>
      <c r="Z2" s="34" t="s">
        <v>40</v>
      </c>
      <c r="AA2" s="34" t="s">
        <v>287</v>
      </c>
    </row>
    <row r="3" spans="2:27" x14ac:dyDescent="0.25">
      <c r="B3" s="1" t="str">
        <f>C3&amp;D3</f>
        <v>11</v>
      </c>
      <c r="C3" s="2">
        <v>1</v>
      </c>
      <c r="D3" s="14">
        <v>1</v>
      </c>
      <c r="E3" s="14">
        <v>1</v>
      </c>
      <c r="F3" s="14">
        <v>1</v>
      </c>
      <c r="G3" s="20">
        <v>27.2</v>
      </c>
      <c r="H3" s="20">
        <v>27.2</v>
      </c>
      <c r="I3" s="20">
        <v>0</v>
      </c>
      <c r="J3" s="21">
        <v>0</v>
      </c>
      <c r="K3" s="22"/>
      <c r="L3" s="1" t="str">
        <f t="shared" ref="L3:L14" si="0">M3&amp;N3</f>
        <v>11</v>
      </c>
      <c r="M3" s="2">
        <v>1</v>
      </c>
      <c r="N3" s="20">
        <v>1</v>
      </c>
      <c r="O3" s="26">
        <v>1</v>
      </c>
      <c r="Q3" s="6" t="str">
        <f t="shared" ref="Q3:Q34" si="1">S3&amp;T3</f>
        <v>825</v>
      </c>
      <c r="R3" s="2">
        <v>2.0099999999999998</v>
      </c>
      <c r="S3" s="3">
        <v>8</v>
      </c>
      <c r="T3" s="4">
        <v>25</v>
      </c>
      <c r="V3" s="3" t="s">
        <v>286</v>
      </c>
      <c r="W3" s="3">
        <v>16</v>
      </c>
      <c r="X3" s="160">
        <f>'1'!C12</f>
        <v>2.88</v>
      </c>
      <c r="Y3" s="161" t="str">
        <f>'1'!C13</f>
        <v>$\phi8@17$</v>
      </c>
      <c r="Z3" s="3" t="s">
        <v>187</v>
      </c>
      <c r="AA3" s="158" t="s">
        <v>42</v>
      </c>
    </row>
    <row r="4" spans="2:27" x14ac:dyDescent="0.25">
      <c r="B4" s="1" t="str">
        <f t="shared" ref="B4:B67" si="2">C4&amp;D4</f>
        <v>11,05</v>
      </c>
      <c r="C4" s="5">
        <v>1</v>
      </c>
      <c r="D4" s="15">
        <v>1.05</v>
      </c>
      <c r="E4" s="15">
        <v>1</v>
      </c>
      <c r="F4" s="15">
        <v>1</v>
      </c>
      <c r="G4" s="22">
        <v>25.8</v>
      </c>
      <c r="H4" s="22">
        <v>28.9</v>
      </c>
      <c r="I4" s="22">
        <v>0</v>
      </c>
      <c r="J4" s="23">
        <v>0</v>
      </c>
      <c r="K4" s="22"/>
      <c r="L4" s="1" t="str">
        <f t="shared" si="0"/>
        <v>11,1</v>
      </c>
      <c r="M4" s="5">
        <v>1</v>
      </c>
      <c r="N4" s="22">
        <v>1.1000000000000001</v>
      </c>
      <c r="O4" s="27">
        <v>1</v>
      </c>
      <c r="Q4" s="6" t="str">
        <f t="shared" si="1"/>
        <v>824</v>
      </c>
      <c r="R4" s="5">
        <v>2.09</v>
      </c>
      <c r="S4" s="6">
        <v>8</v>
      </c>
      <c r="T4" s="7">
        <v>24</v>
      </c>
      <c r="V4" s="6">
        <v>24</v>
      </c>
      <c r="W4" s="6">
        <v>16</v>
      </c>
      <c r="X4" s="162">
        <v>2.88</v>
      </c>
      <c r="Y4" s="164" t="str">
        <f>'1'!C13</f>
        <v>$\phi8@17$</v>
      </c>
      <c r="Z4" s="6" t="s">
        <v>187</v>
      </c>
      <c r="AA4" s="131" t="s">
        <v>42</v>
      </c>
    </row>
    <row r="5" spans="2:27" x14ac:dyDescent="0.25">
      <c r="B5" s="1" t="str">
        <f t="shared" si="2"/>
        <v>11,1</v>
      </c>
      <c r="C5" s="5">
        <v>1</v>
      </c>
      <c r="D5" s="15">
        <v>1.1000000000000001</v>
      </c>
      <c r="E5" s="15">
        <v>1</v>
      </c>
      <c r="F5" s="15">
        <v>1</v>
      </c>
      <c r="G5" s="22">
        <v>24.6</v>
      </c>
      <c r="H5" s="22">
        <v>30.7</v>
      </c>
      <c r="I5" s="22">
        <v>0</v>
      </c>
      <c r="J5" s="23">
        <v>0</v>
      </c>
      <c r="K5" s="22"/>
      <c r="L5" s="1" t="str">
        <f t="shared" si="0"/>
        <v>11,2</v>
      </c>
      <c r="M5" s="5">
        <v>1</v>
      </c>
      <c r="N5" s="22">
        <v>1.2</v>
      </c>
      <c r="O5" s="27">
        <v>1</v>
      </c>
      <c r="Q5" s="6" t="str">
        <f t="shared" si="1"/>
        <v>823</v>
      </c>
      <c r="R5" s="5">
        <v>2.19</v>
      </c>
      <c r="S5" s="6">
        <v>8</v>
      </c>
      <c r="T5" s="7">
        <v>23</v>
      </c>
      <c r="V5" s="6">
        <v>23</v>
      </c>
      <c r="W5" s="6">
        <v>16</v>
      </c>
      <c r="X5" s="162">
        <v>2.88</v>
      </c>
      <c r="Y5" s="164" t="str">
        <f>'1'!C13</f>
        <v>$\phi8@17$</v>
      </c>
      <c r="Z5" s="6" t="s">
        <v>187</v>
      </c>
      <c r="AA5" s="131" t="s">
        <v>42</v>
      </c>
    </row>
    <row r="6" spans="2:27" x14ac:dyDescent="0.25">
      <c r="B6" s="1" t="str">
        <f t="shared" si="2"/>
        <v>11,15</v>
      </c>
      <c r="C6" s="5">
        <v>1</v>
      </c>
      <c r="D6" s="15">
        <v>1.1499999999999999</v>
      </c>
      <c r="E6" s="15">
        <v>1</v>
      </c>
      <c r="F6" s="15">
        <v>1</v>
      </c>
      <c r="G6" s="22">
        <v>23.7</v>
      </c>
      <c r="H6" s="22">
        <v>32.700000000000003</v>
      </c>
      <c r="I6" s="22">
        <v>0</v>
      </c>
      <c r="J6" s="23">
        <v>0</v>
      </c>
      <c r="K6" s="22"/>
      <c r="L6" s="1" t="str">
        <f t="shared" si="0"/>
        <v>11,3</v>
      </c>
      <c r="M6" s="5">
        <v>1</v>
      </c>
      <c r="N6" s="22">
        <v>1.3</v>
      </c>
      <c r="O6" s="27">
        <v>1</v>
      </c>
      <c r="Q6" s="6" t="str">
        <f t="shared" si="1"/>
        <v>822</v>
      </c>
      <c r="R6" s="5">
        <v>2.2799999999999998</v>
      </c>
      <c r="S6" s="6">
        <v>8</v>
      </c>
      <c r="T6" s="7">
        <v>22</v>
      </c>
      <c r="V6" s="6">
        <v>22</v>
      </c>
      <c r="W6" s="6">
        <v>16</v>
      </c>
      <c r="X6" s="162">
        <v>2.88</v>
      </c>
      <c r="Y6" s="164" t="str">
        <f>'1'!C13</f>
        <v>$\phi8@17$</v>
      </c>
      <c r="Z6" s="6" t="s">
        <v>187</v>
      </c>
      <c r="AA6" s="131" t="s">
        <v>42</v>
      </c>
    </row>
    <row r="7" spans="2:27" x14ac:dyDescent="0.25">
      <c r="B7" s="1" t="str">
        <f t="shared" si="2"/>
        <v>11,2</v>
      </c>
      <c r="C7" s="5">
        <v>1</v>
      </c>
      <c r="D7" s="15">
        <v>1.2</v>
      </c>
      <c r="E7" s="15">
        <v>1</v>
      </c>
      <c r="F7" s="15">
        <v>1</v>
      </c>
      <c r="G7" s="22">
        <v>22.9</v>
      </c>
      <c r="H7" s="22">
        <v>34.9</v>
      </c>
      <c r="I7" s="22">
        <v>0</v>
      </c>
      <c r="J7" s="23">
        <v>0</v>
      </c>
      <c r="K7" s="22"/>
      <c r="L7" s="1" t="str">
        <f t="shared" si="0"/>
        <v>11,4</v>
      </c>
      <c r="M7" s="5">
        <v>1</v>
      </c>
      <c r="N7" s="22">
        <v>1.4</v>
      </c>
      <c r="O7" s="27">
        <v>1</v>
      </c>
      <c r="Q7" s="6" t="str">
        <f t="shared" si="1"/>
        <v>821</v>
      </c>
      <c r="R7" s="5">
        <v>2.39</v>
      </c>
      <c r="S7" s="6">
        <v>8</v>
      </c>
      <c r="T7" s="7">
        <v>21</v>
      </c>
      <c r="V7" s="6">
        <v>21</v>
      </c>
      <c r="W7" s="6">
        <v>16</v>
      </c>
      <c r="X7" s="162">
        <v>2.88</v>
      </c>
      <c r="Y7" s="164" t="str">
        <f>'1'!C13</f>
        <v>$\phi8@17$</v>
      </c>
      <c r="Z7" s="6" t="s">
        <v>187</v>
      </c>
      <c r="AA7" s="131" t="s">
        <v>42</v>
      </c>
    </row>
    <row r="8" spans="2:27" ht="15.75" thickBot="1" x14ac:dyDescent="0.3">
      <c r="B8" s="1" t="str">
        <f t="shared" si="2"/>
        <v>11,25</v>
      </c>
      <c r="C8" s="5">
        <v>1</v>
      </c>
      <c r="D8" s="15">
        <v>1.25</v>
      </c>
      <c r="E8" s="15">
        <v>1</v>
      </c>
      <c r="F8" s="15">
        <v>1</v>
      </c>
      <c r="G8" s="22">
        <v>22.3</v>
      </c>
      <c r="H8" s="22">
        <v>37.5</v>
      </c>
      <c r="I8" s="22">
        <v>0</v>
      </c>
      <c r="J8" s="23">
        <v>0</v>
      </c>
      <c r="K8" s="22"/>
      <c r="L8" s="1" t="str">
        <f t="shared" si="0"/>
        <v>11,5</v>
      </c>
      <c r="M8" s="8">
        <v>1</v>
      </c>
      <c r="N8" s="24">
        <v>1.5</v>
      </c>
      <c r="O8" s="28">
        <v>1</v>
      </c>
      <c r="Q8" s="15" t="str">
        <f t="shared" si="1"/>
        <v>820</v>
      </c>
      <c r="R8" s="56">
        <v>2.5099999999999998</v>
      </c>
      <c r="S8" s="6">
        <v>8</v>
      </c>
      <c r="T8" s="7">
        <v>20</v>
      </c>
      <c r="V8" s="6">
        <v>20</v>
      </c>
      <c r="W8" s="6">
        <v>16</v>
      </c>
      <c r="X8" s="162">
        <v>2.88</v>
      </c>
      <c r="Y8" s="164" t="str">
        <f>'1'!C13</f>
        <v>$\phi8@17$</v>
      </c>
      <c r="Z8" s="6" t="s">
        <v>187</v>
      </c>
      <c r="AA8" s="131" t="s">
        <v>42</v>
      </c>
    </row>
    <row r="9" spans="2:27" x14ac:dyDescent="0.25">
      <c r="B9" s="1" t="str">
        <f t="shared" si="2"/>
        <v>11,3</v>
      </c>
      <c r="C9" s="5">
        <v>1</v>
      </c>
      <c r="D9" s="15">
        <v>1.3</v>
      </c>
      <c r="E9" s="15">
        <v>1</v>
      </c>
      <c r="F9" s="15">
        <v>1</v>
      </c>
      <c r="G9" s="22">
        <v>21.8</v>
      </c>
      <c r="H9" s="22">
        <v>40.200000000000003</v>
      </c>
      <c r="I9" s="22">
        <v>0</v>
      </c>
      <c r="J9" s="23">
        <v>0</v>
      </c>
      <c r="K9" s="22"/>
      <c r="L9" s="1" t="str">
        <f t="shared" si="0"/>
        <v>2a1</v>
      </c>
      <c r="M9" s="2" t="s">
        <v>8</v>
      </c>
      <c r="N9" s="20">
        <v>1</v>
      </c>
      <c r="O9" s="26">
        <v>0.8</v>
      </c>
      <c r="Q9" s="6" t="str">
        <f t="shared" si="1"/>
        <v>819</v>
      </c>
      <c r="R9" s="5">
        <v>2.65</v>
      </c>
      <c r="S9" s="6">
        <v>8</v>
      </c>
      <c r="T9" s="7">
        <v>19</v>
      </c>
      <c r="V9" s="6">
        <v>19</v>
      </c>
      <c r="W9" s="6">
        <v>16</v>
      </c>
      <c r="X9" s="162">
        <v>2.88</v>
      </c>
      <c r="Y9" s="164" t="str">
        <f>'1'!C13</f>
        <v>$\phi8@17$</v>
      </c>
      <c r="Z9" s="6" t="s">
        <v>187</v>
      </c>
      <c r="AA9" s="131" t="s">
        <v>42</v>
      </c>
    </row>
    <row r="10" spans="2:27" x14ac:dyDescent="0.25">
      <c r="B10" s="1" t="str">
        <f t="shared" si="2"/>
        <v>11,35</v>
      </c>
      <c r="C10" s="5">
        <v>1</v>
      </c>
      <c r="D10" s="15">
        <v>1.35</v>
      </c>
      <c r="E10" s="15">
        <v>1</v>
      </c>
      <c r="F10" s="15">
        <v>1</v>
      </c>
      <c r="G10" s="22">
        <v>21.4</v>
      </c>
      <c r="H10" s="22">
        <v>43</v>
      </c>
      <c r="I10" s="22">
        <v>0</v>
      </c>
      <c r="J10" s="23">
        <v>0</v>
      </c>
      <c r="K10" s="22"/>
      <c r="L10" s="1" t="str">
        <f t="shared" si="0"/>
        <v>2a1,1</v>
      </c>
      <c r="M10" s="5" t="s">
        <v>8</v>
      </c>
      <c r="N10" s="22">
        <v>1.1000000000000001</v>
      </c>
      <c r="O10" s="27">
        <v>0.8</v>
      </c>
      <c r="Q10" s="6" t="str">
        <f t="shared" si="1"/>
        <v>818</v>
      </c>
      <c r="R10" s="5">
        <v>2.79</v>
      </c>
      <c r="S10" s="6">
        <v>8</v>
      </c>
      <c r="T10" s="7">
        <v>18</v>
      </c>
      <c r="V10" s="6">
        <v>18</v>
      </c>
      <c r="W10" s="6">
        <v>16</v>
      </c>
      <c r="X10" s="162">
        <v>2.88</v>
      </c>
      <c r="Y10" s="164" t="str">
        <f>'1'!C13</f>
        <v>$\phi8@17$</v>
      </c>
      <c r="Z10" s="6" t="s">
        <v>187</v>
      </c>
      <c r="AA10" s="131" t="s">
        <v>42</v>
      </c>
    </row>
    <row r="11" spans="2:27" x14ac:dyDescent="0.25">
      <c r="B11" s="1" t="str">
        <f t="shared" si="2"/>
        <v>11,4</v>
      </c>
      <c r="C11" s="5">
        <v>1</v>
      </c>
      <c r="D11" s="15">
        <v>1.4</v>
      </c>
      <c r="E11" s="15">
        <v>1</v>
      </c>
      <c r="F11" s="15">
        <v>1</v>
      </c>
      <c r="G11" s="22">
        <v>21</v>
      </c>
      <c r="H11" s="22">
        <v>45.9</v>
      </c>
      <c r="I11" s="22">
        <v>0</v>
      </c>
      <c r="J11" s="23">
        <v>0</v>
      </c>
      <c r="K11" s="22"/>
      <c r="L11" s="1" t="str">
        <f t="shared" si="0"/>
        <v>2a1,2</v>
      </c>
      <c r="M11" s="5" t="s">
        <v>8</v>
      </c>
      <c r="N11" s="22">
        <v>1.2</v>
      </c>
      <c r="O11" s="27">
        <v>0.8</v>
      </c>
      <c r="Q11" s="6" t="str">
        <f t="shared" si="1"/>
        <v>817</v>
      </c>
      <c r="R11" s="5">
        <v>2.96</v>
      </c>
      <c r="S11" s="6">
        <v>8</v>
      </c>
      <c r="T11" s="7">
        <v>17</v>
      </c>
      <c r="V11" s="6">
        <v>17</v>
      </c>
      <c r="W11" s="6">
        <v>16</v>
      </c>
      <c r="X11" s="162">
        <v>2.88</v>
      </c>
      <c r="Y11" s="164" t="str">
        <f>'1'!C13</f>
        <v>$\phi8@17$</v>
      </c>
      <c r="Z11" s="6" t="s">
        <v>187</v>
      </c>
      <c r="AA11" s="131" t="s">
        <v>42</v>
      </c>
    </row>
    <row r="12" spans="2:27" x14ac:dyDescent="0.25">
      <c r="B12" s="1" t="str">
        <f t="shared" si="2"/>
        <v>11,45</v>
      </c>
      <c r="C12" s="5">
        <v>1</v>
      </c>
      <c r="D12" s="15">
        <v>1.45</v>
      </c>
      <c r="E12" s="15">
        <v>1</v>
      </c>
      <c r="F12" s="15">
        <v>1</v>
      </c>
      <c r="G12" s="22">
        <v>20.7</v>
      </c>
      <c r="H12" s="22">
        <v>48.9</v>
      </c>
      <c r="I12" s="22">
        <v>0</v>
      </c>
      <c r="J12" s="23">
        <v>0</v>
      </c>
      <c r="K12" s="22"/>
      <c r="L12" s="1" t="str">
        <f t="shared" si="0"/>
        <v>2a1,3</v>
      </c>
      <c r="M12" s="5" t="s">
        <v>8</v>
      </c>
      <c r="N12" s="22">
        <v>1.3</v>
      </c>
      <c r="O12" s="27">
        <v>0.8</v>
      </c>
      <c r="Q12" s="6" t="str">
        <f t="shared" si="1"/>
        <v>816</v>
      </c>
      <c r="R12" s="5">
        <v>3.14</v>
      </c>
      <c r="S12" s="6">
        <v>8</v>
      </c>
      <c r="T12" s="7">
        <v>16</v>
      </c>
      <c r="V12" s="6">
        <v>16</v>
      </c>
      <c r="W12" s="6">
        <v>16</v>
      </c>
      <c r="X12" s="162">
        <v>2.88</v>
      </c>
      <c r="Y12" s="164" t="str">
        <f>'1'!C13</f>
        <v>$\phi8@17$</v>
      </c>
      <c r="Z12" s="6" t="s">
        <v>187</v>
      </c>
      <c r="AA12" s="131" t="s">
        <v>42</v>
      </c>
    </row>
    <row r="13" spans="2:27" x14ac:dyDescent="0.25">
      <c r="B13" s="1" t="str">
        <f t="shared" si="2"/>
        <v>11,5</v>
      </c>
      <c r="C13" s="5">
        <v>1</v>
      </c>
      <c r="D13" s="15">
        <v>1.5</v>
      </c>
      <c r="E13" s="15">
        <v>1</v>
      </c>
      <c r="F13" s="15">
        <v>1</v>
      </c>
      <c r="G13" s="22">
        <v>20.5</v>
      </c>
      <c r="H13" s="22">
        <v>52</v>
      </c>
      <c r="I13" s="22">
        <v>0</v>
      </c>
      <c r="J13" s="23">
        <v>0</v>
      </c>
      <c r="K13" s="22"/>
      <c r="L13" s="1" t="str">
        <f t="shared" si="0"/>
        <v>2a1,4</v>
      </c>
      <c r="M13" s="5" t="s">
        <v>8</v>
      </c>
      <c r="N13" s="22">
        <v>1.4</v>
      </c>
      <c r="O13" s="27">
        <v>0.8</v>
      </c>
      <c r="Q13" s="6" t="str">
        <f t="shared" si="1"/>
        <v>1025</v>
      </c>
      <c r="R13" s="56">
        <v>3.1355555554999999</v>
      </c>
      <c r="S13" s="6">
        <v>10</v>
      </c>
      <c r="T13" s="7">
        <v>25</v>
      </c>
      <c r="V13" s="6">
        <v>15</v>
      </c>
      <c r="W13" s="6">
        <v>16</v>
      </c>
      <c r="X13" s="162">
        <v>2.88</v>
      </c>
      <c r="Y13" s="164" t="str">
        <f>'1'!C13</f>
        <v>$\phi8@17$</v>
      </c>
      <c r="Z13" s="6" t="s">
        <v>187</v>
      </c>
      <c r="AA13" s="131" t="s">
        <v>42</v>
      </c>
    </row>
    <row r="14" spans="2:27" ht="15.75" thickBot="1" x14ac:dyDescent="0.3">
      <c r="B14" s="1" t="str">
        <f t="shared" si="2"/>
        <v>11,55</v>
      </c>
      <c r="C14" s="5">
        <v>1</v>
      </c>
      <c r="D14" s="15">
        <v>1.55</v>
      </c>
      <c r="E14" s="15">
        <v>1</v>
      </c>
      <c r="F14" s="15">
        <v>1</v>
      </c>
      <c r="G14" s="22">
        <v>20.399999999999999</v>
      </c>
      <c r="H14" s="22">
        <v>54.9</v>
      </c>
      <c r="I14" s="22">
        <v>0</v>
      </c>
      <c r="J14" s="23">
        <v>0</v>
      </c>
      <c r="K14" s="22"/>
      <c r="L14" s="1" t="str">
        <f t="shared" si="0"/>
        <v>2a1,5</v>
      </c>
      <c r="M14" s="8" t="s">
        <v>8</v>
      </c>
      <c r="N14" s="24">
        <v>1.5</v>
      </c>
      <c r="O14" s="28">
        <v>0.8</v>
      </c>
      <c r="Q14" s="6" t="str">
        <f t="shared" si="1"/>
        <v>1024</v>
      </c>
      <c r="R14" s="5">
        <v>3.27</v>
      </c>
      <c r="S14" s="6">
        <v>10</v>
      </c>
      <c r="T14" s="7">
        <v>24</v>
      </c>
      <c r="V14" s="166">
        <v>14</v>
      </c>
      <c r="W14" s="166">
        <v>16</v>
      </c>
      <c r="X14" s="167">
        <v>2.88</v>
      </c>
      <c r="Y14" s="168" t="str">
        <f>'1'!C13</f>
        <v>$\phi8@17$</v>
      </c>
      <c r="Z14" s="166" t="s">
        <v>187</v>
      </c>
      <c r="AA14" s="169" t="s">
        <v>42</v>
      </c>
    </row>
    <row r="15" spans="2:27" x14ac:dyDescent="0.25">
      <c r="B15" s="1" t="str">
        <f t="shared" si="2"/>
        <v>11,6</v>
      </c>
      <c r="C15" s="5">
        <v>1</v>
      </c>
      <c r="D15" s="15">
        <v>1.6</v>
      </c>
      <c r="E15" s="15">
        <v>1</v>
      </c>
      <c r="F15" s="15">
        <v>1</v>
      </c>
      <c r="G15" s="22">
        <v>20.3</v>
      </c>
      <c r="H15" s="22">
        <v>57.9</v>
      </c>
      <c r="I15" s="22">
        <v>0</v>
      </c>
      <c r="J15" s="23">
        <v>0</v>
      </c>
      <c r="K15" s="22"/>
      <c r="L15" s="1" t="str">
        <f>M15&amp;N15</f>
        <v>2b1</v>
      </c>
      <c r="M15" s="2" t="s">
        <v>12</v>
      </c>
      <c r="N15" s="20">
        <v>1</v>
      </c>
      <c r="O15" s="26">
        <v>0.8</v>
      </c>
      <c r="Q15" s="15" t="str">
        <f t="shared" si="1"/>
        <v>815</v>
      </c>
      <c r="R15" s="56">
        <v>3.35</v>
      </c>
      <c r="S15" s="6">
        <v>8</v>
      </c>
      <c r="T15" s="7">
        <v>15</v>
      </c>
      <c r="V15" s="6">
        <v>13</v>
      </c>
      <c r="W15" s="6">
        <v>16</v>
      </c>
      <c r="X15" s="162">
        <v>2.88</v>
      </c>
      <c r="Y15" s="164" t="str">
        <f>'1'!C13</f>
        <v>$\phi8@17$</v>
      </c>
      <c r="Z15" s="6" t="s">
        <v>164</v>
      </c>
      <c r="AA15" s="131" t="s">
        <v>42</v>
      </c>
    </row>
    <row r="16" spans="2:27" x14ac:dyDescent="0.25">
      <c r="B16" s="1" t="str">
        <f t="shared" si="2"/>
        <v>11,8</v>
      </c>
      <c r="C16" s="5">
        <v>1</v>
      </c>
      <c r="D16" s="15">
        <v>1.8</v>
      </c>
      <c r="E16" s="15">
        <v>1</v>
      </c>
      <c r="F16" s="15">
        <v>1</v>
      </c>
      <c r="G16" s="22">
        <v>20.3</v>
      </c>
      <c r="H16" s="22">
        <v>69.3</v>
      </c>
      <c r="I16" s="22">
        <v>0</v>
      </c>
      <c r="J16" s="23">
        <v>0</v>
      </c>
      <c r="K16" s="22"/>
      <c r="L16" s="1" t="str">
        <f t="shared" ref="L16:L56" si="3">M16&amp;N16</f>
        <v>2b1,1</v>
      </c>
      <c r="M16" s="5" t="s">
        <v>12</v>
      </c>
      <c r="N16" s="22">
        <v>1.1000000000000001</v>
      </c>
      <c r="O16" s="27">
        <v>0.88</v>
      </c>
      <c r="Q16" s="6" t="str">
        <f t="shared" si="1"/>
        <v>1023</v>
      </c>
      <c r="R16" s="5">
        <v>3.41</v>
      </c>
      <c r="S16" s="6">
        <v>10</v>
      </c>
      <c r="T16" s="7">
        <v>23</v>
      </c>
      <c r="V16" s="6">
        <v>12</v>
      </c>
      <c r="W16" s="6">
        <v>16</v>
      </c>
      <c r="X16" s="162">
        <v>2.88</v>
      </c>
      <c r="Y16" s="164" t="str">
        <f>'1'!C13</f>
        <v>$\phi8@17$</v>
      </c>
      <c r="Z16" s="6" t="s">
        <v>164</v>
      </c>
      <c r="AA16" s="131" t="s">
        <v>42</v>
      </c>
    </row>
    <row r="17" spans="2:27" ht="15.75" thickBot="1" x14ac:dyDescent="0.3">
      <c r="B17" s="1" t="str">
        <f t="shared" si="2"/>
        <v>12</v>
      </c>
      <c r="C17" s="8">
        <v>1</v>
      </c>
      <c r="D17" s="16">
        <v>2</v>
      </c>
      <c r="E17" s="16">
        <v>1</v>
      </c>
      <c r="F17" s="16">
        <v>1</v>
      </c>
      <c r="G17" s="24">
        <v>20.8</v>
      </c>
      <c r="H17" s="24">
        <v>80.599999999999994</v>
      </c>
      <c r="I17" s="24">
        <v>0</v>
      </c>
      <c r="J17" s="25">
        <v>0</v>
      </c>
      <c r="K17" s="22"/>
      <c r="L17" s="1" t="str">
        <f t="shared" si="3"/>
        <v>2b1,2</v>
      </c>
      <c r="M17" s="5" t="s">
        <v>12</v>
      </c>
      <c r="N17" s="22">
        <v>1.2</v>
      </c>
      <c r="O17" s="27">
        <v>0.91</v>
      </c>
      <c r="Q17" s="6" t="str">
        <f t="shared" si="1"/>
        <v>1022</v>
      </c>
      <c r="R17" s="5">
        <v>3.57</v>
      </c>
      <c r="S17" s="6">
        <v>10</v>
      </c>
      <c r="T17" s="7">
        <v>22</v>
      </c>
      <c r="V17" s="6">
        <v>11</v>
      </c>
      <c r="W17" s="6">
        <v>16</v>
      </c>
      <c r="X17" s="162">
        <v>2.88</v>
      </c>
      <c r="Y17" s="164" t="str">
        <f>'1'!C13</f>
        <v>$\phi8@17$</v>
      </c>
      <c r="Z17" s="6" t="s">
        <v>164</v>
      </c>
      <c r="AA17" s="131" t="s">
        <v>42</v>
      </c>
    </row>
    <row r="18" spans="2:27" x14ac:dyDescent="0.25">
      <c r="B18" s="1" t="str">
        <f t="shared" si="2"/>
        <v>2a1</v>
      </c>
      <c r="C18" s="2" t="s">
        <v>8</v>
      </c>
      <c r="D18" s="14">
        <v>1</v>
      </c>
      <c r="E18" s="14">
        <v>0.05</v>
      </c>
      <c r="F18" s="14">
        <v>0.25</v>
      </c>
      <c r="G18" s="20">
        <v>31.4</v>
      </c>
      <c r="H18" s="20">
        <v>41.2</v>
      </c>
      <c r="I18" s="20">
        <v>11.9</v>
      </c>
      <c r="J18" s="21">
        <v>0</v>
      </c>
      <c r="K18" s="22"/>
      <c r="L18" s="1" t="str">
        <f t="shared" si="3"/>
        <v>2b1,3</v>
      </c>
      <c r="M18" s="5" t="s">
        <v>12</v>
      </c>
      <c r="N18" s="22">
        <v>1.3</v>
      </c>
      <c r="O18" s="27">
        <v>0.93</v>
      </c>
      <c r="Q18" s="15" t="str">
        <f t="shared" si="1"/>
        <v>814</v>
      </c>
      <c r="R18" s="56">
        <v>3.59</v>
      </c>
      <c r="S18" s="6">
        <v>8</v>
      </c>
      <c r="T18" s="7">
        <v>14</v>
      </c>
      <c r="V18" s="6">
        <v>10</v>
      </c>
      <c r="W18" s="6">
        <v>16</v>
      </c>
      <c r="X18" s="162">
        <v>2.88</v>
      </c>
      <c r="Y18" s="164" t="str">
        <f>'1'!C13</f>
        <v>$\phi8@17$</v>
      </c>
      <c r="Z18" s="6" t="s">
        <v>164</v>
      </c>
      <c r="AA18" s="131" t="s">
        <v>42</v>
      </c>
    </row>
    <row r="19" spans="2:27" x14ac:dyDescent="0.25">
      <c r="B19" s="1" t="str">
        <f t="shared" si="2"/>
        <v>2a1,05</v>
      </c>
      <c r="C19" s="5" t="s">
        <v>8</v>
      </c>
      <c r="D19" s="15">
        <v>1.05</v>
      </c>
      <c r="E19" s="15">
        <v>0.06</v>
      </c>
      <c r="F19" s="15">
        <v>0.3</v>
      </c>
      <c r="G19" s="22">
        <v>30.7</v>
      </c>
      <c r="H19" s="22">
        <v>45.4</v>
      </c>
      <c r="I19" s="22">
        <v>11.9</v>
      </c>
      <c r="J19" s="23">
        <v>0</v>
      </c>
      <c r="K19" s="22"/>
      <c r="L19" s="1" t="str">
        <f t="shared" si="3"/>
        <v>2b1,4</v>
      </c>
      <c r="M19" s="5" t="s">
        <v>12</v>
      </c>
      <c r="N19" s="22">
        <v>1.4</v>
      </c>
      <c r="O19" s="27">
        <v>0.94</v>
      </c>
      <c r="Q19" s="6" t="str">
        <f t="shared" si="1"/>
        <v>1021</v>
      </c>
      <c r="R19" s="5">
        <v>3.74</v>
      </c>
      <c r="S19" s="6">
        <v>10</v>
      </c>
      <c r="T19" s="7">
        <v>21</v>
      </c>
      <c r="V19" s="6">
        <v>9</v>
      </c>
      <c r="W19" s="6">
        <v>16</v>
      </c>
      <c r="X19" s="162">
        <v>2.88</v>
      </c>
      <c r="Y19" s="164" t="str">
        <f>'1'!C13</f>
        <v>$\phi8@17$</v>
      </c>
      <c r="Z19" s="6" t="s">
        <v>164</v>
      </c>
      <c r="AA19" s="131" t="s">
        <v>42</v>
      </c>
    </row>
    <row r="20" spans="2:27" ht="15.75" thickBot="1" x14ac:dyDescent="0.3">
      <c r="B20" s="1" t="str">
        <f t="shared" si="2"/>
        <v>2a1,1</v>
      </c>
      <c r="C20" s="5" t="s">
        <v>8</v>
      </c>
      <c r="D20" s="15">
        <v>1.1000000000000001</v>
      </c>
      <c r="E20" s="15">
        <v>7.0000000000000007E-2</v>
      </c>
      <c r="F20" s="15">
        <v>0.35</v>
      </c>
      <c r="G20" s="22">
        <v>30</v>
      </c>
      <c r="H20" s="22">
        <v>49.6</v>
      </c>
      <c r="I20" s="22">
        <v>12</v>
      </c>
      <c r="J20" s="23">
        <v>0</v>
      </c>
      <c r="K20" s="22"/>
      <c r="L20" s="1" t="str">
        <f t="shared" si="3"/>
        <v>2b1,5</v>
      </c>
      <c r="M20" s="8" t="s">
        <v>12</v>
      </c>
      <c r="N20" s="24">
        <v>1.5</v>
      </c>
      <c r="O20" s="28">
        <v>0.95</v>
      </c>
      <c r="Q20" s="15" t="str">
        <f t="shared" si="1"/>
        <v>813</v>
      </c>
      <c r="R20" s="56">
        <v>3.87</v>
      </c>
      <c r="S20" s="6">
        <v>8</v>
      </c>
      <c r="T20" s="7">
        <v>13</v>
      </c>
      <c r="V20" s="166">
        <v>8</v>
      </c>
      <c r="W20" s="166">
        <v>16</v>
      </c>
      <c r="X20" s="167">
        <v>2.88</v>
      </c>
      <c r="Y20" s="168" t="str">
        <f>'1'!C13</f>
        <v>$\phi8@17$</v>
      </c>
      <c r="Z20" s="166" t="s">
        <v>164</v>
      </c>
      <c r="AA20" s="169" t="s">
        <v>42</v>
      </c>
    </row>
    <row r="21" spans="2:27" x14ac:dyDescent="0.25">
      <c r="B21" s="1" t="str">
        <f t="shared" si="2"/>
        <v>2a1,15</v>
      </c>
      <c r="C21" s="5" t="s">
        <v>8</v>
      </c>
      <c r="D21" s="15">
        <v>1.1499999999999999</v>
      </c>
      <c r="E21" s="15">
        <v>0.09</v>
      </c>
      <c r="F21" s="15">
        <v>0.39</v>
      </c>
      <c r="G21" s="22">
        <v>29.7</v>
      </c>
      <c r="H21" s="22">
        <v>54</v>
      </c>
      <c r="I21" s="22">
        <v>12.1</v>
      </c>
      <c r="J21" s="23">
        <v>0</v>
      </c>
      <c r="K21" s="22"/>
      <c r="L21" s="1" t="str">
        <f t="shared" si="3"/>
        <v>3a1</v>
      </c>
      <c r="M21" s="2" t="s">
        <v>13</v>
      </c>
      <c r="N21" s="20">
        <v>1</v>
      </c>
      <c r="O21" s="26">
        <v>0.6</v>
      </c>
      <c r="Q21" s="15" t="str">
        <f t="shared" si="1"/>
        <v>1020</v>
      </c>
      <c r="R21" s="56">
        <v>3.93</v>
      </c>
      <c r="S21" s="6">
        <v>10</v>
      </c>
      <c r="T21" s="7">
        <v>20</v>
      </c>
      <c r="V21" s="6">
        <v>7</v>
      </c>
      <c r="W21" s="6">
        <v>16</v>
      </c>
      <c r="X21" s="162">
        <v>2.88</v>
      </c>
      <c r="Y21" s="164" t="str">
        <f>'1'!C13</f>
        <v>$\phi8@17$</v>
      </c>
      <c r="Z21" s="6" t="s">
        <v>41</v>
      </c>
      <c r="AA21" s="131" t="s">
        <v>42</v>
      </c>
    </row>
    <row r="22" spans="2:27" x14ac:dyDescent="0.25">
      <c r="B22" s="1" t="str">
        <f t="shared" si="2"/>
        <v>2a1,2</v>
      </c>
      <c r="C22" s="5" t="s">
        <v>8</v>
      </c>
      <c r="D22" s="15">
        <v>1.2</v>
      </c>
      <c r="E22" s="15">
        <v>0.11</v>
      </c>
      <c r="F22" s="15">
        <v>0.44</v>
      </c>
      <c r="G22" s="22">
        <v>29.4</v>
      </c>
      <c r="H22" s="22">
        <v>58.5</v>
      </c>
      <c r="I22" s="22">
        <v>12.2</v>
      </c>
      <c r="J22" s="23">
        <v>0</v>
      </c>
      <c r="K22" s="22"/>
      <c r="L22" s="1" t="str">
        <f t="shared" si="3"/>
        <v>3a1,1</v>
      </c>
      <c r="M22" s="5" t="s">
        <v>13</v>
      </c>
      <c r="N22" s="22">
        <v>1.1000000000000001</v>
      </c>
      <c r="O22" s="27">
        <v>0.6</v>
      </c>
      <c r="Q22" s="6" t="str">
        <f t="shared" si="1"/>
        <v>1019</v>
      </c>
      <c r="R22" s="5">
        <v>4.13</v>
      </c>
      <c r="S22" s="6">
        <v>10</v>
      </c>
      <c r="T22" s="7">
        <v>19</v>
      </c>
      <c r="V22" s="6">
        <v>6</v>
      </c>
      <c r="W22" s="6">
        <v>16</v>
      </c>
      <c r="X22" s="162">
        <v>2.88</v>
      </c>
      <c r="Y22" s="164" t="str">
        <f>'1'!C13</f>
        <v>$\phi8@17$</v>
      </c>
      <c r="Z22" s="6" t="s">
        <v>41</v>
      </c>
      <c r="AA22" s="131" t="s">
        <v>42</v>
      </c>
    </row>
    <row r="23" spans="2:27" x14ac:dyDescent="0.25">
      <c r="B23" s="1" t="str">
        <f t="shared" si="2"/>
        <v>2a1,25</v>
      </c>
      <c r="C23" s="5" t="s">
        <v>8</v>
      </c>
      <c r="D23" s="15">
        <v>1.25</v>
      </c>
      <c r="E23" s="15">
        <v>0.14000000000000001</v>
      </c>
      <c r="F23" s="15">
        <v>0.49</v>
      </c>
      <c r="G23" s="22">
        <v>29.2</v>
      </c>
      <c r="H23" s="22">
        <v>62.9</v>
      </c>
      <c r="I23" s="22">
        <v>12.4</v>
      </c>
      <c r="J23" s="23">
        <v>0</v>
      </c>
      <c r="K23" s="22"/>
      <c r="L23" s="1" t="str">
        <f t="shared" si="3"/>
        <v>3a1,2</v>
      </c>
      <c r="M23" s="5" t="s">
        <v>13</v>
      </c>
      <c r="N23" s="22">
        <v>1.2</v>
      </c>
      <c r="O23" s="27">
        <v>0.6</v>
      </c>
      <c r="Q23" s="15" t="str">
        <f t="shared" si="1"/>
        <v>812</v>
      </c>
      <c r="R23" s="56">
        <v>4.1900000000000004</v>
      </c>
      <c r="S23" s="6">
        <v>8</v>
      </c>
      <c r="T23" s="7">
        <v>12</v>
      </c>
      <c r="V23" s="6">
        <v>5</v>
      </c>
      <c r="W23" s="6">
        <v>16</v>
      </c>
      <c r="X23" s="162">
        <v>2.88</v>
      </c>
      <c r="Y23" s="164" t="str">
        <f>'1'!C13</f>
        <v>$\phi8@17$</v>
      </c>
      <c r="Z23" s="6" t="s">
        <v>41</v>
      </c>
      <c r="AA23" s="131" t="s">
        <v>42</v>
      </c>
    </row>
    <row r="24" spans="2:27" x14ac:dyDescent="0.25">
      <c r="B24" s="1" t="str">
        <f t="shared" si="2"/>
        <v>2a1,3</v>
      </c>
      <c r="C24" s="5" t="s">
        <v>8</v>
      </c>
      <c r="D24" s="15">
        <v>1.3</v>
      </c>
      <c r="E24" s="15">
        <v>0.18</v>
      </c>
      <c r="F24" s="15">
        <v>0.54</v>
      </c>
      <c r="G24" s="22">
        <v>29.1</v>
      </c>
      <c r="H24" s="22">
        <v>67.3</v>
      </c>
      <c r="I24" s="22">
        <v>12.6</v>
      </c>
      <c r="J24" s="23">
        <v>0</v>
      </c>
      <c r="K24" s="22"/>
      <c r="L24" s="1" t="str">
        <f t="shared" si="3"/>
        <v>3a1,3</v>
      </c>
      <c r="M24" s="5" t="s">
        <v>13</v>
      </c>
      <c r="N24" s="22">
        <v>1.3</v>
      </c>
      <c r="O24" s="27">
        <v>0.6</v>
      </c>
      <c r="Q24" s="6" t="str">
        <f t="shared" si="1"/>
        <v>1018</v>
      </c>
      <c r="R24" s="5">
        <v>4.3600000000000003</v>
      </c>
      <c r="S24" s="6">
        <v>10</v>
      </c>
      <c r="T24" s="7">
        <v>18</v>
      </c>
      <c r="V24" s="6">
        <v>4</v>
      </c>
      <c r="W24" s="6">
        <v>16</v>
      </c>
      <c r="X24" s="162">
        <v>2.88</v>
      </c>
      <c r="Y24" s="164" t="str">
        <f>'1'!C13</f>
        <v>$\phi8@17$</v>
      </c>
      <c r="Z24" s="6" t="s">
        <v>41</v>
      </c>
      <c r="AA24" s="131" t="s">
        <v>42</v>
      </c>
    </row>
    <row r="25" spans="2:27" x14ac:dyDescent="0.25">
      <c r="B25" s="1" t="str">
        <f t="shared" si="2"/>
        <v>2a1,35</v>
      </c>
      <c r="C25" s="5" t="s">
        <v>8</v>
      </c>
      <c r="D25" s="15">
        <v>1.35</v>
      </c>
      <c r="E25" s="15">
        <v>0.21</v>
      </c>
      <c r="F25" s="13">
        <v>0.59</v>
      </c>
      <c r="G25" s="22">
        <v>29.2</v>
      </c>
      <c r="H25" s="22">
        <v>71.7</v>
      </c>
      <c r="I25" s="22">
        <v>12.8</v>
      </c>
      <c r="J25" s="23">
        <v>0</v>
      </c>
      <c r="K25" s="22"/>
      <c r="L25" s="1" t="str">
        <f t="shared" si="3"/>
        <v>3a1,4</v>
      </c>
      <c r="M25" s="5" t="s">
        <v>13</v>
      </c>
      <c r="N25" s="22">
        <v>1.4</v>
      </c>
      <c r="O25" s="27">
        <v>0.6</v>
      </c>
      <c r="Q25" s="6" t="str">
        <f t="shared" si="1"/>
        <v>1225</v>
      </c>
      <c r="R25" s="5">
        <v>4.5199999999999996</v>
      </c>
      <c r="S25" s="6">
        <v>12</v>
      </c>
      <c r="T25" s="7">
        <v>25</v>
      </c>
      <c r="V25" s="6">
        <v>3</v>
      </c>
      <c r="W25" s="6">
        <v>16</v>
      </c>
      <c r="X25" s="162">
        <v>2.88</v>
      </c>
      <c r="Y25" s="164" t="str">
        <f>'1'!C13</f>
        <v>$\phi8@17$</v>
      </c>
      <c r="Z25" s="6" t="s">
        <v>41</v>
      </c>
      <c r="AA25" s="131" t="s">
        <v>42</v>
      </c>
    </row>
    <row r="26" spans="2:27" ht="15.75" thickBot="1" x14ac:dyDescent="0.3">
      <c r="B26" s="1" t="str">
        <f t="shared" si="2"/>
        <v>2a1,4</v>
      </c>
      <c r="C26" s="5" t="s">
        <v>8</v>
      </c>
      <c r="D26" s="15">
        <v>1.4</v>
      </c>
      <c r="E26" s="15">
        <v>0.24</v>
      </c>
      <c r="F26" s="15">
        <v>0.64</v>
      </c>
      <c r="G26" s="22">
        <v>29.4</v>
      </c>
      <c r="H26" s="22">
        <v>76</v>
      </c>
      <c r="I26" s="22">
        <v>13</v>
      </c>
      <c r="J26" s="23">
        <v>0</v>
      </c>
      <c r="K26" s="22"/>
      <c r="L26" s="1" t="str">
        <f t="shared" si="3"/>
        <v>3a1,5</v>
      </c>
      <c r="M26" s="8" t="s">
        <v>13</v>
      </c>
      <c r="N26" s="24">
        <v>1.5</v>
      </c>
      <c r="O26" s="28">
        <v>0.6</v>
      </c>
      <c r="Q26" s="15" t="str">
        <f t="shared" si="1"/>
        <v>811</v>
      </c>
      <c r="R26" s="56">
        <v>4.57</v>
      </c>
      <c r="S26" s="6">
        <v>8</v>
      </c>
      <c r="T26" s="7">
        <v>11</v>
      </c>
      <c r="V26" s="6">
        <v>2</v>
      </c>
      <c r="W26" s="6">
        <v>16</v>
      </c>
      <c r="X26" s="162">
        <v>2.88</v>
      </c>
      <c r="Y26" s="164" t="str">
        <f>'1'!C13</f>
        <v>$\phi8@17$</v>
      </c>
      <c r="Z26" s="6" t="s">
        <v>41</v>
      </c>
      <c r="AA26" s="131" t="s">
        <v>42</v>
      </c>
    </row>
    <row r="27" spans="2:27" x14ac:dyDescent="0.25">
      <c r="B27" s="1" t="str">
        <f t="shared" si="2"/>
        <v>2a1,45</v>
      </c>
      <c r="C27" s="5" t="s">
        <v>8</v>
      </c>
      <c r="D27" s="15">
        <v>1.45</v>
      </c>
      <c r="E27" s="15">
        <v>0.27</v>
      </c>
      <c r="F27" s="15">
        <v>0.7</v>
      </c>
      <c r="G27" s="22">
        <v>29.6</v>
      </c>
      <c r="H27" s="22">
        <v>79.7</v>
      </c>
      <c r="I27" s="22">
        <v>13.2</v>
      </c>
      <c r="J27" s="23">
        <v>0</v>
      </c>
      <c r="K27" s="22"/>
      <c r="L27" s="1" t="str">
        <f t="shared" si="3"/>
        <v>3b1</v>
      </c>
      <c r="M27" s="2" t="s">
        <v>14</v>
      </c>
      <c r="N27" s="20">
        <v>1</v>
      </c>
      <c r="O27" s="26">
        <v>0.6</v>
      </c>
      <c r="Q27" s="6" t="str">
        <f t="shared" si="1"/>
        <v>1017</v>
      </c>
      <c r="R27" s="5">
        <v>4.62</v>
      </c>
      <c r="S27" s="6">
        <v>10</v>
      </c>
      <c r="T27" s="7">
        <v>17</v>
      </c>
      <c r="V27" s="6">
        <v>1</v>
      </c>
      <c r="W27" s="6">
        <v>16</v>
      </c>
      <c r="X27" s="162">
        <v>2.88</v>
      </c>
      <c r="Y27" s="164" t="str">
        <f>'1'!C13</f>
        <v>$\phi8@17$</v>
      </c>
      <c r="Z27" s="6" t="s">
        <v>41</v>
      </c>
      <c r="AA27" s="131" t="s">
        <v>42</v>
      </c>
    </row>
    <row r="28" spans="2:27" ht="15.75" thickBot="1" x14ac:dyDescent="0.3">
      <c r="B28" s="1" t="str">
        <f t="shared" si="2"/>
        <v>2a1,5</v>
      </c>
      <c r="C28" s="5" t="s">
        <v>8</v>
      </c>
      <c r="D28" s="15">
        <v>1.5</v>
      </c>
      <c r="E28" s="15">
        <v>0.3</v>
      </c>
      <c r="F28" s="15">
        <v>0.75</v>
      </c>
      <c r="G28" s="22">
        <v>29.8</v>
      </c>
      <c r="H28" s="22">
        <v>83.4</v>
      </c>
      <c r="I28" s="22">
        <v>13.5</v>
      </c>
      <c r="J28" s="23">
        <v>0</v>
      </c>
      <c r="K28" s="22"/>
      <c r="L28" s="1" t="str">
        <f t="shared" si="3"/>
        <v>3b1,1</v>
      </c>
      <c r="M28" s="5" t="s">
        <v>14</v>
      </c>
      <c r="N28" s="22">
        <v>1.1000000000000001</v>
      </c>
      <c r="O28" s="27">
        <v>0.66</v>
      </c>
      <c r="Q28" s="6" t="str">
        <f t="shared" si="1"/>
        <v>1224</v>
      </c>
      <c r="R28" s="5">
        <v>4.71</v>
      </c>
      <c r="S28" s="6">
        <v>12</v>
      </c>
      <c r="T28" s="7">
        <v>24</v>
      </c>
      <c r="V28" s="9">
        <v>-1</v>
      </c>
      <c r="W28" s="9">
        <v>17</v>
      </c>
      <c r="X28" s="163">
        <f>'-1'!C12</f>
        <v>3.06</v>
      </c>
      <c r="Y28" s="165" t="str">
        <f>'-1'!C13</f>
        <v>$\phi8@16$</v>
      </c>
      <c r="Z28" s="9" t="s">
        <v>41</v>
      </c>
      <c r="AA28" s="159" t="s">
        <v>42</v>
      </c>
    </row>
    <row r="29" spans="2:27" x14ac:dyDescent="0.25">
      <c r="B29" s="1" t="str">
        <f t="shared" si="2"/>
        <v>2a1,55</v>
      </c>
      <c r="C29" s="5" t="s">
        <v>8</v>
      </c>
      <c r="D29" s="15">
        <v>1.55</v>
      </c>
      <c r="E29" s="15">
        <v>0.33</v>
      </c>
      <c r="F29" s="15">
        <v>0.79</v>
      </c>
      <c r="G29" s="22">
        <v>30.1</v>
      </c>
      <c r="H29" s="22">
        <v>86.9</v>
      </c>
      <c r="I29" s="22">
        <v>13.8</v>
      </c>
      <c r="J29" s="23">
        <v>0</v>
      </c>
      <c r="K29" s="22"/>
      <c r="L29" s="1" t="str">
        <f t="shared" si="3"/>
        <v>3b1,2</v>
      </c>
      <c r="M29" s="5" t="s">
        <v>14</v>
      </c>
      <c r="N29" s="22">
        <v>1.2</v>
      </c>
      <c r="O29" s="27">
        <v>0.72</v>
      </c>
      <c r="Q29" s="6" t="str">
        <f t="shared" si="1"/>
        <v>1016</v>
      </c>
      <c r="R29" s="5">
        <v>4.91</v>
      </c>
      <c r="S29" s="6">
        <v>10</v>
      </c>
      <c r="T29" s="7">
        <v>16</v>
      </c>
      <c r="V29" s="6"/>
    </row>
    <row r="30" spans="2:27" x14ac:dyDescent="0.25">
      <c r="B30" s="1" t="str">
        <f t="shared" si="2"/>
        <v>2a1,6</v>
      </c>
      <c r="C30" s="5" t="s">
        <v>8</v>
      </c>
      <c r="D30" s="15">
        <v>1.6</v>
      </c>
      <c r="E30" s="15">
        <v>0.35</v>
      </c>
      <c r="F30" s="15">
        <v>0.83</v>
      </c>
      <c r="G30" s="22">
        <v>30.4</v>
      </c>
      <c r="H30" s="22">
        <v>90.4</v>
      </c>
      <c r="I30" s="22">
        <v>14.1</v>
      </c>
      <c r="J30" s="23">
        <v>0</v>
      </c>
      <c r="K30" s="22"/>
      <c r="L30" s="1" t="str">
        <f t="shared" si="3"/>
        <v>3b1,3</v>
      </c>
      <c r="M30" s="5" t="s">
        <v>14</v>
      </c>
      <c r="N30" s="22">
        <v>1.3</v>
      </c>
      <c r="O30" s="27">
        <v>0.78</v>
      </c>
      <c r="Q30" s="6" t="str">
        <f t="shared" si="1"/>
        <v>1223</v>
      </c>
      <c r="R30" s="5">
        <v>4.92</v>
      </c>
      <c r="S30" s="6">
        <v>12</v>
      </c>
      <c r="T30" s="7">
        <v>23</v>
      </c>
      <c r="V30" s="6"/>
    </row>
    <row r="31" spans="2:27" x14ac:dyDescent="0.25">
      <c r="B31" s="1" t="str">
        <f t="shared" si="2"/>
        <v>2a1,8</v>
      </c>
      <c r="C31" s="5" t="s">
        <v>8</v>
      </c>
      <c r="D31" s="15">
        <v>1.8</v>
      </c>
      <c r="E31" s="15">
        <v>0.43</v>
      </c>
      <c r="F31" s="15">
        <v>0.99</v>
      </c>
      <c r="G31" s="22">
        <v>32</v>
      </c>
      <c r="H31" s="22">
        <v>106</v>
      </c>
      <c r="I31" s="22">
        <v>15.1</v>
      </c>
      <c r="J31" s="23">
        <v>0</v>
      </c>
      <c r="K31" s="22"/>
      <c r="L31" s="1" t="str">
        <f t="shared" si="3"/>
        <v>3b1,4</v>
      </c>
      <c r="M31" s="5" t="s">
        <v>14</v>
      </c>
      <c r="N31" s="22">
        <v>1.4</v>
      </c>
      <c r="O31" s="27">
        <v>0.84</v>
      </c>
      <c r="Q31" s="15" t="str">
        <f t="shared" si="1"/>
        <v>810</v>
      </c>
      <c r="R31" s="56">
        <v>5.03</v>
      </c>
      <c r="S31" s="6">
        <v>8</v>
      </c>
      <c r="T31" s="7">
        <v>10</v>
      </c>
      <c r="V31" s="6"/>
    </row>
    <row r="32" spans="2:27" ht="15.75" thickBot="1" x14ac:dyDescent="0.3">
      <c r="B32" s="1" t="str">
        <f t="shared" si="2"/>
        <v>2a2</v>
      </c>
      <c r="C32" s="8" t="s">
        <v>8</v>
      </c>
      <c r="D32" s="16">
        <v>2</v>
      </c>
      <c r="E32" s="16">
        <v>0.51</v>
      </c>
      <c r="F32" s="16">
        <v>1.1499999999999999</v>
      </c>
      <c r="G32" s="24">
        <v>34.200000000000003</v>
      </c>
      <c r="H32" s="24">
        <v>118</v>
      </c>
      <c r="I32" s="24">
        <v>16.600000000000001</v>
      </c>
      <c r="J32" s="25">
        <v>0</v>
      </c>
      <c r="K32" s="22"/>
      <c r="L32" s="1" t="str">
        <f t="shared" si="3"/>
        <v>3b1,5</v>
      </c>
      <c r="M32" s="8" t="s">
        <v>14</v>
      </c>
      <c r="N32" s="24">
        <v>1.5</v>
      </c>
      <c r="O32" s="28">
        <v>0.88</v>
      </c>
      <c r="Q32" s="6" t="str">
        <f t="shared" si="1"/>
        <v>1222</v>
      </c>
      <c r="R32" s="5">
        <v>5.14</v>
      </c>
      <c r="S32" s="6">
        <v>12</v>
      </c>
      <c r="T32" s="7">
        <v>22</v>
      </c>
      <c r="V32" s="6"/>
    </row>
    <row r="33" spans="2:22" x14ac:dyDescent="0.25">
      <c r="B33" s="1" t="str">
        <f t="shared" si="2"/>
        <v>41</v>
      </c>
      <c r="C33" s="2">
        <v>4</v>
      </c>
      <c r="D33" s="14">
        <v>1</v>
      </c>
      <c r="E33" s="14">
        <v>0.26</v>
      </c>
      <c r="F33" s="14">
        <v>0.26</v>
      </c>
      <c r="G33" s="20">
        <v>40.200000000000003</v>
      </c>
      <c r="H33" s="20">
        <v>40.200000000000003</v>
      </c>
      <c r="I33" s="20">
        <v>14.3</v>
      </c>
      <c r="J33" s="21">
        <v>14.3</v>
      </c>
      <c r="K33" s="22"/>
      <c r="L33" s="1" t="str">
        <f t="shared" si="3"/>
        <v>41</v>
      </c>
      <c r="M33" s="2">
        <v>4</v>
      </c>
      <c r="N33" s="20">
        <v>1</v>
      </c>
      <c r="O33" s="26">
        <v>0.66</v>
      </c>
      <c r="Q33" s="15" t="str">
        <f t="shared" si="1"/>
        <v>1015</v>
      </c>
      <c r="R33" s="56">
        <v>5.24</v>
      </c>
      <c r="S33" s="6">
        <v>10</v>
      </c>
      <c r="T33" s="7">
        <v>15</v>
      </c>
      <c r="V33" s="6"/>
    </row>
    <row r="34" spans="2:22" x14ac:dyDescent="0.25">
      <c r="B34" s="1" t="str">
        <f t="shared" si="2"/>
        <v>41,05</v>
      </c>
      <c r="C34" s="5">
        <v>4</v>
      </c>
      <c r="D34" s="15">
        <v>1.05</v>
      </c>
      <c r="E34" s="15">
        <v>0.27</v>
      </c>
      <c r="F34" s="15">
        <v>0.27</v>
      </c>
      <c r="G34" s="22">
        <v>38.299999999999997</v>
      </c>
      <c r="H34" s="22">
        <v>43.1</v>
      </c>
      <c r="I34" s="22">
        <v>14.1</v>
      </c>
      <c r="J34" s="23">
        <v>14.6</v>
      </c>
      <c r="K34" s="22"/>
      <c r="L34" s="1" t="str">
        <f t="shared" si="3"/>
        <v>41,1</v>
      </c>
      <c r="M34" s="5">
        <v>4</v>
      </c>
      <c r="N34" s="22">
        <v>1.1000000000000001</v>
      </c>
      <c r="O34" s="27">
        <v>0.7</v>
      </c>
      <c r="Q34" s="6" t="str">
        <f t="shared" si="1"/>
        <v>1221</v>
      </c>
      <c r="R34" s="5">
        <v>5.39</v>
      </c>
      <c r="S34" s="6">
        <v>12</v>
      </c>
      <c r="T34" s="7">
        <v>21</v>
      </c>
      <c r="V34" s="6"/>
    </row>
    <row r="35" spans="2:22" x14ac:dyDescent="0.25">
      <c r="B35" s="1" t="str">
        <f t="shared" si="2"/>
        <v>41,1</v>
      </c>
      <c r="C35" s="5">
        <v>4</v>
      </c>
      <c r="D35" s="15">
        <v>1.1000000000000001</v>
      </c>
      <c r="E35" s="15">
        <v>0.28000000000000003</v>
      </c>
      <c r="F35" s="15">
        <v>0.28000000000000003</v>
      </c>
      <c r="G35" s="22">
        <v>36.799999999999997</v>
      </c>
      <c r="H35" s="19">
        <v>46.2</v>
      </c>
      <c r="I35" s="22">
        <v>14</v>
      </c>
      <c r="J35" s="23">
        <v>15</v>
      </c>
      <c r="K35" s="22"/>
      <c r="L35" s="1" t="str">
        <f t="shared" si="3"/>
        <v>41,2</v>
      </c>
      <c r="M35" s="5">
        <v>4</v>
      </c>
      <c r="N35" s="22">
        <v>1.2</v>
      </c>
      <c r="O35" s="27">
        <v>0.72</v>
      </c>
      <c r="Q35" s="15" t="str">
        <f t="shared" ref="Q35:Q66" si="4">S35&amp;T35</f>
        <v>1014</v>
      </c>
      <c r="R35" s="56">
        <v>5.61</v>
      </c>
      <c r="S35" s="6">
        <v>10</v>
      </c>
      <c r="T35" s="7">
        <v>14</v>
      </c>
      <c r="V35" s="6"/>
    </row>
    <row r="36" spans="2:22" x14ac:dyDescent="0.25">
      <c r="B36" s="1" t="str">
        <f t="shared" si="2"/>
        <v>41,15</v>
      </c>
      <c r="C36" s="5">
        <v>4</v>
      </c>
      <c r="D36" s="15">
        <v>1.1499999999999999</v>
      </c>
      <c r="E36" s="15">
        <v>0.28999999999999998</v>
      </c>
      <c r="F36" s="15">
        <v>0.28999999999999998</v>
      </c>
      <c r="G36" s="22">
        <v>34.6</v>
      </c>
      <c r="H36" s="22">
        <v>49.4</v>
      </c>
      <c r="I36" s="22">
        <v>13.9</v>
      </c>
      <c r="J36" s="23">
        <v>15.3</v>
      </c>
      <c r="K36" s="22"/>
      <c r="L36" s="1" t="str">
        <f t="shared" si="3"/>
        <v>41,3</v>
      </c>
      <c r="M36" s="5">
        <v>4</v>
      </c>
      <c r="N36" s="22">
        <v>1.3</v>
      </c>
      <c r="O36" s="27">
        <v>0.74</v>
      </c>
      <c r="Q36" s="15" t="str">
        <f t="shared" si="4"/>
        <v>1220</v>
      </c>
      <c r="R36" s="56">
        <v>5.65</v>
      </c>
      <c r="S36" s="6">
        <v>12</v>
      </c>
      <c r="T36" s="7">
        <v>20</v>
      </c>
      <c r="V36" s="6"/>
    </row>
    <row r="37" spans="2:22" x14ac:dyDescent="0.25">
      <c r="B37" s="1" t="str">
        <f t="shared" si="2"/>
        <v>41,2</v>
      </c>
      <c r="C37" s="5">
        <v>4</v>
      </c>
      <c r="D37" s="15">
        <v>1.2</v>
      </c>
      <c r="E37" s="15">
        <v>0.3</v>
      </c>
      <c r="F37" s="15">
        <v>0.3</v>
      </c>
      <c r="G37" s="22">
        <v>34.799999999999997</v>
      </c>
      <c r="H37" s="22">
        <v>52.8</v>
      </c>
      <c r="I37" s="22">
        <v>13.8</v>
      </c>
      <c r="J37" s="23">
        <v>15.7</v>
      </c>
      <c r="K37" s="22"/>
      <c r="L37" s="1" t="str">
        <f t="shared" si="3"/>
        <v>41,4</v>
      </c>
      <c r="M37" s="5">
        <v>4</v>
      </c>
      <c r="N37" s="22">
        <v>1.4</v>
      </c>
      <c r="O37" s="27">
        <v>0.75</v>
      </c>
      <c r="Q37" s="6" t="str">
        <f t="shared" si="4"/>
        <v>1219</v>
      </c>
      <c r="R37" s="5">
        <v>5.95</v>
      </c>
      <c r="S37" s="6">
        <v>12</v>
      </c>
      <c r="T37" s="7">
        <v>19</v>
      </c>
      <c r="V37" s="6"/>
    </row>
    <row r="38" spans="2:22" ht="15.75" thickBot="1" x14ac:dyDescent="0.3">
      <c r="B38" s="1" t="str">
        <f t="shared" si="2"/>
        <v>41,25</v>
      </c>
      <c r="C38" s="5">
        <v>4</v>
      </c>
      <c r="D38" s="15">
        <v>1.25</v>
      </c>
      <c r="E38" s="15">
        <v>0.32</v>
      </c>
      <c r="F38" s="15">
        <v>0.32</v>
      </c>
      <c r="G38" s="22">
        <v>34.200000000000003</v>
      </c>
      <c r="H38" s="22">
        <v>57</v>
      </c>
      <c r="I38" s="19">
        <v>13.8</v>
      </c>
      <c r="J38" s="23">
        <v>16.100000000000001</v>
      </c>
      <c r="K38" s="22"/>
      <c r="L38" s="1" t="str">
        <f t="shared" si="3"/>
        <v>41,5</v>
      </c>
      <c r="M38" s="8">
        <v>4</v>
      </c>
      <c r="N38" s="24">
        <v>1.5</v>
      </c>
      <c r="O38" s="28">
        <v>0.76</v>
      </c>
      <c r="Q38" s="15" t="str">
        <f t="shared" si="4"/>
        <v>1013</v>
      </c>
      <c r="R38" s="56">
        <v>6.04</v>
      </c>
      <c r="S38" s="6">
        <v>10</v>
      </c>
      <c r="T38" s="7">
        <v>13</v>
      </c>
      <c r="V38" s="6"/>
    </row>
    <row r="39" spans="2:22" x14ac:dyDescent="0.25">
      <c r="B39" s="1" t="str">
        <f t="shared" si="2"/>
        <v>41,3</v>
      </c>
      <c r="C39" s="5">
        <v>4</v>
      </c>
      <c r="D39" s="15">
        <v>1.3</v>
      </c>
      <c r="E39" s="15">
        <v>0.34</v>
      </c>
      <c r="F39" s="15">
        <v>0.34</v>
      </c>
      <c r="G39" s="22">
        <v>33.799999999999997</v>
      </c>
      <c r="H39" s="22">
        <v>61.9</v>
      </c>
      <c r="I39" s="22">
        <v>13.9</v>
      </c>
      <c r="J39" s="23">
        <v>16.600000000000001</v>
      </c>
      <c r="K39" s="22"/>
      <c r="L39" s="1" t="str">
        <f t="shared" si="3"/>
        <v>5a1</v>
      </c>
      <c r="M39" s="2" t="s">
        <v>9</v>
      </c>
      <c r="N39" s="20">
        <v>1</v>
      </c>
      <c r="O39" s="26">
        <v>0.57999999999999996</v>
      </c>
      <c r="Q39" s="6" t="str">
        <f t="shared" si="4"/>
        <v>1218</v>
      </c>
      <c r="R39" s="5">
        <v>6.28</v>
      </c>
      <c r="S39" s="6">
        <v>12</v>
      </c>
      <c r="T39" s="7">
        <v>18</v>
      </c>
      <c r="V39" s="6"/>
    </row>
    <row r="40" spans="2:22" x14ac:dyDescent="0.25">
      <c r="B40" s="1" t="str">
        <f t="shared" si="2"/>
        <v>41,35</v>
      </c>
      <c r="C40" s="5">
        <v>4</v>
      </c>
      <c r="D40" s="15">
        <v>1.35</v>
      </c>
      <c r="E40" s="15">
        <v>0.36</v>
      </c>
      <c r="F40" s="13">
        <v>0.36</v>
      </c>
      <c r="G40" s="22">
        <v>33.6</v>
      </c>
      <c r="H40" s="22">
        <v>66.7</v>
      </c>
      <c r="I40" s="22">
        <v>13.9</v>
      </c>
      <c r="J40" s="23">
        <v>17.100000000000001</v>
      </c>
      <c r="K40" s="22"/>
      <c r="L40" s="1" t="str">
        <f t="shared" si="3"/>
        <v>5a1,1</v>
      </c>
      <c r="M40" s="5" t="s">
        <v>9</v>
      </c>
      <c r="N40" s="22">
        <v>1.1000000000000001</v>
      </c>
      <c r="O40" s="27">
        <v>0.57999999999999996</v>
      </c>
      <c r="Q40" s="15" t="str">
        <f t="shared" si="4"/>
        <v>1012</v>
      </c>
      <c r="R40" s="56">
        <v>6.54</v>
      </c>
      <c r="S40" s="6">
        <v>10</v>
      </c>
      <c r="T40" s="7">
        <v>12</v>
      </c>
      <c r="V40" s="6"/>
    </row>
    <row r="41" spans="2:22" x14ac:dyDescent="0.25">
      <c r="B41" s="1" t="str">
        <f t="shared" si="2"/>
        <v>41,4</v>
      </c>
      <c r="C41" s="5">
        <v>4</v>
      </c>
      <c r="D41" s="15">
        <v>1.4</v>
      </c>
      <c r="E41" s="15">
        <v>0.38</v>
      </c>
      <c r="F41" s="15">
        <v>0.38</v>
      </c>
      <c r="G41" s="22">
        <v>33.5</v>
      </c>
      <c r="H41" s="22">
        <v>71.3</v>
      </c>
      <c r="I41" s="22">
        <v>14</v>
      </c>
      <c r="J41" s="23">
        <v>17.600000000000001</v>
      </c>
      <c r="K41" s="22"/>
      <c r="L41" s="1" t="str">
        <f t="shared" si="3"/>
        <v>5a1,2</v>
      </c>
      <c r="M41" s="5" t="s">
        <v>9</v>
      </c>
      <c r="N41" s="22">
        <v>1.2</v>
      </c>
      <c r="O41" s="27">
        <v>0.57999999999999996</v>
      </c>
      <c r="Q41" s="6" t="str">
        <f t="shared" si="4"/>
        <v>1217</v>
      </c>
      <c r="R41" s="5">
        <v>6.65</v>
      </c>
      <c r="S41" s="6">
        <v>12</v>
      </c>
      <c r="T41" s="7">
        <v>17</v>
      </c>
      <c r="V41" s="6"/>
    </row>
    <row r="42" spans="2:22" x14ac:dyDescent="0.25">
      <c r="B42" s="1" t="str">
        <f t="shared" si="2"/>
        <v>41,45</v>
      </c>
      <c r="C42" s="5">
        <v>4</v>
      </c>
      <c r="D42" s="15">
        <v>1.45</v>
      </c>
      <c r="E42" s="15">
        <v>0.4</v>
      </c>
      <c r="F42" s="15">
        <v>0.4</v>
      </c>
      <c r="G42" s="22">
        <v>33.4</v>
      </c>
      <c r="H42" s="22">
        <v>75.5</v>
      </c>
      <c r="I42" s="22">
        <v>14.2</v>
      </c>
      <c r="J42" s="23">
        <v>18.100000000000001</v>
      </c>
      <c r="K42" s="22"/>
      <c r="L42" s="1" t="str">
        <f t="shared" si="3"/>
        <v>5a1,3</v>
      </c>
      <c r="M42" s="5" t="s">
        <v>9</v>
      </c>
      <c r="N42" s="22">
        <v>1.3</v>
      </c>
      <c r="O42" s="27">
        <v>0.59</v>
      </c>
      <c r="Q42" s="6" t="str">
        <f t="shared" si="4"/>
        <v>1216</v>
      </c>
      <c r="R42" s="5">
        <v>7.07</v>
      </c>
      <c r="S42" s="6">
        <v>12</v>
      </c>
      <c r="T42" s="7">
        <v>16</v>
      </c>
      <c r="V42" s="6"/>
    </row>
    <row r="43" spans="2:22" x14ac:dyDescent="0.25">
      <c r="B43" s="1" t="str">
        <f t="shared" si="2"/>
        <v>41,5</v>
      </c>
      <c r="C43" s="5">
        <v>4</v>
      </c>
      <c r="D43" s="15">
        <v>1.5</v>
      </c>
      <c r="E43" s="15">
        <v>0.42</v>
      </c>
      <c r="F43" s="15">
        <v>0.42</v>
      </c>
      <c r="G43" s="22">
        <v>33.299999999999997</v>
      </c>
      <c r="H43" s="22">
        <v>79.599999999999994</v>
      </c>
      <c r="I43" s="22">
        <v>14.4</v>
      </c>
      <c r="J43" s="23">
        <v>18.600000000000001</v>
      </c>
      <c r="K43" s="22"/>
      <c r="L43" s="1" t="str">
        <f t="shared" si="3"/>
        <v>5a1,4</v>
      </c>
      <c r="M43" s="5" t="s">
        <v>9</v>
      </c>
      <c r="N43" s="22">
        <v>1.4</v>
      </c>
      <c r="O43" s="27">
        <v>0.59</v>
      </c>
      <c r="Q43" s="15" t="str">
        <f t="shared" si="4"/>
        <v>1011</v>
      </c>
      <c r="R43" s="56">
        <v>7.14</v>
      </c>
      <c r="S43" s="6">
        <v>10</v>
      </c>
      <c r="T43" s="7">
        <v>11</v>
      </c>
      <c r="V43" s="6"/>
    </row>
    <row r="44" spans="2:22" ht="15.75" thickBot="1" x14ac:dyDescent="0.3">
      <c r="B44" s="1" t="str">
        <f t="shared" si="2"/>
        <v>41,55</v>
      </c>
      <c r="C44" s="5">
        <v>4</v>
      </c>
      <c r="D44" s="15">
        <v>1.55</v>
      </c>
      <c r="E44" s="15">
        <v>0.44</v>
      </c>
      <c r="F44" s="15">
        <v>0.44</v>
      </c>
      <c r="G44" s="22">
        <v>33.299999999999997</v>
      </c>
      <c r="H44" s="22">
        <v>83.8</v>
      </c>
      <c r="I44" s="22">
        <v>14.7</v>
      </c>
      <c r="J44" s="23">
        <v>19.100000000000001</v>
      </c>
      <c r="K44" s="22"/>
      <c r="L44" s="1" t="str">
        <f t="shared" si="3"/>
        <v>5a1,5</v>
      </c>
      <c r="M44" s="8" t="s">
        <v>9</v>
      </c>
      <c r="N44" s="24">
        <v>1.5</v>
      </c>
      <c r="O44" s="28">
        <v>0.59</v>
      </c>
      <c r="Q44" s="15" t="str">
        <f t="shared" si="4"/>
        <v>1215</v>
      </c>
      <c r="R44" s="56">
        <v>7.54</v>
      </c>
      <c r="S44" s="6">
        <v>12</v>
      </c>
      <c r="T44" s="7">
        <v>15</v>
      </c>
      <c r="V44" s="6"/>
    </row>
    <row r="45" spans="2:22" x14ac:dyDescent="0.25">
      <c r="B45" s="1" t="str">
        <f t="shared" si="2"/>
        <v>41,6</v>
      </c>
      <c r="C45" s="5">
        <v>4</v>
      </c>
      <c r="D45" s="15">
        <v>1.6</v>
      </c>
      <c r="E45" s="15">
        <v>0.46</v>
      </c>
      <c r="F45" s="15">
        <v>0.46</v>
      </c>
      <c r="G45" s="22">
        <v>33.4</v>
      </c>
      <c r="H45" s="22">
        <v>88</v>
      </c>
      <c r="I45" s="22">
        <v>15.1</v>
      </c>
      <c r="J45" s="23">
        <v>19.600000000000001</v>
      </c>
      <c r="K45" s="22"/>
      <c r="L45" s="1" t="str">
        <f t="shared" si="3"/>
        <v>5b1</v>
      </c>
      <c r="M45" s="2" t="s">
        <v>10</v>
      </c>
      <c r="N45" s="20">
        <v>1</v>
      </c>
      <c r="O45" s="26">
        <v>0.57999999999999996</v>
      </c>
      <c r="Q45" s="15" t="str">
        <f t="shared" si="4"/>
        <v>1010</v>
      </c>
      <c r="R45" s="56">
        <v>7.85</v>
      </c>
      <c r="S45" s="6">
        <v>10</v>
      </c>
      <c r="T45" s="7">
        <v>10</v>
      </c>
      <c r="V45" s="6"/>
    </row>
    <row r="46" spans="2:22" x14ac:dyDescent="0.25">
      <c r="B46" s="1" t="str">
        <f t="shared" si="2"/>
        <v>41,8</v>
      </c>
      <c r="C46" s="5">
        <v>4</v>
      </c>
      <c r="D46" s="15">
        <v>1.8</v>
      </c>
      <c r="E46" s="15">
        <v>0.46</v>
      </c>
      <c r="F46" s="15">
        <v>0.46</v>
      </c>
      <c r="G46" s="22">
        <v>34.799999999999997</v>
      </c>
      <c r="H46" s="22">
        <v>114</v>
      </c>
      <c r="I46" s="22">
        <v>16</v>
      </c>
      <c r="J46" s="23">
        <v>21.8</v>
      </c>
      <c r="K46" s="22"/>
      <c r="L46" s="1" t="str">
        <f t="shared" si="3"/>
        <v>5b1,1</v>
      </c>
      <c r="M46" s="5" t="s">
        <v>10</v>
      </c>
      <c r="N46" s="22">
        <v>1.1000000000000001</v>
      </c>
      <c r="O46" s="27">
        <v>0.61</v>
      </c>
      <c r="Q46" s="6" t="str">
        <f t="shared" si="4"/>
        <v>1625</v>
      </c>
      <c r="R46" s="5">
        <v>8.0399999999999991</v>
      </c>
      <c r="S46" s="6">
        <v>16</v>
      </c>
      <c r="T46" s="7">
        <v>25</v>
      </c>
      <c r="V46" s="6"/>
    </row>
    <row r="47" spans="2:22" ht="15.75" thickBot="1" x14ac:dyDescent="0.3">
      <c r="B47" s="1" t="str">
        <f t="shared" si="2"/>
        <v>42</v>
      </c>
      <c r="C47" s="8">
        <v>4</v>
      </c>
      <c r="D47" s="16">
        <v>2</v>
      </c>
      <c r="E47" s="16">
        <v>0.46</v>
      </c>
      <c r="F47" s="16">
        <v>0.46</v>
      </c>
      <c r="G47" s="24">
        <v>35.799999999999997</v>
      </c>
      <c r="H47" s="24">
        <v>120</v>
      </c>
      <c r="I47" s="24">
        <v>16.8</v>
      </c>
      <c r="J47" s="25">
        <v>24.4</v>
      </c>
      <c r="K47" s="22"/>
      <c r="L47" s="1" t="str">
        <f t="shared" si="3"/>
        <v>5b1,2</v>
      </c>
      <c r="M47" s="5" t="s">
        <v>10</v>
      </c>
      <c r="N47" s="22">
        <v>1.2</v>
      </c>
      <c r="O47" s="27">
        <v>0.66</v>
      </c>
      <c r="Q47" s="15" t="str">
        <f t="shared" si="4"/>
        <v>1214</v>
      </c>
      <c r="R47" s="56">
        <v>8.08</v>
      </c>
      <c r="S47" s="6">
        <v>12</v>
      </c>
      <c r="T47" s="7">
        <v>14</v>
      </c>
      <c r="V47" s="6"/>
    </row>
    <row r="48" spans="2:22" x14ac:dyDescent="0.25">
      <c r="B48" s="1" t="str">
        <f t="shared" si="2"/>
        <v>5a1</v>
      </c>
      <c r="C48" s="2" t="s">
        <v>9</v>
      </c>
      <c r="D48" s="14">
        <v>1</v>
      </c>
      <c r="E48" s="14">
        <v>0.61</v>
      </c>
      <c r="F48" s="14">
        <v>0.84</v>
      </c>
      <c r="G48" s="20">
        <v>44.1</v>
      </c>
      <c r="H48" s="20">
        <v>59.5</v>
      </c>
      <c r="I48" s="20">
        <v>16.2</v>
      </c>
      <c r="J48" s="21">
        <v>18.3</v>
      </c>
      <c r="K48" s="22"/>
      <c r="L48" s="1" t="str">
        <f t="shared" si="3"/>
        <v>5b1,3</v>
      </c>
      <c r="M48" s="5" t="s">
        <v>10</v>
      </c>
      <c r="N48" s="22">
        <v>1.3</v>
      </c>
      <c r="O48" s="27">
        <v>0.7</v>
      </c>
      <c r="Q48" s="6" t="str">
        <f t="shared" si="4"/>
        <v>1624</v>
      </c>
      <c r="R48" s="5">
        <v>8.3800000000000008</v>
      </c>
      <c r="S48" s="6">
        <v>16</v>
      </c>
      <c r="T48" s="7">
        <v>24</v>
      </c>
      <c r="V48" s="6"/>
    </row>
    <row r="49" spans="2:22" x14ac:dyDescent="0.25">
      <c r="B49" s="1" t="str">
        <f t="shared" si="2"/>
        <v>5a1,05</v>
      </c>
      <c r="C49" s="5" t="s">
        <v>9</v>
      </c>
      <c r="D49" s="15">
        <v>1.05</v>
      </c>
      <c r="E49" s="15">
        <v>0.65</v>
      </c>
      <c r="F49" s="15">
        <v>0.9</v>
      </c>
      <c r="G49" s="22">
        <v>42.6</v>
      </c>
      <c r="H49" s="22">
        <v>61.2</v>
      </c>
      <c r="I49" s="22">
        <v>16.2</v>
      </c>
      <c r="J49" s="23">
        <v>18.899999999999999</v>
      </c>
      <c r="K49" s="22"/>
      <c r="L49" s="1" t="str">
        <f t="shared" si="3"/>
        <v>5b1,4</v>
      </c>
      <c r="M49" s="5" t="s">
        <v>10</v>
      </c>
      <c r="N49" s="22">
        <v>1.4</v>
      </c>
      <c r="O49" s="27">
        <v>0.74</v>
      </c>
      <c r="Q49" s="15" t="str">
        <f t="shared" si="4"/>
        <v>1213</v>
      </c>
      <c r="R49" s="56">
        <v>8.6999999999999993</v>
      </c>
      <c r="S49" s="6">
        <v>12</v>
      </c>
      <c r="T49" s="7">
        <v>13</v>
      </c>
      <c r="V49" s="6"/>
    </row>
    <row r="50" spans="2:22" ht="15.75" thickBot="1" x14ac:dyDescent="0.3">
      <c r="B50" s="1" t="str">
        <f t="shared" si="2"/>
        <v>5a1,1</v>
      </c>
      <c r="C50" s="5" t="s">
        <v>9</v>
      </c>
      <c r="D50" s="15">
        <v>1.1000000000000001</v>
      </c>
      <c r="E50" s="15">
        <v>0.7</v>
      </c>
      <c r="F50" s="15">
        <v>0.96</v>
      </c>
      <c r="G50" s="22">
        <v>41.6</v>
      </c>
      <c r="H50" s="19">
        <v>66.5</v>
      </c>
      <c r="I50" s="22">
        <v>16.3</v>
      </c>
      <c r="J50" s="23">
        <v>19.5</v>
      </c>
      <c r="K50" s="22"/>
      <c r="L50" s="1" t="str">
        <f t="shared" si="3"/>
        <v>5b1,5</v>
      </c>
      <c r="M50" s="8" t="s">
        <v>10</v>
      </c>
      <c r="N50" s="24">
        <v>1.5</v>
      </c>
      <c r="O50" s="28">
        <v>0.75</v>
      </c>
      <c r="Q50" s="6" t="str">
        <f t="shared" si="4"/>
        <v>1623</v>
      </c>
      <c r="R50" s="5">
        <v>8.74</v>
      </c>
      <c r="S50" s="6">
        <v>16</v>
      </c>
      <c r="T50" s="7">
        <v>23</v>
      </c>
      <c r="V50" s="6"/>
    </row>
    <row r="51" spans="2:22" x14ac:dyDescent="0.25">
      <c r="B51" s="1" t="str">
        <f t="shared" si="2"/>
        <v>5a1,15</v>
      </c>
      <c r="C51" s="5" t="s">
        <v>9</v>
      </c>
      <c r="D51" s="15">
        <v>1.1499999999999999</v>
      </c>
      <c r="E51" s="13">
        <v>0.75</v>
      </c>
      <c r="F51" s="15">
        <v>1.02</v>
      </c>
      <c r="G51" s="22">
        <v>41</v>
      </c>
      <c r="H51" s="22">
        <v>72</v>
      </c>
      <c r="I51" s="22">
        <v>16.5</v>
      </c>
      <c r="J51" s="23">
        <v>20.2</v>
      </c>
      <c r="K51" s="22"/>
      <c r="L51" s="1" t="str">
        <f t="shared" si="3"/>
        <v>61</v>
      </c>
      <c r="M51" s="2">
        <v>6</v>
      </c>
      <c r="N51" s="20">
        <v>1</v>
      </c>
      <c r="O51" s="26">
        <v>0.53</v>
      </c>
      <c r="Q51" s="6" t="str">
        <f t="shared" si="4"/>
        <v>1622</v>
      </c>
      <c r="R51" s="5">
        <v>9.14</v>
      </c>
      <c r="S51" s="6">
        <v>16</v>
      </c>
      <c r="T51" s="7">
        <v>22</v>
      </c>
      <c r="V51" s="6"/>
    </row>
    <row r="52" spans="2:22" x14ac:dyDescent="0.25">
      <c r="B52" s="1" t="str">
        <f t="shared" si="2"/>
        <v>5a1,2</v>
      </c>
      <c r="C52" s="5" t="s">
        <v>9</v>
      </c>
      <c r="D52" s="15">
        <v>1.2</v>
      </c>
      <c r="E52" s="15">
        <v>0.81</v>
      </c>
      <c r="F52" s="15">
        <v>1.0900000000000001</v>
      </c>
      <c r="G52" s="22">
        <v>40.6</v>
      </c>
      <c r="H52" s="22">
        <v>77.5</v>
      </c>
      <c r="I52" s="22">
        <v>16.7</v>
      </c>
      <c r="J52" s="23">
        <v>20.9</v>
      </c>
      <c r="K52" s="22"/>
      <c r="L52" s="1" t="str">
        <f t="shared" si="3"/>
        <v>61,1</v>
      </c>
      <c r="M52" s="5">
        <v>6</v>
      </c>
      <c r="N52" s="22">
        <v>1.1000000000000001</v>
      </c>
      <c r="O52" s="27">
        <v>0.55000000000000004</v>
      </c>
      <c r="Q52" s="15" t="str">
        <f t="shared" si="4"/>
        <v>1212</v>
      </c>
      <c r="R52" s="56">
        <v>9.42</v>
      </c>
      <c r="S52" s="6">
        <v>12</v>
      </c>
      <c r="T52" s="7">
        <v>12</v>
      </c>
      <c r="V52" s="6"/>
    </row>
    <row r="53" spans="2:22" x14ac:dyDescent="0.25">
      <c r="B53" s="1" t="str">
        <f t="shared" si="2"/>
        <v>5a1,25</v>
      </c>
      <c r="C53" s="5" t="s">
        <v>9</v>
      </c>
      <c r="D53" s="15">
        <v>1.25</v>
      </c>
      <c r="E53" s="15">
        <v>0.87</v>
      </c>
      <c r="F53" s="15">
        <v>1.1599999999999999</v>
      </c>
      <c r="G53" s="22">
        <v>40.4</v>
      </c>
      <c r="H53" s="22">
        <v>83</v>
      </c>
      <c r="I53" s="19">
        <v>16.899999999999999</v>
      </c>
      <c r="J53" s="23">
        <v>21.7</v>
      </c>
      <c r="K53" s="22"/>
      <c r="L53" s="1" t="str">
        <f t="shared" si="3"/>
        <v>61,2</v>
      </c>
      <c r="M53" s="5">
        <v>6</v>
      </c>
      <c r="N53" s="22">
        <v>1.2</v>
      </c>
      <c r="O53" s="27">
        <v>0.56000000000000005</v>
      </c>
      <c r="Q53" s="6" t="str">
        <f t="shared" si="4"/>
        <v>1621</v>
      </c>
      <c r="R53" s="5">
        <v>9.57</v>
      </c>
      <c r="S53" s="6">
        <v>16</v>
      </c>
      <c r="T53" s="7">
        <v>21</v>
      </c>
      <c r="V53" s="6"/>
    </row>
    <row r="54" spans="2:22" x14ac:dyDescent="0.25">
      <c r="B54" s="1" t="str">
        <f t="shared" si="2"/>
        <v>5a1,3</v>
      </c>
      <c r="C54" s="5" t="s">
        <v>9</v>
      </c>
      <c r="D54" s="15">
        <v>1.3</v>
      </c>
      <c r="E54" s="15">
        <v>0.93</v>
      </c>
      <c r="F54" s="15">
        <v>1.22</v>
      </c>
      <c r="G54" s="22">
        <v>40.299999999999997</v>
      </c>
      <c r="H54" s="22">
        <v>89.5</v>
      </c>
      <c r="I54" s="22">
        <v>17.2</v>
      </c>
      <c r="J54" s="23">
        <v>22.6</v>
      </c>
      <c r="K54" s="22"/>
      <c r="L54" s="1" t="str">
        <f t="shared" si="3"/>
        <v>61,3</v>
      </c>
      <c r="M54" s="5">
        <v>6</v>
      </c>
      <c r="N54" s="22">
        <v>1.3</v>
      </c>
      <c r="O54" s="27">
        <v>0.56000000000000005</v>
      </c>
      <c r="Q54" s="15" t="str">
        <f t="shared" si="4"/>
        <v>1620</v>
      </c>
      <c r="R54" s="56">
        <v>10.050000000000001</v>
      </c>
      <c r="S54" s="6">
        <v>16</v>
      </c>
      <c r="T54" s="7">
        <v>20</v>
      </c>
      <c r="V54" s="6"/>
    </row>
    <row r="55" spans="2:22" x14ac:dyDescent="0.25">
      <c r="B55" s="1" t="str">
        <f t="shared" si="2"/>
        <v>5a1,35</v>
      </c>
      <c r="C55" s="5" t="s">
        <v>9</v>
      </c>
      <c r="D55" s="15">
        <v>1.35</v>
      </c>
      <c r="E55" s="15">
        <v>0.99</v>
      </c>
      <c r="F55" s="13">
        <v>1.29</v>
      </c>
      <c r="G55" s="22">
        <v>40.4</v>
      </c>
      <c r="H55" s="22">
        <v>95</v>
      </c>
      <c r="I55" s="22">
        <v>17.5</v>
      </c>
      <c r="J55" s="23">
        <v>23.5</v>
      </c>
      <c r="K55" s="22"/>
      <c r="L55" s="1" t="str">
        <f t="shared" si="3"/>
        <v>61,4</v>
      </c>
      <c r="M55" s="5">
        <v>6</v>
      </c>
      <c r="N55" s="22">
        <v>1.4</v>
      </c>
      <c r="O55" s="27">
        <v>0.56999999999999995</v>
      </c>
      <c r="Q55" s="15" t="str">
        <f t="shared" si="4"/>
        <v>1211</v>
      </c>
      <c r="R55" s="56">
        <v>10.28</v>
      </c>
      <c r="S55" s="6">
        <v>12</v>
      </c>
      <c r="T55" s="7">
        <v>11</v>
      </c>
      <c r="V55" s="6"/>
    </row>
    <row r="56" spans="2:22" ht="15.75" thickBot="1" x14ac:dyDescent="0.3">
      <c r="B56" s="1" t="str">
        <f t="shared" si="2"/>
        <v>5a1,4</v>
      </c>
      <c r="C56" s="5" t="s">
        <v>9</v>
      </c>
      <c r="D56" s="15">
        <v>1.4</v>
      </c>
      <c r="E56" s="15">
        <v>1.04</v>
      </c>
      <c r="F56" s="15">
        <v>1.36</v>
      </c>
      <c r="G56" s="22">
        <v>40.6</v>
      </c>
      <c r="H56" s="22">
        <v>101</v>
      </c>
      <c r="I56" s="22">
        <v>17.8</v>
      </c>
      <c r="J56" s="23">
        <v>24.4</v>
      </c>
      <c r="K56" s="22"/>
      <c r="L56" s="1" t="str">
        <f t="shared" si="3"/>
        <v>61,5</v>
      </c>
      <c r="M56" s="8">
        <v>6</v>
      </c>
      <c r="N56" s="24">
        <v>1.5</v>
      </c>
      <c r="O56" s="28">
        <v>0.57999999999999996</v>
      </c>
      <c r="Q56" s="6" t="str">
        <f t="shared" si="4"/>
        <v>1619</v>
      </c>
      <c r="R56" s="5">
        <v>10.58</v>
      </c>
      <c r="S56" s="6">
        <v>16</v>
      </c>
      <c r="T56" s="7">
        <v>19</v>
      </c>
      <c r="V56" s="6"/>
    </row>
    <row r="57" spans="2:22" x14ac:dyDescent="0.25">
      <c r="B57" s="1" t="str">
        <f t="shared" si="2"/>
        <v>5a1,45</v>
      </c>
      <c r="C57" s="5" t="s">
        <v>9</v>
      </c>
      <c r="D57" s="15">
        <v>1.45</v>
      </c>
      <c r="E57" s="15">
        <v>1.0900000000000001</v>
      </c>
      <c r="F57" s="15">
        <v>1.43</v>
      </c>
      <c r="G57" s="22">
        <v>40.9</v>
      </c>
      <c r="H57" s="22">
        <v>107</v>
      </c>
      <c r="I57" s="22">
        <v>18.2</v>
      </c>
      <c r="J57" s="23">
        <v>25.3</v>
      </c>
      <c r="K57" s="22"/>
      <c r="Q57" s="6" t="str">
        <f t="shared" si="4"/>
        <v>1618</v>
      </c>
      <c r="R57" s="5">
        <v>11.17</v>
      </c>
      <c r="S57" s="6">
        <v>16</v>
      </c>
      <c r="T57" s="7">
        <v>18</v>
      </c>
      <c r="V57" s="6"/>
    </row>
    <row r="58" spans="2:22" x14ac:dyDescent="0.25">
      <c r="B58" s="1" t="str">
        <f t="shared" si="2"/>
        <v>5a1,5</v>
      </c>
      <c r="C58" s="5" t="s">
        <v>9</v>
      </c>
      <c r="D58" s="15">
        <v>1.5</v>
      </c>
      <c r="E58" s="15">
        <v>1.1399999999999999</v>
      </c>
      <c r="F58" s="15">
        <v>1.49</v>
      </c>
      <c r="G58" s="22">
        <v>41.3</v>
      </c>
      <c r="H58" s="22">
        <v>114</v>
      </c>
      <c r="I58" s="22">
        <v>18.600000000000001</v>
      </c>
      <c r="J58" s="23">
        <v>26.2</v>
      </c>
      <c r="K58" s="22"/>
      <c r="Q58" s="15" t="str">
        <f t="shared" si="4"/>
        <v>1210</v>
      </c>
      <c r="R58" s="56">
        <v>11.31</v>
      </c>
      <c r="S58" s="6">
        <v>12</v>
      </c>
      <c r="T58" s="7">
        <v>10</v>
      </c>
      <c r="V58" s="6"/>
    </row>
    <row r="59" spans="2:22" x14ac:dyDescent="0.25">
      <c r="B59" s="1" t="str">
        <f t="shared" si="2"/>
        <v>5a1,55</v>
      </c>
      <c r="C59" s="5" t="s">
        <v>9</v>
      </c>
      <c r="D59" s="15">
        <v>1.55</v>
      </c>
      <c r="E59" s="15">
        <v>1.19</v>
      </c>
      <c r="F59" s="15">
        <v>1.55</v>
      </c>
      <c r="G59" s="22">
        <v>41.8</v>
      </c>
      <c r="H59" s="22">
        <v>121</v>
      </c>
      <c r="I59" s="22">
        <v>19</v>
      </c>
      <c r="J59" s="23">
        <v>27.1</v>
      </c>
      <c r="K59" s="22"/>
      <c r="Q59" s="6" t="str">
        <f t="shared" si="4"/>
        <v>1617</v>
      </c>
      <c r="R59" s="5">
        <v>11.83</v>
      </c>
      <c r="S59" s="6">
        <v>16</v>
      </c>
      <c r="T59" s="7">
        <v>17</v>
      </c>
      <c r="V59" s="6"/>
    </row>
    <row r="60" spans="2:22" x14ac:dyDescent="0.25">
      <c r="B60" s="1" t="str">
        <f t="shared" si="2"/>
        <v>5a1,6</v>
      </c>
      <c r="C60" s="5" t="s">
        <v>9</v>
      </c>
      <c r="D60" s="15">
        <v>1.6</v>
      </c>
      <c r="E60" s="15">
        <v>1.24</v>
      </c>
      <c r="F60" s="15">
        <v>1.6</v>
      </c>
      <c r="G60" s="22">
        <v>42.5</v>
      </c>
      <c r="H60" s="22">
        <v>129</v>
      </c>
      <c r="I60" s="22">
        <v>19.5</v>
      </c>
      <c r="J60" s="23">
        <v>28</v>
      </c>
      <c r="K60" s="22"/>
      <c r="Q60" s="6" t="str">
        <f t="shared" si="4"/>
        <v>1616</v>
      </c>
      <c r="R60" s="5">
        <v>12.57</v>
      </c>
      <c r="S60" s="6">
        <v>16</v>
      </c>
      <c r="T60" s="7">
        <v>16</v>
      </c>
      <c r="V60" s="6"/>
    </row>
    <row r="61" spans="2:22" x14ac:dyDescent="0.25">
      <c r="B61" s="1" t="str">
        <f t="shared" si="2"/>
        <v>5a1,8</v>
      </c>
      <c r="C61" s="5" t="s">
        <v>9</v>
      </c>
      <c r="D61" s="15">
        <v>1.8</v>
      </c>
      <c r="E61" s="15">
        <v>1.24</v>
      </c>
      <c r="F61" s="15">
        <v>1.6</v>
      </c>
      <c r="G61" s="22">
        <v>45.4</v>
      </c>
      <c r="H61" s="22">
        <v>160</v>
      </c>
      <c r="I61" s="22">
        <v>21.4</v>
      </c>
      <c r="J61" s="23">
        <v>31.7</v>
      </c>
      <c r="K61" s="22"/>
      <c r="Q61" s="15" t="str">
        <f t="shared" si="4"/>
        <v>1615</v>
      </c>
      <c r="R61" s="56">
        <v>13.4</v>
      </c>
      <c r="S61" s="6">
        <v>16</v>
      </c>
      <c r="T61" s="7">
        <v>15</v>
      </c>
      <c r="V61" s="6"/>
    </row>
    <row r="62" spans="2:22" ht="15.75" thickBot="1" x14ac:dyDescent="0.3">
      <c r="B62" s="1" t="str">
        <f t="shared" si="2"/>
        <v>5a2</v>
      </c>
      <c r="C62" s="8" t="s">
        <v>9</v>
      </c>
      <c r="D62" s="16">
        <v>2</v>
      </c>
      <c r="E62" s="15">
        <v>1.24</v>
      </c>
      <c r="F62" s="16">
        <v>1.6</v>
      </c>
      <c r="G62" s="24">
        <v>49</v>
      </c>
      <c r="H62" s="24">
        <v>194</v>
      </c>
      <c r="I62" s="24">
        <v>23.6</v>
      </c>
      <c r="J62" s="25">
        <v>35.4</v>
      </c>
      <c r="K62" s="22"/>
      <c r="Q62" s="15" t="str">
        <f t="shared" si="4"/>
        <v>1614</v>
      </c>
      <c r="R62" s="56">
        <v>14.36</v>
      </c>
      <c r="S62" s="6">
        <v>16</v>
      </c>
      <c r="T62" s="7">
        <v>14</v>
      </c>
      <c r="V62" s="6"/>
    </row>
    <row r="63" spans="2:22" x14ac:dyDescent="0.25">
      <c r="B63" s="1" t="str">
        <f t="shared" si="2"/>
        <v>5b1</v>
      </c>
      <c r="C63" s="2" t="s">
        <v>10</v>
      </c>
      <c r="D63" s="14">
        <v>1</v>
      </c>
      <c r="E63" s="14">
        <v>0.84</v>
      </c>
      <c r="F63" s="14">
        <v>0.61</v>
      </c>
      <c r="G63" s="20">
        <v>59.5</v>
      </c>
      <c r="H63" s="20">
        <v>44.1</v>
      </c>
      <c r="I63" s="20">
        <v>18.3</v>
      </c>
      <c r="J63" s="21">
        <v>16.2</v>
      </c>
      <c r="K63" s="22"/>
      <c r="Q63" s="15" t="str">
        <f t="shared" si="4"/>
        <v>1613</v>
      </c>
      <c r="R63" s="56">
        <v>15.47</v>
      </c>
      <c r="S63" s="6">
        <v>16</v>
      </c>
      <c r="T63" s="7">
        <v>13</v>
      </c>
      <c r="V63" s="6"/>
    </row>
    <row r="64" spans="2:22" x14ac:dyDescent="0.25">
      <c r="B64" s="1" t="str">
        <f t="shared" si="2"/>
        <v>5b1,05</v>
      </c>
      <c r="C64" s="5" t="s">
        <v>10</v>
      </c>
      <c r="D64" s="15">
        <v>1.05</v>
      </c>
      <c r="E64" s="15">
        <v>0.8</v>
      </c>
      <c r="F64" s="15">
        <v>0.57999999999999996</v>
      </c>
      <c r="G64" s="22">
        <v>54.7</v>
      </c>
      <c r="H64" s="22">
        <v>45.9</v>
      </c>
      <c r="I64" s="22">
        <v>17.5</v>
      </c>
      <c r="J64" s="23">
        <v>16.2</v>
      </c>
      <c r="K64" s="22"/>
      <c r="Q64" s="15" t="str">
        <f t="shared" si="4"/>
        <v>1612</v>
      </c>
      <c r="R64" s="56">
        <v>16.760000000000002</v>
      </c>
      <c r="S64" s="6">
        <v>16</v>
      </c>
      <c r="T64" s="7">
        <v>12</v>
      </c>
      <c r="V64" s="6"/>
    </row>
    <row r="65" spans="2:22" x14ac:dyDescent="0.25">
      <c r="B65" s="1" t="str">
        <f t="shared" si="2"/>
        <v>5b1,1</v>
      </c>
      <c r="C65" s="5" t="s">
        <v>10</v>
      </c>
      <c r="D65" s="15">
        <v>1.1000000000000001</v>
      </c>
      <c r="E65" s="15">
        <v>0.76</v>
      </c>
      <c r="F65" s="15">
        <v>0.55000000000000004</v>
      </c>
      <c r="G65" s="22">
        <v>50.7</v>
      </c>
      <c r="H65" s="19">
        <v>48.1</v>
      </c>
      <c r="I65" s="22">
        <v>16.899999999999999</v>
      </c>
      <c r="J65" s="23">
        <v>16.3</v>
      </c>
      <c r="K65" s="22"/>
      <c r="Q65" s="15" t="str">
        <f t="shared" si="4"/>
        <v>1611</v>
      </c>
      <c r="R65" s="56">
        <v>18.28</v>
      </c>
      <c r="S65" s="6">
        <v>16</v>
      </c>
      <c r="T65" s="7">
        <v>11</v>
      </c>
      <c r="V65" s="6"/>
    </row>
    <row r="66" spans="2:22" ht="15.75" thickBot="1" x14ac:dyDescent="0.3">
      <c r="B66" s="1" t="str">
        <f t="shared" si="2"/>
        <v>5b1,15</v>
      </c>
      <c r="C66" s="5" t="s">
        <v>10</v>
      </c>
      <c r="D66" s="15">
        <v>1.1499999999999999</v>
      </c>
      <c r="E66" s="15">
        <v>0.74</v>
      </c>
      <c r="F66" s="15">
        <v>0.53</v>
      </c>
      <c r="G66" s="22">
        <v>47.5</v>
      </c>
      <c r="H66" s="22">
        <v>50.7</v>
      </c>
      <c r="I66" s="22">
        <v>16.5</v>
      </c>
      <c r="J66" s="23">
        <v>16.399999999999999</v>
      </c>
      <c r="K66" s="22"/>
      <c r="Q66" s="16" t="str">
        <f t="shared" si="4"/>
        <v>1610</v>
      </c>
      <c r="R66" s="57">
        <v>20.11</v>
      </c>
      <c r="S66" s="9">
        <v>16</v>
      </c>
      <c r="T66" s="10">
        <v>10</v>
      </c>
      <c r="V66" s="6"/>
    </row>
    <row r="67" spans="2:22" x14ac:dyDescent="0.25">
      <c r="B67" s="1" t="str">
        <f t="shared" si="2"/>
        <v>5b1,2</v>
      </c>
      <c r="C67" s="5" t="s">
        <v>10</v>
      </c>
      <c r="D67" s="15">
        <v>1.2</v>
      </c>
      <c r="E67" s="15">
        <v>0.72</v>
      </c>
      <c r="F67" s="15">
        <v>0.51</v>
      </c>
      <c r="G67" s="22">
        <v>44.9</v>
      </c>
      <c r="H67" s="22">
        <v>53.7</v>
      </c>
      <c r="I67" s="22">
        <v>16.2</v>
      </c>
      <c r="J67" s="23">
        <v>16.600000000000001</v>
      </c>
      <c r="K67" s="22"/>
      <c r="V67" s="6"/>
    </row>
    <row r="68" spans="2:22" x14ac:dyDescent="0.25">
      <c r="B68" s="1" t="str">
        <f t="shared" ref="B68:B92" si="5">C68&amp;D68</f>
        <v>5b1,25</v>
      </c>
      <c r="C68" s="5" t="s">
        <v>10</v>
      </c>
      <c r="D68" s="15">
        <v>1.25</v>
      </c>
      <c r="E68" s="15">
        <v>0.71</v>
      </c>
      <c r="F68" s="15">
        <v>0.5</v>
      </c>
      <c r="G68" s="22">
        <v>42.9</v>
      </c>
      <c r="H68" s="22">
        <v>57.1</v>
      </c>
      <c r="I68" s="19">
        <v>16</v>
      </c>
      <c r="J68" s="23">
        <v>16.899999999999999</v>
      </c>
      <c r="K68" s="22"/>
    </row>
    <row r="69" spans="2:22" x14ac:dyDescent="0.25">
      <c r="B69" s="1" t="str">
        <f t="shared" si="5"/>
        <v>5b1,3</v>
      </c>
      <c r="C69" s="5" t="s">
        <v>10</v>
      </c>
      <c r="D69" s="15">
        <v>1.3</v>
      </c>
      <c r="E69" s="15">
        <v>0.7</v>
      </c>
      <c r="F69" s="15">
        <v>0.49</v>
      </c>
      <c r="G69" s="22">
        <v>41.3</v>
      </c>
      <c r="H69" s="22">
        <v>61</v>
      </c>
      <c r="I69" s="22">
        <v>15.8</v>
      </c>
      <c r="J69" s="23">
        <v>17.3</v>
      </c>
      <c r="K69" s="22"/>
    </row>
    <row r="70" spans="2:22" x14ac:dyDescent="0.25">
      <c r="B70" s="1" t="str">
        <f t="shared" si="5"/>
        <v>5b1,35</v>
      </c>
      <c r="C70" s="5" t="s">
        <v>10</v>
      </c>
      <c r="D70" s="15">
        <v>1.35</v>
      </c>
      <c r="E70" s="15">
        <v>0.7</v>
      </c>
      <c r="F70" s="13">
        <v>0.48</v>
      </c>
      <c r="G70" s="22">
        <v>40.1</v>
      </c>
      <c r="H70" s="22">
        <v>65.400000000000006</v>
      </c>
      <c r="I70" s="22">
        <v>15.7</v>
      </c>
      <c r="J70" s="23">
        <v>17.7</v>
      </c>
      <c r="K70" s="22"/>
    </row>
    <row r="71" spans="2:22" x14ac:dyDescent="0.25">
      <c r="B71" s="1" t="str">
        <f t="shared" si="5"/>
        <v>5b1,4</v>
      </c>
      <c r="C71" s="5" t="s">
        <v>10</v>
      </c>
      <c r="D71" s="15">
        <v>1.4</v>
      </c>
      <c r="E71" s="15">
        <v>0.69</v>
      </c>
      <c r="F71" s="15">
        <v>0.47</v>
      </c>
      <c r="G71" s="22">
        <v>39.200000000000003</v>
      </c>
      <c r="H71" s="22">
        <v>70.400000000000006</v>
      </c>
      <c r="I71" s="22">
        <v>15.7</v>
      </c>
      <c r="J71" s="23">
        <v>18.100000000000001</v>
      </c>
      <c r="K71" s="22"/>
    </row>
    <row r="72" spans="2:22" x14ac:dyDescent="0.25">
      <c r="B72" s="1" t="str">
        <f t="shared" si="5"/>
        <v>5b1,45</v>
      </c>
      <c r="C72" s="5" t="s">
        <v>10</v>
      </c>
      <c r="D72" s="15">
        <v>1.45</v>
      </c>
      <c r="E72" s="15">
        <v>0.69</v>
      </c>
      <c r="F72" s="15">
        <v>0.47</v>
      </c>
      <c r="G72" s="22">
        <v>38.4</v>
      </c>
      <c r="H72" s="22">
        <v>76.099999999999994</v>
      </c>
      <c r="I72" s="22">
        <v>15.7</v>
      </c>
      <c r="J72" s="23">
        <v>18.600000000000001</v>
      </c>
      <c r="K72" s="22"/>
    </row>
    <row r="73" spans="2:22" x14ac:dyDescent="0.25">
      <c r="B73" s="1" t="str">
        <f t="shared" si="5"/>
        <v>5b1,5</v>
      </c>
      <c r="C73" s="5" t="s">
        <v>10</v>
      </c>
      <c r="D73" s="15">
        <v>1.5</v>
      </c>
      <c r="E73" s="15">
        <v>0.69</v>
      </c>
      <c r="F73" s="15">
        <v>0.46</v>
      </c>
      <c r="G73" s="22">
        <v>37.799999999999997</v>
      </c>
      <c r="H73" s="22">
        <v>82.5</v>
      </c>
      <c r="I73" s="22">
        <v>15.8</v>
      </c>
      <c r="J73" s="23">
        <v>19</v>
      </c>
      <c r="K73" s="22"/>
    </row>
    <row r="74" spans="2:22" x14ac:dyDescent="0.25">
      <c r="B74" s="1" t="str">
        <f t="shared" si="5"/>
        <v>5b1,55</v>
      </c>
      <c r="C74" s="5" t="s">
        <v>10</v>
      </c>
      <c r="D74" s="15">
        <v>1.55</v>
      </c>
      <c r="E74" s="15">
        <v>0.68</v>
      </c>
      <c r="F74" s="15">
        <v>0.46</v>
      </c>
      <c r="G74" s="22">
        <v>37.700000000000003</v>
      </c>
      <c r="H74" s="22">
        <v>89.5</v>
      </c>
      <c r="I74" s="22">
        <v>15.9</v>
      </c>
      <c r="J74" s="23">
        <v>19.5</v>
      </c>
      <c r="K74" s="22"/>
    </row>
    <row r="75" spans="2:22" x14ac:dyDescent="0.25">
      <c r="B75" s="1" t="str">
        <f t="shared" si="5"/>
        <v>5b1,6</v>
      </c>
      <c r="C75" s="5" t="s">
        <v>10</v>
      </c>
      <c r="D75" s="15">
        <v>1.6</v>
      </c>
      <c r="E75" s="15">
        <v>0.68</v>
      </c>
      <c r="F75" s="15">
        <v>0.46</v>
      </c>
      <c r="G75" s="22">
        <v>37.700000000000003</v>
      </c>
      <c r="H75" s="22">
        <v>97</v>
      </c>
      <c r="I75" s="22">
        <v>16.100000000000001</v>
      </c>
      <c r="J75" s="23">
        <v>20</v>
      </c>
      <c r="K75" s="22"/>
    </row>
    <row r="76" spans="2:22" x14ac:dyDescent="0.25">
      <c r="B76" s="1" t="str">
        <f t="shared" si="5"/>
        <v>5b1,8</v>
      </c>
      <c r="C76" s="5" t="s">
        <v>10</v>
      </c>
      <c r="D76" s="15">
        <v>1.8</v>
      </c>
      <c r="E76" s="15">
        <v>0.68</v>
      </c>
      <c r="F76" s="15">
        <v>0.46</v>
      </c>
      <c r="G76" s="22">
        <v>37.6</v>
      </c>
      <c r="H76" s="22">
        <v>143</v>
      </c>
      <c r="I76" s="22">
        <v>16.7</v>
      </c>
      <c r="J76" s="23">
        <v>22.1</v>
      </c>
      <c r="K76" s="22"/>
    </row>
    <row r="77" spans="2:22" ht="15.75" thickBot="1" x14ac:dyDescent="0.3">
      <c r="B77" s="1" t="str">
        <f t="shared" si="5"/>
        <v>5b2</v>
      </c>
      <c r="C77" s="8" t="s">
        <v>10</v>
      </c>
      <c r="D77" s="16">
        <v>2</v>
      </c>
      <c r="E77" s="16">
        <v>0.68</v>
      </c>
      <c r="F77" s="16">
        <v>0.46</v>
      </c>
      <c r="G77" s="24">
        <v>37.5</v>
      </c>
      <c r="H77" s="24">
        <v>202</v>
      </c>
      <c r="I77" s="24">
        <v>17.600000000000001</v>
      </c>
      <c r="J77" s="25">
        <v>24.6</v>
      </c>
      <c r="K77" s="22"/>
    </row>
    <row r="78" spans="2:22" x14ac:dyDescent="0.25">
      <c r="B78" s="1" t="str">
        <f t="shared" si="5"/>
        <v>61</v>
      </c>
      <c r="C78" s="2">
        <v>6</v>
      </c>
      <c r="D78" s="14">
        <v>1</v>
      </c>
      <c r="E78" s="14">
        <v>1.03</v>
      </c>
      <c r="F78" s="14">
        <v>1.03</v>
      </c>
      <c r="G78" s="20">
        <v>56.8</v>
      </c>
      <c r="H78" s="20">
        <v>56.8</v>
      </c>
      <c r="I78" s="20">
        <v>19.399999999999999</v>
      </c>
      <c r="J78" s="21">
        <v>19.399999999999999</v>
      </c>
      <c r="K78" s="22"/>
    </row>
    <row r="79" spans="2:22" x14ac:dyDescent="0.25">
      <c r="B79" s="1" t="str">
        <f t="shared" si="5"/>
        <v>61,05</v>
      </c>
      <c r="C79" s="5">
        <v>6</v>
      </c>
      <c r="D79" s="15">
        <v>1.05</v>
      </c>
      <c r="E79" s="15">
        <v>1.04</v>
      </c>
      <c r="F79" s="15">
        <v>1.04</v>
      </c>
      <c r="G79" s="22">
        <v>53.5</v>
      </c>
      <c r="H79" s="22">
        <v>61.2</v>
      </c>
      <c r="I79" s="22">
        <v>19</v>
      </c>
      <c r="J79" s="23">
        <v>19.8</v>
      </c>
      <c r="K79" s="22"/>
    </row>
    <row r="80" spans="2:22" x14ac:dyDescent="0.25">
      <c r="B80" s="1" t="str">
        <f t="shared" si="5"/>
        <v>61,1</v>
      </c>
      <c r="C80" s="5">
        <v>6</v>
      </c>
      <c r="D80" s="15">
        <v>1.1000000000000001</v>
      </c>
      <c r="E80" s="15">
        <v>1.05</v>
      </c>
      <c r="F80" s="15">
        <v>1.05</v>
      </c>
      <c r="G80" s="22">
        <v>50.7</v>
      </c>
      <c r="H80" s="19">
        <v>66.3</v>
      </c>
      <c r="I80" s="22">
        <v>18.8</v>
      </c>
      <c r="J80" s="23">
        <v>20.3</v>
      </c>
      <c r="K80" s="22"/>
    </row>
    <row r="81" spans="2:11" x14ac:dyDescent="0.25">
      <c r="B81" s="1" t="str">
        <f t="shared" si="5"/>
        <v>61,15</v>
      </c>
      <c r="C81" s="5">
        <v>6</v>
      </c>
      <c r="D81" s="15">
        <v>1.1499999999999999</v>
      </c>
      <c r="E81" s="15">
        <v>1.07</v>
      </c>
      <c r="F81" s="15">
        <v>1.07</v>
      </c>
      <c r="G81" s="22">
        <v>48.8</v>
      </c>
      <c r="H81" s="22">
        <v>72.2</v>
      </c>
      <c r="I81" s="19">
        <v>18.7</v>
      </c>
      <c r="J81" s="23">
        <v>20.9</v>
      </c>
      <c r="K81" s="22"/>
    </row>
    <row r="82" spans="2:11" x14ac:dyDescent="0.25">
      <c r="B82" s="1" t="str">
        <f t="shared" si="5"/>
        <v>61,2</v>
      </c>
      <c r="C82" s="5">
        <v>6</v>
      </c>
      <c r="D82" s="15">
        <v>1.2</v>
      </c>
      <c r="E82" s="15">
        <v>1.1000000000000001</v>
      </c>
      <c r="F82" s="15">
        <v>1.1000000000000001</v>
      </c>
      <c r="G82" s="22">
        <v>47.2</v>
      </c>
      <c r="H82" s="22">
        <v>78.900000000000006</v>
      </c>
      <c r="I82" s="19">
        <v>18.600000000000001</v>
      </c>
      <c r="J82" s="23">
        <v>21.5</v>
      </c>
      <c r="K82" s="22"/>
    </row>
    <row r="83" spans="2:11" x14ac:dyDescent="0.25">
      <c r="B83" s="1" t="str">
        <f t="shared" si="5"/>
        <v>61,25</v>
      </c>
      <c r="C83" s="5">
        <v>6</v>
      </c>
      <c r="D83" s="15">
        <v>1.25</v>
      </c>
      <c r="E83" s="15">
        <v>1.1299999999999999</v>
      </c>
      <c r="F83" s="15">
        <v>1.1299999999999999</v>
      </c>
      <c r="G83" s="22">
        <v>46.1</v>
      </c>
      <c r="H83" s="22">
        <v>86.7</v>
      </c>
      <c r="I83" s="22">
        <v>18.7</v>
      </c>
      <c r="J83" s="23">
        <v>22.2</v>
      </c>
      <c r="K83" s="22"/>
    </row>
    <row r="84" spans="2:11" x14ac:dyDescent="0.25">
      <c r="B84" s="1" t="str">
        <f t="shared" si="5"/>
        <v>61,3</v>
      </c>
      <c r="C84" s="5">
        <v>6</v>
      </c>
      <c r="D84" s="15">
        <v>1.3</v>
      </c>
      <c r="E84" s="15">
        <v>1.17</v>
      </c>
      <c r="F84" s="15">
        <v>1.17</v>
      </c>
      <c r="G84" s="22">
        <v>45.2</v>
      </c>
      <c r="H84" s="22">
        <v>95.6</v>
      </c>
      <c r="I84" s="22">
        <v>18.8</v>
      </c>
      <c r="J84" s="23">
        <v>22.9</v>
      </c>
      <c r="K84" s="22"/>
    </row>
    <row r="85" spans="2:11" x14ac:dyDescent="0.25">
      <c r="B85" s="1" t="str">
        <f t="shared" si="5"/>
        <v>61,35</v>
      </c>
      <c r="C85" s="5">
        <v>6</v>
      </c>
      <c r="D85" s="15">
        <v>1.35</v>
      </c>
      <c r="E85" s="15">
        <v>1.21</v>
      </c>
      <c r="F85" s="13">
        <v>1.21</v>
      </c>
      <c r="G85" s="22">
        <v>44.9</v>
      </c>
      <c r="H85" s="22">
        <v>105.6</v>
      </c>
      <c r="I85" s="19">
        <v>19</v>
      </c>
      <c r="J85" s="23">
        <v>23.7</v>
      </c>
      <c r="K85" s="22"/>
    </row>
    <row r="86" spans="2:11" x14ac:dyDescent="0.25">
      <c r="B86" s="1" t="str">
        <f t="shared" si="5"/>
        <v>61,4</v>
      </c>
      <c r="C86" s="5">
        <v>6</v>
      </c>
      <c r="D86" s="15">
        <v>1.4</v>
      </c>
      <c r="E86" s="15">
        <v>1.24</v>
      </c>
      <c r="F86" s="15">
        <v>1.24</v>
      </c>
      <c r="G86" s="22">
        <v>44.6</v>
      </c>
      <c r="H86" s="22">
        <v>116.6</v>
      </c>
      <c r="I86" s="22">
        <v>19.2</v>
      </c>
      <c r="J86" s="23">
        <v>24.5</v>
      </c>
      <c r="K86" s="22"/>
    </row>
    <row r="87" spans="2:11" x14ac:dyDescent="0.25">
      <c r="B87" s="1" t="str">
        <f t="shared" si="5"/>
        <v>61,45</v>
      </c>
      <c r="C87" s="5">
        <v>6</v>
      </c>
      <c r="D87" s="15">
        <v>1.45</v>
      </c>
      <c r="E87" s="15">
        <v>1.28</v>
      </c>
      <c r="F87" s="15">
        <v>1.28</v>
      </c>
      <c r="G87" s="22">
        <v>44.5</v>
      </c>
      <c r="H87" s="22">
        <v>128.5</v>
      </c>
      <c r="I87" s="22">
        <v>19.5</v>
      </c>
      <c r="J87" s="23">
        <v>25.3</v>
      </c>
      <c r="K87" s="22"/>
    </row>
    <row r="88" spans="2:11" x14ac:dyDescent="0.25">
      <c r="B88" s="1" t="str">
        <f t="shared" si="5"/>
        <v>61,5</v>
      </c>
      <c r="C88" s="5">
        <v>6</v>
      </c>
      <c r="D88" s="15">
        <v>1.5</v>
      </c>
      <c r="E88" s="15">
        <v>1.31</v>
      </c>
      <c r="F88" s="15">
        <v>1.31</v>
      </c>
      <c r="G88" s="22">
        <v>44.4</v>
      </c>
      <c r="H88" s="22">
        <v>140.5</v>
      </c>
      <c r="I88" s="22">
        <v>19.8</v>
      </c>
      <c r="J88" s="23">
        <v>26.2</v>
      </c>
      <c r="K88" s="22"/>
    </row>
    <row r="89" spans="2:11" x14ac:dyDescent="0.25">
      <c r="B89" s="1" t="str">
        <f t="shared" si="5"/>
        <v>61,55</v>
      </c>
      <c r="C89" s="5">
        <v>6</v>
      </c>
      <c r="D89" s="15">
        <v>1.55</v>
      </c>
      <c r="E89" s="15">
        <v>1.35</v>
      </c>
      <c r="F89" s="15">
        <v>1.35</v>
      </c>
      <c r="G89" s="22">
        <v>45.2</v>
      </c>
      <c r="H89" s="22">
        <v>152</v>
      </c>
      <c r="I89" s="22">
        <v>20.100000000000001</v>
      </c>
      <c r="J89" s="23">
        <v>27</v>
      </c>
      <c r="K89" s="22"/>
    </row>
    <row r="90" spans="2:11" x14ac:dyDescent="0.25">
      <c r="B90" s="1" t="str">
        <f t="shared" si="5"/>
        <v>61,6</v>
      </c>
      <c r="C90" s="5">
        <v>6</v>
      </c>
      <c r="D90" s="15">
        <v>1.6</v>
      </c>
      <c r="E90" s="15">
        <v>1.39</v>
      </c>
      <c r="F90" s="15">
        <v>1.39</v>
      </c>
      <c r="G90" s="22">
        <v>46.1</v>
      </c>
      <c r="H90" s="22">
        <v>163</v>
      </c>
      <c r="I90" s="22">
        <v>20.5</v>
      </c>
      <c r="J90" s="23">
        <v>27.9</v>
      </c>
      <c r="K90" s="22"/>
    </row>
    <row r="91" spans="2:11" x14ac:dyDescent="0.25">
      <c r="B91" s="1" t="str">
        <f t="shared" si="5"/>
        <v>61,8</v>
      </c>
      <c r="C91" s="5">
        <v>6</v>
      </c>
      <c r="D91" s="15">
        <v>1.8</v>
      </c>
      <c r="E91" s="15">
        <v>1.39</v>
      </c>
      <c r="F91" s="15">
        <v>1.39</v>
      </c>
      <c r="G91" s="22">
        <v>48.8</v>
      </c>
      <c r="H91" s="22">
        <v>190</v>
      </c>
      <c r="I91" s="22">
        <v>22</v>
      </c>
      <c r="J91" s="23">
        <v>31.4</v>
      </c>
      <c r="K91" s="22"/>
    </row>
    <row r="92" spans="2:11" ht="15.75" thickBot="1" x14ac:dyDescent="0.3">
      <c r="B92" s="1" t="str">
        <f t="shared" si="5"/>
        <v>62</v>
      </c>
      <c r="C92" s="8">
        <v>6</v>
      </c>
      <c r="D92" s="16">
        <v>2</v>
      </c>
      <c r="E92" s="16">
        <v>1.39</v>
      </c>
      <c r="F92" s="16">
        <v>1.39</v>
      </c>
      <c r="G92" s="24">
        <v>50</v>
      </c>
      <c r="H92" s="24">
        <v>210</v>
      </c>
      <c r="I92" s="24">
        <v>24</v>
      </c>
      <c r="J92" s="25">
        <v>35</v>
      </c>
      <c r="K92" s="22"/>
    </row>
  </sheetData>
  <sortState ref="V3:AA28">
    <sortCondition descending="1" ref="V3"/>
  </sortState>
  <mergeCells count="1">
    <mergeCell ref="X2:Y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5A7D-A1BA-45AA-A425-C9A5BA2365DA}">
  <dimension ref="B2:AD124"/>
  <sheetViews>
    <sheetView showGridLines="0" topLeftCell="B64" zoomScale="70" zoomScaleNormal="70" workbookViewId="0">
      <selection activeCell="C75" sqref="C75:C78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10" width="17.140625" customWidth="1"/>
    <col min="11" max="11" width="17" customWidth="1"/>
    <col min="12" max="24" width="17.140625" customWidth="1"/>
  </cols>
  <sheetData>
    <row r="2" spans="2:21" ht="18.75" x14ac:dyDescent="0.3">
      <c r="B2" s="52" t="s">
        <v>209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4" t="s">
        <v>19</v>
      </c>
      <c r="C4" s="113">
        <v>16</v>
      </c>
      <c r="E4" s="217" t="s">
        <v>29</v>
      </c>
      <c r="F4" s="218"/>
      <c r="H4" s="217" t="s">
        <v>30</v>
      </c>
      <c r="I4" s="218"/>
      <c r="K4" s="217" t="s">
        <v>39</v>
      </c>
      <c r="L4" s="218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187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2.04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&amp;"$"</f>
        <v>$\phi8@17$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25">
      <c r="B16" s="63" t="s">
        <v>211</v>
      </c>
      <c r="C16" s="6">
        <v>6.05</v>
      </c>
      <c r="D16" s="6">
        <v>10</v>
      </c>
      <c r="E16" s="6">
        <v>16</v>
      </c>
      <c r="F16" s="6">
        <v>6</v>
      </c>
      <c r="G16" s="6">
        <v>100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212</v>
      </c>
      <c r="C17" s="6">
        <v>4.6500000000000004</v>
      </c>
      <c r="D17" s="6">
        <v>5.6</v>
      </c>
      <c r="E17" s="6">
        <v>16</v>
      </c>
      <c r="F17" s="6">
        <v>6</v>
      </c>
      <c r="G17" s="6">
        <v>100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25">
      <c r="B18" s="63" t="s">
        <v>213</v>
      </c>
      <c r="C18" s="6">
        <v>4.6500000000000004</v>
      </c>
      <c r="D18" s="6">
        <v>5.6</v>
      </c>
      <c r="E18" s="6">
        <v>16</v>
      </c>
      <c r="F18" s="6">
        <v>6</v>
      </c>
      <c r="G18" s="6">
        <v>100</v>
      </c>
      <c r="H18" s="6" t="s">
        <v>187</v>
      </c>
      <c r="I18" s="7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3" t="s">
        <v>214</v>
      </c>
      <c r="C19" s="6">
        <v>6.05</v>
      </c>
      <c r="D19" s="6">
        <v>7.89</v>
      </c>
      <c r="E19" s="6">
        <v>16</v>
      </c>
      <c r="F19" s="6">
        <v>6</v>
      </c>
      <c r="G19" s="6">
        <v>100</v>
      </c>
      <c r="H19" s="6" t="s">
        <v>187</v>
      </c>
      <c r="I19" s="7">
        <v>2.04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3" t="s">
        <v>215</v>
      </c>
      <c r="C20" s="6">
        <v>5.82</v>
      </c>
      <c r="D20" s="6">
        <v>6.96</v>
      </c>
      <c r="E20" s="6">
        <v>16</v>
      </c>
      <c r="F20" s="6">
        <v>6</v>
      </c>
      <c r="G20" s="6">
        <v>100</v>
      </c>
      <c r="H20" s="6" t="s">
        <v>187</v>
      </c>
      <c r="I20" s="7">
        <v>2.04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3" t="s">
        <v>216</v>
      </c>
      <c r="C21" s="6">
        <v>5</v>
      </c>
      <c r="D21" s="6">
        <v>5.0199999999999996</v>
      </c>
      <c r="E21" s="6">
        <v>16</v>
      </c>
      <c r="F21" s="6">
        <v>6</v>
      </c>
      <c r="G21" s="6">
        <v>100</v>
      </c>
      <c r="H21" s="6" t="s">
        <v>187</v>
      </c>
      <c r="I21" s="7">
        <v>2.04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3" t="s">
        <v>217</v>
      </c>
      <c r="C22" s="6">
        <v>2.1</v>
      </c>
      <c r="D22" s="6">
        <v>4.04</v>
      </c>
      <c r="E22" s="6">
        <v>16</v>
      </c>
      <c r="F22" s="6" t="s">
        <v>10</v>
      </c>
      <c r="G22" s="6">
        <v>100</v>
      </c>
      <c r="H22" s="6" t="s">
        <v>187</v>
      </c>
      <c r="I22" s="7">
        <v>2.04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3" t="s">
        <v>218</v>
      </c>
      <c r="C23" s="6">
        <v>1.4</v>
      </c>
      <c r="D23" s="6">
        <v>11.2</v>
      </c>
      <c r="E23" s="6">
        <v>16</v>
      </c>
      <c r="F23" s="6">
        <v>6</v>
      </c>
      <c r="G23" s="6">
        <v>100</v>
      </c>
      <c r="H23" s="6" t="s">
        <v>187</v>
      </c>
      <c r="I23" s="7">
        <v>2.04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3" t="s">
        <v>219</v>
      </c>
      <c r="C24" s="6">
        <v>2.9</v>
      </c>
      <c r="D24" s="6">
        <v>6.36</v>
      </c>
      <c r="E24" s="6">
        <v>16</v>
      </c>
      <c r="F24" s="6">
        <v>6</v>
      </c>
      <c r="G24" s="6">
        <v>100</v>
      </c>
      <c r="H24" s="6" t="s">
        <v>187</v>
      </c>
      <c r="I24" s="7">
        <v>2.04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3" t="s">
        <v>220</v>
      </c>
      <c r="C25" s="6">
        <v>5</v>
      </c>
      <c r="D25" s="6">
        <v>5.0199999999999996</v>
      </c>
      <c r="E25" s="6">
        <v>16</v>
      </c>
      <c r="F25" s="6">
        <v>6</v>
      </c>
      <c r="G25" s="6">
        <v>100</v>
      </c>
      <c r="H25" s="6" t="s">
        <v>187</v>
      </c>
      <c r="I25" s="7">
        <v>2.04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3" t="s">
        <v>221</v>
      </c>
      <c r="C26" s="6">
        <v>5.82</v>
      </c>
      <c r="D26" s="6">
        <v>6.49</v>
      </c>
      <c r="E26" s="6">
        <v>16</v>
      </c>
      <c r="F26" s="6">
        <v>6</v>
      </c>
      <c r="G26" s="6">
        <v>100</v>
      </c>
      <c r="H26" s="6" t="s">
        <v>187</v>
      </c>
      <c r="I26" s="7">
        <v>2.04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3" t="s">
        <v>222</v>
      </c>
      <c r="C27" s="6">
        <v>1.51</v>
      </c>
      <c r="D27" s="6">
        <v>9.1</v>
      </c>
      <c r="E27" s="6">
        <v>16</v>
      </c>
      <c r="F27" s="6" t="s">
        <v>8</v>
      </c>
      <c r="G27" s="6">
        <v>100</v>
      </c>
      <c r="H27" s="6" t="s">
        <v>187</v>
      </c>
      <c r="I27" s="7">
        <v>2.04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3" t="s">
        <v>223</v>
      </c>
      <c r="C28" s="6">
        <v>1.51</v>
      </c>
      <c r="D28" s="6">
        <v>5.6</v>
      </c>
      <c r="E28" s="6">
        <v>16</v>
      </c>
      <c r="F28" s="6" t="s">
        <v>10</v>
      </c>
      <c r="G28" s="6">
        <v>100</v>
      </c>
      <c r="H28" s="6" t="s">
        <v>187</v>
      </c>
      <c r="I28" s="7">
        <v>2.04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3" t="s">
        <v>224</v>
      </c>
      <c r="C29" s="6">
        <v>1.51</v>
      </c>
      <c r="D29" s="6">
        <v>5.6</v>
      </c>
      <c r="E29" s="6">
        <v>16</v>
      </c>
      <c r="F29" s="6" t="s">
        <v>10</v>
      </c>
      <c r="G29" s="6">
        <v>100</v>
      </c>
      <c r="H29" s="6" t="s">
        <v>187</v>
      </c>
      <c r="I29" s="7">
        <v>2.04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3" t="s">
        <v>225</v>
      </c>
      <c r="C30" s="6">
        <v>1.51</v>
      </c>
      <c r="D30" s="6">
        <v>8.93</v>
      </c>
      <c r="E30" s="6">
        <v>16</v>
      </c>
      <c r="F30" s="6" t="s">
        <v>8</v>
      </c>
      <c r="G30" s="6">
        <v>100</v>
      </c>
      <c r="H30" s="6" t="s">
        <v>187</v>
      </c>
      <c r="I30" s="7">
        <v>2.04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3" t="s">
        <v>226</v>
      </c>
      <c r="C31" s="6">
        <v>1.04</v>
      </c>
      <c r="D31" s="6">
        <v>3.83</v>
      </c>
      <c r="E31" s="6">
        <v>16</v>
      </c>
      <c r="F31" s="6">
        <v>4</v>
      </c>
      <c r="G31" s="6">
        <v>100</v>
      </c>
      <c r="H31" s="6" t="s">
        <v>187</v>
      </c>
      <c r="I31" s="7">
        <v>2.04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3" t="s">
        <v>227</v>
      </c>
      <c r="C32" s="6">
        <v>1.04</v>
      </c>
      <c r="D32" s="6">
        <v>3.83</v>
      </c>
      <c r="E32" s="6">
        <v>16</v>
      </c>
      <c r="F32" s="6">
        <v>4</v>
      </c>
      <c r="G32" s="6">
        <v>100</v>
      </c>
      <c r="H32" s="6" t="s">
        <v>187</v>
      </c>
      <c r="I32" s="7">
        <v>2.04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25">
      <c r="B33" s="63" t="s">
        <v>228</v>
      </c>
      <c r="C33" s="6">
        <v>1.34</v>
      </c>
      <c r="D33" s="6">
        <v>10.69</v>
      </c>
      <c r="E33" s="6">
        <v>16</v>
      </c>
      <c r="F33" s="6" t="s">
        <v>8</v>
      </c>
      <c r="G33" s="6">
        <v>100</v>
      </c>
      <c r="H33" s="6" t="s">
        <v>187</v>
      </c>
      <c r="I33" s="7">
        <v>2.04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25">
      <c r="B34" s="63" t="s">
        <v>229</v>
      </c>
      <c r="C34" s="6">
        <v>1.34</v>
      </c>
      <c r="D34" s="6">
        <v>10.86</v>
      </c>
      <c r="E34" s="6">
        <v>16</v>
      </c>
      <c r="F34" s="6" t="s">
        <v>8</v>
      </c>
      <c r="G34" s="6">
        <v>100</v>
      </c>
      <c r="H34" s="6" t="s">
        <v>187</v>
      </c>
      <c r="I34" s="7">
        <v>2.04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25">
      <c r="B35" s="63" t="s">
        <v>230</v>
      </c>
      <c r="C35" s="6">
        <v>0.74</v>
      </c>
      <c r="D35" s="6">
        <v>3.83</v>
      </c>
      <c r="E35" s="6">
        <v>16</v>
      </c>
      <c r="F35" s="112">
        <v>4</v>
      </c>
      <c r="G35" s="6">
        <v>100</v>
      </c>
      <c r="H35" s="6" t="s">
        <v>187</v>
      </c>
      <c r="I35" s="7">
        <v>2.04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25">
      <c r="B36" s="63" t="s">
        <v>231</v>
      </c>
      <c r="C36" s="6">
        <v>0.7</v>
      </c>
      <c r="D36" s="6">
        <v>3.83</v>
      </c>
      <c r="E36" s="6">
        <v>16</v>
      </c>
      <c r="F36" s="6">
        <v>4</v>
      </c>
      <c r="G36" s="6">
        <v>100</v>
      </c>
      <c r="H36" s="6" t="s">
        <v>187</v>
      </c>
      <c r="I36" s="7">
        <v>2.04</v>
      </c>
      <c r="J36" s="64"/>
      <c r="K36" s="6"/>
      <c r="L36" s="6"/>
      <c r="M36" s="6"/>
      <c r="N36" s="112"/>
      <c r="O36" s="6"/>
      <c r="P36" s="6"/>
      <c r="Q36" s="6"/>
      <c r="T36" s="40"/>
      <c r="U36" s="41"/>
    </row>
    <row r="37" spans="2:24" ht="15.75" hidden="1" thickBot="1" x14ac:dyDescent="0.3">
      <c r="B37" s="66" t="s">
        <v>232</v>
      </c>
      <c r="C37" s="9">
        <v>2.3199999999999998</v>
      </c>
      <c r="D37" s="9">
        <v>4.3</v>
      </c>
      <c r="E37" s="9">
        <v>16</v>
      </c>
      <c r="F37" s="109" t="s">
        <v>10</v>
      </c>
      <c r="G37" s="9">
        <v>100</v>
      </c>
      <c r="H37" s="9" t="s">
        <v>187</v>
      </c>
      <c r="I37" s="10">
        <v>2.04</v>
      </c>
      <c r="P37" s="40"/>
      <c r="T37" s="40"/>
      <c r="U37" s="41"/>
    </row>
    <row r="38" spans="2:24" hidden="1" x14ac:dyDescent="0.25">
      <c r="B38" s="64"/>
      <c r="C38" s="6"/>
      <c r="D38" s="6"/>
      <c r="E38" s="6"/>
      <c r="F38" s="112"/>
      <c r="G38" s="6"/>
      <c r="H38" s="6"/>
      <c r="I38" s="6"/>
      <c r="P38" s="40"/>
      <c r="T38" s="40"/>
      <c r="U38" s="41"/>
    </row>
    <row r="39" spans="2:24" hidden="1" x14ac:dyDescent="0.25">
      <c r="B39" s="64"/>
      <c r="C39" s="6"/>
      <c r="D39" s="6"/>
      <c r="E39" s="6"/>
      <c r="F39" s="112"/>
      <c r="G39" s="6"/>
      <c r="H39" s="6"/>
      <c r="I39" s="6"/>
      <c r="P39" s="40"/>
      <c r="T39" s="40"/>
      <c r="U39" s="41"/>
    </row>
    <row r="40" spans="2:24" hidden="1" x14ac:dyDescent="0.25">
      <c r="B40" s="64"/>
      <c r="C40" s="6"/>
      <c r="D40" s="6"/>
      <c r="E40" s="6"/>
      <c r="F40" s="112"/>
      <c r="G40" s="6"/>
      <c r="H40" s="6"/>
      <c r="I40" s="6"/>
      <c r="P40" s="40"/>
      <c r="T40" s="40"/>
      <c r="U40" s="41"/>
    </row>
    <row r="41" spans="2:24" hidden="1" x14ac:dyDescent="0.25">
      <c r="B41" s="64"/>
      <c r="C41" s="6"/>
      <c r="D41" s="6"/>
      <c r="E41" s="6"/>
      <c r="F41" s="112"/>
      <c r="G41" s="6"/>
      <c r="H41" s="6"/>
      <c r="I41" s="6"/>
      <c r="P41" s="40"/>
      <c r="T41" s="40"/>
      <c r="U41" s="41"/>
    </row>
    <row r="42" spans="2:24" hidden="1" x14ac:dyDescent="0.25">
      <c r="B42" s="64"/>
      <c r="C42" s="6"/>
      <c r="D42" s="6"/>
      <c r="E42" s="6"/>
      <c r="F42" s="112"/>
      <c r="G42" s="6"/>
      <c r="H42" s="6"/>
      <c r="I42" s="6"/>
      <c r="P42" s="40"/>
      <c r="T42" s="40"/>
      <c r="U42" s="41"/>
    </row>
    <row r="43" spans="2:24" hidden="1" x14ac:dyDescent="0.25">
      <c r="B43" s="64"/>
      <c r="C43" s="6"/>
      <c r="D43" s="6"/>
      <c r="E43" s="6"/>
      <c r="F43" s="112"/>
      <c r="G43" s="6"/>
      <c r="H43" s="6"/>
      <c r="I43" s="6"/>
      <c r="P43" s="40"/>
      <c r="T43" s="40"/>
      <c r="U43" s="41"/>
    </row>
    <row r="44" spans="2:24" s="39" customFormat="1" hidden="1" x14ac:dyDescent="0.25">
      <c r="B44" s="64"/>
      <c r="C44" s="6"/>
      <c r="D44" s="6"/>
      <c r="E44" s="6"/>
      <c r="F44" s="112"/>
      <c r="G44" s="6"/>
      <c r="H44" s="6"/>
      <c r="I44" s="6"/>
      <c r="P44" s="110"/>
      <c r="T44" s="110"/>
      <c r="U44" s="154"/>
    </row>
    <row r="45" spans="2:24" ht="15.75" thickBot="1" x14ac:dyDescent="0.3">
      <c r="B45" s="67"/>
      <c r="C45" s="9"/>
      <c r="D45" s="9"/>
      <c r="E45" s="9"/>
      <c r="F45" s="109"/>
      <c r="G45" s="9"/>
      <c r="H45" s="9"/>
      <c r="I45" s="9"/>
      <c r="P45" s="40"/>
      <c r="T45" s="40"/>
      <c r="U45" s="41"/>
    </row>
    <row r="46" spans="2:24" ht="15.75" thickBot="1" x14ac:dyDescent="0.3">
      <c r="B46" s="73" t="s">
        <v>43</v>
      </c>
      <c r="C46" s="74" t="s">
        <v>211</v>
      </c>
      <c r="D46" s="74" t="s">
        <v>212</v>
      </c>
      <c r="E46" s="74" t="s">
        <v>213</v>
      </c>
      <c r="F46" s="74" t="s">
        <v>214</v>
      </c>
      <c r="G46" s="74" t="s">
        <v>215</v>
      </c>
      <c r="H46" s="74" t="s">
        <v>216</v>
      </c>
      <c r="I46" s="74" t="s">
        <v>217</v>
      </c>
      <c r="J46" s="74" t="s">
        <v>218</v>
      </c>
      <c r="K46" s="74" t="s">
        <v>219</v>
      </c>
      <c r="L46" s="74" t="s">
        <v>220</v>
      </c>
      <c r="M46" s="74" t="s">
        <v>221</v>
      </c>
      <c r="N46" s="74" t="s">
        <v>222</v>
      </c>
      <c r="O46" s="74" t="s">
        <v>223</v>
      </c>
      <c r="P46" s="74" t="s">
        <v>224</v>
      </c>
      <c r="Q46" s="74" t="s">
        <v>225</v>
      </c>
      <c r="R46" s="74" t="s">
        <v>226</v>
      </c>
      <c r="S46" s="74" t="s">
        <v>227</v>
      </c>
      <c r="T46" s="74" t="s">
        <v>228</v>
      </c>
      <c r="U46" s="74" t="s">
        <v>229</v>
      </c>
      <c r="V46" s="74" t="s">
        <v>230</v>
      </c>
      <c r="W46" s="74" t="s">
        <v>231</v>
      </c>
      <c r="X46" s="74" t="s">
        <v>232</v>
      </c>
    </row>
    <row r="47" spans="2:24" ht="15.75" thickBot="1" x14ac:dyDescent="0.3">
      <c r="B47" s="71" t="s">
        <v>95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72"/>
      <c r="X47" s="72"/>
    </row>
    <row r="48" spans="2:24" x14ac:dyDescent="0.25">
      <c r="B48" s="97" t="s">
        <v>81</v>
      </c>
      <c r="C48" s="76">
        <f>VLOOKUP(C$46,$B$16:$H$37,2)</f>
        <v>6.05</v>
      </c>
      <c r="D48" s="76">
        <f t="shared" ref="D48:X48" si="0">VLOOKUP(D$46,$B$16:$H$37,2)</f>
        <v>4.6500000000000004</v>
      </c>
      <c r="E48" s="76">
        <f t="shared" si="0"/>
        <v>4.6500000000000004</v>
      </c>
      <c r="F48" s="76">
        <f t="shared" si="0"/>
        <v>6.05</v>
      </c>
      <c r="G48" s="76">
        <f t="shared" si="0"/>
        <v>5.82</v>
      </c>
      <c r="H48" s="76">
        <f t="shared" si="0"/>
        <v>5</v>
      </c>
      <c r="I48" s="76">
        <f t="shared" si="0"/>
        <v>2.1</v>
      </c>
      <c r="J48" s="76">
        <f t="shared" si="0"/>
        <v>1.4</v>
      </c>
      <c r="K48" s="76">
        <f t="shared" si="0"/>
        <v>2.9</v>
      </c>
      <c r="L48" s="76">
        <f t="shared" si="0"/>
        <v>5</v>
      </c>
      <c r="M48" s="76">
        <f t="shared" si="0"/>
        <v>5.82</v>
      </c>
      <c r="N48" s="76">
        <f t="shared" si="0"/>
        <v>1.51</v>
      </c>
      <c r="O48" s="76">
        <f t="shared" si="0"/>
        <v>1.51</v>
      </c>
      <c r="P48" s="76">
        <f t="shared" si="0"/>
        <v>1.51</v>
      </c>
      <c r="Q48" s="76">
        <f t="shared" si="0"/>
        <v>1.51</v>
      </c>
      <c r="R48" s="76">
        <f t="shared" si="0"/>
        <v>1.04</v>
      </c>
      <c r="S48" s="76">
        <f t="shared" si="0"/>
        <v>1.04</v>
      </c>
      <c r="T48" s="76">
        <f t="shared" si="0"/>
        <v>1.34</v>
      </c>
      <c r="U48" s="76">
        <f t="shared" si="0"/>
        <v>1.34</v>
      </c>
      <c r="V48" s="76">
        <f t="shared" si="0"/>
        <v>0.74</v>
      </c>
      <c r="W48" s="76">
        <f t="shared" si="0"/>
        <v>0.7</v>
      </c>
      <c r="X48" s="76">
        <f t="shared" si="0"/>
        <v>2.3199999999999998</v>
      </c>
    </row>
    <row r="49" spans="2:24" x14ac:dyDescent="0.25">
      <c r="B49" s="97" t="s">
        <v>82</v>
      </c>
      <c r="C49" s="76">
        <f>VLOOKUP(C$46,$B$16:$H$37,3)</f>
        <v>10</v>
      </c>
      <c r="D49" s="76">
        <f t="shared" ref="D49:X49" si="1">VLOOKUP(D$46,$B$16:$H$37,3)</f>
        <v>5.6</v>
      </c>
      <c r="E49" s="76">
        <f t="shared" si="1"/>
        <v>5.6</v>
      </c>
      <c r="F49" s="76">
        <f t="shared" si="1"/>
        <v>7.89</v>
      </c>
      <c r="G49" s="76">
        <f t="shared" si="1"/>
        <v>6.96</v>
      </c>
      <c r="H49" s="76">
        <f t="shared" si="1"/>
        <v>5.0199999999999996</v>
      </c>
      <c r="I49" s="76">
        <f t="shared" si="1"/>
        <v>4.04</v>
      </c>
      <c r="J49" s="76">
        <f t="shared" si="1"/>
        <v>11.2</v>
      </c>
      <c r="K49" s="76">
        <f t="shared" si="1"/>
        <v>6.36</v>
      </c>
      <c r="L49" s="76">
        <f t="shared" si="1"/>
        <v>5.0199999999999996</v>
      </c>
      <c r="M49" s="76">
        <f t="shared" si="1"/>
        <v>6.49</v>
      </c>
      <c r="N49" s="76">
        <f t="shared" si="1"/>
        <v>9.1</v>
      </c>
      <c r="O49" s="76">
        <f t="shared" si="1"/>
        <v>5.6</v>
      </c>
      <c r="P49" s="76">
        <f t="shared" si="1"/>
        <v>5.6</v>
      </c>
      <c r="Q49" s="76">
        <f t="shared" si="1"/>
        <v>8.93</v>
      </c>
      <c r="R49" s="76">
        <f t="shared" si="1"/>
        <v>3.83</v>
      </c>
      <c r="S49" s="76">
        <f t="shared" si="1"/>
        <v>3.83</v>
      </c>
      <c r="T49" s="76">
        <f t="shared" si="1"/>
        <v>10.69</v>
      </c>
      <c r="U49" s="76">
        <f t="shared" si="1"/>
        <v>10.86</v>
      </c>
      <c r="V49" s="76">
        <f t="shared" si="1"/>
        <v>3.83</v>
      </c>
      <c r="W49" s="76">
        <f t="shared" si="1"/>
        <v>3.83</v>
      </c>
      <c r="X49" s="76">
        <f t="shared" si="1"/>
        <v>4.3</v>
      </c>
    </row>
    <row r="50" spans="2:24" x14ac:dyDescent="0.25">
      <c r="B50" s="100" t="s">
        <v>86</v>
      </c>
      <c r="C50" s="76">
        <f>ROUNDUP((C54*C48*100)/C55+$C$5,0)</f>
        <v>13</v>
      </c>
      <c r="D50" s="76">
        <f t="shared" ref="D50:X50" si="2">ROUNDUP((D54*D48*100)/D55+$C$5,0)</f>
        <v>10</v>
      </c>
      <c r="E50" s="76">
        <f t="shared" si="2"/>
        <v>10</v>
      </c>
      <c r="F50" s="76">
        <f t="shared" si="2"/>
        <v>12</v>
      </c>
      <c r="G50" s="76">
        <f t="shared" si="2"/>
        <v>11</v>
      </c>
      <c r="H50" s="76">
        <f t="shared" si="2"/>
        <v>10</v>
      </c>
      <c r="I50" s="76">
        <f t="shared" si="2"/>
        <v>6</v>
      </c>
      <c r="J50" s="76">
        <f t="shared" si="2"/>
        <v>4</v>
      </c>
      <c r="K50" s="76">
        <f t="shared" si="2"/>
        <v>7</v>
      </c>
      <c r="L50" s="76">
        <f t="shared" si="2"/>
        <v>9</v>
      </c>
      <c r="M50" s="76">
        <f t="shared" si="2"/>
        <v>10</v>
      </c>
      <c r="N50" s="76">
        <f t="shared" si="2"/>
        <v>5</v>
      </c>
      <c r="O50" s="76">
        <f t="shared" si="2"/>
        <v>5</v>
      </c>
      <c r="P50" s="76">
        <f t="shared" si="2"/>
        <v>5</v>
      </c>
      <c r="Q50" s="76">
        <f t="shared" si="2"/>
        <v>5</v>
      </c>
      <c r="R50" s="76">
        <f t="shared" si="2"/>
        <v>4</v>
      </c>
      <c r="S50" s="76">
        <f t="shared" si="2"/>
        <v>4</v>
      </c>
      <c r="T50" s="76">
        <f t="shared" si="2"/>
        <v>5</v>
      </c>
      <c r="U50" s="76">
        <f t="shared" si="2"/>
        <v>5</v>
      </c>
      <c r="V50" s="76">
        <f t="shared" si="2"/>
        <v>4</v>
      </c>
      <c r="W50" s="76">
        <f t="shared" si="2"/>
        <v>3</v>
      </c>
      <c r="X50" s="76">
        <f t="shared" si="2"/>
        <v>6</v>
      </c>
    </row>
    <row r="51" spans="2:24" ht="15.75" thickBot="1" x14ac:dyDescent="0.3">
      <c r="B51" s="101" t="s">
        <v>0</v>
      </c>
      <c r="C51" s="116">
        <f>VLOOKUP(C$46,$B$16:$I$37,5)</f>
        <v>6</v>
      </c>
      <c r="D51" s="116">
        <f t="shared" ref="D51:X51" si="3">VLOOKUP(D$46,$B$16:$I$37,5)</f>
        <v>6</v>
      </c>
      <c r="E51" s="116">
        <f t="shared" si="3"/>
        <v>6</v>
      </c>
      <c r="F51" s="116">
        <f t="shared" si="3"/>
        <v>6</v>
      </c>
      <c r="G51" s="116">
        <f t="shared" si="3"/>
        <v>6</v>
      </c>
      <c r="H51" s="116">
        <f t="shared" si="3"/>
        <v>6</v>
      </c>
      <c r="I51" s="116" t="str">
        <f t="shared" si="3"/>
        <v>5b</v>
      </c>
      <c r="J51" s="116">
        <f t="shared" si="3"/>
        <v>6</v>
      </c>
      <c r="K51" s="116">
        <f t="shared" si="3"/>
        <v>6</v>
      </c>
      <c r="L51" s="116">
        <f t="shared" si="3"/>
        <v>6</v>
      </c>
      <c r="M51" s="116">
        <f t="shared" si="3"/>
        <v>6</v>
      </c>
      <c r="N51" s="116" t="str">
        <f t="shared" si="3"/>
        <v>2a</v>
      </c>
      <c r="O51" s="116" t="str">
        <f t="shared" si="3"/>
        <v>5b</v>
      </c>
      <c r="P51" s="116" t="str">
        <f t="shared" si="3"/>
        <v>5b</v>
      </c>
      <c r="Q51" s="116" t="str">
        <f t="shared" si="3"/>
        <v>2a</v>
      </c>
      <c r="R51" s="116">
        <f t="shared" si="3"/>
        <v>4</v>
      </c>
      <c r="S51" s="116">
        <f t="shared" si="3"/>
        <v>4</v>
      </c>
      <c r="T51" s="116" t="str">
        <f t="shared" si="3"/>
        <v>2a</v>
      </c>
      <c r="U51" s="116" t="str">
        <f t="shared" si="3"/>
        <v>2a</v>
      </c>
      <c r="V51" s="116">
        <f t="shared" si="3"/>
        <v>4</v>
      </c>
      <c r="W51" s="116">
        <f t="shared" si="3"/>
        <v>4</v>
      </c>
      <c r="X51" s="116" t="str">
        <f t="shared" si="3"/>
        <v>5b</v>
      </c>
    </row>
    <row r="52" spans="2:24" ht="15.75" thickBot="1" x14ac:dyDescent="0.3">
      <c r="B52" s="71" t="s">
        <v>94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72"/>
      <c r="X52" s="72"/>
    </row>
    <row r="53" spans="2:24" x14ac:dyDescent="0.25">
      <c r="B53" s="100" t="s">
        <v>84</v>
      </c>
      <c r="C53" s="80">
        <f>ROUNDUP(C49/C48,1)</f>
        <v>1.7000000000000002</v>
      </c>
      <c r="D53" s="81">
        <f>ROUNDUP(D49/D48,1)</f>
        <v>1.3</v>
      </c>
      <c r="E53" s="81">
        <f t="shared" ref="E53:X53" si="4">ROUNDUP(E49/E48,1)</f>
        <v>1.3</v>
      </c>
      <c r="F53" s="81">
        <f t="shared" si="4"/>
        <v>1.4000000000000001</v>
      </c>
      <c r="G53" s="81">
        <f t="shared" si="4"/>
        <v>1.2000000000000002</v>
      </c>
      <c r="H53" s="81">
        <f t="shared" si="4"/>
        <v>1.1000000000000001</v>
      </c>
      <c r="I53" s="81">
        <f t="shared" si="4"/>
        <v>2</v>
      </c>
      <c r="J53" s="81">
        <f t="shared" si="4"/>
        <v>8</v>
      </c>
      <c r="K53" s="81">
        <f t="shared" si="4"/>
        <v>2.2000000000000002</v>
      </c>
      <c r="L53" s="81">
        <f t="shared" si="4"/>
        <v>1.1000000000000001</v>
      </c>
      <c r="M53" s="81">
        <f t="shared" si="4"/>
        <v>1.2000000000000002</v>
      </c>
      <c r="N53" s="81">
        <f t="shared" si="4"/>
        <v>6.1</v>
      </c>
      <c r="O53" s="81">
        <f t="shared" si="4"/>
        <v>3.8000000000000003</v>
      </c>
      <c r="P53" s="81">
        <f t="shared" si="4"/>
        <v>3.8000000000000003</v>
      </c>
      <c r="Q53" s="81">
        <f t="shared" si="4"/>
        <v>6</v>
      </c>
      <c r="R53" s="81">
        <f t="shared" si="4"/>
        <v>3.7</v>
      </c>
      <c r="S53" s="81">
        <f t="shared" si="4"/>
        <v>3.7</v>
      </c>
      <c r="T53" s="81">
        <f t="shared" si="4"/>
        <v>8</v>
      </c>
      <c r="U53" s="81">
        <f t="shared" si="4"/>
        <v>8.1999999999999993</v>
      </c>
      <c r="V53" s="81">
        <f t="shared" si="4"/>
        <v>5.1999999999999993</v>
      </c>
      <c r="W53" s="81">
        <f t="shared" si="4"/>
        <v>5.5</v>
      </c>
      <c r="X53" s="81">
        <f t="shared" si="4"/>
        <v>1.9000000000000001</v>
      </c>
    </row>
    <row r="54" spans="2:24" x14ac:dyDescent="0.25">
      <c r="B54" s="100" t="s">
        <v>11</v>
      </c>
      <c r="C54" s="76">
        <f>IF(C53&gt;1.5,VLOOKUP(C51&amp;1.5,tablas!$L$3:$O$56,4,FALSE),VLOOKUP(C51&amp;C53,tablas!$L$3:$O$56,4,FALSE))</f>
        <v>0.57999999999999996</v>
      </c>
      <c r="D54" s="77">
        <f>IF(D53&gt;1.5,VLOOKUP(D51&amp;1.5,tablas!$L$3:$O$56,4,FALSE),VLOOKUP(D51&amp;D53,tablas!$L$3:$O$56,4,FALSE))</f>
        <v>0.56000000000000005</v>
      </c>
      <c r="E54" s="77">
        <f>IF(E53&gt;1.5,VLOOKUP(E51&amp;1.5,tablas!$L$3:$O$56,4,FALSE),VLOOKUP(E51&amp;E53,tablas!$L$3:$O$56,4,FALSE))</f>
        <v>0.56000000000000005</v>
      </c>
      <c r="F54" s="77">
        <f>IF(F53&gt;1.5,VLOOKUP(F51&amp;1.5,tablas!$L$3:$O$56,4,FALSE),VLOOKUP(F51&amp;F53,tablas!$L$3:$O$56,4,FALSE))</f>
        <v>0.56999999999999995</v>
      </c>
      <c r="G54" s="77">
        <f>IF(G53&gt;1.5,VLOOKUP(G51&amp;1.5,tablas!$L$3:$O$56,4,FALSE),VLOOKUP(G51&amp;G53,tablas!$L$3:$O$56,4,FALSE))</f>
        <v>0.56000000000000005</v>
      </c>
      <c r="H54" s="77">
        <f>IF(H53&gt;1.5,VLOOKUP(H51&amp;1.5,tablas!$L$3:$O$56,4,FALSE),VLOOKUP(H51&amp;H53,tablas!$L$3:$O$56,4,FALSE))</f>
        <v>0.55000000000000004</v>
      </c>
      <c r="I54" s="77">
        <f>IF(I53&gt;1.5,VLOOKUP(I51&amp;1.5,tablas!$L$3:$O$56,4,FALSE),VLOOKUP(I51&amp;I53,tablas!$L$3:$O$56,4,FALSE))</f>
        <v>0.75</v>
      </c>
      <c r="J54" s="77">
        <f>IF(J53&gt;1.5,VLOOKUP(J51&amp;1.5,tablas!$L$3:$O$56,4,FALSE),VLOOKUP(J51&amp;J53,tablas!$L$3:$O$56,4,FALSE))</f>
        <v>0.57999999999999996</v>
      </c>
      <c r="K54" s="77">
        <f>IF(K53&gt;1.5,VLOOKUP(K51&amp;1.5,tablas!$L$3:$O$56,4,FALSE),VLOOKUP(K51&amp;K53,tablas!$L$3:$O$56,4,FALSE))</f>
        <v>0.57999999999999996</v>
      </c>
      <c r="L54" s="77">
        <f>IF(L53&gt;1.5,VLOOKUP(L51&amp;1.5,tablas!$L$3:$O$56,4,FALSE),VLOOKUP(L51&amp;L53,tablas!$L$3:$O$56,4,FALSE))</f>
        <v>0.55000000000000004</v>
      </c>
      <c r="M54" s="77">
        <f>IF(M53&gt;1.5,VLOOKUP(M51&amp;1.5,tablas!$L$3:$O$56,4,FALSE),VLOOKUP(M51&amp;M53,tablas!$L$3:$O$56,4,FALSE))</f>
        <v>0.56000000000000005</v>
      </c>
      <c r="N54" s="77">
        <f>IF(N53&gt;1.5,VLOOKUP(N51&amp;1.5,tablas!$L$3:$O$56,4,FALSE),VLOOKUP(N51&amp;N53,tablas!$L$3:$O$56,4,FALSE))</f>
        <v>0.8</v>
      </c>
      <c r="O54" s="77">
        <f>IF(O53&gt;1.5,VLOOKUP(O51&amp;1.5,tablas!$L$3:$O$56,4,FALSE),VLOOKUP(O51&amp;O53,tablas!$L$3:$O$56,4,FALSE))</f>
        <v>0.75</v>
      </c>
      <c r="P54" s="77">
        <f>IF(P53&gt;1.5,VLOOKUP(P51&amp;1.5,tablas!$L$3:$O$56,4,FALSE),VLOOKUP(P51&amp;P53,tablas!$L$3:$O$56,4,FALSE))</f>
        <v>0.75</v>
      </c>
      <c r="Q54" s="77">
        <f>IF(Q53&gt;1.5,VLOOKUP(Q51&amp;1.5,tablas!$L$3:$O$56,4,FALSE),VLOOKUP(Q51&amp;Q53,tablas!$L$3:$O$56,4,FALSE))</f>
        <v>0.8</v>
      </c>
      <c r="R54" s="77">
        <f>IF(R53&gt;1.5,VLOOKUP(R51&amp;1.5,tablas!$L$3:$O$56,4,FALSE),VLOOKUP(R51&amp;R53,tablas!$L$3:$O$56,4,FALSE))</f>
        <v>0.76</v>
      </c>
      <c r="S54" s="77">
        <f>IF(S53&gt;1.5,VLOOKUP(S51&amp;1.5,tablas!$L$3:$O$56,4,FALSE),VLOOKUP(S51&amp;S53,tablas!$L$3:$O$56,4,FALSE))</f>
        <v>0.76</v>
      </c>
      <c r="T54" s="77">
        <f>IF(T53&gt;1.5,VLOOKUP(T51&amp;1.5,tablas!$L$3:$O$56,4,FALSE),VLOOKUP(T51&amp;T53,tablas!$L$3:$O$56,4,FALSE))</f>
        <v>0.8</v>
      </c>
      <c r="U54" s="77">
        <f>IF(U53&gt;1.5,VLOOKUP(U51&amp;1.5,tablas!$L$3:$O$56,4,FALSE),VLOOKUP(U51&amp;U53,tablas!$L$3:$O$56,4,FALSE))</f>
        <v>0.8</v>
      </c>
      <c r="V54" s="77">
        <f>IF(V53&gt;1.5,VLOOKUP(V51&amp;1.5,tablas!$L$3:$O$56,4,FALSE),VLOOKUP(V51&amp;V53,tablas!$L$3:$O$56,4,FALSE))</f>
        <v>0.76</v>
      </c>
      <c r="W54" s="77">
        <f>IF(W53&gt;1.5,VLOOKUP(W51&amp;1.5,tablas!$L$3:$O$56,4,FALSE),VLOOKUP(W51&amp;W53,tablas!$L$3:$O$56,4,FALSE))</f>
        <v>0.76</v>
      </c>
      <c r="X54" s="77">
        <f>IF(X53&gt;1.5,VLOOKUP(X51&amp;1.5,tablas!$L$3:$O$56,4,FALSE),VLOOKUP(X51&amp;X53,tablas!$L$3:$O$56,4,FALSE))</f>
        <v>0.75</v>
      </c>
    </row>
    <row r="55" spans="2:24" x14ac:dyDescent="0.25">
      <c r="B55" s="100" t="s">
        <v>85</v>
      </c>
      <c r="C55" s="76">
        <v>35</v>
      </c>
      <c r="D55" s="77">
        <v>35</v>
      </c>
      <c r="E55" s="77">
        <v>36</v>
      </c>
      <c r="F55" s="77">
        <v>37</v>
      </c>
      <c r="G55" s="77">
        <v>38</v>
      </c>
      <c r="H55" s="77">
        <v>39</v>
      </c>
      <c r="I55" s="77">
        <v>40</v>
      </c>
      <c r="J55" s="77">
        <v>41</v>
      </c>
      <c r="K55" s="77">
        <v>42</v>
      </c>
      <c r="L55" s="77">
        <v>43</v>
      </c>
      <c r="M55" s="77">
        <v>44</v>
      </c>
      <c r="N55" s="77">
        <v>45</v>
      </c>
      <c r="O55" s="77">
        <v>46</v>
      </c>
      <c r="P55" s="77">
        <v>47</v>
      </c>
      <c r="Q55" s="77">
        <v>48</v>
      </c>
      <c r="R55" s="77">
        <v>49</v>
      </c>
      <c r="S55" s="77">
        <v>50</v>
      </c>
      <c r="T55" s="77">
        <v>51</v>
      </c>
      <c r="U55" s="77">
        <v>52</v>
      </c>
      <c r="V55" s="77">
        <v>53</v>
      </c>
      <c r="W55" s="77">
        <v>54</v>
      </c>
      <c r="X55" s="77">
        <v>55</v>
      </c>
    </row>
    <row r="56" spans="2:24" x14ac:dyDescent="0.25">
      <c r="B56" s="97" t="s">
        <v>4</v>
      </c>
      <c r="C56" s="76">
        <f>IF(C53&lt;=2,VLOOKUP(C51&amp;C53-0.1,tablas!$B$3:$J$92,6,FALSE),"Franja de losa")</f>
        <v>46.1</v>
      </c>
      <c r="D56" s="77">
        <f>IF(D53&lt;=2,VLOOKUP(D51&amp;D53,tablas!$B$3:$J$92,6,FALSE),"Franja de losa")</f>
        <v>45.2</v>
      </c>
      <c r="E56" s="77">
        <f>IF(E53&lt;=2,VLOOKUP(E51&amp;E53,tablas!$B$3:$J$92,6,FALSE),"Franja de losa")</f>
        <v>45.2</v>
      </c>
      <c r="F56" s="77">
        <f>IF(F53&lt;=2,VLOOKUP(F51&amp;F53,tablas!$B$3:$J$92,6,FALSE),"Franja de losa")</f>
        <v>44.6</v>
      </c>
      <c r="G56" s="77">
        <f>IF(G53&lt;=2,VLOOKUP(G51&amp;G53,tablas!$B$3:$J$92,6,FALSE),"Franja de losa")</f>
        <v>47.2</v>
      </c>
      <c r="H56" s="77">
        <f>IF(H53&lt;=2,VLOOKUP(H51&amp;H53,tablas!$B$3:$J$92,6,FALSE),"Franja de losa")</f>
        <v>50.7</v>
      </c>
      <c r="I56" s="77">
        <f>IF(I53&lt;=2,VLOOKUP(I51&amp;I53,tablas!$B$3:$J$92,6,FALSE),"Franja de losa")</f>
        <v>37.5</v>
      </c>
      <c r="J56" s="77" t="str">
        <f>IF(J53&lt;=2,VLOOKUP(J51&amp;J53,tablas!$B$3:$J$92,6,FALSE),"Franja de losa")</f>
        <v>Franja de losa</v>
      </c>
      <c r="K56" s="77" t="str">
        <f>IF(K53&lt;=2,VLOOKUP(K51&amp;K53,tablas!$B$3:$J$92,6,FALSE),"Franja de losa")</f>
        <v>Franja de losa</v>
      </c>
      <c r="L56" s="77">
        <f>IF(L53&lt;=2,VLOOKUP(L51&amp;L53,tablas!$B$3:$J$92,6,FALSE),"Franja de losa")</f>
        <v>50.7</v>
      </c>
      <c r="M56" s="77">
        <f>IF(M53&lt;=2,VLOOKUP(M51&amp;M53,tablas!$B$3:$J$92,6,FALSE),"Franja de losa")</f>
        <v>47.2</v>
      </c>
      <c r="N56" s="77" t="str">
        <f>IF(N53&lt;=2,VLOOKUP(N51&amp;N53,tablas!$B$3:$J$92,6,FALSE),"Franja de losa")</f>
        <v>Franja de losa</v>
      </c>
      <c r="O56" s="77" t="str">
        <f>IF(O53&lt;=2,VLOOKUP(O51&amp;O53,tablas!$B$3:$J$92,6,FALSE),"Franja de losa")</f>
        <v>Franja de losa</v>
      </c>
      <c r="P56" s="77" t="str">
        <f>IF(P53&lt;=2,VLOOKUP(P51&amp;P53,tablas!$B$3:$J$92,6,FALSE),"Franja de losa")</f>
        <v>Franja de losa</v>
      </c>
      <c r="Q56" s="77" t="str">
        <f>IF(Q53&lt;=2,VLOOKUP(Q51&amp;Q53,tablas!$B$3:$J$92,6,FALSE),"Franja de losa")</f>
        <v>Franja de losa</v>
      </c>
      <c r="R56" s="77" t="str">
        <f>IF(R53&lt;=2,VLOOKUP(R51&amp;R53,tablas!$B$3:$J$92,6,FALSE),"Franja de losa")</f>
        <v>Franja de losa</v>
      </c>
      <c r="S56" s="77" t="str">
        <f>IF(S53&lt;=2,VLOOKUP(S51&amp;S53,tablas!$B$3:$J$92,6,FALSE),"Franja de losa")</f>
        <v>Franja de losa</v>
      </c>
      <c r="T56" s="77" t="str">
        <f>IF(T53&lt;=2,VLOOKUP(T51&amp;T53,tablas!$B$3:$J$92,6,FALSE),"Franja de losa")</f>
        <v>Franja de losa</v>
      </c>
      <c r="U56" s="77" t="str">
        <f>IF(U53&lt;=2,VLOOKUP(U51&amp;U53,tablas!$B$3:$J$92,6,FALSE),"Franja de losa")</f>
        <v>Franja de losa</v>
      </c>
      <c r="V56" s="77" t="str">
        <f>IF(V53&lt;=2,VLOOKUP(V51&amp;V53,tablas!$B$3:$J$92,6,FALSE),"Franja de losa")</f>
        <v>Franja de losa</v>
      </c>
      <c r="W56" s="77" t="str">
        <f>IF(W53&lt;=2,VLOOKUP(W51&amp;W53,tablas!$B$3:$J$92,6,FALSE),"Franja de losa")</f>
        <v>Franja de losa</v>
      </c>
      <c r="X56" s="77">
        <f>IF(X53&lt;=2,VLOOKUP(X51&amp;X53-0.1,tablas!$B$3:$J$92,6,FALSE),"Franja de losa")</f>
        <v>37.6</v>
      </c>
    </row>
    <row r="57" spans="2:24" x14ac:dyDescent="0.25">
      <c r="B57" s="97" t="s">
        <v>5</v>
      </c>
      <c r="C57" s="76">
        <f>IF(C53&lt;=2,VLOOKUP(C51&amp;C53-0.1,tablas!$B$3:$J$92,7,FALSE),"Franja de losa")</f>
        <v>163</v>
      </c>
      <c r="D57" s="77">
        <f>IF(D53&lt;=2,VLOOKUP(D51&amp;D53,tablas!$B$3:$J$92,7,FALSE),"Franja de losa")</f>
        <v>95.6</v>
      </c>
      <c r="E57" s="77">
        <f>IF(E53&lt;=2,VLOOKUP(E51&amp;E53,tablas!$B$3:$J$92,7,FALSE),"Franja de losa")</f>
        <v>95.6</v>
      </c>
      <c r="F57" s="77">
        <f>IF(F53&lt;=2,VLOOKUP(F51&amp;F53,tablas!$B$3:$J$92,7,FALSE),"Franja de losa")</f>
        <v>116.6</v>
      </c>
      <c r="G57" s="77">
        <f>IF(G53&lt;=2,VLOOKUP(G51&amp;G53,tablas!$B$3:$J$92,7,FALSE),"Franja de losa")</f>
        <v>78.900000000000006</v>
      </c>
      <c r="H57" s="77">
        <f>IF(H53&lt;=2,VLOOKUP(H51&amp;H53,tablas!$B$3:$J$92,7,FALSE),"Franja de losa")</f>
        <v>66.3</v>
      </c>
      <c r="I57" s="77">
        <f>IF(I53&lt;=2,VLOOKUP(I51&amp;I53,tablas!$B$3:$J$92,7,FALSE),"Franja de losa")</f>
        <v>202</v>
      </c>
      <c r="J57" s="77" t="str">
        <f>IF(J53&lt;=2,VLOOKUP(J51&amp;J53,tablas!$B$3:$J$92,7,FALSE),"Franja de losa")</f>
        <v>Franja de losa</v>
      </c>
      <c r="K57" s="77" t="str">
        <f>IF(K53&lt;=2,VLOOKUP(K51&amp;K53,tablas!$B$3:$J$92,7,FALSE),"Franja de losa")</f>
        <v>Franja de losa</v>
      </c>
      <c r="L57" s="77">
        <f>IF(L53&lt;=2,VLOOKUP(L51&amp;L53,tablas!$B$3:$J$92,7,FALSE),"Franja de losa")</f>
        <v>66.3</v>
      </c>
      <c r="M57" s="77">
        <f>IF(M53&lt;=2,VLOOKUP(M51&amp;M53,tablas!$B$3:$J$92,7,FALSE),"Franja de losa")</f>
        <v>78.900000000000006</v>
      </c>
      <c r="N57" s="77" t="str">
        <f>IF(N53&lt;=2,VLOOKUP(N51&amp;N53,tablas!$B$3:$J$92,7,FALSE),"Franja de losa")</f>
        <v>Franja de losa</v>
      </c>
      <c r="O57" s="77" t="str">
        <f>IF(O53&lt;=2,VLOOKUP(O51&amp;O53,tablas!$B$3:$J$92,7,FALSE),"Franja de losa")</f>
        <v>Franja de losa</v>
      </c>
      <c r="P57" s="77" t="str">
        <f>IF(P53&lt;=2,VLOOKUP(P51&amp;P53,tablas!$B$3:$J$92,7,FALSE),"Franja de losa")</f>
        <v>Franja de losa</v>
      </c>
      <c r="Q57" s="77" t="str">
        <f>IF(Q53&lt;=2,VLOOKUP(Q51&amp;Q53,tablas!$B$3:$J$92,7,FALSE),"Franja de losa")</f>
        <v>Franja de losa</v>
      </c>
      <c r="R57" s="77" t="str">
        <f>IF(R53&lt;=2,VLOOKUP(R51&amp;R53,tablas!$B$3:$J$92,7,FALSE),"Franja de losa")</f>
        <v>Franja de losa</v>
      </c>
      <c r="S57" s="77" t="str">
        <f>IF(S53&lt;=2,VLOOKUP(S51&amp;S53,tablas!$B$3:$J$92,7,FALSE),"Franja de losa")</f>
        <v>Franja de losa</v>
      </c>
      <c r="T57" s="77" t="str">
        <f>IF(T53&lt;=2,VLOOKUP(T51&amp;T53,tablas!$B$3:$J$92,7,FALSE),"Franja de losa")</f>
        <v>Franja de losa</v>
      </c>
      <c r="U57" s="77" t="str">
        <f>IF(U53&lt;=2,VLOOKUP(U51&amp;U53,tablas!$B$3:$J$92,7,FALSE),"Franja de losa")</f>
        <v>Franja de losa</v>
      </c>
      <c r="V57" s="77" t="str">
        <f>IF(V53&lt;=2,VLOOKUP(V51&amp;V53,tablas!$B$3:$J$92,7,FALSE),"Franja de losa")</f>
        <v>Franja de losa</v>
      </c>
      <c r="W57" s="77" t="str">
        <f>IF(W53&lt;=2,VLOOKUP(W51&amp;W53,tablas!$B$3:$J$92,7,FALSE),"Franja de losa")</f>
        <v>Franja de losa</v>
      </c>
      <c r="X57" s="77">
        <f>IF(X53&lt;=2,VLOOKUP(X51&amp;X53-0.1,tablas!$B$3:$J$92,7,FALSE),"Franja de losa")</f>
        <v>143</v>
      </c>
    </row>
    <row r="58" spans="2:24" x14ac:dyDescent="0.25">
      <c r="B58" s="97" t="s">
        <v>6</v>
      </c>
      <c r="C58" s="76">
        <f>IF(C53&lt;2,VLOOKUP(C51&amp;C53-0.1,tablas!$B$3:$J$92,8,FALSE),"Franja de losa")</f>
        <v>20.5</v>
      </c>
      <c r="D58" s="77">
        <f>IF(D53&lt;=2,VLOOKUP(D51&amp;D53,tablas!$B$3:$J$92,8,FALSE),"Franja de losa")</f>
        <v>18.8</v>
      </c>
      <c r="E58" s="77">
        <f>IF(E53&lt;=2,VLOOKUP(E51&amp;E53,tablas!$B$3:$J$92,8,FALSE),"Franja de losa")</f>
        <v>18.8</v>
      </c>
      <c r="F58" s="77">
        <f>IF(F53&lt;=2,VLOOKUP(F51&amp;F53,tablas!$B$3:$J$92,8,FALSE),"Franja de losa")</f>
        <v>19.2</v>
      </c>
      <c r="G58" s="77">
        <f>IF(G53&lt;=2,VLOOKUP(G51&amp;G53,tablas!$B$3:$J$92,8,FALSE),"Franja de losa")</f>
        <v>18.600000000000001</v>
      </c>
      <c r="H58" s="77">
        <f>IF(H53&lt;=2,VLOOKUP(H51&amp;H53,tablas!$B$3:$J$92,8,FALSE),"Franja de losa")</f>
        <v>18.8</v>
      </c>
      <c r="I58" s="77">
        <f>IF(I53&lt;=2,VLOOKUP(I51&amp;I53,tablas!$B$3:$J$92,8,FALSE),"Franja de losa")</f>
        <v>17.600000000000001</v>
      </c>
      <c r="J58" s="77" t="str">
        <f>IF(J53&lt;=2,VLOOKUP(J51&amp;J53,tablas!$B$3:$J$92,8,FALSE),"Franja de losa")</f>
        <v>Franja de losa</v>
      </c>
      <c r="K58" s="77" t="str">
        <f>IF(K53&lt;=2,VLOOKUP(K51&amp;K53,tablas!$B$3:$J$92,8,FALSE),"Franja de losa")</f>
        <v>Franja de losa</v>
      </c>
      <c r="L58" s="77">
        <f>IF(L53&lt;=2,VLOOKUP(L51&amp;L53,tablas!$B$3:$J$92,8,FALSE),"Franja de losa")</f>
        <v>18.8</v>
      </c>
      <c r="M58" s="77">
        <f>IF(M53&lt;=2,VLOOKUP(M51&amp;M53,tablas!$B$3:$J$92,8,FALSE),"Franja de losa")</f>
        <v>18.600000000000001</v>
      </c>
      <c r="N58" s="77" t="str">
        <f>IF(N53&lt;=2,VLOOKUP(N51&amp;N53,tablas!$B$3:$J$92,8,FALSE),"Franja de losa")</f>
        <v>Franja de losa</v>
      </c>
      <c r="O58" s="77" t="str">
        <f>IF(O53&lt;=2,VLOOKUP(O51&amp;O53,tablas!$B$3:$J$92,8,FALSE),"Franja de losa")</f>
        <v>Franja de losa</v>
      </c>
      <c r="P58" s="77" t="str">
        <f>IF(P53&lt;=2,VLOOKUP(P51&amp;P53,tablas!$B$3:$J$92,8,FALSE),"Franja de losa")</f>
        <v>Franja de losa</v>
      </c>
      <c r="Q58" s="77" t="str">
        <f>IF(Q53&lt;=2,VLOOKUP(Q51&amp;Q53,tablas!$B$3:$J$92,8,FALSE),"Franja de losa")</f>
        <v>Franja de losa</v>
      </c>
      <c r="R58" s="77" t="str">
        <f>IF(R53&lt;=2,VLOOKUP(R51&amp;R53,tablas!$B$3:$J$92,8,FALSE),"Franja de losa")</f>
        <v>Franja de losa</v>
      </c>
      <c r="S58" s="77" t="str">
        <f>IF(S53&lt;=2,VLOOKUP(S51&amp;S53,tablas!$B$3:$J$92,8,FALSE),"Franja de losa")</f>
        <v>Franja de losa</v>
      </c>
      <c r="T58" s="77" t="str">
        <f>IF(T53&lt;=2,VLOOKUP(T51&amp;T53,tablas!$B$3:$J$92,8,FALSE),"Franja de losa")</f>
        <v>Franja de losa</v>
      </c>
      <c r="U58" s="77" t="str">
        <f>IF(U53&lt;=2,VLOOKUP(U51&amp;U53,tablas!$B$3:$J$92,8,FALSE),"Franja de losa")</f>
        <v>Franja de losa</v>
      </c>
      <c r="V58" s="77" t="str">
        <f>IF(V53&lt;=2,VLOOKUP(V51&amp;V53,tablas!$B$3:$J$92,8,FALSE),"Franja de losa")</f>
        <v>Franja de losa</v>
      </c>
      <c r="W58" s="77" t="str">
        <f>IF(W53&lt;=2,VLOOKUP(W51&amp;W53,tablas!$B$3:$J$92,8,FALSE),"Franja de losa")</f>
        <v>Franja de losa</v>
      </c>
      <c r="X58" s="77">
        <f>IF(X53&lt;=2,VLOOKUP(X51&amp;X53-0.1,tablas!$B$3:$J$92,8,FALSE),"Franja de losa")</f>
        <v>16.7</v>
      </c>
    </row>
    <row r="59" spans="2:24" x14ac:dyDescent="0.25">
      <c r="B59" s="97" t="s">
        <v>7</v>
      </c>
      <c r="C59" s="76">
        <f>IF(C53&lt;2,VLOOKUP(C51&amp;C53-0.1,tablas!$B$3:$J$92,9,FALSE),"Franja de losa")</f>
        <v>27.9</v>
      </c>
      <c r="D59" s="77">
        <f>IF(D53&lt;=2,VLOOKUP(D51&amp;D53,tablas!$B$3:$J$92,9,FALSE),"Franja de losa")</f>
        <v>22.9</v>
      </c>
      <c r="E59" s="77">
        <f>IF(E53&lt;=2,VLOOKUP(E51&amp;E53,tablas!$B$3:$J$92,9,FALSE),"Franja de losa")</f>
        <v>22.9</v>
      </c>
      <c r="F59" s="77">
        <f>IF(F53&lt;=2,VLOOKUP(F51&amp;F53,tablas!$B$3:$J$92,9,FALSE),"Franja de losa")</f>
        <v>24.5</v>
      </c>
      <c r="G59" s="77">
        <f>IF(G53&lt;=2,VLOOKUP(G51&amp;G53,tablas!$B$3:$J$92,9,FALSE),"Franja de losa")</f>
        <v>21.5</v>
      </c>
      <c r="H59" s="77">
        <f>IF(H53&lt;=2,VLOOKUP(H51&amp;H53,tablas!$B$3:$J$92,9,FALSE),"Franja de losa")</f>
        <v>20.3</v>
      </c>
      <c r="I59" s="77">
        <f>IF(I53&lt;=2,VLOOKUP(I51&amp;I53,tablas!$B$3:$J$92,9,FALSE),"Franja de losa")</f>
        <v>24.6</v>
      </c>
      <c r="J59" s="77" t="str">
        <f>IF(J53&lt;=2,VLOOKUP(J51&amp;J53,tablas!$B$3:$J$92,9,FALSE),"Franja de losa")</f>
        <v>Franja de losa</v>
      </c>
      <c r="K59" s="77" t="str">
        <f>IF(K53&lt;=2,VLOOKUP(K51&amp;K53,tablas!$B$3:$J$92,9,FALSE),"Franja de losa")</f>
        <v>Franja de losa</v>
      </c>
      <c r="L59" s="77">
        <f>IF(L53&lt;=2,VLOOKUP(L51&amp;L53,tablas!$B$3:$J$92,9,FALSE),"Franja de losa")</f>
        <v>20.3</v>
      </c>
      <c r="M59" s="77">
        <f>IF(M53&lt;=2,VLOOKUP(M51&amp;M53,tablas!$B$3:$J$92,9,FALSE),"Franja de losa")</f>
        <v>21.5</v>
      </c>
      <c r="N59" s="77" t="str">
        <f>IF(N53&lt;=2,VLOOKUP(N51&amp;N53,tablas!$B$3:$J$92,9,FALSE),"Franja de losa")</f>
        <v>Franja de losa</v>
      </c>
      <c r="O59" s="77" t="str">
        <f>IF(O53&lt;=2,VLOOKUP(O51&amp;O53,tablas!$B$3:$J$92,9,FALSE),"Franja de losa")</f>
        <v>Franja de losa</v>
      </c>
      <c r="P59" s="77" t="str">
        <f>IF(P53&lt;=2,VLOOKUP(P51&amp;P53,tablas!$B$3:$J$92,9,FALSE),"Franja de losa")</f>
        <v>Franja de losa</v>
      </c>
      <c r="Q59" s="77" t="str">
        <f>IF(Q53&lt;=2,VLOOKUP(Q51&amp;Q53,tablas!$B$3:$J$92,9,FALSE),"Franja de losa")</f>
        <v>Franja de losa</v>
      </c>
      <c r="R59" s="77" t="str">
        <f>IF(R53&lt;=2,VLOOKUP(R51&amp;R53,tablas!$B$3:$J$92,9,FALSE),"Franja de losa")</f>
        <v>Franja de losa</v>
      </c>
      <c r="S59" s="77" t="str">
        <f>IF(S53&lt;=2,VLOOKUP(S51&amp;S53,tablas!$B$3:$J$92,9,FALSE),"Franja de losa")</f>
        <v>Franja de losa</v>
      </c>
      <c r="T59" s="77" t="str">
        <f>IF(T53&lt;=2,VLOOKUP(T51&amp;T53,tablas!$B$3:$J$92,9,FALSE),"Franja de losa")</f>
        <v>Franja de losa</v>
      </c>
      <c r="U59" s="77" t="str">
        <f>IF(U53&lt;=2,VLOOKUP(U51&amp;U53,tablas!$B$3:$J$92,9,FALSE),"Franja de losa")</f>
        <v>Franja de losa</v>
      </c>
      <c r="V59" s="77" t="str">
        <f>IF(V53&lt;=2,VLOOKUP(V51&amp;V53,tablas!$B$3:$J$92,9,FALSE),"Franja de losa")</f>
        <v>Franja de losa</v>
      </c>
      <c r="W59" s="77" t="str">
        <f>IF(W53&lt;=2,VLOOKUP(W51&amp;W53,tablas!$B$3:$J$92,9,FALSE),"Franja de losa")</f>
        <v>Franja de losa</v>
      </c>
      <c r="X59" s="77">
        <f>IF(X53&lt;=2,VLOOKUP(X51&amp;X53-0.1,tablas!$B$3:$J$92,9,FALSE),"Franja de losa")</f>
        <v>22.1</v>
      </c>
    </row>
    <row r="60" spans="2:24" x14ac:dyDescent="0.25">
      <c r="B60" s="100" t="s">
        <v>2</v>
      </c>
      <c r="C60" s="76">
        <f>IF(C53&lt;2,VLOOKUP(C51&amp;C53-0.1,tablas!$B$3:$J$92,4,FALSE),"Franja de losa")</f>
        <v>1.39</v>
      </c>
      <c r="D60" s="77">
        <f>IF(D53&lt;=2,VLOOKUP(D51&amp;D53,tablas!$B$3:$J$92,4,FALSE),"Franja de losa")</f>
        <v>1.17</v>
      </c>
      <c r="E60" s="77">
        <f>IF(E53&lt;=2,VLOOKUP(E51&amp;E53,tablas!$B$3:$J$92,4,FALSE),"Franja de losa")</f>
        <v>1.17</v>
      </c>
      <c r="F60" s="77">
        <f>IF(F53&lt;=2,VLOOKUP(F51&amp;F53,tablas!$B$3:$J$92,4,FALSE),"Franja de losa")</f>
        <v>1.24</v>
      </c>
      <c r="G60" s="77">
        <f>IF(G53&lt;=2,VLOOKUP(G51&amp;G53,tablas!$B$3:$J$92,4,FALSE),"Franja de losa")</f>
        <v>1.1000000000000001</v>
      </c>
      <c r="H60" s="77">
        <f>IF(H53&lt;=2,VLOOKUP(H51&amp;H53,tablas!$B$3:$J$92,4,FALSE),"Franja de losa")</f>
        <v>1.05</v>
      </c>
      <c r="I60" s="77">
        <f>IF(I53&lt;=2,VLOOKUP(I51&amp;I53,tablas!$B$3:$J$92,4,FALSE),"Franja de losa")</f>
        <v>0.68</v>
      </c>
      <c r="J60" s="77" t="str">
        <f>IF(J53&lt;=2,VLOOKUP(J51&amp;J53,tablas!$B$3:$J$92,4,FALSE),"Franja de losa")</f>
        <v>Franja de losa</v>
      </c>
      <c r="K60" s="77" t="str">
        <f>IF(K53&lt;=2,VLOOKUP(K51&amp;K53,tablas!$B$3:$J$92,4,FALSE),"Franja de losa")</f>
        <v>Franja de losa</v>
      </c>
      <c r="L60" s="77">
        <f>IF(L53&lt;=2,VLOOKUP(L51&amp;L53,tablas!$B$3:$J$92,4,FALSE),"Franja de losa")</f>
        <v>1.05</v>
      </c>
      <c r="M60" s="77">
        <f>IF(M53&lt;=2,VLOOKUP(M51&amp;M53,tablas!$B$3:$J$92,4,FALSE),"Franja de losa")</f>
        <v>1.1000000000000001</v>
      </c>
      <c r="N60" s="77" t="str">
        <f>IF(N53&lt;=2,VLOOKUP(N51&amp;N53,tablas!$B$3:$J$92,4,FALSE),"Franja de losa")</f>
        <v>Franja de losa</v>
      </c>
      <c r="O60" s="77" t="str">
        <f>IF(O53&lt;=2,VLOOKUP(O51&amp;O53,tablas!$B$3:$J$92,4,FALSE),"Franja de losa")</f>
        <v>Franja de losa</v>
      </c>
      <c r="P60" s="77" t="str">
        <f>IF(P53&lt;=2,VLOOKUP(P51&amp;P53,tablas!$B$3:$J$92,4,FALSE),"Franja de losa")</f>
        <v>Franja de losa</v>
      </c>
      <c r="Q60" s="77" t="str">
        <f>IF(Q53&lt;=2,VLOOKUP(Q51&amp;Q53,tablas!$B$3:$J$92,4,FALSE),"Franja de losa")</f>
        <v>Franja de losa</v>
      </c>
      <c r="R60" s="77" t="str">
        <f>IF(R53&lt;=2,VLOOKUP(R51&amp;R53,tablas!$B$3:$J$92,4,FALSE),"Franja de losa")</f>
        <v>Franja de losa</v>
      </c>
      <c r="S60" s="77" t="str">
        <f>IF(S53&lt;=2,VLOOKUP(S51&amp;S53,tablas!$B$3:$J$92,4,FALSE),"Franja de losa")</f>
        <v>Franja de losa</v>
      </c>
      <c r="T60" s="77" t="str">
        <f>IF(T53&lt;=2,VLOOKUP(T51&amp;T53,tablas!$B$3:$J$92,4,FALSE),"Franja de losa")</f>
        <v>Franja de losa</v>
      </c>
      <c r="U60" s="77" t="str">
        <f>IF(U53&lt;=2,VLOOKUP(U51&amp;U53,tablas!$B$3:$J$92,4,FALSE),"Franja de losa")</f>
        <v>Franja de losa</v>
      </c>
      <c r="V60" s="77" t="str">
        <f>IF(V53&lt;=2,VLOOKUP(V51&amp;V53,tablas!$B$3:$J$92,4,FALSE),"Franja de losa")</f>
        <v>Franja de losa</v>
      </c>
      <c r="W60" s="77" t="str">
        <f>IF(W53&lt;=2,VLOOKUP(W51&amp;W53,tablas!$B$3:$J$92,4,FALSE),"Franja de losa")</f>
        <v>Franja de losa</v>
      </c>
      <c r="X60" s="77">
        <f>IF(X53&lt;=2,VLOOKUP(X51&amp;X53-0.1,tablas!$B$3:$J$92,4,FALSE),"Franja de losa")</f>
        <v>0.68</v>
      </c>
    </row>
    <row r="61" spans="2:24" ht="15.75" thickBot="1" x14ac:dyDescent="0.3">
      <c r="B61" s="101" t="s">
        <v>3</v>
      </c>
      <c r="C61" s="82">
        <f>IF(C53&lt;2,VLOOKUP(C51&amp;C53-0.1,tablas!$B$3:$J$92,5,FALSE),"Franja de losa")</f>
        <v>1.39</v>
      </c>
      <c r="D61" s="83">
        <f>IF(D53&lt;=2,VLOOKUP(D51&amp;D53,tablas!$B$3:$J$92,5,FALSE),"Franja de losa")</f>
        <v>1.17</v>
      </c>
      <c r="E61" s="83">
        <f>IF(E53&lt;=2,VLOOKUP(E51&amp;E53,tablas!$B$3:$J$92,5,FALSE),"Franja de losa")</f>
        <v>1.17</v>
      </c>
      <c r="F61" s="83">
        <f>IF(F53&lt;=2,VLOOKUP(F51&amp;F53,tablas!$B$3:$J$92,5,FALSE),"Franja de losa")</f>
        <v>1.24</v>
      </c>
      <c r="G61" s="83">
        <f>IF(G53&lt;=2,VLOOKUP(G51&amp;G53,tablas!$B$3:$J$92,5,FALSE),"Franja de losa")</f>
        <v>1.1000000000000001</v>
      </c>
      <c r="H61" s="83">
        <f>IF(H53&lt;=2,VLOOKUP(H51&amp;H53,tablas!$B$3:$J$92,5,FALSE),"Franja de losa")</f>
        <v>1.05</v>
      </c>
      <c r="I61" s="83">
        <f>IF(I53&lt;=2,VLOOKUP(I51&amp;I53,tablas!$B$3:$J$92,5,FALSE),"Franja de losa")</f>
        <v>0.46</v>
      </c>
      <c r="J61" s="83" t="str">
        <f>IF(J53&lt;=2,VLOOKUP(J51&amp;J53,tablas!$B$3:$J$92,5,FALSE),"Franja de losa")</f>
        <v>Franja de losa</v>
      </c>
      <c r="K61" s="83" t="str">
        <f>IF(K53&lt;=2,VLOOKUP(K51&amp;K53,tablas!$B$3:$J$92,5,FALSE),"Franja de losa")</f>
        <v>Franja de losa</v>
      </c>
      <c r="L61" s="83">
        <f>IF(L53&lt;=2,VLOOKUP(L51&amp;L53,tablas!$B$3:$J$92,5,FALSE),"Franja de losa")</f>
        <v>1.05</v>
      </c>
      <c r="M61" s="83">
        <f>IF(M53&lt;=2,VLOOKUP(M51&amp;M53,tablas!$B$3:$J$92,5,FALSE),"Franja de losa")</f>
        <v>1.1000000000000001</v>
      </c>
      <c r="N61" s="83" t="str">
        <f>IF(N53&lt;=2,VLOOKUP(N51&amp;N53,tablas!$B$3:$J$92,5,FALSE),"Franja de losa")</f>
        <v>Franja de losa</v>
      </c>
      <c r="O61" s="83" t="str">
        <f>IF(O53&lt;=2,VLOOKUP(O51&amp;O53,tablas!$B$3:$J$92,5,FALSE),"Franja de losa")</f>
        <v>Franja de losa</v>
      </c>
      <c r="P61" s="83" t="str">
        <f>IF(P53&lt;=2,VLOOKUP(P51&amp;P53,tablas!$B$3:$J$92,5,FALSE),"Franja de losa")</f>
        <v>Franja de losa</v>
      </c>
      <c r="Q61" s="83" t="str">
        <f>IF(Q53&lt;=2,VLOOKUP(Q51&amp;Q53,tablas!$B$3:$J$92,5,FALSE),"Franja de losa")</f>
        <v>Franja de losa</v>
      </c>
      <c r="R61" s="83" t="str">
        <f>IF(R53&lt;=2,VLOOKUP(R51&amp;R53,tablas!$B$3:$J$92,5,FALSE),"Franja de losa")</f>
        <v>Franja de losa</v>
      </c>
      <c r="S61" s="83" t="str">
        <f>IF(S53&lt;=2,VLOOKUP(S51&amp;S53,tablas!$B$3:$J$92,5,FALSE),"Franja de losa")</f>
        <v>Franja de losa</v>
      </c>
      <c r="T61" s="83" t="str">
        <f>IF(T53&lt;=2,VLOOKUP(T51&amp;T53,tablas!$B$3:$J$92,5,FALSE),"Franja de losa")</f>
        <v>Franja de losa</v>
      </c>
      <c r="U61" s="83" t="str">
        <f>IF(U53&lt;=2,VLOOKUP(U51&amp;U53,tablas!$B$3:$J$92,5,FALSE),"Franja de losa")</f>
        <v>Franja de losa</v>
      </c>
      <c r="V61" s="83" t="str">
        <f>IF(V53&lt;=2,VLOOKUP(V51&amp;V53,tablas!$B$3:$J$92,5,FALSE),"Franja de losa")</f>
        <v>Franja de losa</v>
      </c>
      <c r="W61" s="83" t="str">
        <f>IF(W53&lt;=2,VLOOKUP(W51&amp;W53,tablas!$B$3:$J$92,5,FALSE),"Franja de losa")</f>
        <v>Franja de losa</v>
      </c>
      <c r="X61" s="83">
        <f>IF(X53&lt;=2,VLOOKUP(X51&amp;X53-0.1,tablas!$B$3:$J$92,5,FALSE),"Franja de losa")</f>
        <v>0.46</v>
      </c>
    </row>
    <row r="62" spans="2:24" ht="15.75" thickBot="1" x14ac:dyDescent="0.3">
      <c r="B62" s="71" t="s">
        <v>87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72"/>
      <c r="X62" s="72"/>
    </row>
    <row r="63" spans="2:24" x14ac:dyDescent="0.25">
      <c r="B63" s="97" t="s">
        <v>83</v>
      </c>
      <c r="C63" s="84">
        <f>VLOOKUP(C$46,$B$16:$H$35,6)</f>
        <v>100</v>
      </c>
      <c r="D63" s="84">
        <f t="shared" ref="D63:X63" si="5">VLOOKUP(D$46,$B$16:$H$35,6)</f>
        <v>100</v>
      </c>
      <c r="E63" s="84">
        <f t="shared" si="5"/>
        <v>100</v>
      </c>
      <c r="F63" s="84">
        <f t="shared" si="5"/>
        <v>100</v>
      </c>
      <c r="G63" s="84">
        <f t="shared" si="5"/>
        <v>100</v>
      </c>
      <c r="H63" s="84">
        <f t="shared" si="5"/>
        <v>100</v>
      </c>
      <c r="I63" s="84">
        <f t="shared" si="5"/>
        <v>100</v>
      </c>
      <c r="J63" s="84">
        <f t="shared" si="5"/>
        <v>100</v>
      </c>
      <c r="K63" s="84">
        <f t="shared" si="5"/>
        <v>100</v>
      </c>
      <c r="L63" s="84">
        <f t="shared" si="5"/>
        <v>100</v>
      </c>
      <c r="M63" s="84">
        <f t="shared" si="5"/>
        <v>100</v>
      </c>
      <c r="N63" s="84">
        <f t="shared" si="5"/>
        <v>100</v>
      </c>
      <c r="O63" s="84">
        <f t="shared" si="5"/>
        <v>100</v>
      </c>
      <c r="P63" s="84">
        <f t="shared" si="5"/>
        <v>100</v>
      </c>
      <c r="Q63" s="84">
        <f t="shared" si="5"/>
        <v>100</v>
      </c>
      <c r="R63" s="84">
        <f t="shared" si="5"/>
        <v>100</v>
      </c>
      <c r="S63" s="84">
        <f t="shared" si="5"/>
        <v>100</v>
      </c>
      <c r="T63" s="84">
        <f t="shared" si="5"/>
        <v>100</v>
      </c>
      <c r="U63" s="84">
        <f t="shared" si="5"/>
        <v>100</v>
      </c>
      <c r="V63" s="84">
        <f t="shared" si="5"/>
        <v>100</v>
      </c>
      <c r="W63" s="84">
        <f t="shared" si="5"/>
        <v>100</v>
      </c>
      <c r="X63" s="84">
        <f t="shared" si="5"/>
        <v>100</v>
      </c>
    </row>
    <row r="64" spans="2:24" x14ac:dyDescent="0.25">
      <c r="B64" s="97" t="s">
        <v>89</v>
      </c>
      <c r="C64" s="76">
        <f>$L$7*($C$4/100)</f>
        <v>400</v>
      </c>
      <c r="D64" s="77">
        <f>$L$7*($C$4/100)</f>
        <v>400</v>
      </c>
      <c r="E64" s="77">
        <f t="shared" ref="E64:X64" si="6">$L$7*($C$4/100)</f>
        <v>400</v>
      </c>
      <c r="F64" s="77">
        <f t="shared" si="6"/>
        <v>400</v>
      </c>
      <c r="G64" s="77">
        <f t="shared" si="6"/>
        <v>400</v>
      </c>
      <c r="H64" s="77">
        <f t="shared" si="6"/>
        <v>400</v>
      </c>
      <c r="I64" s="77">
        <f t="shared" si="6"/>
        <v>400</v>
      </c>
      <c r="J64" s="77">
        <f t="shared" si="6"/>
        <v>400</v>
      </c>
      <c r="K64" s="77">
        <f t="shared" si="6"/>
        <v>400</v>
      </c>
      <c r="L64" s="77">
        <f t="shared" si="6"/>
        <v>400</v>
      </c>
      <c r="M64" s="77">
        <f t="shared" si="6"/>
        <v>400</v>
      </c>
      <c r="N64" s="77">
        <f t="shared" si="6"/>
        <v>400</v>
      </c>
      <c r="O64" s="77">
        <f t="shared" si="6"/>
        <v>400</v>
      </c>
      <c r="P64" s="77">
        <f t="shared" si="6"/>
        <v>400</v>
      </c>
      <c r="Q64" s="77">
        <f t="shared" si="6"/>
        <v>400</v>
      </c>
      <c r="R64" s="77">
        <f t="shared" si="6"/>
        <v>400</v>
      </c>
      <c r="S64" s="77">
        <f t="shared" si="6"/>
        <v>400</v>
      </c>
      <c r="T64" s="77">
        <f t="shared" si="6"/>
        <v>400</v>
      </c>
      <c r="U64" s="77">
        <f t="shared" si="6"/>
        <v>400</v>
      </c>
      <c r="V64" s="77">
        <f t="shared" si="6"/>
        <v>400</v>
      </c>
      <c r="W64" s="77">
        <f t="shared" si="6"/>
        <v>400</v>
      </c>
      <c r="X64" s="77">
        <f t="shared" si="6"/>
        <v>400</v>
      </c>
    </row>
    <row r="65" spans="2:24" x14ac:dyDescent="0.25">
      <c r="B65" s="97" t="s">
        <v>90</v>
      </c>
      <c r="C65" s="76">
        <f>C64+$I$8</f>
        <v>625</v>
      </c>
      <c r="D65" s="77">
        <f>D64+$I$8</f>
        <v>625</v>
      </c>
      <c r="E65" s="77">
        <f t="shared" ref="E65:X65" si="7">E64+$I$8</f>
        <v>625</v>
      </c>
      <c r="F65" s="77">
        <f t="shared" si="7"/>
        <v>625</v>
      </c>
      <c r="G65" s="77">
        <f t="shared" si="7"/>
        <v>625</v>
      </c>
      <c r="H65" s="77">
        <f t="shared" si="7"/>
        <v>625</v>
      </c>
      <c r="I65" s="77">
        <f t="shared" si="7"/>
        <v>625</v>
      </c>
      <c r="J65" s="77">
        <f t="shared" si="7"/>
        <v>625</v>
      </c>
      <c r="K65" s="77">
        <f t="shared" si="7"/>
        <v>625</v>
      </c>
      <c r="L65" s="77">
        <f t="shared" si="7"/>
        <v>625</v>
      </c>
      <c r="M65" s="77">
        <f t="shared" si="7"/>
        <v>625</v>
      </c>
      <c r="N65" s="77">
        <f t="shared" si="7"/>
        <v>625</v>
      </c>
      <c r="O65" s="77">
        <f t="shared" si="7"/>
        <v>625</v>
      </c>
      <c r="P65" s="77">
        <f t="shared" si="7"/>
        <v>625</v>
      </c>
      <c r="Q65" s="77">
        <f t="shared" si="7"/>
        <v>625</v>
      </c>
      <c r="R65" s="77">
        <f t="shared" si="7"/>
        <v>625</v>
      </c>
      <c r="S65" s="77">
        <f t="shared" si="7"/>
        <v>625</v>
      </c>
      <c r="T65" s="77">
        <f t="shared" si="7"/>
        <v>625</v>
      </c>
      <c r="U65" s="77">
        <f t="shared" si="7"/>
        <v>625</v>
      </c>
      <c r="V65" s="77">
        <f t="shared" si="7"/>
        <v>625</v>
      </c>
      <c r="W65" s="77">
        <f t="shared" si="7"/>
        <v>625</v>
      </c>
      <c r="X65" s="77">
        <f t="shared" si="7"/>
        <v>625</v>
      </c>
    </row>
    <row r="66" spans="2:24" x14ac:dyDescent="0.25">
      <c r="B66" s="97" t="s">
        <v>91</v>
      </c>
      <c r="C66" s="76">
        <f>1.2*C65+1.6*C63</f>
        <v>910</v>
      </c>
      <c r="D66" s="76">
        <f t="shared" ref="D66:X66" si="8">1.2*D65+1.6*D63</f>
        <v>910</v>
      </c>
      <c r="E66" s="76">
        <f t="shared" si="8"/>
        <v>910</v>
      </c>
      <c r="F66" s="76">
        <f t="shared" si="8"/>
        <v>910</v>
      </c>
      <c r="G66" s="76">
        <f t="shared" si="8"/>
        <v>910</v>
      </c>
      <c r="H66" s="76">
        <f t="shared" si="8"/>
        <v>910</v>
      </c>
      <c r="I66" s="76">
        <f t="shared" si="8"/>
        <v>910</v>
      </c>
      <c r="J66" s="76">
        <f t="shared" si="8"/>
        <v>910</v>
      </c>
      <c r="K66" s="76">
        <f t="shared" si="8"/>
        <v>910</v>
      </c>
      <c r="L66" s="76">
        <f t="shared" si="8"/>
        <v>910</v>
      </c>
      <c r="M66" s="76">
        <f t="shared" si="8"/>
        <v>910</v>
      </c>
      <c r="N66" s="76">
        <f t="shared" si="8"/>
        <v>910</v>
      </c>
      <c r="O66" s="76">
        <f t="shared" si="8"/>
        <v>910</v>
      </c>
      <c r="P66" s="76">
        <f t="shared" si="8"/>
        <v>910</v>
      </c>
      <c r="Q66" s="76">
        <f t="shared" si="8"/>
        <v>910</v>
      </c>
      <c r="R66" s="76">
        <f t="shared" si="8"/>
        <v>910</v>
      </c>
      <c r="S66" s="76">
        <f t="shared" si="8"/>
        <v>910</v>
      </c>
      <c r="T66" s="76">
        <f t="shared" si="8"/>
        <v>910</v>
      </c>
      <c r="U66" s="76">
        <f t="shared" si="8"/>
        <v>910</v>
      </c>
      <c r="V66" s="76">
        <f t="shared" si="8"/>
        <v>910</v>
      </c>
      <c r="W66" s="76">
        <f>1.2*W65+1.6*W63</f>
        <v>910</v>
      </c>
      <c r="X66" s="76">
        <f t="shared" si="8"/>
        <v>910</v>
      </c>
    </row>
    <row r="67" spans="2:24" x14ac:dyDescent="0.25">
      <c r="B67" s="98" t="s">
        <v>92</v>
      </c>
      <c r="C67" s="85">
        <f>C66*C48*C49</f>
        <v>55055</v>
      </c>
      <c r="D67" s="86">
        <f>D66*D48*D49</f>
        <v>23696.399999999998</v>
      </c>
      <c r="E67" s="86">
        <f t="shared" ref="E67:X67" si="9">E66*E48*E49</f>
        <v>23696.399999999998</v>
      </c>
      <c r="F67" s="86">
        <f t="shared" si="9"/>
        <v>43438.394999999997</v>
      </c>
      <c r="G67" s="86">
        <f t="shared" si="9"/>
        <v>36861.551999999996</v>
      </c>
      <c r="H67" s="86">
        <f t="shared" si="9"/>
        <v>22840.999999999996</v>
      </c>
      <c r="I67" s="86">
        <f t="shared" si="9"/>
        <v>7720.4400000000005</v>
      </c>
      <c r="J67" s="86">
        <f t="shared" si="9"/>
        <v>14268.8</v>
      </c>
      <c r="K67" s="86">
        <f t="shared" si="9"/>
        <v>16784.04</v>
      </c>
      <c r="L67" s="86">
        <f>L66*L48*L49</f>
        <v>22840.999999999996</v>
      </c>
      <c r="M67" s="86">
        <f t="shared" si="9"/>
        <v>34372.338000000003</v>
      </c>
      <c r="N67" s="86">
        <f t="shared" si="9"/>
        <v>12504.31</v>
      </c>
      <c r="O67" s="86">
        <f t="shared" si="9"/>
        <v>7694.9599999999991</v>
      </c>
      <c r="P67" s="86">
        <f t="shared" si="9"/>
        <v>7694.9599999999991</v>
      </c>
      <c r="Q67" s="86">
        <f t="shared" si="9"/>
        <v>12270.712999999998</v>
      </c>
      <c r="R67" s="86">
        <f t="shared" si="9"/>
        <v>3624.712</v>
      </c>
      <c r="S67" s="86">
        <f t="shared" si="9"/>
        <v>3624.712</v>
      </c>
      <c r="T67" s="86">
        <f t="shared" si="9"/>
        <v>13035.386</v>
      </c>
      <c r="U67" s="86">
        <f t="shared" si="9"/>
        <v>13242.684000000001</v>
      </c>
      <c r="V67" s="86">
        <f t="shared" si="9"/>
        <v>2579.1219999999998</v>
      </c>
      <c r="W67" s="86">
        <f t="shared" si="9"/>
        <v>2439.71</v>
      </c>
      <c r="X67" s="86">
        <f t="shared" si="9"/>
        <v>9078.159999999998</v>
      </c>
    </row>
    <row r="68" spans="2:24" ht="15.75" thickBot="1" x14ac:dyDescent="0.3">
      <c r="B68" s="99" t="s">
        <v>93</v>
      </c>
      <c r="C68" s="87">
        <f>C63/(2*C66)</f>
        <v>5.4945054945054944E-2</v>
      </c>
      <c r="D68" s="88">
        <f>D63/(2*D66)</f>
        <v>5.4945054945054944E-2</v>
      </c>
      <c r="E68" s="88">
        <f t="shared" ref="E68:X68" si="10">E63/(2*E66)</f>
        <v>5.4945054945054944E-2</v>
      </c>
      <c r="F68" s="88">
        <f t="shared" si="10"/>
        <v>5.4945054945054944E-2</v>
      </c>
      <c r="G68" s="88">
        <f t="shared" si="10"/>
        <v>5.4945054945054944E-2</v>
      </c>
      <c r="H68" s="88">
        <f t="shared" si="10"/>
        <v>5.4945054945054944E-2</v>
      </c>
      <c r="I68" s="88">
        <f t="shared" si="10"/>
        <v>5.4945054945054944E-2</v>
      </c>
      <c r="J68" s="88">
        <f t="shared" si="10"/>
        <v>5.4945054945054944E-2</v>
      </c>
      <c r="K68" s="88">
        <f t="shared" si="10"/>
        <v>5.4945054945054944E-2</v>
      </c>
      <c r="L68" s="88">
        <f t="shared" si="10"/>
        <v>5.4945054945054944E-2</v>
      </c>
      <c r="M68" s="88">
        <f t="shared" si="10"/>
        <v>5.4945054945054944E-2</v>
      </c>
      <c r="N68" s="88">
        <f t="shared" si="10"/>
        <v>5.4945054945054944E-2</v>
      </c>
      <c r="O68" s="88">
        <f t="shared" si="10"/>
        <v>5.4945054945054944E-2</v>
      </c>
      <c r="P68" s="88">
        <f t="shared" si="10"/>
        <v>5.4945054945054944E-2</v>
      </c>
      <c r="Q68" s="88">
        <f t="shared" si="10"/>
        <v>5.4945054945054944E-2</v>
      </c>
      <c r="R68" s="88">
        <f t="shared" si="10"/>
        <v>5.4945054945054944E-2</v>
      </c>
      <c r="S68" s="88">
        <f t="shared" si="10"/>
        <v>5.4945054945054944E-2</v>
      </c>
      <c r="T68" s="88">
        <f t="shared" si="10"/>
        <v>5.4945054945054944E-2</v>
      </c>
      <c r="U68" s="88">
        <f t="shared" si="10"/>
        <v>5.4945054945054944E-2</v>
      </c>
      <c r="V68" s="88">
        <f t="shared" si="10"/>
        <v>5.4945054945054944E-2</v>
      </c>
      <c r="W68" s="88">
        <f t="shared" si="10"/>
        <v>5.4945054945054944E-2</v>
      </c>
      <c r="X68" s="88">
        <f t="shared" si="10"/>
        <v>5.4945054945054944E-2</v>
      </c>
    </row>
    <row r="69" spans="2:24" ht="15.75" thickBot="1" x14ac:dyDescent="0.3">
      <c r="B69" s="71" t="s">
        <v>96</v>
      </c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72"/>
      <c r="X69" s="72"/>
    </row>
    <row r="70" spans="2:24" x14ac:dyDescent="0.25">
      <c r="B70" s="96" t="s">
        <v>97</v>
      </c>
      <c r="C70" s="89">
        <f>IF(C53&lt;=2,C67/C56*(1+C68*C60)*C54,IF(OR(C51=6,C51="5a",C51="3a"),C66*C48^2/17,(IF(OR(C51="2a",C51=4,C51="5b"),C66*C48^2/12,IF(OR(C51=1,C51="2b",C51="3b"),C66*C48^2/8)))))</f>
        <v>745.56735357917569</v>
      </c>
      <c r="D70" s="89">
        <f t="shared" ref="D70:X70" si="11">IF(D53&lt;=2,D67/D56*(1+D68*D60)*D54,IF(OR(D51=6,D51="5a",D51="3a"),D66*D48^2/17,(IF(OR(D51="2a",D51=4,D51="5b"),D66*D48^2/12,IF(OR(D51=1,D51="2b",D51="3b"),D66*D48^2/8)))))</f>
        <v>312.45695575221237</v>
      </c>
      <c r="E70" s="89">
        <f t="shared" si="11"/>
        <v>312.45695575221237</v>
      </c>
      <c r="F70" s="89">
        <f t="shared" si="11"/>
        <v>592.97808026905818</v>
      </c>
      <c r="G70" s="89">
        <f t="shared" si="11"/>
        <v>463.77311186440676</v>
      </c>
      <c r="H70" s="89">
        <f t="shared" si="11"/>
        <v>262.07716962524654</v>
      </c>
      <c r="I70" s="89">
        <f t="shared" si="11"/>
        <v>160.17792000000003</v>
      </c>
      <c r="J70" s="89">
        <f t="shared" si="11"/>
        <v>104.9176470588235</v>
      </c>
      <c r="K70" s="89">
        <f t="shared" si="11"/>
        <v>450.18235294117648</v>
      </c>
      <c r="L70" s="89">
        <f t="shared" si="11"/>
        <v>262.07716962524654</v>
      </c>
      <c r="M70" s="89">
        <f t="shared" si="11"/>
        <v>432.45510000000007</v>
      </c>
      <c r="N70" s="89">
        <f t="shared" si="11"/>
        <v>172.90758333333335</v>
      </c>
      <c r="O70" s="89">
        <f t="shared" si="11"/>
        <v>172.90758333333335</v>
      </c>
      <c r="P70" s="89">
        <f t="shared" si="11"/>
        <v>172.90758333333335</v>
      </c>
      <c r="Q70" s="89">
        <f t="shared" si="11"/>
        <v>172.90758333333335</v>
      </c>
      <c r="R70" s="89">
        <f t="shared" si="11"/>
        <v>82.021333333333345</v>
      </c>
      <c r="S70" s="89">
        <f t="shared" si="11"/>
        <v>82.021333333333345</v>
      </c>
      <c r="T70" s="89">
        <f t="shared" si="11"/>
        <v>136.16633333333337</v>
      </c>
      <c r="U70" s="89">
        <f t="shared" si="11"/>
        <v>136.16633333333337</v>
      </c>
      <c r="V70" s="89">
        <f t="shared" si="11"/>
        <v>41.526333333333334</v>
      </c>
      <c r="W70" s="89">
        <f t="shared" si="11"/>
        <v>37.158333333333324</v>
      </c>
      <c r="X70" s="89">
        <f t="shared" si="11"/>
        <v>187.84595744680848</v>
      </c>
    </row>
    <row r="71" spans="2:24" x14ac:dyDescent="0.25">
      <c r="B71" s="97" t="s">
        <v>15</v>
      </c>
      <c r="C71" s="90">
        <f>C70/(0.9*(0.9*($C$7/100))*($L$9*1000))</f>
        <v>1.5361373880795288</v>
      </c>
      <c r="D71" s="90">
        <f t="shared" ref="D71:X71" si="12">D70/(0.9*(0.9*($C$7/100))*($L$9*1000))</f>
        <v>0.6437739120312933</v>
      </c>
      <c r="E71" s="90">
        <f t="shared" si="12"/>
        <v>0.6437739120312933</v>
      </c>
      <c r="F71" s="90">
        <f t="shared" si="12"/>
        <v>1.2217485047327672</v>
      </c>
      <c r="G71" s="90">
        <f t="shared" si="12"/>
        <v>0.95553971522607639</v>
      </c>
      <c r="H71" s="90">
        <f t="shared" si="12"/>
        <v>0.53997339997619553</v>
      </c>
      <c r="I71" s="90">
        <f t="shared" si="12"/>
        <v>0.33002422983731389</v>
      </c>
      <c r="J71" s="90">
        <f t="shared" si="12"/>
        <v>0.21616815642837256</v>
      </c>
      <c r="K71" s="90">
        <f t="shared" si="12"/>
        <v>0.92753785487888452</v>
      </c>
      <c r="L71" s="90">
        <f t="shared" si="12"/>
        <v>0.53997339997619553</v>
      </c>
      <c r="M71" s="90">
        <f t="shared" si="12"/>
        <v>0.89101332641052255</v>
      </c>
      <c r="N71" s="90">
        <f t="shared" si="12"/>
        <v>0.35625192300296132</v>
      </c>
      <c r="O71" s="90">
        <f t="shared" si="12"/>
        <v>0.35625192300296132</v>
      </c>
      <c r="P71" s="90">
        <f t="shared" si="12"/>
        <v>0.35625192300296132</v>
      </c>
      <c r="Q71" s="90">
        <f t="shared" si="12"/>
        <v>0.35625192300296132</v>
      </c>
      <c r="R71" s="90">
        <f t="shared" si="12"/>
        <v>0.16899350024999035</v>
      </c>
      <c r="S71" s="90">
        <f t="shared" si="12"/>
        <v>0.16899350024999035</v>
      </c>
      <c r="T71" s="90">
        <f t="shared" si="12"/>
        <v>0.28055170954963271</v>
      </c>
      <c r="U71" s="90">
        <f t="shared" si="12"/>
        <v>0.28055170954963271</v>
      </c>
      <c r="V71" s="90">
        <f t="shared" si="12"/>
        <v>8.555920926118224E-2</v>
      </c>
      <c r="W71" s="90">
        <f t="shared" si="12"/>
        <v>7.6559555401715274E-2</v>
      </c>
      <c r="X71" s="90">
        <f t="shared" si="12"/>
        <v>0.38703035620911919</v>
      </c>
    </row>
    <row r="72" spans="2:24" x14ac:dyDescent="0.25">
      <c r="B72" s="97" t="s">
        <v>98</v>
      </c>
      <c r="C72" s="92">
        <f>(C71*($L$9))/(0.85*$L$6*100)</f>
        <v>3.7916193892620437E-2</v>
      </c>
      <c r="D72" s="92">
        <f t="shared" ref="D72:X72" si="13">(D71*($L$9))/(0.85*$L$6*100)</f>
        <v>1.5890151923263755E-2</v>
      </c>
      <c r="E72" s="92">
        <f t="shared" si="13"/>
        <v>1.5890151923263755E-2</v>
      </c>
      <c r="F72" s="92">
        <f t="shared" si="13"/>
        <v>3.0156191466298984E-2</v>
      </c>
      <c r="G72" s="92">
        <f t="shared" si="13"/>
        <v>2.3585409349294154E-2</v>
      </c>
      <c r="H72" s="92">
        <f t="shared" si="13"/>
        <v>1.3328063159735393E-2</v>
      </c>
      <c r="I72" s="92">
        <f t="shared" si="13"/>
        <v>8.1459267802981745E-3</v>
      </c>
      <c r="J72" s="92">
        <f t="shared" si="13"/>
        <v>5.3356384631685965E-3</v>
      </c>
      <c r="K72" s="92">
        <f t="shared" si="13"/>
        <v>2.2894244630228523E-2</v>
      </c>
      <c r="L72" s="92">
        <f t="shared" si="13"/>
        <v>1.3328063159735393E-2</v>
      </c>
      <c r="M72" s="92">
        <f t="shared" si="13"/>
        <v>2.1992716476568839E-2</v>
      </c>
      <c r="N72" s="92">
        <f t="shared" si="13"/>
        <v>8.7933000602807062E-3</v>
      </c>
      <c r="O72" s="92">
        <f t="shared" si="13"/>
        <v>8.7933000602807062E-3</v>
      </c>
      <c r="P72" s="92">
        <f t="shared" si="13"/>
        <v>8.7933000602807062E-3</v>
      </c>
      <c r="Q72" s="92">
        <f t="shared" si="13"/>
        <v>8.7933000602807062E-3</v>
      </c>
      <c r="R72" s="92">
        <f t="shared" si="13"/>
        <v>4.1712351849478588E-3</v>
      </c>
      <c r="S72" s="92">
        <f t="shared" si="13"/>
        <v>4.1712351849478588E-3</v>
      </c>
      <c r="T72" s="92">
        <f t="shared" si="13"/>
        <v>6.9248057489759403E-3</v>
      </c>
      <c r="U72" s="92">
        <f t="shared" si="13"/>
        <v>6.9248057489759403E-3</v>
      </c>
      <c r="V72" s="92">
        <f t="shared" si="13"/>
        <v>2.1118420740361015E-3</v>
      </c>
      <c r="W72" s="92">
        <f t="shared" si="13"/>
        <v>1.8897052890388777E-3</v>
      </c>
      <c r="X72" s="92">
        <f t="shared" si="13"/>
        <v>9.5529984116207046E-3</v>
      </c>
    </row>
    <row r="73" spans="2:24" ht="15.75" thickBot="1" x14ac:dyDescent="0.3">
      <c r="B73" s="97" t="s">
        <v>15</v>
      </c>
      <c r="C73" s="76">
        <f>ROUNDUP(C70/(0.9*(($C$7-C72/2)/100)*($L$9*1000)),2)</f>
        <v>1.39</v>
      </c>
      <c r="D73" s="76">
        <f t="shared" ref="D73:X73" si="14">ROUNDUP(D70/(0.9*(($C$7-D72/2)/100)*($L$9*1000)),2)</f>
        <v>0.57999999999999996</v>
      </c>
      <c r="E73" s="76">
        <f t="shared" si="14"/>
        <v>0.57999999999999996</v>
      </c>
      <c r="F73" s="76">
        <f t="shared" si="14"/>
        <v>1.1100000000000001</v>
      </c>
      <c r="G73" s="76">
        <f t="shared" si="14"/>
        <v>0.87</v>
      </c>
      <c r="H73" s="76">
        <f t="shared" si="14"/>
        <v>0.49</v>
      </c>
      <c r="I73" s="76">
        <f t="shared" si="14"/>
        <v>0.3</v>
      </c>
      <c r="J73" s="76">
        <f t="shared" si="14"/>
        <v>0.2</v>
      </c>
      <c r="K73" s="76">
        <f t="shared" si="14"/>
        <v>0.84</v>
      </c>
      <c r="L73" s="76">
        <f t="shared" si="14"/>
        <v>0.49</v>
      </c>
      <c r="M73" s="76">
        <f t="shared" si="14"/>
        <v>0.81</v>
      </c>
      <c r="N73" s="76">
        <f t="shared" si="14"/>
        <v>0.33</v>
      </c>
      <c r="O73" s="76">
        <f t="shared" si="14"/>
        <v>0.33</v>
      </c>
      <c r="P73" s="76">
        <f t="shared" si="14"/>
        <v>0.33</v>
      </c>
      <c r="Q73" s="76">
        <f t="shared" si="14"/>
        <v>0.33</v>
      </c>
      <c r="R73" s="76">
        <f t="shared" si="14"/>
        <v>0.16</v>
      </c>
      <c r="S73" s="76">
        <f t="shared" si="14"/>
        <v>0.16</v>
      </c>
      <c r="T73" s="76">
        <f t="shared" si="14"/>
        <v>0.26</v>
      </c>
      <c r="U73" s="76">
        <f t="shared" si="14"/>
        <v>0.26</v>
      </c>
      <c r="V73" s="76">
        <f t="shared" si="14"/>
        <v>0.08</v>
      </c>
      <c r="W73" s="76">
        <f t="shared" si="14"/>
        <v>6.9999999999999993E-2</v>
      </c>
      <c r="X73" s="76">
        <f t="shared" si="14"/>
        <v>0.35000000000000003</v>
      </c>
    </row>
    <row r="74" spans="2:24" ht="16.5" thickBot="1" x14ac:dyDescent="0.3">
      <c r="B74" s="61" t="s">
        <v>100</v>
      </c>
      <c r="C74" s="134" t="str">
        <f>IF(C73&gt;$C$12,"$\phi"&amp;IF(VLOOKUP(VLOOKUP(C73,tablas!$R$3:$T$66,2,TRUE)&amp;VLOOKUP(C73,tablas!$R$3:$T$66,3,TRUE),tablas!$Q$3:$R$66,2,FALSE)&lt;C73,VLOOKUP(C73+0.1,tablas!$R$3:$T$66,2,TRUE),VLOOKUP(C73,tablas!$R$3:$T$66,2,TRUE))&amp;"@"&amp;IF(VLOOKUP(VLOOKUP(C73,tablas!$R$3:$T$66,2,TRUE)&amp;VLOOKUP(C73,tablas!$R$3:$T$66,3,TRUE),tablas!$Q$3:$R$66,2,FALSE)&lt;C73,VLOOKUP(C73+0.1,tablas!$R$3:$T$66,3,TRUE),VLOOKUP(C73,tablas!$R$3:$T$66,3,TRUE))&amp;"$",$C$13)</f>
        <v>$\phi8@17$</v>
      </c>
      <c r="D74" s="134" t="str">
        <f>IF(D73&gt;$C$12,"$\phi"&amp;IF(VLOOKUP(VLOOKUP(D73,tablas!$R$3:$T$66,2,TRUE)&amp;VLOOKUP(D73,tablas!$R$3:$T$66,3,TRUE),tablas!$Q$3:$R$66,2,FALSE)&lt;D73,VLOOKUP(D73+0.1,tablas!$R$3:$T$66,2,TRUE),VLOOKUP(D73,tablas!$R$3:$T$66,2,TRUE))&amp;"@"&amp;IF(VLOOKUP(VLOOKUP(D73,tablas!$R$3:$T$66,2,TRUE)&amp;VLOOKUP(D73,tablas!$R$3:$T$66,3,TRUE),tablas!$Q$3:$R$66,2,FALSE)&lt;D73,VLOOKUP(D73+0.1,tablas!$R$3:$T$66,3,TRUE),VLOOKUP(D73,tablas!$R$3:$T$66,3,TRUE))&amp;"$",$C$13)</f>
        <v>$\phi8@17$</v>
      </c>
      <c r="E74" s="134" t="str">
        <f>IF(E73&gt;$C$12,"$\phi"&amp;IF(VLOOKUP(VLOOKUP(E73,tablas!$R$3:$T$66,2,TRUE)&amp;VLOOKUP(E73,tablas!$R$3:$T$66,3,TRUE),tablas!$Q$3:$R$66,2,FALSE)&lt;E73,VLOOKUP(E73+0.1,tablas!$R$3:$T$66,2,TRUE),VLOOKUP(E73,tablas!$R$3:$T$66,2,TRUE))&amp;"@"&amp;IF(VLOOKUP(VLOOKUP(E73,tablas!$R$3:$T$66,2,TRUE)&amp;VLOOKUP(E73,tablas!$R$3:$T$66,3,TRUE),tablas!$Q$3:$R$66,2,FALSE)&lt;E73,VLOOKUP(E73+0.1,tablas!$R$3:$T$66,3,TRUE),VLOOKUP(E73,tablas!$R$3:$T$66,3,TRUE))&amp;"$",$C$13)</f>
        <v>$\phi8@17$</v>
      </c>
      <c r="F74" s="134" t="str">
        <f>IF(F73&gt;$C$12,"$\phi"&amp;IF(VLOOKUP(VLOOKUP(F73,tablas!$R$3:$T$66,2,TRUE)&amp;VLOOKUP(F73,tablas!$R$3:$T$66,3,TRUE),tablas!$Q$3:$R$66,2,FALSE)&lt;F73,VLOOKUP(F73+0.1,tablas!$R$3:$T$66,2,TRUE),VLOOKUP(F73,tablas!$R$3:$T$66,2,TRUE))&amp;"@"&amp;IF(VLOOKUP(VLOOKUP(F73,tablas!$R$3:$T$66,2,TRUE)&amp;VLOOKUP(F73,tablas!$R$3:$T$66,3,TRUE),tablas!$Q$3:$R$66,2,FALSE)&lt;F73,VLOOKUP(F73+0.1,tablas!$R$3:$T$66,3,TRUE),VLOOKUP(F73,tablas!$R$3:$T$66,3,TRUE))&amp;"$",$C$13)</f>
        <v>$\phi8@17$</v>
      </c>
      <c r="G74" s="134" t="str">
        <f>IF(G73&gt;$C$12,"$\phi"&amp;IF(VLOOKUP(VLOOKUP(G73,tablas!$R$3:$T$66,2,TRUE)&amp;VLOOKUP(G73,tablas!$R$3:$T$66,3,TRUE),tablas!$Q$3:$R$66,2,FALSE)&lt;G73,VLOOKUP(G73+0.1,tablas!$R$3:$T$66,2,TRUE),VLOOKUP(G73,tablas!$R$3:$T$66,2,TRUE))&amp;"@"&amp;IF(VLOOKUP(VLOOKUP(G73,tablas!$R$3:$T$66,2,TRUE)&amp;VLOOKUP(G73,tablas!$R$3:$T$66,3,TRUE),tablas!$Q$3:$R$66,2,FALSE)&lt;G73,VLOOKUP(G73+0.1,tablas!$R$3:$T$66,3,TRUE),VLOOKUP(G73,tablas!$R$3:$T$66,3,TRUE))&amp;"$",$C$13)</f>
        <v>$\phi8@17$</v>
      </c>
      <c r="H74" s="134" t="str">
        <f>IF(H73&gt;$C$12,"$\phi"&amp;IF(VLOOKUP(VLOOKUP(H73,tablas!$R$3:$T$66,2,TRUE)&amp;VLOOKUP(H73,tablas!$R$3:$T$66,3,TRUE),tablas!$Q$3:$R$66,2,FALSE)&lt;H73,VLOOKUP(H73+0.1,tablas!$R$3:$T$66,2,TRUE),VLOOKUP(H73,tablas!$R$3:$T$66,2,TRUE))&amp;"@"&amp;IF(VLOOKUP(VLOOKUP(H73,tablas!$R$3:$T$66,2,TRUE)&amp;VLOOKUP(H73,tablas!$R$3:$T$66,3,TRUE),tablas!$Q$3:$R$66,2,FALSE)&lt;H73,VLOOKUP(H73+0.1,tablas!$R$3:$T$66,3,TRUE),VLOOKUP(H73,tablas!$R$3:$T$66,3,TRUE))&amp;"$",$C$13)</f>
        <v>$\phi8@17$</v>
      </c>
      <c r="I74" s="134" t="str">
        <f>IF(I73&gt;$C$12,"$\phi"&amp;IF(VLOOKUP(VLOOKUP(I73,tablas!$R$3:$T$66,2,TRUE)&amp;VLOOKUP(I73,tablas!$R$3:$T$66,3,TRUE),tablas!$Q$3:$R$66,2,FALSE)&lt;I73,VLOOKUP(I73+0.1,tablas!$R$3:$T$66,2,TRUE),VLOOKUP(I73,tablas!$R$3:$T$66,2,TRUE))&amp;"@"&amp;IF(VLOOKUP(VLOOKUP(I73,tablas!$R$3:$T$66,2,TRUE)&amp;VLOOKUP(I73,tablas!$R$3:$T$66,3,TRUE),tablas!$Q$3:$R$66,2,FALSE)&lt;I73,VLOOKUP(I73+0.1,tablas!$R$3:$T$66,3,TRUE),VLOOKUP(I73,tablas!$R$3:$T$66,3,TRUE))&amp;"$",$C$13)</f>
        <v>$\phi8@17$</v>
      </c>
      <c r="J74" s="134" t="str">
        <f>IF(J73&gt;$C$12,"$\phi"&amp;IF(VLOOKUP(VLOOKUP(J73,tablas!$R$3:$T$66,2,TRUE)&amp;VLOOKUP(J73,tablas!$R$3:$T$66,3,TRUE),tablas!$Q$3:$R$66,2,FALSE)&lt;J73,VLOOKUP(J73+0.1,tablas!$R$3:$T$66,2,TRUE),VLOOKUP(J73,tablas!$R$3:$T$66,2,TRUE))&amp;"@"&amp;IF(VLOOKUP(VLOOKUP(J73,tablas!$R$3:$T$66,2,TRUE)&amp;VLOOKUP(J73,tablas!$R$3:$T$66,3,TRUE),tablas!$Q$3:$R$66,2,FALSE)&lt;J73,VLOOKUP(J73+0.1,tablas!$R$3:$T$66,3,TRUE),VLOOKUP(J73,tablas!$R$3:$T$66,3,TRUE))&amp;"$",$C$13)</f>
        <v>$\phi8@17$</v>
      </c>
      <c r="K74" s="134" t="str">
        <f>IF(K73&gt;$C$12,"$\phi"&amp;IF(VLOOKUP(VLOOKUP(K73,tablas!$R$3:$T$66,2,TRUE)&amp;VLOOKUP(K73,tablas!$R$3:$T$66,3,TRUE),tablas!$Q$3:$R$66,2,FALSE)&lt;K73,VLOOKUP(K73+0.1,tablas!$R$3:$T$66,2,TRUE),VLOOKUP(K73,tablas!$R$3:$T$66,2,TRUE))&amp;"@"&amp;IF(VLOOKUP(VLOOKUP(K73,tablas!$R$3:$T$66,2,TRUE)&amp;VLOOKUP(K73,tablas!$R$3:$T$66,3,TRUE),tablas!$Q$3:$R$66,2,FALSE)&lt;K73,VLOOKUP(K73+0.1,tablas!$R$3:$T$66,3,TRUE),VLOOKUP(K73,tablas!$R$3:$T$66,3,TRUE))&amp;"$",$C$13)</f>
        <v>$\phi8@17$</v>
      </c>
      <c r="L74" s="134" t="str">
        <f>IF(L73&gt;$C$12,"$\phi"&amp;IF(VLOOKUP(VLOOKUP(L73,tablas!$R$3:$T$66,2,TRUE)&amp;VLOOKUP(L73,tablas!$R$3:$T$66,3,TRUE),tablas!$Q$3:$R$66,2,FALSE)&lt;L73,VLOOKUP(L73+0.1,tablas!$R$3:$T$66,2,TRUE),VLOOKUP(L73,tablas!$R$3:$T$66,2,TRUE))&amp;"@"&amp;IF(VLOOKUP(VLOOKUP(L73,tablas!$R$3:$T$66,2,TRUE)&amp;VLOOKUP(L73,tablas!$R$3:$T$66,3,TRUE),tablas!$Q$3:$R$66,2,FALSE)&lt;L73,VLOOKUP(L73+0.1,tablas!$R$3:$T$66,3,TRUE),VLOOKUP(L73,tablas!$R$3:$T$66,3,TRUE))&amp;"$",$C$13)</f>
        <v>$\phi8@17$</v>
      </c>
      <c r="M74" s="134" t="str">
        <f>IF(M73&gt;$C$12,"$\phi"&amp;IF(VLOOKUP(VLOOKUP(M73,tablas!$R$3:$T$66,2,TRUE)&amp;VLOOKUP(M73,tablas!$R$3:$T$66,3,TRUE),tablas!$Q$3:$R$66,2,FALSE)&lt;M73,VLOOKUP(M73+0.1,tablas!$R$3:$T$66,2,TRUE),VLOOKUP(M73,tablas!$R$3:$T$66,2,TRUE))&amp;"@"&amp;IF(VLOOKUP(VLOOKUP(M73,tablas!$R$3:$T$66,2,TRUE)&amp;VLOOKUP(M73,tablas!$R$3:$T$66,3,TRUE),tablas!$Q$3:$R$66,2,FALSE)&lt;M73,VLOOKUP(M73+0.1,tablas!$R$3:$T$66,3,TRUE),VLOOKUP(M73,tablas!$R$3:$T$66,3,TRUE))&amp;"$",$C$13)</f>
        <v>$\phi8@17$</v>
      </c>
      <c r="N74" s="134" t="str">
        <f>IF(N73&gt;$C$12,"$\phi"&amp;IF(VLOOKUP(VLOOKUP(N73,tablas!$R$3:$T$66,2,TRUE)&amp;VLOOKUP(N73,tablas!$R$3:$T$66,3,TRUE),tablas!$Q$3:$R$66,2,FALSE)&lt;N73,VLOOKUP(N73+0.1,tablas!$R$3:$T$66,2,TRUE),VLOOKUP(N73,tablas!$R$3:$T$66,2,TRUE))&amp;"@"&amp;IF(VLOOKUP(VLOOKUP(N73,tablas!$R$3:$T$66,2,TRUE)&amp;VLOOKUP(N73,tablas!$R$3:$T$66,3,TRUE),tablas!$Q$3:$R$66,2,FALSE)&lt;N73,VLOOKUP(N73+0.1,tablas!$R$3:$T$66,3,TRUE),VLOOKUP(N73,tablas!$R$3:$T$66,3,TRUE))&amp;"$",$C$13)</f>
        <v>$\phi8@17$</v>
      </c>
      <c r="O74" s="134" t="str">
        <f>IF(O73&gt;$C$12,"$\phi"&amp;IF(VLOOKUP(VLOOKUP(O73,tablas!$R$3:$T$66,2,TRUE)&amp;VLOOKUP(O73,tablas!$R$3:$T$66,3,TRUE),tablas!$Q$3:$R$66,2,FALSE)&lt;O73,VLOOKUP(O73+0.1,tablas!$R$3:$T$66,2,TRUE),VLOOKUP(O73,tablas!$R$3:$T$66,2,TRUE))&amp;"@"&amp;IF(VLOOKUP(VLOOKUP(O73,tablas!$R$3:$T$66,2,TRUE)&amp;VLOOKUP(O73,tablas!$R$3:$T$66,3,TRUE),tablas!$Q$3:$R$66,2,FALSE)&lt;O73,VLOOKUP(O73+0.1,tablas!$R$3:$T$66,3,TRUE),VLOOKUP(O73,tablas!$R$3:$T$66,3,TRUE))&amp;"$",$C$13)</f>
        <v>$\phi8@17$</v>
      </c>
      <c r="P74" s="134" t="str">
        <f>IF(P73&gt;$C$12,"$\phi"&amp;IF(VLOOKUP(VLOOKUP(P73,tablas!$R$3:$T$66,2,TRUE)&amp;VLOOKUP(P73,tablas!$R$3:$T$66,3,TRUE),tablas!$Q$3:$R$66,2,FALSE)&lt;P73,VLOOKUP(P73+0.1,tablas!$R$3:$T$66,2,TRUE),VLOOKUP(P73,tablas!$R$3:$T$66,2,TRUE))&amp;"@"&amp;IF(VLOOKUP(VLOOKUP(P73,tablas!$R$3:$T$66,2,TRUE)&amp;VLOOKUP(P73,tablas!$R$3:$T$66,3,TRUE),tablas!$Q$3:$R$66,2,FALSE)&lt;P73,VLOOKUP(P73+0.1,tablas!$R$3:$T$66,3,TRUE),VLOOKUP(P73,tablas!$R$3:$T$66,3,TRUE))&amp;"$",$C$13)</f>
        <v>$\phi8@17$</v>
      </c>
      <c r="Q74" s="134" t="str">
        <f>IF(Q73&gt;$C$12,"$\phi"&amp;IF(VLOOKUP(VLOOKUP(Q73,tablas!$R$3:$T$66,2,TRUE)&amp;VLOOKUP(Q73,tablas!$R$3:$T$66,3,TRUE),tablas!$Q$3:$R$66,2,FALSE)&lt;Q73,VLOOKUP(Q73+0.1,tablas!$R$3:$T$66,2,TRUE),VLOOKUP(Q73,tablas!$R$3:$T$66,2,TRUE))&amp;"@"&amp;IF(VLOOKUP(VLOOKUP(Q73,tablas!$R$3:$T$66,2,TRUE)&amp;VLOOKUP(Q73,tablas!$R$3:$T$66,3,TRUE),tablas!$Q$3:$R$66,2,FALSE)&lt;Q73,VLOOKUP(Q73+0.1,tablas!$R$3:$T$66,3,TRUE),VLOOKUP(Q73,tablas!$R$3:$T$66,3,TRUE))&amp;"$",$C$13)</f>
        <v>$\phi8@17$</v>
      </c>
      <c r="R74" s="134" t="str">
        <f>IF(R73&gt;$C$12,"$\phi"&amp;IF(VLOOKUP(VLOOKUP(R73,tablas!$R$3:$T$66,2,TRUE)&amp;VLOOKUP(R73,tablas!$R$3:$T$66,3,TRUE),tablas!$Q$3:$R$66,2,FALSE)&lt;R73,VLOOKUP(R73+0.1,tablas!$R$3:$T$66,2,TRUE),VLOOKUP(R73,tablas!$R$3:$T$66,2,TRUE))&amp;"@"&amp;IF(VLOOKUP(VLOOKUP(R73,tablas!$R$3:$T$66,2,TRUE)&amp;VLOOKUP(R73,tablas!$R$3:$T$66,3,TRUE),tablas!$Q$3:$R$66,2,FALSE)&lt;R73,VLOOKUP(R73+0.1,tablas!$R$3:$T$66,3,TRUE),VLOOKUP(R73,tablas!$R$3:$T$66,3,TRUE))&amp;"$",$C$13)</f>
        <v>$\phi8@17$</v>
      </c>
      <c r="S74" s="134" t="str">
        <f>IF(S73&gt;$C$12,"$\phi"&amp;IF(VLOOKUP(VLOOKUP(S73,tablas!$R$3:$T$66,2,TRUE)&amp;VLOOKUP(S73,tablas!$R$3:$T$66,3,TRUE),tablas!$Q$3:$R$66,2,FALSE)&lt;S73,VLOOKUP(S73+0.1,tablas!$R$3:$T$66,2,TRUE),VLOOKUP(S73,tablas!$R$3:$T$66,2,TRUE))&amp;"@"&amp;IF(VLOOKUP(VLOOKUP(S73,tablas!$R$3:$T$66,2,TRUE)&amp;VLOOKUP(S73,tablas!$R$3:$T$66,3,TRUE),tablas!$Q$3:$R$66,2,FALSE)&lt;S73,VLOOKUP(S73+0.1,tablas!$R$3:$T$66,3,TRUE),VLOOKUP(S73,tablas!$R$3:$T$66,3,TRUE))&amp;"$",$C$13)</f>
        <v>$\phi8@17$</v>
      </c>
      <c r="T74" s="134" t="str">
        <f>IF(T73&gt;$C$12,"$\phi"&amp;IF(VLOOKUP(VLOOKUP(T73,tablas!$R$3:$T$66,2,TRUE)&amp;VLOOKUP(T73,tablas!$R$3:$T$66,3,TRUE),tablas!$Q$3:$R$66,2,FALSE)&lt;T73,VLOOKUP(T73+0.1,tablas!$R$3:$T$66,2,TRUE),VLOOKUP(T73,tablas!$R$3:$T$66,2,TRUE))&amp;"@"&amp;IF(VLOOKUP(VLOOKUP(T73,tablas!$R$3:$T$66,2,TRUE)&amp;VLOOKUP(T73,tablas!$R$3:$T$66,3,TRUE),tablas!$Q$3:$R$66,2,FALSE)&lt;T73,VLOOKUP(T73+0.1,tablas!$R$3:$T$66,3,TRUE),VLOOKUP(T73,tablas!$R$3:$T$66,3,TRUE))&amp;"$",$C$13)</f>
        <v>$\phi8@17$</v>
      </c>
      <c r="U74" s="134" t="str">
        <f>IF(U73&gt;$C$12,"$\phi"&amp;IF(VLOOKUP(VLOOKUP(U73,tablas!$R$3:$T$66,2,TRUE)&amp;VLOOKUP(U73,tablas!$R$3:$T$66,3,TRUE),tablas!$Q$3:$R$66,2,FALSE)&lt;U73,VLOOKUP(U73+0.1,tablas!$R$3:$T$66,2,TRUE),VLOOKUP(U73,tablas!$R$3:$T$66,2,TRUE))&amp;"@"&amp;IF(VLOOKUP(VLOOKUP(U73,tablas!$R$3:$T$66,2,TRUE)&amp;VLOOKUP(U73,tablas!$R$3:$T$66,3,TRUE),tablas!$Q$3:$R$66,2,FALSE)&lt;U73,VLOOKUP(U73+0.1,tablas!$R$3:$T$66,3,TRUE),VLOOKUP(U73,tablas!$R$3:$T$66,3,TRUE))&amp;"$",$C$13)</f>
        <v>$\phi8@17$</v>
      </c>
      <c r="V74" s="134" t="str">
        <f>IF(V73&gt;$C$12,"$\phi"&amp;IF(VLOOKUP(VLOOKUP(V73,tablas!$R$3:$T$66,2,TRUE)&amp;VLOOKUP(V73,tablas!$R$3:$T$66,3,TRUE),tablas!$Q$3:$R$66,2,FALSE)&lt;V73,VLOOKUP(V73+0.1,tablas!$R$3:$T$66,2,TRUE),VLOOKUP(V73,tablas!$R$3:$T$66,2,TRUE))&amp;"@"&amp;IF(VLOOKUP(VLOOKUP(V73,tablas!$R$3:$T$66,2,TRUE)&amp;VLOOKUP(V73,tablas!$R$3:$T$66,3,TRUE),tablas!$Q$3:$R$66,2,FALSE)&lt;V73,VLOOKUP(V73+0.1,tablas!$R$3:$T$66,3,TRUE),VLOOKUP(V73,tablas!$R$3:$T$66,3,TRUE))&amp;"$",$C$13)</f>
        <v>$\phi8@17$</v>
      </c>
      <c r="W74" s="134" t="str">
        <f>IF(W73&gt;$C$12,"$\phi"&amp;IF(VLOOKUP(VLOOKUP(W73,tablas!$R$3:$T$66,2,TRUE)&amp;VLOOKUP(W73,tablas!$R$3:$T$66,3,TRUE),tablas!$Q$3:$R$66,2,FALSE)&lt;W73,VLOOKUP(W73+0.1,tablas!$R$3:$T$66,2,TRUE),VLOOKUP(W73,tablas!$R$3:$T$66,2,TRUE))&amp;"@"&amp;IF(VLOOKUP(VLOOKUP(W73,tablas!$R$3:$T$66,2,TRUE)&amp;VLOOKUP(W73,tablas!$R$3:$T$66,3,TRUE),tablas!$Q$3:$R$66,2,FALSE)&lt;W73,VLOOKUP(W73+0.1,tablas!$R$3:$T$66,3,TRUE),VLOOKUP(W73,tablas!$R$3:$T$66,3,TRUE))&amp;"$",$C$13)</f>
        <v>$\phi8@17$</v>
      </c>
      <c r="X74" s="134" t="str">
        <f>IF(X73&gt;$C$12,"$\phi"&amp;IF(VLOOKUP(VLOOKUP(X73,tablas!$R$3:$T$66,2,TRUE)&amp;VLOOKUP(X73,tablas!$R$3:$T$66,3,TRUE),tablas!$Q$3:$R$66,2,FALSE)&lt;X73,VLOOKUP(X73+0.1,tablas!$R$3:$T$66,2,TRUE),VLOOKUP(X73,tablas!$R$3:$T$66,2,TRUE))&amp;"@"&amp;IF(VLOOKUP(VLOOKUP(X73,tablas!$R$3:$T$66,2,TRUE)&amp;VLOOKUP(X73,tablas!$R$3:$T$66,3,TRUE),tablas!$Q$3:$R$66,2,FALSE)&lt;X73,VLOOKUP(X73+0.1,tablas!$R$3:$T$66,3,TRUE),VLOOKUP(X73,tablas!$R$3:$T$66,3,TRUE))&amp;"$",$C$13)</f>
        <v>$\phi8@17$</v>
      </c>
    </row>
    <row r="75" spans="2:24" x14ac:dyDescent="0.25">
      <c r="B75" s="96" t="s">
        <v>102</v>
      </c>
      <c r="C75" s="89">
        <f>IF(C53&lt;=2,C67/C57*(1+C68*C61)*C54,"0")</f>
        <v>210.86291411042941</v>
      </c>
      <c r="D75" s="89">
        <f>IF(D53&lt;=2,D67/D57*(1+D68*D61)*D54,"0")</f>
        <v>147.73069456066946</v>
      </c>
      <c r="E75" s="89">
        <f>IF(E53&lt;=2,E67/E57*(1+E68*E61)*E54,"0")</f>
        <v>147.73069456066946</v>
      </c>
      <c r="F75" s="89">
        <f>IF(F53&lt;=2,F67/F57*(1+F68*F61)*F54,"0")</f>
        <v>226.816658490566</v>
      </c>
      <c r="G75" s="89">
        <f>IF(G53&lt;=2,G67/G57*(1+G68*G61)*G54,"0")</f>
        <v>277.44094904942966</v>
      </c>
      <c r="H75" s="89">
        <f>IF(H53&lt;=2,H67/H57*(1+H68*H61)*H54,"0")</f>
        <v>200.41195324283558</v>
      </c>
      <c r="I75" s="89">
        <f>IF(I53&lt;=2,I67/I57*(1+I68*I61)*I54,"0")</f>
        <v>29.389499999999998</v>
      </c>
      <c r="J75" s="89" t="str">
        <f>IF(J53&lt;=2,J67/J57*(1+J68*J61)*J54,"0")</f>
        <v>0</v>
      </c>
      <c r="K75" s="89" t="str">
        <f>IF(K53&lt;=2,K67/K57*(1+K68*K61)*K54,"0")</f>
        <v>0</v>
      </c>
      <c r="L75" s="89">
        <f>IF(L53&lt;=2,L67/L57*(1+L68*L61)*L54,"0")</f>
        <v>200.41195324283558</v>
      </c>
      <c r="M75" s="89">
        <f>IF(M53&lt;=2,M67/M57*(1+M68*M61)*M54,"0")</f>
        <v>258.70571254752855</v>
      </c>
      <c r="N75" s="89" t="str">
        <f>IF(N53&lt;=2,N67/N57*(1+N68*N61)*N54,"0")</f>
        <v>0</v>
      </c>
      <c r="O75" s="89" t="str">
        <f>IF(O53&lt;=2,O67/O57*(1+O68*O61)*O54,"0")</f>
        <v>0</v>
      </c>
      <c r="P75" s="89" t="str">
        <f>IF(P53&lt;=2,P67/P57*(1+P68*P61)*P54,"0")</f>
        <v>0</v>
      </c>
      <c r="Q75" s="89" t="str">
        <f>IF(Q53&lt;=2,Q67/Q57*(1+Q68*Q61)*Q54,"0")</f>
        <v>0</v>
      </c>
      <c r="R75" s="89" t="str">
        <f>IF(R53&lt;=2,R67/R57*(1+R68*R61)*R54,"0")</f>
        <v>0</v>
      </c>
      <c r="S75" s="89" t="str">
        <f>IF(S53&lt;=2,S67/S57*(1+S68*S61)*S54,"0")</f>
        <v>0</v>
      </c>
      <c r="T75" s="89" t="str">
        <f>IF(T53&lt;=2,T67/T57*(1+T68*T61)*T54,"0")</f>
        <v>0</v>
      </c>
      <c r="U75" s="89" t="str">
        <f>IF(U53&lt;=2,U67/U57*(1+U68*U61)*U54,"0")</f>
        <v>0</v>
      </c>
      <c r="V75" s="89" t="str">
        <f>IF(V53&lt;=2,V67/V57*(1+V68*V61)*V54,"0")</f>
        <v>0</v>
      </c>
      <c r="W75" s="89" t="str">
        <f>IF(W53&lt;=2,W67/W57*(1+W68*W61)*W54,"0")</f>
        <v>0</v>
      </c>
      <c r="X75" s="89">
        <f>IF(X53&lt;=2,X67/X57*(1+X68*X61)*X54,"0")</f>
        <v>48.816125874125859</v>
      </c>
    </row>
    <row r="76" spans="2:24" x14ac:dyDescent="0.25">
      <c r="B76" s="97" t="s">
        <v>15</v>
      </c>
      <c r="C76" s="85">
        <f>C75/(0.9*(0.9*($C$7/100))*($L$9*1000))</f>
        <v>0.43445358030960901</v>
      </c>
      <c r="D76" s="85">
        <f>D75/(0.9*(0.9*($C$7/100))*($L$9*1000))</f>
        <v>0.30437846050015127</v>
      </c>
      <c r="E76" s="85">
        <f>E75/(0.9*(0.9*($C$7/100))*($L$9*1000))</f>
        <v>0.30437846050015127</v>
      </c>
      <c r="F76" s="85">
        <f>F75/(0.9*(0.9*($C$7/100))*($L$9*1000))</f>
        <v>0.4673240421190516</v>
      </c>
      <c r="G76" s="85">
        <f>G75/(0.9*(0.9*($C$7/100))*($L$9*1000))</f>
        <v>0.57162832140267184</v>
      </c>
      <c r="H76" s="85">
        <f>H75/(0.9*(0.9*($C$7/100))*($L$9*1000))</f>
        <v>0.41292083527591422</v>
      </c>
      <c r="I76" s="85">
        <f>I75/(0.9*(0.9*($C$7/100))*($L$9*1000))</f>
        <v>6.0552959501557611E-2</v>
      </c>
      <c r="J76" s="85">
        <f>J75/(0.9*(0.9*($C$7/100))*($L$9*1000))</f>
        <v>0</v>
      </c>
      <c r="K76" s="85">
        <f>K75/(0.9*(0.9*($C$7/100))*($L$9*1000))</f>
        <v>0</v>
      </c>
      <c r="L76" s="85">
        <f>L75/(0.9*(0.9*($C$7/100))*($L$9*1000))</f>
        <v>0.41292083527591422</v>
      </c>
      <c r="M76" s="85">
        <f>M75/(0.9*(0.9*($C$7/100))*($L$9*1000))</f>
        <v>0.53302698360680179</v>
      </c>
      <c r="N76" s="85">
        <f>N75/(0.9*(0.9*($C$7/100))*($L$9*1000))</f>
        <v>0</v>
      </c>
      <c r="O76" s="85">
        <f>O75/(0.9*(0.9*($C$7/100))*($L$9*1000))</f>
        <v>0</v>
      </c>
      <c r="P76" s="85">
        <f>P75/(0.9*(0.9*($C$7/100))*($L$9*1000))</f>
        <v>0</v>
      </c>
      <c r="Q76" s="85">
        <f>Q75/(0.9*(0.9*($C$7/100))*($L$9*1000))</f>
        <v>0</v>
      </c>
      <c r="R76" s="85">
        <f>R75/(0.9*(0.9*($C$7/100))*($L$9*1000))</f>
        <v>0</v>
      </c>
      <c r="S76" s="85">
        <f>S75/(0.9*(0.9*($C$7/100))*($L$9*1000))</f>
        <v>0</v>
      </c>
      <c r="T76" s="85">
        <f>T75/(0.9*(0.9*($C$7/100))*($L$9*1000))</f>
        <v>0</v>
      </c>
      <c r="U76" s="85">
        <f>U75/(0.9*(0.9*($C$7/100))*($L$9*1000))</f>
        <v>0</v>
      </c>
      <c r="V76" s="85">
        <f>V75/(0.9*(0.9*($C$7/100))*($L$9*1000))</f>
        <v>0</v>
      </c>
      <c r="W76" s="85">
        <f>W75/(0.9*(0.9*($C$7/100))*($L$9*1000))</f>
        <v>0</v>
      </c>
      <c r="X76" s="85">
        <f>X75/(0.9*(0.9*($C$7/100))*($L$9*1000))</f>
        <v>0.1005788085227337</v>
      </c>
    </row>
    <row r="77" spans="2:24" x14ac:dyDescent="0.25">
      <c r="B77" s="97" t="s">
        <v>98</v>
      </c>
      <c r="C77" s="85">
        <f>(C76*($L$9))/(0.85*$L$6*100)</f>
        <v>1.0723537045704307E-2</v>
      </c>
      <c r="D77" s="85">
        <f>(D76*($L$9))/(0.85*$L$6*100)</f>
        <v>7.5129170181121542E-3</v>
      </c>
      <c r="E77" s="85">
        <f>(E76*($L$9))/(0.85*$L$6*100)</f>
        <v>7.5129170181121542E-3</v>
      </c>
      <c r="F77" s="85">
        <f>(F76*($L$9))/(0.85*$L$6*100)</f>
        <v>1.1534872550574055E-2</v>
      </c>
      <c r="G77" s="85">
        <f>(G76*($L$9))/(0.85*$L$6*100)</f>
        <v>1.4109395707055569E-2</v>
      </c>
      <c r="H77" s="85">
        <f>(H76*($L$9))/(0.85*$L$6*100)</f>
        <v>1.0192048298621182E-2</v>
      </c>
      <c r="I77" s="85">
        <f>(I76*($L$9))/(0.85*$L$6*100)</f>
        <v>1.4946174548250669E-3</v>
      </c>
      <c r="J77" s="85">
        <f>(J76*($L$9))/(0.85*$L$6*100)</f>
        <v>0</v>
      </c>
      <c r="K77" s="85">
        <f>(K76*($L$9))/(0.85*$L$6*100)</f>
        <v>0</v>
      </c>
      <c r="L77" s="85">
        <f>(L76*($L$9))/(0.85*$L$6*100)</f>
        <v>1.0192048298621182E-2</v>
      </c>
      <c r="M77" s="85">
        <f>(M76*($L$9))/(0.85*$L$6*100)</f>
        <v>1.3156606054423942E-2</v>
      </c>
      <c r="N77" s="85">
        <f>(N76*($L$9))/(0.85*$L$6*100)</f>
        <v>0</v>
      </c>
      <c r="O77" s="85">
        <f>(O76*($L$9))/(0.85*$L$6*100)</f>
        <v>0</v>
      </c>
      <c r="P77" s="85">
        <f>(P76*($L$9))/(0.85*$L$6*100)</f>
        <v>0</v>
      </c>
      <c r="Q77" s="85">
        <f>(Q76*($L$9))/(0.85*$L$6*100)</f>
        <v>0</v>
      </c>
      <c r="R77" s="85">
        <f>(R76*($L$9))/(0.85*$L$6*100)</f>
        <v>0</v>
      </c>
      <c r="S77" s="85">
        <f>(S76*($L$9))/(0.85*$L$6*100)</f>
        <v>0</v>
      </c>
      <c r="T77" s="85">
        <f>(T76*($L$9))/(0.85*$L$6*100)</f>
        <v>0</v>
      </c>
      <c r="U77" s="85">
        <f>(U76*($L$9))/(0.85*$L$6*100)</f>
        <v>0</v>
      </c>
      <c r="V77" s="85">
        <f>(V76*($L$9))/(0.85*$L$6*100)</f>
        <v>0</v>
      </c>
      <c r="W77" s="85">
        <f>(W76*($L$9))/(0.85*$L$6*100)</f>
        <v>0</v>
      </c>
      <c r="X77" s="85">
        <f>(X76*($L$9))/(0.85*$L$6*100)</f>
        <v>2.4825680535023082E-3</v>
      </c>
    </row>
    <row r="78" spans="2:24" ht="15.75" thickBot="1" x14ac:dyDescent="0.3">
      <c r="B78" s="97" t="s">
        <v>15</v>
      </c>
      <c r="C78" s="76">
        <f>ROUNDUP(C75/(0.9*(($C$7-C77/2)/100)*($L$9*1000)),2)</f>
        <v>0.4</v>
      </c>
      <c r="D78" s="76">
        <f>ROUNDUP(D75/(0.9*(($C$7-D77/2)/100)*($L$9*1000)),2)</f>
        <v>0.28000000000000003</v>
      </c>
      <c r="E78" s="76">
        <f>ROUNDUP(E75/(0.9*(($C$7-E77/2)/100)*($L$9*1000)),2)</f>
        <v>0.28000000000000003</v>
      </c>
      <c r="F78" s="76">
        <f>ROUNDUP(F75/(0.9*(($C$7-F77/2)/100)*($L$9*1000)),2)</f>
        <v>0.43</v>
      </c>
      <c r="G78" s="76">
        <f>ROUNDUP(G75/(0.9*(($C$7-G77/2)/100)*($L$9*1000)),2)</f>
        <v>0.52</v>
      </c>
      <c r="H78" s="76">
        <f>ROUNDUP(H75/(0.9*(($C$7-H77/2)/100)*($L$9*1000)),2)</f>
        <v>0.38</v>
      </c>
      <c r="I78" s="76">
        <f>ROUNDUP(I75/(0.9*(($C$7-I77/2)/100)*($L$9*1000)),2)</f>
        <v>6.0000000000000005E-2</v>
      </c>
      <c r="J78" s="76">
        <f>ROUNDUP(J75/(0.9*(($C$7-J77/2)/100)*($L$9*1000)),2)</f>
        <v>0</v>
      </c>
      <c r="K78" s="76">
        <f>ROUNDUP(K75/(0.9*(($C$7-K77/2)/100)*($L$9*1000)),2)</f>
        <v>0</v>
      </c>
      <c r="L78" s="76">
        <f>ROUNDUP(L75/(0.9*(($C$7-L77/2)/100)*($L$9*1000)),2)</f>
        <v>0.38</v>
      </c>
      <c r="M78" s="76">
        <f>ROUNDUP(M75/(0.9*(($C$7-M77/2)/100)*($L$9*1000)),2)</f>
        <v>0.48</v>
      </c>
      <c r="N78" s="76">
        <f>ROUNDUP(N75/(0.9*(($C$7-N77/2)/100)*($L$9*1000)),2)</f>
        <v>0</v>
      </c>
      <c r="O78" s="76">
        <f>ROUNDUP(O75/(0.9*(($C$7-O77/2)/100)*($L$9*1000)),2)</f>
        <v>0</v>
      </c>
      <c r="P78" s="76">
        <f>ROUNDUP(P75/(0.9*(($C$7-P77/2)/100)*($L$9*1000)),2)</f>
        <v>0</v>
      </c>
      <c r="Q78" s="76">
        <f>ROUNDUP(Q75/(0.9*(($C$7-Q77/2)/100)*($L$9*1000)),2)</f>
        <v>0</v>
      </c>
      <c r="R78" s="76">
        <f>ROUNDUP(R75/(0.9*(($C$7-R77/2)/100)*($L$9*1000)),2)</f>
        <v>0</v>
      </c>
      <c r="S78" s="76">
        <f>ROUNDUP(S75/(0.9*(($C$7-S77/2)/100)*($L$9*1000)),2)</f>
        <v>0</v>
      </c>
      <c r="T78" s="76">
        <f>ROUNDUP(T75/(0.9*(($C$7-T77/2)/100)*($L$9*1000)),2)</f>
        <v>0</v>
      </c>
      <c r="U78" s="76">
        <f>ROUNDUP(U75/(0.9*(($C$7-U77/2)/100)*($L$9*1000)),2)</f>
        <v>0</v>
      </c>
      <c r="V78" s="76">
        <f>ROUNDUP(V75/(0.9*(($C$7-V77/2)/100)*($L$9*1000)),2)</f>
        <v>0</v>
      </c>
      <c r="W78" s="76">
        <f>ROUNDUP(W75/(0.9*(($C$7-W77/2)/100)*($L$9*1000)),2)</f>
        <v>0</v>
      </c>
      <c r="X78" s="76">
        <f>ROUNDUP(X75/(0.9*(($C$7-X77/2)/100)*($L$9*1000)),2)</f>
        <v>9.9999999999999992E-2</v>
      </c>
    </row>
    <row r="79" spans="2:24" ht="16.5" thickBot="1" x14ac:dyDescent="0.3">
      <c r="B79" s="61" t="s">
        <v>101</v>
      </c>
      <c r="C79" s="134" t="str">
        <f>IF(C78&gt;$C$12,"$\phi"&amp;IF(VLOOKUP(VLOOKUP(C78,tablas!$R$3:$T$66,2,TRUE)&amp;VLOOKUP(C78,tablas!$R$3:$T$66,3,TRUE),tablas!$Q$3:$R$66,2,FALSE)&lt;C78,VLOOKUP(C78+0.1,tablas!$R$3:$T$66,2,TRUE),VLOOKUP(C78,tablas!$R$3:$T$66,2,TRUE))&amp;"@"&amp;IF(VLOOKUP(VLOOKUP(C78,tablas!$R$3:$T$66,2,TRUE)&amp;VLOOKUP(C78,tablas!$R$3:$T$66,3,TRUE),tablas!$Q$3:$R$66,2,FALSE)&lt;C78,VLOOKUP(C78+0.1,tablas!$R$3:$T$66,3,TRUE),VLOOKUP(C78,tablas!$R$3:$T$66,3,TRUE))&amp;"$",$C$13)</f>
        <v>$\phi8@17$</v>
      </c>
      <c r="D79" s="134" t="str">
        <f>IF(D78&gt;$C$12,"$\phi"&amp;IF(VLOOKUP(VLOOKUP(D78,tablas!$R$3:$T$66,2,TRUE)&amp;VLOOKUP(D78,tablas!$R$3:$T$66,3,TRUE),tablas!$Q$3:$R$66,2,FALSE)&lt;D78,VLOOKUP(D78+0.1,tablas!$R$3:$T$66,2,TRUE),VLOOKUP(D78,tablas!$R$3:$T$66,2,TRUE))&amp;"@"&amp;IF(VLOOKUP(VLOOKUP(D78,tablas!$R$3:$T$66,2,TRUE)&amp;VLOOKUP(D78,tablas!$R$3:$T$66,3,TRUE),tablas!$Q$3:$R$66,2,FALSE)&lt;D78,VLOOKUP(D78+0.1,tablas!$R$3:$T$66,3,TRUE),VLOOKUP(D78,tablas!$R$3:$T$66,3,TRUE))&amp;"$",$C$13)</f>
        <v>$\phi8@17$</v>
      </c>
      <c r="E79" s="134" t="str">
        <f>IF(E78&gt;$C$12,"$\phi"&amp;IF(VLOOKUP(VLOOKUP(E78,tablas!$R$3:$T$66,2,TRUE)&amp;VLOOKUP(E78,tablas!$R$3:$T$66,3,TRUE),tablas!$Q$3:$R$66,2,FALSE)&lt;E78,VLOOKUP(E78+0.1,tablas!$R$3:$T$66,2,TRUE),VLOOKUP(E78,tablas!$R$3:$T$66,2,TRUE))&amp;"@"&amp;IF(VLOOKUP(VLOOKUP(E78,tablas!$R$3:$T$66,2,TRUE)&amp;VLOOKUP(E78,tablas!$R$3:$T$66,3,TRUE),tablas!$Q$3:$R$66,2,FALSE)&lt;E78,VLOOKUP(E78+0.1,tablas!$R$3:$T$66,3,TRUE),VLOOKUP(E78,tablas!$R$3:$T$66,3,TRUE))&amp;"$",$C$13)</f>
        <v>$\phi8@17$</v>
      </c>
      <c r="F79" s="134" t="str">
        <f>IF(F78&gt;$C$12,"$\phi"&amp;IF(VLOOKUP(VLOOKUP(F78,tablas!$R$3:$T$66,2,TRUE)&amp;VLOOKUP(F78,tablas!$R$3:$T$66,3,TRUE),tablas!$Q$3:$R$66,2,FALSE)&lt;F78,VLOOKUP(F78+0.1,tablas!$R$3:$T$66,2,TRUE),VLOOKUP(F78,tablas!$R$3:$T$66,2,TRUE))&amp;"@"&amp;IF(VLOOKUP(VLOOKUP(F78,tablas!$R$3:$T$66,2,TRUE)&amp;VLOOKUP(F78,tablas!$R$3:$T$66,3,TRUE),tablas!$Q$3:$R$66,2,FALSE)&lt;F78,VLOOKUP(F78+0.1,tablas!$R$3:$T$66,3,TRUE),VLOOKUP(F78,tablas!$R$3:$T$66,3,TRUE))&amp;"$",$C$13)</f>
        <v>$\phi8@17$</v>
      </c>
      <c r="G79" s="134" t="str">
        <f>IF(G78&gt;$C$12,"$\phi"&amp;IF(VLOOKUP(VLOOKUP(G78,tablas!$R$3:$T$66,2,TRUE)&amp;VLOOKUP(G78,tablas!$R$3:$T$66,3,TRUE),tablas!$Q$3:$R$66,2,FALSE)&lt;G78,VLOOKUP(G78+0.1,tablas!$R$3:$T$66,2,TRUE),VLOOKUP(G78,tablas!$R$3:$T$66,2,TRUE))&amp;"@"&amp;IF(VLOOKUP(VLOOKUP(G78,tablas!$R$3:$T$66,2,TRUE)&amp;VLOOKUP(G78,tablas!$R$3:$T$66,3,TRUE),tablas!$Q$3:$R$66,2,FALSE)&lt;G78,VLOOKUP(G78+0.1,tablas!$R$3:$T$66,3,TRUE),VLOOKUP(G78,tablas!$R$3:$T$66,3,TRUE))&amp;"$",$C$13)</f>
        <v>$\phi8@17$</v>
      </c>
      <c r="H79" s="134" t="str">
        <f>IF(H78&gt;$C$12,"$\phi"&amp;IF(VLOOKUP(VLOOKUP(H78,tablas!$R$3:$T$66,2,TRUE)&amp;VLOOKUP(H78,tablas!$R$3:$T$66,3,TRUE),tablas!$Q$3:$R$66,2,FALSE)&lt;H78,VLOOKUP(H78+0.1,tablas!$R$3:$T$66,2,TRUE),VLOOKUP(H78,tablas!$R$3:$T$66,2,TRUE))&amp;"@"&amp;IF(VLOOKUP(VLOOKUP(H78,tablas!$R$3:$T$66,2,TRUE)&amp;VLOOKUP(H78,tablas!$R$3:$T$66,3,TRUE),tablas!$Q$3:$R$66,2,FALSE)&lt;H78,VLOOKUP(H78+0.1,tablas!$R$3:$T$66,3,TRUE),VLOOKUP(H78,tablas!$R$3:$T$66,3,TRUE))&amp;"$",$C$13)</f>
        <v>$\phi8@17$</v>
      </c>
      <c r="I79" s="134" t="str">
        <f>IF(I78&gt;$C$12,"$\phi"&amp;IF(VLOOKUP(VLOOKUP(I78,tablas!$R$3:$T$66,2,TRUE)&amp;VLOOKUP(I78,tablas!$R$3:$T$66,3,TRUE),tablas!$Q$3:$R$66,2,FALSE)&lt;I78,VLOOKUP(I78+0.1,tablas!$R$3:$T$66,2,TRUE),VLOOKUP(I78,tablas!$R$3:$T$66,2,TRUE))&amp;"@"&amp;IF(VLOOKUP(VLOOKUP(I78,tablas!$R$3:$T$66,2,TRUE)&amp;VLOOKUP(I78,tablas!$R$3:$T$66,3,TRUE),tablas!$Q$3:$R$66,2,FALSE)&lt;I78,VLOOKUP(I78+0.1,tablas!$R$3:$T$66,3,TRUE),VLOOKUP(I78,tablas!$R$3:$T$66,3,TRUE))&amp;"$",$C$13)</f>
        <v>$\phi8@17$</v>
      </c>
      <c r="J79" s="134" t="str">
        <f>IF(J78&gt;$C$12,"$\phi"&amp;IF(VLOOKUP(VLOOKUP(J78,tablas!$R$3:$T$66,2,TRUE)&amp;VLOOKUP(J78,tablas!$R$3:$T$66,3,TRUE),tablas!$Q$3:$R$66,2,FALSE)&lt;J78,VLOOKUP(J78+0.1,tablas!$R$3:$T$66,2,TRUE),VLOOKUP(J78,tablas!$R$3:$T$66,2,TRUE))&amp;"@"&amp;IF(VLOOKUP(VLOOKUP(J78,tablas!$R$3:$T$66,2,TRUE)&amp;VLOOKUP(J78,tablas!$R$3:$T$66,3,TRUE),tablas!$Q$3:$R$66,2,FALSE)&lt;J78,VLOOKUP(J78+0.1,tablas!$R$3:$T$66,3,TRUE),VLOOKUP(J78,tablas!$R$3:$T$66,3,TRUE))&amp;"$",$C$13)</f>
        <v>$\phi8@17$</v>
      </c>
      <c r="K79" s="134" t="str">
        <f>IF(K78&gt;$C$12,"$\phi"&amp;IF(VLOOKUP(VLOOKUP(K78,tablas!$R$3:$T$66,2,TRUE)&amp;VLOOKUP(K78,tablas!$R$3:$T$66,3,TRUE),tablas!$Q$3:$R$66,2,FALSE)&lt;K78,VLOOKUP(K78+0.1,tablas!$R$3:$T$66,2,TRUE),VLOOKUP(K78,tablas!$R$3:$T$66,2,TRUE))&amp;"@"&amp;IF(VLOOKUP(VLOOKUP(K78,tablas!$R$3:$T$66,2,TRUE)&amp;VLOOKUP(K78,tablas!$R$3:$T$66,3,TRUE),tablas!$Q$3:$R$66,2,FALSE)&lt;K78,VLOOKUP(K78+0.1,tablas!$R$3:$T$66,3,TRUE),VLOOKUP(K78,tablas!$R$3:$T$66,3,TRUE))&amp;"$",$C$13)</f>
        <v>$\phi8@17$</v>
      </c>
      <c r="L79" s="134" t="str">
        <f>IF(L78&gt;$C$12,"$\phi"&amp;IF(VLOOKUP(VLOOKUP(L78,tablas!$R$3:$T$66,2,TRUE)&amp;VLOOKUP(L78,tablas!$R$3:$T$66,3,TRUE),tablas!$Q$3:$R$66,2,FALSE)&lt;L78,VLOOKUP(L78+0.1,tablas!$R$3:$T$66,2,TRUE),VLOOKUP(L78,tablas!$R$3:$T$66,2,TRUE))&amp;"@"&amp;IF(VLOOKUP(VLOOKUP(L78,tablas!$R$3:$T$66,2,TRUE)&amp;VLOOKUP(L78,tablas!$R$3:$T$66,3,TRUE),tablas!$Q$3:$R$66,2,FALSE)&lt;L78,VLOOKUP(L78+0.1,tablas!$R$3:$T$66,3,TRUE),VLOOKUP(L78,tablas!$R$3:$T$66,3,TRUE))&amp;"$",$C$13)</f>
        <v>$\phi8@17$</v>
      </c>
      <c r="M79" s="134" t="str">
        <f>IF(M78&gt;$C$12,"$\phi"&amp;IF(VLOOKUP(VLOOKUP(M78,tablas!$R$3:$T$66,2,TRUE)&amp;VLOOKUP(M78,tablas!$R$3:$T$66,3,TRUE),tablas!$Q$3:$R$66,2,FALSE)&lt;M78,VLOOKUP(M78+0.1,tablas!$R$3:$T$66,2,TRUE),VLOOKUP(M78,tablas!$R$3:$T$66,2,TRUE))&amp;"@"&amp;IF(VLOOKUP(VLOOKUP(M78,tablas!$R$3:$T$66,2,TRUE)&amp;VLOOKUP(M78,tablas!$R$3:$T$66,3,TRUE),tablas!$Q$3:$R$66,2,FALSE)&lt;M78,VLOOKUP(M78+0.1,tablas!$R$3:$T$66,3,TRUE),VLOOKUP(M78,tablas!$R$3:$T$66,3,TRUE))&amp;"$",$C$13)</f>
        <v>$\phi8@17$</v>
      </c>
      <c r="N79" s="134" t="str">
        <f>IF(N78&gt;$C$12,"$\phi"&amp;IF(VLOOKUP(VLOOKUP(N78,tablas!$R$3:$T$66,2,TRUE)&amp;VLOOKUP(N78,tablas!$R$3:$T$66,3,TRUE),tablas!$Q$3:$R$66,2,FALSE)&lt;N78,VLOOKUP(N78+0.1,tablas!$R$3:$T$66,2,TRUE),VLOOKUP(N78,tablas!$R$3:$T$66,2,TRUE))&amp;"@"&amp;IF(VLOOKUP(VLOOKUP(N78,tablas!$R$3:$T$66,2,TRUE)&amp;VLOOKUP(N78,tablas!$R$3:$T$66,3,TRUE),tablas!$Q$3:$R$66,2,FALSE)&lt;N78,VLOOKUP(N78+0.1,tablas!$R$3:$T$66,3,TRUE),VLOOKUP(N78,tablas!$R$3:$T$66,3,TRUE))&amp;"$",$C$13)</f>
        <v>$\phi8@17$</v>
      </c>
      <c r="O79" s="134" t="str">
        <f>IF(O78&gt;$C$12,"$\phi"&amp;IF(VLOOKUP(VLOOKUP(O78,tablas!$R$3:$T$66,2,TRUE)&amp;VLOOKUP(O78,tablas!$R$3:$T$66,3,TRUE),tablas!$Q$3:$R$66,2,FALSE)&lt;O78,VLOOKUP(O78+0.1,tablas!$R$3:$T$66,2,TRUE),VLOOKUP(O78,tablas!$R$3:$T$66,2,TRUE))&amp;"@"&amp;IF(VLOOKUP(VLOOKUP(O78,tablas!$R$3:$T$66,2,TRUE)&amp;VLOOKUP(O78,tablas!$R$3:$T$66,3,TRUE),tablas!$Q$3:$R$66,2,FALSE)&lt;O78,VLOOKUP(O78+0.1,tablas!$R$3:$T$66,3,TRUE),VLOOKUP(O78,tablas!$R$3:$T$66,3,TRUE))&amp;"$",$C$13)</f>
        <v>$\phi8@17$</v>
      </c>
      <c r="P79" s="134" t="str">
        <f>IF(P78&gt;$C$12,"$\phi"&amp;IF(VLOOKUP(VLOOKUP(P78,tablas!$R$3:$T$66,2,TRUE)&amp;VLOOKUP(P78,tablas!$R$3:$T$66,3,TRUE),tablas!$Q$3:$R$66,2,FALSE)&lt;P78,VLOOKUP(P78+0.1,tablas!$R$3:$T$66,2,TRUE),VLOOKUP(P78,tablas!$R$3:$T$66,2,TRUE))&amp;"@"&amp;IF(VLOOKUP(VLOOKUP(P78,tablas!$R$3:$T$66,2,TRUE)&amp;VLOOKUP(P78,tablas!$R$3:$T$66,3,TRUE),tablas!$Q$3:$R$66,2,FALSE)&lt;P78,VLOOKUP(P78+0.1,tablas!$R$3:$T$66,3,TRUE),VLOOKUP(P78,tablas!$R$3:$T$66,3,TRUE))&amp;"$",$C$13)</f>
        <v>$\phi8@17$</v>
      </c>
      <c r="Q79" s="134" t="str">
        <f>IF(Q78&gt;$C$12,"$\phi"&amp;IF(VLOOKUP(VLOOKUP(Q78,tablas!$R$3:$T$66,2,TRUE)&amp;VLOOKUP(Q78,tablas!$R$3:$T$66,3,TRUE),tablas!$Q$3:$R$66,2,FALSE)&lt;Q78,VLOOKUP(Q78+0.1,tablas!$R$3:$T$66,2,TRUE),VLOOKUP(Q78,tablas!$R$3:$T$66,2,TRUE))&amp;"@"&amp;IF(VLOOKUP(VLOOKUP(Q78,tablas!$R$3:$T$66,2,TRUE)&amp;VLOOKUP(Q78,tablas!$R$3:$T$66,3,TRUE),tablas!$Q$3:$R$66,2,FALSE)&lt;Q78,VLOOKUP(Q78+0.1,tablas!$R$3:$T$66,3,TRUE),VLOOKUP(Q78,tablas!$R$3:$T$66,3,TRUE))&amp;"$",$C$13)</f>
        <v>$\phi8@17$</v>
      </c>
      <c r="R79" s="134" t="str">
        <f>IF(R78&gt;$C$12,"$\phi"&amp;IF(VLOOKUP(VLOOKUP(R78,tablas!$R$3:$T$66,2,TRUE)&amp;VLOOKUP(R78,tablas!$R$3:$T$66,3,TRUE),tablas!$Q$3:$R$66,2,FALSE)&lt;R78,VLOOKUP(R78+0.1,tablas!$R$3:$T$66,2,TRUE),VLOOKUP(R78,tablas!$R$3:$T$66,2,TRUE))&amp;"@"&amp;IF(VLOOKUP(VLOOKUP(R78,tablas!$R$3:$T$66,2,TRUE)&amp;VLOOKUP(R78,tablas!$R$3:$T$66,3,TRUE),tablas!$Q$3:$R$66,2,FALSE)&lt;R78,VLOOKUP(R78+0.1,tablas!$R$3:$T$66,3,TRUE),VLOOKUP(R78,tablas!$R$3:$T$66,3,TRUE))&amp;"$",$C$13)</f>
        <v>$\phi8@17$</v>
      </c>
      <c r="S79" s="134" t="str">
        <f>IF(S78&gt;$C$12,"$\phi"&amp;IF(VLOOKUP(VLOOKUP(S78,tablas!$R$3:$T$66,2,TRUE)&amp;VLOOKUP(S78,tablas!$R$3:$T$66,3,TRUE),tablas!$Q$3:$R$66,2,FALSE)&lt;S78,VLOOKUP(S78+0.1,tablas!$R$3:$T$66,2,TRUE),VLOOKUP(S78,tablas!$R$3:$T$66,2,TRUE))&amp;"@"&amp;IF(VLOOKUP(VLOOKUP(S78,tablas!$R$3:$T$66,2,TRUE)&amp;VLOOKUP(S78,tablas!$R$3:$T$66,3,TRUE),tablas!$Q$3:$R$66,2,FALSE)&lt;S78,VLOOKUP(S78+0.1,tablas!$R$3:$T$66,3,TRUE),VLOOKUP(S78,tablas!$R$3:$T$66,3,TRUE))&amp;"$",$C$13)</f>
        <v>$\phi8@17$</v>
      </c>
      <c r="T79" s="134" t="str">
        <f>IF(T78&gt;$C$12,"$\phi"&amp;IF(VLOOKUP(VLOOKUP(T78,tablas!$R$3:$T$66,2,TRUE)&amp;VLOOKUP(T78,tablas!$R$3:$T$66,3,TRUE),tablas!$Q$3:$R$66,2,FALSE)&lt;T78,VLOOKUP(T78+0.1,tablas!$R$3:$T$66,2,TRUE),VLOOKUP(T78,tablas!$R$3:$T$66,2,TRUE))&amp;"@"&amp;IF(VLOOKUP(VLOOKUP(T78,tablas!$R$3:$T$66,2,TRUE)&amp;VLOOKUP(T78,tablas!$R$3:$T$66,3,TRUE),tablas!$Q$3:$R$66,2,FALSE)&lt;T78,VLOOKUP(T78+0.1,tablas!$R$3:$T$66,3,TRUE),VLOOKUP(T78,tablas!$R$3:$T$66,3,TRUE))&amp;"$",$C$13)</f>
        <v>$\phi8@17$</v>
      </c>
      <c r="U79" s="134" t="str">
        <f>IF(U78&gt;$C$12,"$\phi"&amp;IF(VLOOKUP(VLOOKUP(U78,tablas!$R$3:$T$66,2,TRUE)&amp;VLOOKUP(U78,tablas!$R$3:$T$66,3,TRUE),tablas!$Q$3:$R$66,2,FALSE)&lt;U78,VLOOKUP(U78+0.1,tablas!$R$3:$T$66,2,TRUE),VLOOKUP(U78,tablas!$R$3:$T$66,2,TRUE))&amp;"@"&amp;IF(VLOOKUP(VLOOKUP(U78,tablas!$R$3:$T$66,2,TRUE)&amp;VLOOKUP(U78,tablas!$R$3:$T$66,3,TRUE),tablas!$Q$3:$R$66,2,FALSE)&lt;U78,VLOOKUP(U78+0.1,tablas!$R$3:$T$66,3,TRUE),VLOOKUP(U78,tablas!$R$3:$T$66,3,TRUE))&amp;"$",$C$13)</f>
        <v>$\phi8@17$</v>
      </c>
      <c r="V79" s="134" t="str">
        <f>IF(V78&gt;$C$12,"$\phi"&amp;IF(VLOOKUP(VLOOKUP(V78,tablas!$R$3:$T$66,2,TRUE)&amp;VLOOKUP(V78,tablas!$R$3:$T$66,3,TRUE),tablas!$Q$3:$R$66,2,FALSE)&lt;V78,VLOOKUP(V78+0.1,tablas!$R$3:$T$66,2,TRUE),VLOOKUP(V78,tablas!$R$3:$T$66,2,TRUE))&amp;"@"&amp;IF(VLOOKUP(VLOOKUP(V78,tablas!$R$3:$T$66,2,TRUE)&amp;VLOOKUP(V78,tablas!$R$3:$T$66,3,TRUE),tablas!$Q$3:$R$66,2,FALSE)&lt;V78,VLOOKUP(V78+0.1,tablas!$R$3:$T$66,3,TRUE),VLOOKUP(V78,tablas!$R$3:$T$66,3,TRUE))&amp;"$",$C$13)</f>
        <v>$\phi8@17$</v>
      </c>
      <c r="W79" s="134" t="str">
        <f>IF(W78&gt;$C$12,"$\phi"&amp;IF(VLOOKUP(VLOOKUP(W78,tablas!$R$3:$T$66,2,TRUE)&amp;VLOOKUP(W78,tablas!$R$3:$T$66,3,TRUE),tablas!$Q$3:$R$66,2,FALSE)&lt;W78,VLOOKUP(W78+0.1,tablas!$R$3:$T$66,2,TRUE),VLOOKUP(W78,tablas!$R$3:$T$66,2,TRUE))&amp;"@"&amp;IF(VLOOKUP(VLOOKUP(W78,tablas!$R$3:$T$66,2,TRUE)&amp;VLOOKUP(W78,tablas!$R$3:$T$66,3,TRUE),tablas!$Q$3:$R$66,2,FALSE)&lt;W78,VLOOKUP(W78+0.1,tablas!$R$3:$T$66,3,TRUE),VLOOKUP(W78,tablas!$R$3:$T$66,3,TRUE))&amp;"$",$C$13)</f>
        <v>$\phi8@17$</v>
      </c>
      <c r="X79" s="134" t="str">
        <f>IF(X78&gt;$C$12,"$\phi"&amp;IF(VLOOKUP(VLOOKUP(X78,tablas!$R$3:$T$66,2,TRUE)&amp;VLOOKUP(X78,tablas!$R$3:$T$66,3,TRUE),tablas!$Q$3:$R$66,2,FALSE)&lt;X78,VLOOKUP(X78+0.1,tablas!$R$3:$T$66,2,TRUE),VLOOKUP(X78,tablas!$R$3:$T$66,2,TRUE))&amp;"@"&amp;IF(VLOOKUP(VLOOKUP(X78,tablas!$R$3:$T$66,2,TRUE)&amp;VLOOKUP(X78,tablas!$R$3:$T$66,3,TRUE),tablas!$Q$3:$R$66,2,FALSE)&lt;X78,VLOOKUP(X78+0.1,tablas!$R$3:$T$66,3,TRUE),VLOOKUP(X78,tablas!$R$3:$T$66,3,TRUE))&amp;"$",$C$13)</f>
        <v>$\phi8@17$</v>
      </c>
    </row>
    <row r="80" spans="2:24" x14ac:dyDescent="0.25">
      <c r="B80" s="96" t="s">
        <v>103</v>
      </c>
      <c r="C80" s="89">
        <f>IF(C53&lt;=2,C67/C58,IF(OR(C51=6,C51="5a",C51="3a"),C66*C48^2/12,(IF(OR(C51="2a",C51=4,C51="5b"),C66*C48^2/8,"-"))))</f>
        <v>2685.6097560975609</v>
      </c>
      <c r="D80" s="89">
        <f t="shared" ref="D80:X80" si="15">IF(D53&lt;=2,D67/D58,IF(OR(D51=6,D51="5a",D51="3a"),D66*D48^2/12,(IF(OR(D51="2a",D51=4,D51="5b"),D66*D48^2/8,"-"))))</f>
        <v>1260.4468085106382</v>
      </c>
      <c r="E80" s="89">
        <f t="shared" si="15"/>
        <v>1260.4468085106382</v>
      </c>
      <c r="F80" s="89">
        <f t="shared" si="15"/>
        <v>2262.4164062499999</v>
      </c>
      <c r="G80" s="89">
        <f t="shared" si="15"/>
        <v>1981.8038709677417</v>
      </c>
      <c r="H80" s="89">
        <f t="shared" si="15"/>
        <v>1214.946808510638</v>
      </c>
      <c r="I80" s="89">
        <f t="shared" si="15"/>
        <v>438.6613636363636</v>
      </c>
      <c r="J80" s="89">
        <f t="shared" si="15"/>
        <v>148.6333333333333</v>
      </c>
      <c r="K80" s="89">
        <f t="shared" si="15"/>
        <v>637.75833333333333</v>
      </c>
      <c r="L80" s="89">
        <f t="shared" si="15"/>
        <v>1214.946808510638</v>
      </c>
      <c r="M80" s="89">
        <f t="shared" si="15"/>
        <v>1847.9751612903226</v>
      </c>
      <c r="N80" s="89">
        <f t="shared" si="15"/>
        <v>259.36137500000001</v>
      </c>
      <c r="O80" s="89">
        <f t="shared" si="15"/>
        <v>259.36137500000001</v>
      </c>
      <c r="P80" s="89">
        <f t="shared" si="15"/>
        <v>259.36137500000001</v>
      </c>
      <c r="Q80" s="89">
        <f t="shared" si="15"/>
        <v>259.36137500000001</v>
      </c>
      <c r="R80" s="89">
        <f t="shared" si="15"/>
        <v>123.03200000000001</v>
      </c>
      <c r="S80" s="89">
        <f t="shared" si="15"/>
        <v>123.03200000000001</v>
      </c>
      <c r="T80" s="89">
        <f t="shared" si="15"/>
        <v>204.24950000000004</v>
      </c>
      <c r="U80" s="89">
        <f t="shared" si="15"/>
        <v>204.24950000000004</v>
      </c>
      <c r="V80" s="89">
        <f t="shared" si="15"/>
        <v>62.289499999999997</v>
      </c>
      <c r="W80" s="89">
        <f t="shared" si="15"/>
        <v>55.73749999999999</v>
      </c>
      <c r="X80" s="89">
        <f t="shared" si="15"/>
        <v>543.60239520958078</v>
      </c>
    </row>
    <row r="81" spans="2:26" x14ac:dyDescent="0.25">
      <c r="B81" s="97" t="s">
        <v>15</v>
      </c>
      <c r="C81" s="90">
        <f>C80/(0.9*(0.9*($C$7/100))*($L$9*1000))</f>
        <v>5.5333237652210352</v>
      </c>
      <c r="D81" s="90">
        <f t="shared" ref="D81:X81" si="16">D80/(0.9*(0.9*($C$7/100))*($L$9*1000))</f>
        <v>2.5969745844472421</v>
      </c>
      <c r="E81" s="90">
        <f t="shared" si="16"/>
        <v>2.5969745844472421</v>
      </c>
      <c r="F81" s="90">
        <f t="shared" si="16"/>
        <v>4.6613929812795645</v>
      </c>
      <c r="G81" s="90">
        <f t="shared" si="16"/>
        <v>4.0832300494645972</v>
      </c>
      <c r="H81" s="90">
        <f t="shared" si="16"/>
        <v>2.5032281900777944</v>
      </c>
      <c r="I81" s="90">
        <f t="shared" si="16"/>
        <v>0.9038004657163532</v>
      </c>
      <c r="J81" s="90">
        <f t="shared" si="16"/>
        <v>0.30623822160686109</v>
      </c>
      <c r="K81" s="90">
        <f t="shared" si="16"/>
        <v>1.3140119610784196</v>
      </c>
      <c r="L81" s="90">
        <f t="shared" si="16"/>
        <v>2.5032281900777944</v>
      </c>
      <c r="M81" s="90">
        <f t="shared" si="16"/>
        <v>3.8074946869289135</v>
      </c>
      <c r="N81" s="90">
        <f t="shared" si="16"/>
        <v>0.53437788450444201</v>
      </c>
      <c r="O81" s="90">
        <f t="shared" si="16"/>
        <v>0.53437788450444201</v>
      </c>
      <c r="P81" s="90">
        <f t="shared" si="16"/>
        <v>0.53437788450444201</v>
      </c>
      <c r="Q81" s="90">
        <f t="shared" si="16"/>
        <v>0.53437788450444201</v>
      </c>
      <c r="R81" s="90">
        <f t="shared" si="16"/>
        <v>0.25349025037498552</v>
      </c>
      <c r="S81" s="90">
        <f t="shared" si="16"/>
        <v>0.25349025037498552</v>
      </c>
      <c r="T81" s="90">
        <f t="shared" si="16"/>
        <v>0.42082756432444901</v>
      </c>
      <c r="U81" s="90">
        <f t="shared" si="16"/>
        <v>0.42082756432444901</v>
      </c>
      <c r="V81" s="90">
        <f t="shared" si="16"/>
        <v>0.12833881389177335</v>
      </c>
      <c r="W81" s="90">
        <f t="shared" si="16"/>
        <v>0.11483933310257292</v>
      </c>
      <c r="X81" s="90">
        <f t="shared" si="16"/>
        <v>1.1200168026701871</v>
      </c>
    </row>
    <row r="82" spans="2:26" x14ac:dyDescent="0.25">
      <c r="B82" s="97" t="s">
        <v>98</v>
      </c>
      <c r="C82" s="92">
        <f>(C81*($L$9))/(0.85*$L$6*100)</f>
        <v>0.13657800297085368</v>
      </c>
      <c r="D82" s="92">
        <f t="shared" ref="D82:X82" si="17">(D81*($L$9))/(0.85*$L$6*100)</f>
        <v>6.4100641415422127E-2</v>
      </c>
      <c r="E82" s="92">
        <f t="shared" si="17"/>
        <v>6.4100641415422127E-2</v>
      </c>
      <c r="F82" s="92">
        <f t="shared" si="17"/>
        <v>0.11505629734646215</v>
      </c>
      <c r="G82" s="92">
        <f t="shared" si="17"/>
        <v>0.10078560906406273</v>
      </c>
      <c r="H82" s="92">
        <f t="shared" si="17"/>
        <v>6.1786716571701039E-2</v>
      </c>
      <c r="I82" s="92">
        <f t="shared" si="17"/>
        <v>2.2308339061510907E-2</v>
      </c>
      <c r="J82" s="92">
        <f t="shared" si="17"/>
        <v>7.5588211561555107E-3</v>
      </c>
      <c r="K82" s="92">
        <f t="shared" si="17"/>
        <v>3.2433513226157069E-2</v>
      </c>
      <c r="L82" s="92">
        <f t="shared" si="17"/>
        <v>6.1786716571701039E-2</v>
      </c>
      <c r="M82" s="92">
        <f t="shared" si="17"/>
        <v>9.3979684314046991E-2</v>
      </c>
      <c r="N82" s="92">
        <f t="shared" si="17"/>
        <v>1.318995009042106E-2</v>
      </c>
      <c r="O82" s="92">
        <f t="shared" si="17"/>
        <v>1.318995009042106E-2</v>
      </c>
      <c r="P82" s="92">
        <f t="shared" si="17"/>
        <v>1.318995009042106E-2</v>
      </c>
      <c r="Q82" s="92">
        <f t="shared" si="17"/>
        <v>1.318995009042106E-2</v>
      </c>
      <c r="R82" s="92">
        <f t="shared" si="17"/>
        <v>6.2568527774217878E-3</v>
      </c>
      <c r="S82" s="92">
        <f t="shared" si="17"/>
        <v>6.2568527774217878E-3</v>
      </c>
      <c r="T82" s="92">
        <f t="shared" si="17"/>
        <v>1.0387208623463909E-2</v>
      </c>
      <c r="U82" s="92">
        <f t="shared" si="17"/>
        <v>1.0387208623463909E-2</v>
      </c>
      <c r="V82" s="92">
        <f t="shared" si="17"/>
        <v>3.1677631110541521E-3</v>
      </c>
      <c r="W82" s="92">
        <f t="shared" si="17"/>
        <v>2.8345579335583167E-3</v>
      </c>
      <c r="X82" s="92">
        <f t="shared" si="17"/>
        <v>2.7645166755642454E-2</v>
      </c>
    </row>
    <row r="83" spans="2:26" ht="15.75" thickBot="1" x14ac:dyDescent="0.3">
      <c r="B83" s="97" t="s">
        <v>15</v>
      </c>
      <c r="C83" s="76">
        <f>ROUNDUP(C80/(0.9*(($C$7-C82/2)/100)*($L$9*1000)),2)</f>
        <v>5.01</v>
      </c>
      <c r="D83" s="76">
        <f t="shared" ref="D83:X83" si="18">ROUNDUP(D80/(0.9*(($C$7-D82/2)/100)*($L$9*1000)),2)</f>
        <v>2.3499999999999996</v>
      </c>
      <c r="E83" s="76">
        <f t="shared" si="18"/>
        <v>2.3499999999999996</v>
      </c>
      <c r="F83" s="76">
        <f t="shared" si="18"/>
        <v>4.22</v>
      </c>
      <c r="G83" s="76">
        <f t="shared" si="18"/>
        <v>3.69</v>
      </c>
      <c r="H83" s="76">
        <f t="shared" si="18"/>
        <v>2.2599999999999998</v>
      </c>
      <c r="I83" s="76">
        <f t="shared" si="18"/>
        <v>0.82000000000000006</v>
      </c>
      <c r="J83" s="76">
        <f t="shared" si="18"/>
        <v>0.28000000000000003</v>
      </c>
      <c r="K83" s="76">
        <f t="shared" si="18"/>
        <v>1.19</v>
      </c>
      <c r="L83" s="76">
        <f t="shared" si="18"/>
        <v>2.2599999999999998</v>
      </c>
      <c r="M83" s="76">
        <f t="shared" si="18"/>
        <v>3.44</v>
      </c>
      <c r="N83" s="76">
        <f t="shared" si="18"/>
        <v>0.49</v>
      </c>
      <c r="O83" s="76">
        <f t="shared" si="18"/>
        <v>0.49</v>
      </c>
      <c r="P83" s="76">
        <f t="shared" si="18"/>
        <v>0.49</v>
      </c>
      <c r="Q83" s="76">
        <f t="shared" si="18"/>
        <v>0.49</v>
      </c>
      <c r="R83" s="76">
        <f t="shared" si="18"/>
        <v>0.23</v>
      </c>
      <c r="S83" s="76">
        <f t="shared" si="18"/>
        <v>0.23</v>
      </c>
      <c r="T83" s="76">
        <f t="shared" si="18"/>
        <v>0.38</v>
      </c>
      <c r="U83" s="76">
        <f t="shared" si="18"/>
        <v>0.38</v>
      </c>
      <c r="V83" s="76">
        <f t="shared" si="18"/>
        <v>0.12</v>
      </c>
      <c r="W83" s="76">
        <f t="shared" si="18"/>
        <v>0.11</v>
      </c>
      <c r="X83" s="76">
        <f t="shared" si="18"/>
        <v>1.01</v>
      </c>
    </row>
    <row r="84" spans="2:26" ht="16.5" thickBot="1" x14ac:dyDescent="0.3">
      <c r="B84" s="61" t="s">
        <v>105</v>
      </c>
      <c r="C84" s="134" t="str">
        <f>IF(C83&gt;$C$12,"$\phi"&amp;IF(VLOOKUP(VLOOKUP(C83,tablas!$R$3:$T$66,2,TRUE)&amp;VLOOKUP(C83,tablas!$R$3:$T$66,3,TRUE),tablas!$Q$3:$R$66,2,FALSE)&lt;C83,VLOOKUP(C83+0.1,tablas!$R$3:$T$66,2,TRUE),VLOOKUP(C83,tablas!$R$3:$T$66,2,TRUE))&amp;"@"&amp;IF(VLOOKUP(VLOOKUP(C83,tablas!$R$3:$T$66,2,TRUE)&amp;VLOOKUP(C83,tablas!$R$3:$T$66,3,TRUE),tablas!$Q$3:$R$66,2,FALSE)&lt;C83,VLOOKUP(C83+0.1,tablas!$R$3:$T$66,3,TRUE),VLOOKUP(C83,tablas!$R$3:$T$66,3,TRUE))&amp;"$",$C$13)</f>
        <v>$\phi8@10$</v>
      </c>
      <c r="D84" s="134" t="str">
        <f>IF(D83&gt;$C$12,"$\phi"&amp;IF(VLOOKUP(VLOOKUP(D83,tablas!$R$3:$T$66,2,TRUE)&amp;VLOOKUP(D83,tablas!$R$3:$T$66,3,TRUE),tablas!$Q$3:$R$66,2,FALSE)&lt;D83,VLOOKUP(D83+0.1,tablas!$R$3:$T$66,2,TRUE),VLOOKUP(D83,tablas!$R$3:$T$66,2,TRUE))&amp;"@"&amp;IF(VLOOKUP(VLOOKUP(D83,tablas!$R$3:$T$66,2,TRUE)&amp;VLOOKUP(D83,tablas!$R$3:$T$66,3,TRUE),tablas!$Q$3:$R$66,2,FALSE)&lt;D83,VLOOKUP(D83+0.1,tablas!$R$3:$T$66,3,TRUE),VLOOKUP(D83,tablas!$R$3:$T$66,3,TRUE))&amp;"$",$C$13)</f>
        <v>$\phi8@17$</v>
      </c>
      <c r="E84" s="134" t="str">
        <f>IF(E83&gt;$C$12,"$\phi"&amp;IF(VLOOKUP(VLOOKUP(E83,tablas!$R$3:$T$66,2,TRUE)&amp;VLOOKUP(E83,tablas!$R$3:$T$66,3,TRUE),tablas!$Q$3:$R$66,2,FALSE)&lt;E83,VLOOKUP(E83+0.1,tablas!$R$3:$T$66,2,TRUE),VLOOKUP(E83,tablas!$R$3:$T$66,2,TRUE))&amp;"@"&amp;IF(VLOOKUP(VLOOKUP(E83,tablas!$R$3:$T$66,2,TRUE)&amp;VLOOKUP(E83,tablas!$R$3:$T$66,3,TRUE),tablas!$Q$3:$R$66,2,FALSE)&lt;E83,VLOOKUP(E83+0.1,tablas!$R$3:$T$66,3,TRUE),VLOOKUP(E83,tablas!$R$3:$T$66,3,TRUE))&amp;"$",$C$13)</f>
        <v>$\phi8@17$</v>
      </c>
      <c r="F84" s="134" t="str">
        <f>IF(F83&gt;$C$12,"$\phi"&amp;IF(VLOOKUP(VLOOKUP(F83,tablas!$R$3:$T$66,2,TRUE)&amp;VLOOKUP(F83,tablas!$R$3:$T$66,3,TRUE),tablas!$Q$3:$R$66,2,FALSE)&lt;F83,VLOOKUP(F83+0.1,tablas!$R$3:$T$66,2,TRUE),VLOOKUP(F83,tablas!$R$3:$T$66,2,TRUE))&amp;"@"&amp;IF(VLOOKUP(VLOOKUP(F83,tablas!$R$3:$T$66,2,TRUE)&amp;VLOOKUP(F83,tablas!$R$3:$T$66,3,TRUE),tablas!$Q$3:$R$66,2,FALSE)&lt;F83,VLOOKUP(F83+0.1,tablas!$R$3:$T$66,3,TRUE),VLOOKUP(F83,tablas!$R$3:$T$66,3,TRUE))&amp;"$",$C$13)</f>
        <v>$\phi8@12$</v>
      </c>
      <c r="G84" s="134" t="str">
        <f>IF(G83&gt;$C$12,"$\phi"&amp;IF(VLOOKUP(VLOOKUP(G83,tablas!$R$3:$T$66,2,TRUE)&amp;VLOOKUP(G83,tablas!$R$3:$T$66,3,TRUE),tablas!$Q$3:$R$66,2,FALSE)&lt;G83,VLOOKUP(G83+0.1,tablas!$R$3:$T$66,2,TRUE),VLOOKUP(G83,tablas!$R$3:$T$66,2,TRUE))&amp;"@"&amp;IF(VLOOKUP(VLOOKUP(G83,tablas!$R$3:$T$66,2,TRUE)&amp;VLOOKUP(G83,tablas!$R$3:$T$66,3,TRUE),tablas!$Q$3:$R$66,2,FALSE)&lt;G83,VLOOKUP(G83+0.1,tablas!$R$3:$T$66,3,TRUE),VLOOKUP(G83,tablas!$R$3:$T$66,3,TRUE))&amp;"$",$C$13)</f>
        <v>$\phi10@21$</v>
      </c>
      <c r="H84" s="134" t="str">
        <f>IF(H83&gt;$C$12,"$\phi"&amp;IF(VLOOKUP(VLOOKUP(H83,tablas!$R$3:$T$66,2,TRUE)&amp;VLOOKUP(H83,tablas!$R$3:$T$66,3,TRUE),tablas!$Q$3:$R$66,2,FALSE)&lt;H83,VLOOKUP(H83+0.1,tablas!$R$3:$T$66,2,TRUE),VLOOKUP(H83,tablas!$R$3:$T$66,2,TRUE))&amp;"@"&amp;IF(VLOOKUP(VLOOKUP(H83,tablas!$R$3:$T$66,2,TRUE)&amp;VLOOKUP(H83,tablas!$R$3:$T$66,3,TRUE),tablas!$Q$3:$R$66,2,FALSE)&lt;H83,VLOOKUP(H83+0.1,tablas!$R$3:$T$66,3,TRUE),VLOOKUP(H83,tablas!$R$3:$T$66,3,TRUE))&amp;"$",$C$13)</f>
        <v>$\phi8@17$</v>
      </c>
      <c r="I84" s="134" t="str">
        <f>IF(I83&gt;$C$12,"$\phi"&amp;IF(VLOOKUP(VLOOKUP(I83,tablas!$R$3:$T$66,2,TRUE)&amp;VLOOKUP(I83,tablas!$R$3:$T$66,3,TRUE),tablas!$Q$3:$R$66,2,FALSE)&lt;I83,VLOOKUP(I83+0.1,tablas!$R$3:$T$66,2,TRUE),VLOOKUP(I83,tablas!$R$3:$T$66,2,TRUE))&amp;"@"&amp;IF(VLOOKUP(VLOOKUP(I83,tablas!$R$3:$T$66,2,TRUE)&amp;VLOOKUP(I83,tablas!$R$3:$T$66,3,TRUE),tablas!$Q$3:$R$66,2,FALSE)&lt;I83,VLOOKUP(I83+0.1,tablas!$R$3:$T$66,3,TRUE),VLOOKUP(I83,tablas!$R$3:$T$66,3,TRUE))&amp;"$",$C$13)</f>
        <v>$\phi8@17$</v>
      </c>
      <c r="J84" s="134" t="str">
        <f>IF(J83&gt;$C$12,"$\phi"&amp;IF(VLOOKUP(VLOOKUP(J83,tablas!$R$3:$T$66,2,TRUE)&amp;VLOOKUP(J83,tablas!$R$3:$T$66,3,TRUE),tablas!$Q$3:$R$66,2,FALSE)&lt;J83,VLOOKUP(J83+0.1,tablas!$R$3:$T$66,2,TRUE),VLOOKUP(J83,tablas!$R$3:$T$66,2,TRUE))&amp;"@"&amp;IF(VLOOKUP(VLOOKUP(J83,tablas!$R$3:$T$66,2,TRUE)&amp;VLOOKUP(J83,tablas!$R$3:$T$66,3,TRUE),tablas!$Q$3:$R$66,2,FALSE)&lt;J83,VLOOKUP(J83+0.1,tablas!$R$3:$T$66,3,TRUE),VLOOKUP(J83,tablas!$R$3:$T$66,3,TRUE))&amp;"$",$C$13)</f>
        <v>$\phi8@17$</v>
      </c>
      <c r="K84" s="134" t="str">
        <f>IF(K83&gt;$C$12,"$\phi"&amp;IF(VLOOKUP(VLOOKUP(K83,tablas!$R$3:$T$66,2,TRUE)&amp;VLOOKUP(K83,tablas!$R$3:$T$66,3,TRUE),tablas!$Q$3:$R$66,2,FALSE)&lt;K83,VLOOKUP(K83+0.1,tablas!$R$3:$T$66,2,TRUE),VLOOKUP(K83,tablas!$R$3:$T$66,2,TRUE))&amp;"@"&amp;IF(VLOOKUP(VLOOKUP(K83,tablas!$R$3:$T$66,2,TRUE)&amp;VLOOKUP(K83,tablas!$R$3:$T$66,3,TRUE),tablas!$Q$3:$R$66,2,FALSE)&lt;K83,VLOOKUP(K83+0.1,tablas!$R$3:$T$66,3,TRUE),VLOOKUP(K83,tablas!$R$3:$T$66,3,TRUE))&amp;"$",$C$13)</f>
        <v>$\phi8@17$</v>
      </c>
      <c r="L84" s="134" t="str">
        <f>IF(L83&gt;$C$12,"$\phi"&amp;IF(VLOOKUP(VLOOKUP(L83,tablas!$R$3:$T$66,2,TRUE)&amp;VLOOKUP(L83,tablas!$R$3:$T$66,3,TRUE),tablas!$Q$3:$R$66,2,FALSE)&lt;L83,VLOOKUP(L83+0.1,tablas!$R$3:$T$66,2,TRUE),VLOOKUP(L83,tablas!$R$3:$T$66,2,TRUE))&amp;"@"&amp;IF(VLOOKUP(VLOOKUP(L83,tablas!$R$3:$T$66,2,TRUE)&amp;VLOOKUP(L83,tablas!$R$3:$T$66,3,TRUE),tablas!$Q$3:$R$66,2,FALSE)&lt;L83,VLOOKUP(L83+0.1,tablas!$R$3:$T$66,3,TRUE),VLOOKUP(L83,tablas!$R$3:$T$66,3,TRUE))&amp;"$",$C$13)</f>
        <v>$\phi8@17$</v>
      </c>
      <c r="M84" s="134" t="str">
        <f>IF(M83&gt;$C$12,"$\phi"&amp;IF(VLOOKUP(VLOOKUP(M83,tablas!$R$3:$T$66,2,TRUE)&amp;VLOOKUP(M83,tablas!$R$3:$T$66,3,TRUE),tablas!$Q$3:$R$66,2,FALSE)&lt;M83,VLOOKUP(M83+0.1,tablas!$R$3:$T$66,2,TRUE),VLOOKUP(M83,tablas!$R$3:$T$66,2,TRUE))&amp;"@"&amp;IF(VLOOKUP(VLOOKUP(M83,tablas!$R$3:$T$66,2,TRUE)&amp;VLOOKUP(M83,tablas!$R$3:$T$66,3,TRUE),tablas!$Q$3:$R$66,2,FALSE)&lt;M83,VLOOKUP(M83+0.1,tablas!$R$3:$T$66,3,TRUE),VLOOKUP(M83,tablas!$R$3:$T$66,3,TRUE))&amp;"$",$C$13)</f>
        <v>$\phi10@23$</v>
      </c>
      <c r="N84" s="134" t="str">
        <f>IF(N83&gt;$C$12,"$\phi"&amp;IF(VLOOKUP(VLOOKUP(N83,tablas!$R$3:$T$66,2,TRUE)&amp;VLOOKUP(N83,tablas!$R$3:$T$66,3,TRUE),tablas!$Q$3:$R$66,2,FALSE)&lt;N83,VLOOKUP(N83+0.1,tablas!$R$3:$T$66,2,TRUE),VLOOKUP(N83,tablas!$R$3:$T$66,2,TRUE))&amp;"@"&amp;IF(VLOOKUP(VLOOKUP(N83,tablas!$R$3:$T$66,2,TRUE)&amp;VLOOKUP(N83,tablas!$R$3:$T$66,3,TRUE),tablas!$Q$3:$R$66,2,FALSE)&lt;N83,VLOOKUP(N83+0.1,tablas!$R$3:$T$66,3,TRUE),VLOOKUP(N83,tablas!$R$3:$T$66,3,TRUE))&amp;"$",$C$13)</f>
        <v>$\phi8@17$</v>
      </c>
      <c r="O84" s="134" t="str">
        <f>IF(O83&gt;$C$12,"$\phi"&amp;IF(VLOOKUP(VLOOKUP(O83,tablas!$R$3:$T$66,2,TRUE)&amp;VLOOKUP(O83,tablas!$R$3:$T$66,3,TRUE),tablas!$Q$3:$R$66,2,FALSE)&lt;O83,VLOOKUP(O83+0.1,tablas!$R$3:$T$66,2,TRUE),VLOOKUP(O83,tablas!$R$3:$T$66,2,TRUE))&amp;"@"&amp;IF(VLOOKUP(VLOOKUP(O83,tablas!$R$3:$T$66,2,TRUE)&amp;VLOOKUP(O83,tablas!$R$3:$T$66,3,TRUE),tablas!$Q$3:$R$66,2,FALSE)&lt;O83,VLOOKUP(O83+0.1,tablas!$R$3:$T$66,3,TRUE),VLOOKUP(O83,tablas!$R$3:$T$66,3,TRUE))&amp;"$",$C$13)</f>
        <v>$\phi8@17$</v>
      </c>
      <c r="P84" s="134" t="str">
        <f>IF(P83&gt;$C$12,"$\phi"&amp;IF(VLOOKUP(VLOOKUP(P83,tablas!$R$3:$T$66,2,TRUE)&amp;VLOOKUP(P83,tablas!$R$3:$T$66,3,TRUE),tablas!$Q$3:$R$66,2,FALSE)&lt;P83,VLOOKUP(P83+0.1,tablas!$R$3:$T$66,2,TRUE),VLOOKUP(P83,tablas!$R$3:$T$66,2,TRUE))&amp;"@"&amp;IF(VLOOKUP(VLOOKUP(P83,tablas!$R$3:$T$66,2,TRUE)&amp;VLOOKUP(P83,tablas!$R$3:$T$66,3,TRUE),tablas!$Q$3:$R$66,2,FALSE)&lt;P83,VLOOKUP(P83+0.1,tablas!$R$3:$T$66,3,TRUE),VLOOKUP(P83,tablas!$R$3:$T$66,3,TRUE))&amp;"$",$C$13)</f>
        <v>$\phi8@17$</v>
      </c>
      <c r="Q84" s="134" t="str">
        <f>IF(Q83&gt;$C$12,"$\phi"&amp;IF(VLOOKUP(VLOOKUP(Q83,tablas!$R$3:$T$66,2,TRUE)&amp;VLOOKUP(Q83,tablas!$R$3:$T$66,3,TRUE),tablas!$Q$3:$R$66,2,FALSE)&lt;Q83,VLOOKUP(Q83+0.1,tablas!$R$3:$T$66,2,TRUE),VLOOKUP(Q83,tablas!$R$3:$T$66,2,TRUE))&amp;"@"&amp;IF(VLOOKUP(VLOOKUP(Q83,tablas!$R$3:$T$66,2,TRUE)&amp;VLOOKUP(Q83,tablas!$R$3:$T$66,3,TRUE),tablas!$Q$3:$R$66,2,FALSE)&lt;Q83,VLOOKUP(Q83+0.1,tablas!$R$3:$T$66,3,TRUE),VLOOKUP(Q83,tablas!$R$3:$T$66,3,TRUE))&amp;"$",$C$13)</f>
        <v>$\phi8@17$</v>
      </c>
      <c r="R84" s="134" t="str">
        <f>IF(R83&gt;$C$12,"$\phi"&amp;IF(VLOOKUP(VLOOKUP(R83,tablas!$R$3:$T$66,2,TRUE)&amp;VLOOKUP(R83,tablas!$R$3:$T$66,3,TRUE),tablas!$Q$3:$R$66,2,FALSE)&lt;R83,VLOOKUP(R83+0.1,tablas!$R$3:$T$66,2,TRUE),VLOOKUP(R83,tablas!$R$3:$T$66,2,TRUE))&amp;"@"&amp;IF(VLOOKUP(VLOOKUP(R83,tablas!$R$3:$T$66,2,TRUE)&amp;VLOOKUP(R83,tablas!$R$3:$T$66,3,TRUE),tablas!$Q$3:$R$66,2,FALSE)&lt;R83,VLOOKUP(R83+0.1,tablas!$R$3:$T$66,3,TRUE),VLOOKUP(R83,tablas!$R$3:$T$66,3,TRUE))&amp;"$",$C$13)</f>
        <v>$\phi8@17$</v>
      </c>
      <c r="S84" s="134" t="str">
        <f>IF(S83&gt;$C$12,"$\phi"&amp;IF(VLOOKUP(VLOOKUP(S83,tablas!$R$3:$T$66,2,TRUE)&amp;VLOOKUP(S83,tablas!$R$3:$T$66,3,TRUE),tablas!$Q$3:$R$66,2,FALSE)&lt;S83,VLOOKUP(S83+0.1,tablas!$R$3:$T$66,2,TRUE),VLOOKUP(S83,tablas!$R$3:$T$66,2,TRUE))&amp;"@"&amp;IF(VLOOKUP(VLOOKUP(S83,tablas!$R$3:$T$66,2,TRUE)&amp;VLOOKUP(S83,tablas!$R$3:$T$66,3,TRUE),tablas!$Q$3:$R$66,2,FALSE)&lt;S83,VLOOKUP(S83+0.1,tablas!$R$3:$T$66,3,TRUE),VLOOKUP(S83,tablas!$R$3:$T$66,3,TRUE))&amp;"$",$C$13)</f>
        <v>$\phi8@17$</v>
      </c>
      <c r="T84" s="134" t="str">
        <f>IF(T83&gt;$C$12,"$\phi"&amp;IF(VLOOKUP(VLOOKUP(T83,tablas!$R$3:$T$66,2,TRUE)&amp;VLOOKUP(T83,tablas!$R$3:$T$66,3,TRUE),tablas!$Q$3:$R$66,2,FALSE)&lt;T83,VLOOKUP(T83+0.1,tablas!$R$3:$T$66,2,TRUE),VLOOKUP(T83,tablas!$R$3:$T$66,2,TRUE))&amp;"@"&amp;IF(VLOOKUP(VLOOKUP(T83,tablas!$R$3:$T$66,2,TRUE)&amp;VLOOKUP(T83,tablas!$R$3:$T$66,3,TRUE),tablas!$Q$3:$R$66,2,FALSE)&lt;T83,VLOOKUP(T83+0.1,tablas!$R$3:$T$66,3,TRUE),VLOOKUP(T83,tablas!$R$3:$T$66,3,TRUE))&amp;"$",$C$13)</f>
        <v>$\phi8@17$</v>
      </c>
      <c r="U84" s="134" t="str">
        <f>IF(U83&gt;$C$12,"$\phi"&amp;IF(VLOOKUP(VLOOKUP(U83,tablas!$R$3:$T$66,2,TRUE)&amp;VLOOKUP(U83,tablas!$R$3:$T$66,3,TRUE),tablas!$Q$3:$R$66,2,FALSE)&lt;U83,VLOOKUP(U83+0.1,tablas!$R$3:$T$66,2,TRUE),VLOOKUP(U83,tablas!$R$3:$T$66,2,TRUE))&amp;"@"&amp;IF(VLOOKUP(VLOOKUP(U83,tablas!$R$3:$T$66,2,TRUE)&amp;VLOOKUP(U83,tablas!$R$3:$T$66,3,TRUE),tablas!$Q$3:$R$66,2,FALSE)&lt;U83,VLOOKUP(U83+0.1,tablas!$R$3:$T$66,3,TRUE),VLOOKUP(U83,tablas!$R$3:$T$66,3,TRUE))&amp;"$",$C$13)</f>
        <v>$\phi8@17$</v>
      </c>
      <c r="V84" s="134" t="str">
        <f>IF(V83&gt;$C$12,"$\phi"&amp;IF(VLOOKUP(VLOOKUP(V83,tablas!$R$3:$T$66,2,TRUE)&amp;VLOOKUP(V83,tablas!$R$3:$T$66,3,TRUE),tablas!$Q$3:$R$66,2,FALSE)&lt;V83,VLOOKUP(V83+0.1,tablas!$R$3:$T$66,2,TRUE),VLOOKUP(V83,tablas!$R$3:$T$66,2,TRUE))&amp;"@"&amp;IF(VLOOKUP(VLOOKUP(V83,tablas!$R$3:$T$66,2,TRUE)&amp;VLOOKUP(V83,tablas!$R$3:$T$66,3,TRUE),tablas!$Q$3:$R$66,2,FALSE)&lt;V83,VLOOKUP(V83+0.1,tablas!$R$3:$T$66,3,TRUE),VLOOKUP(V83,tablas!$R$3:$T$66,3,TRUE))&amp;"$",$C$13)</f>
        <v>$\phi8@17$</v>
      </c>
      <c r="W84" s="134" t="str">
        <f>IF(W83&gt;$C$12,"$\phi"&amp;IF(VLOOKUP(VLOOKUP(W83,tablas!$R$3:$T$66,2,TRUE)&amp;VLOOKUP(W83,tablas!$R$3:$T$66,3,TRUE),tablas!$Q$3:$R$66,2,FALSE)&lt;W83,VLOOKUP(W83+0.1,tablas!$R$3:$T$66,2,TRUE),VLOOKUP(W83,tablas!$R$3:$T$66,2,TRUE))&amp;"@"&amp;IF(VLOOKUP(VLOOKUP(W83,tablas!$R$3:$T$66,2,TRUE)&amp;VLOOKUP(W83,tablas!$R$3:$T$66,3,TRUE),tablas!$Q$3:$R$66,2,FALSE)&lt;W83,VLOOKUP(W83+0.1,tablas!$R$3:$T$66,3,TRUE),VLOOKUP(W83,tablas!$R$3:$T$66,3,TRUE))&amp;"$",$C$13)</f>
        <v>$\phi8@17$</v>
      </c>
      <c r="X84" s="134" t="str">
        <f>IF(X83&gt;$C$12,"$\phi"&amp;IF(VLOOKUP(VLOOKUP(X83,tablas!$R$3:$T$66,2,TRUE)&amp;VLOOKUP(X83,tablas!$R$3:$T$66,3,TRUE),tablas!$Q$3:$R$66,2,FALSE)&lt;X83,VLOOKUP(X83+0.1,tablas!$R$3:$T$66,2,TRUE),VLOOKUP(X83,tablas!$R$3:$T$66,2,TRUE))&amp;"@"&amp;IF(VLOOKUP(VLOOKUP(X83,tablas!$R$3:$T$66,2,TRUE)&amp;VLOOKUP(X83,tablas!$R$3:$T$66,3,TRUE),tablas!$Q$3:$R$66,2,FALSE)&lt;X83,VLOOKUP(X83+0.1,tablas!$R$3:$T$66,3,TRUE),VLOOKUP(X83,tablas!$R$3:$T$66,3,TRUE))&amp;"$",$C$13)</f>
        <v>$\phi8@17$</v>
      </c>
    </row>
    <row r="85" spans="2:26" x14ac:dyDescent="0.25">
      <c r="B85" s="96" t="s">
        <v>104</v>
      </c>
      <c r="C85" s="89">
        <f>IF(C53&lt;=2,C67/C59,IF(OR(C51=6,C51="5a",C51="3a"),C66*C48^2/17.5,(IF(OR(C51="2a",C51=4,C51="5b"),C66*C48^2/11.25,IF(OR(C51=1,C51="2b",C51="3b"),C66*C48^2/8)))))</f>
        <v>1973.2974910394266</v>
      </c>
      <c r="D85" s="89">
        <f t="shared" ref="D85:X85" si="19">IF(D53&lt;=2,D67/D59,IF(OR(D51=6,D51="5a",D51="3a"),D66*D48^2/17.5,(IF(OR(D51="2a",D51=4,D51="5b"),D66*D48^2/11.25,IF(OR(D51=1,D51="2b",D51="3b"),D66*D48^2/8)))))</f>
        <v>1034.7772925764191</v>
      </c>
      <c r="E85" s="89">
        <f t="shared" si="19"/>
        <v>1034.7772925764191</v>
      </c>
      <c r="F85" s="89">
        <f t="shared" si="19"/>
        <v>1772.9957142857143</v>
      </c>
      <c r="G85" s="89">
        <f t="shared" si="19"/>
        <v>1714.4907906976741</v>
      </c>
      <c r="H85" s="89">
        <f t="shared" si="19"/>
        <v>1125.1724137931033</v>
      </c>
      <c r="I85" s="89">
        <f t="shared" si="19"/>
        <v>313.83902439024388</v>
      </c>
      <c r="J85" s="89">
        <f t="shared" si="19"/>
        <v>101.91999999999999</v>
      </c>
      <c r="K85" s="89">
        <f t="shared" si="19"/>
        <v>437.32</v>
      </c>
      <c r="L85" s="89">
        <f t="shared" si="19"/>
        <v>1125.1724137931033</v>
      </c>
      <c r="M85" s="89">
        <f t="shared" si="19"/>
        <v>1598.7133953488374</v>
      </c>
      <c r="N85" s="89">
        <f t="shared" si="19"/>
        <v>184.43475555555557</v>
      </c>
      <c r="O85" s="89">
        <f t="shared" si="19"/>
        <v>184.43475555555557</v>
      </c>
      <c r="P85" s="89">
        <f t="shared" si="19"/>
        <v>184.43475555555557</v>
      </c>
      <c r="Q85" s="89">
        <f t="shared" si="19"/>
        <v>184.43475555555557</v>
      </c>
      <c r="R85" s="89">
        <f t="shared" si="19"/>
        <v>87.489422222222231</v>
      </c>
      <c r="S85" s="89">
        <f t="shared" si="19"/>
        <v>87.489422222222231</v>
      </c>
      <c r="T85" s="89">
        <f t="shared" si="19"/>
        <v>145.24408888888891</v>
      </c>
      <c r="U85" s="89">
        <f t="shared" si="19"/>
        <v>145.24408888888891</v>
      </c>
      <c r="V85" s="89">
        <f t="shared" si="19"/>
        <v>44.294755555555554</v>
      </c>
      <c r="W85" s="89">
        <f t="shared" si="19"/>
        <v>39.635555555555548</v>
      </c>
      <c r="X85" s="89">
        <f t="shared" si="19"/>
        <v>410.77647058823516</v>
      </c>
    </row>
    <row r="86" spans="2:26" x14ac:dyDescent="0.25">
      <c r="B86" s="97" t="s">
        <v>15</v>
      </c>
      <c r="C86" s="90">
        <f>C85/(0.9*(0.9*($C$7/100))*($L$9*1000))</f>
        <v>4.0657038418290767</v>
      </c>
      <c r="D86" s="91">
        <f>D85/(0.9*(0.9*($C$7/100))*($L$9*1000))</f>
        <v>2.1320140693278669</v>
      </c>
      <c r="E86" s="91">
        <f t="shared" ref="E86:X86" si="20">E85/(0.9*(0.9*($C$7/100))*($L$9*1000))</f>
        <v>2.1320140693278669</v>
      </c>
      <c r="F86" s="91">
        <f t="shared" si="20"/>
        <v>3.6530100098190874</v>
      </c>
      <c r="G86" s="91">
        <f t="shared" si="20"/>
        <v>3.5324687869786744</v>
      </c>
      <c r="H86" s="91">
        <f t="shared" si="20"/>
        <v>2.3182605898257407</v>
      </c>
      <c r="I86" s="91">
        <f t="shared" si="20"/>
        <v>0.6466214714068218</v>
      </c>
      <c r="J86" s="91">
        <f t="shared" si="20"/>
        <v>0.20999192338756192</v>
      </c>
      <c r="K86" s="91">
        <f t="shared" si="20"/>
        <v>0.90103677331091636</v>
      </c>
      <c r="L86" s="91">
        <f t="shared" si="20"/>
        <v>2.3182605898257407</v>
      </c>
      <c r="M86" s="91">
        <f t="shared" si="20"/>
        <v>3.2939256361338511</v>
      </c>
      <c r="N86" s="91">
        <f t="shared" si="20"/>
        <v>0.38000205120315877</v>
      </c>
      <c r="O86" s="91">
        <f t="shared" si="20"/>
        <v>0.38000205120315877</v>
      </c>
      <c r="P86" s="91">
        <f t="shared" si="20"/>
        <v>0.38000205120315877</v>
      </c>
      <c r="Q86" s="91">
        <f t="shared" si="20"/>
        <v>0.38000205120315877</v>
      </c>
      <c r="R86" s="91">
        <f t="shared" si="20"/>
        <v>0.1802597335999897</v>
      </c>
      <c r="S86" s="91">
        <f t="shared" si="20"/>
        <v>0.1802597335999897</v>
      </c>
      <c r="T86" s="91">
        <f t="shared" si="20"/>
        <v>0.29925515685294152</v>
      </c>
      <c r="U86" s="91">
        <f t="shared" si="20"/>
        <v>0.29925515685294152</v>
      </c>
      <c r="V86" s="91">
        <f t="shared" si="20"/>
        <v>9.1263156545261043E-2</v>
      </c>
      <c r="W86" s="91">
        <f t="shared" si="20"/>
        <v>8.1663525761829628E-2</v>
      </c>
      <c r="X86" s="91">
        <f t="shared" si="20"/>
        <v>0.84634753866932666</v>
      </c>
    </row>
    <row r="87" spans="2:26" x14ac:dyDescent="0.25">
      <c r="B87" s="97" t="s">
        <v>98</v>
      </c>
      <c r="C87" s="92">
        <f>(C86*($L$9))/(0.85*$L$6*100)</f>
        <v>0.10035301293557351</v>
      </c>
      <c r="D87" s="93">
        <f>(D86*($L$9))/(0.85*$L$6*100)</f>
        <v>5.2624107362879306E-2</v>
      </c>
      <c r="E87" s="93">
        <f t="shared" ref="E87:X87" si="21">(E86*($L$9))/(0.85*$L$6*100)</f>
        <v>5.2624107362879306E-2</v>
      </c>
      <c r="F87" s="93">
        <f t="shared" si="21"/>
        <v>9.0166567716411156E-2</v>
      </c>
      <c r="G87" s="93">
        <f t="shared" si="21"/>
        <v>8.7191271097282169E-2</v>
      </c>
      <c r="H87" s="93">
        <f t="shared" si="21"/>
        <v>5.7221195642757613E-2</v>
      </c>
      <c r="I87" s="93">
        <f t="shared" si="21"/>
        <v>1.5960437702544392E-2</v>
      </c>
      <c r="J87" s="93">
        <f t="shared" si="21"/>
        <v>5.1831916499352083E-3</v>
      </c>
      <c r="K87" s="93">
        <f t="shared" si="21"/>
        <v>2.2240123355079133E-2</v>
      </c>
      <c r="L87" s="93">
        <f t="shared" si="21"/>
        <v>5.7221195642757613E-2</v>
      </c>
      <c r="M87" s="93">
        <f t="shared" si="21"/>
        <v>8.1303354801919733E-2</v>
      </c>
      <c r="N87" s="93">
        <f t="shared" si="21"/>
        <v>9.3795200642994205E-3</v>
      </c>
      <c r="O87" s="93">
        <f t="shared" si="21"/>
        <v>9.3795200642994205E-3</v>
      </c>
      <c r="P87" s="93">
        <f t="shared" si="21"/>
        <v>9.3795200642994205E-3</v>
      </c>
      <c r="Q87" s="93">
        <f t="shared" si="21"/>
        <v>9.3795200642994205E-3</v>
      </c>
      <c r="R87" s="93">
        <f t="shared" si="21"/>
        <v>4.4493175306110494E-3</v>
      </c>
      <c r="S87" s="93">
        <f t="shared" si="21"/>
        <v>4.4493175306110494E-3</v>
      </c>
      <c r="T87" s="93">
        <f t="shared" si="21"/>
        <v>7.3864594655743349E-3</v>
      </c>
      <c r="U87" s="93">
        <f t="shared" si="21"/>
        <v>7.3864594655743349E-3</v>
      </c>
      <c r="V87" s="93">
        <f t="shared" si="21"/>
        <v>2.2526315456385076E-3</v>
      </c>
      <c r="W87" s="93">
        <f t="shared" si="21"/>
        <v>2.0156856416414697E-3</v>
      </c>
      <c r="X87" s="93">
        <f t="shared" si="21"/>
        <v>2.0890239132091801E-2</v>
      </c>
    </row>
    <row r="88" spans="2:26" ht="15.75" thickBot="1" x14ac:dyDescent="0.3">
      <c r="B88" s="97" t="s">
        <v>15</v>
      </c>
      <c r="C88" s="76">
        <f>ROUNDUP(C85/(0.9*(($C$7-C87/2)/100)*($L$9*1000)),2)</f>
        <v>3.6799999999999997</v>
      </c>
      <c r="D88" s="77">
        <f>ROUNDUP(D85/(0.9*(($C$7-D87/2)/100)*($L$9*1000)),2)</f>
        <v>1.93</v>
      </c>
      <c r="E88" s="77">
        <f t="shared" ref="E88:X88" si="22">ROUNDUP(E85/(0.9*(($C$7-E87/2)/100)*($L$9*1000)),2)</f>
        <v>1.93</v>
      </c>
      <c r="F88" s="77">
        <f t="shared" si="22"/>
        <v>3.3</v>
      </c>
      <c r="G88" s="77">
        <f t="shared" si="22"/>
        <v>3.19</v>
      </c>
      <c r="H88" s="77">
        <f t="shared" si="22"/>
        <v>2.0999999999999996</v>
      </c>
      <c r="I88" s="77">
        <f t="shared" si="22"/>
        <v>0.59</v>
      </c>
      <c r="J88" s="77">
        <f t="shared" si="22"/>
        <v>0.19</v>
      </c>
      <c r="K88" s="77">
        <f t="shared" si="22"/>
        <v>0.82000000000000006</v>
      </c>
      <c r="L88" s="77">
        <f t="shared" si="22"/>
        <v>2.0999999999999996</v>
      </c>
      <c r="M88" s="77">
        <f t="shared" si="22"/>
        <v>2.98</v>
      </c>
      <c r="N88" s="77">
        <f t="shared" si="22"/>
        <v>0.35000000000000003</v>
      </c>
      <c r="O88" s="77">
        <f t="shared" si="22"/>
        <v>0.35000000000000003</v>
      </c>
      <c r="P88" s="77">
        <f t="shared" si="22"/>
        <v>0.35000000000000003</v>
      </c>
      <c r="Q88" s="77">
        <f t="shared" si="22"/>
        <v>0.35000000000000003</v>
      </c>
      <c r="R88" s="77">
        <f t="shared" si="22"/>
        <v>0.17</v>
      </c>
      <c r="S88" s="77">
        <f t="shared" si="22"/>
        <v>0.17</v>
      </c>
      <c r="T88" s="77">
        <f t="shared" si="22"/>
        <v>0.27</v>
      </c>
      <c r="U88" s="77">
        <f t="shared" si="22"/>
        <v>0.27</v>
      </c>
      <c r="V88" s="77">
        <f t="shared" si="22"/>
        <v>0.09</v>
      </c>
      <c r="W88" s="77">
        <f t="shared" si="22"/>
        <v>0.08</v>
      </c>
      <c r="X88" s="77">
        <f t="shared" si="22"/>
        <v>0.77</v>
      </c>
    </row>
    <row r="89" spans="2:26" ht="16.5" thickBot="1" x14ac:dyDescent="0.3">
      <c r="B89" s="61" t="s">
        <v>106</v>
      </c>
      <c r="C89" s="134" t="str">
        <f>IF(C88&gt;$C$12,"$\phi"&amp;IF(VLOOKUP(VLOOKUP(C88,tablas!$R$3:$T$66,2,TRUE)&amp;VLOOKUP(C88,tablas!$R$3:$T$66,3,TRUE),tablas!$Q$3:$R$66,2,FALSE)&lt;C88,VLOOKUP(C88+0.1,tablas!$R$3:$T$66,2,TRUE),VLOOKUP(C88,tablas!$R$3:$T$66,2,TRUE))&amp;"@"&amp;IF(VLOOKUP(VLOOKUP(C88,tablas!$R$3:$T$66,2,TRUE)&amp;VLOOKUP(C88,tablas!$R$3:$T$66,3,TRUE),tablas!$Q$3:$R$66,2,FALSE)&lt;C88,VLOOKUP(C88+0.1,tablas!$R$3:$T$66,3,TRUE),VLOOKUP(C88,tablas!$R$3:$T$66,3,TRUE))&amp;"$",$C$13)</f>
        <v>$\phi10@21$</v>
      </c>
      <c r="D89" s="134" t="str">
        <f>IF(D88&gt;$C$12,"$\phi"&amp;IF(VLOOKUP(VLOOKUP(D88,tablas!$R$3:$T$66,2,TRUE)&amp;VLOOKUP(D88,tablas!$R$3:$T$66,3,TRUE),tablas!$Q$3:$R$66,2,FALSE)&lt;D88,VLOOKUP(D88+0.1,tablas!$R$3:$T$66,2,TRUE),VLOOKUP(D88,tablas!$R$3:$T$66,2,TRUE))&amp;"@"&amp;IF(VLOOKUP(VLOOKUP(D88,tablas!$R$3:$T$66,2,TRUE)&amp;VLOOKUP(D88,tablas!$R$3:$T$66,3,TRUE),tablas!$Q$3:$R$66,2,FALSE)&lt;D88,VLOOKUP(D88+0.1,tablas!$R$3:$T$66,3,TRUE),VLOOKUP(D88,tablas!$R$3:$T$66,3,TRUE))&amp;"$",$C$13)</f>
        <v>$\phi8@17$</v>
      </c>
      <c r="E89" s="134" t="str">
        <f>IF(E88&gt;$C$12,"$\phi"&amp;IF(VLOOKUP(VLOOKUP(E88,tablas!$R$3:$T$66,2,TRUE)&amp;VLOOKUP(E88,tablas!$R$3:$T$66,3,TRUE),tablas!$Q$3:$R$66,2,FALSE)&lt;E88,VLOOKUP(E88+0.1,tablas!$R$3:$T$66,2,TRUE),VLOOKUP(E88,tablas!$R$3:$T$66,2,TRUE))&amp;"@"&amp;IF(VLOOKUP(VLOOKUP(E88,tablas!$R$3:$T$66,2,TRUE)&amp;VLOOKUP(E88,tablas!$R$3:$T$66,3,TRUE),tablas!$Q$3:$R$66,2,FALSE)&lt;E88,VLOOKUP(E88+0.1,tablas!$R$3:$T$66,3,TRUE),VLOOKUP(E88,tablas!$R$3:$T$66,3,TRUE))&amp;"$",$C$13)</f>
        <v>$\phi8@17$</v>
      </c>
      <c r="F89" s="134" t="str">
        <f>IF(F88&gt;$C$12,"$\phi"&amp;IF(VLOOKUP(VLOOKUP(F88,tablas!$R$3:$T$66,2,TRUE)&amp;VLOOKUP(F88,tablas!$R$3:$T$66,3,TRUE),tablas!$Q$3:$R$66,2,FALSE)&lt;F88,VLOOKUP(F88+0.1,tablas!$R$3:$T$66,2,TRUE),VLOOKUP(F88,tablas!$R$3:$T$66,2,TRUE))&amp;"@"&amp;IF(VLOOKUP(VLOOKUP(F88,tablas!$R$3:$T$66,2,TRUE)&amp;VLOOKUP(F88,tablas!$R$3:$T$66,3,TRUE),tablas!$Q$3:$R$66,2,FALSE)&lt;F88,VLOOKUP(F88+0.1,tablas!$R$3:$T$66,3,TRUE),VLOOKUP(F88,tablas!$R$3:$T$66,3,TRUE))&amp;"$",$C$13)</f>
        <v>$\phi8@15$</v>
      </c>
      <c r="G89" s="134" t="str">
        <f>IF(G88&gt;$C$12,"$\phi"&amp;IF(VLOOKUP(VLOOKUP(G88,tablas!$R$3:$T$66,2,TRUE)&amp;VLOOKUP(G88,tablas!$R$3:$T$66,3,TRUE),tablas!$Q$3:$R$66,2,FALSE)&lt;G88,VLOOKUP(G88+0.1,tablas!$R$3:$T$66,2,TRUE),VLOOKUP(G88,tablas!$R$3:$T$66,2,TRUE))&amp;"@"&amp;IF(VLOOKUP(VLOOKUP(G88,tablas!$R$3:$T$66,2,TRUE)&amp;VLOOKUP(G88,tablas!$R$3:$T$66,3,TRUE),tablas!$Q$3:$R$66,2,FALSE)&lt;G88,VLOOKUP(G88+0.1,tablas!$R$3:$T$66,3,TRUE),VLOOKUP(G88,tablas!$R$3:$T$66,3,TRUE))&amp;"$",$C$13)</f>
        <v>$\phi10@24$</v>
      </c>
      <c r="H89" s="134" t="str">
        <f>IF(H88&gt;$C$12,"$\phi"&amp;IF(VLOOKUP(VLOOKUP(H88,tablas!$R$3:$T$66,2,TRUE)&amp;VLOOKUP(H88,tablas!$R$3:$T$66,3,TRUE),tablas!$Q$3:$R$66,2,FALSE)&lt;H88,VLOOKUP(H88+0.1,tablas!$R$3:$T$66,2,TRUE),VLOOKUP(H88,tablas!$R$3:$T$66,2,TRUE))&amp;"@"&amp;IF(VLOOKUP(VLOOKUP(H88,tablas!$R$3:$T$66,2,TRUE)&amp;VLOOKUP(H88,tablas!$R$3:$T$66,3,TRUE),tablas!$Q$3:$R$66,2,FALSE)&lt;H88,VLOOKUP(H88+0.1,tablas!$R$3:$T$66,3,TRUE),VLOOKUP(H88,tablas!$R$3:$T$66,3,TRUE))&amp;"$",$C$13)</f>
        <v>$\phi8@17$</v>
      </c>
      <c r="I89" s="134" t="str">
        <f>IF(I88&gt;$C$12,"$\phi"&amp;IF(VLOOKUP(VLOOKUP(I88,tablas!$R$3:$T$66,2,TRUE)&amp;VLOOKUP(I88,tablas!$R$3:$T$66,3,TRUE),tablas!$Q$3:$R$66,2,FALSE)&lt;I88,VLOOKUP(I88+0.1,tablas!$R$3:$T$66,2,TRUE),VLOOKUP(I88,tablas!$R$3:$T$66,2,TRUE))&amp;"@"&amp;IF(VLOOKUP(VLOOKUP(I88,tablas!$R$3:$T$66,2,TRUE)&amp;VLOOKUP(I88,tablas!$R$3:$T$66,3,TRUE),tablas!$Q$3:$R$66,2,FALSE)&lt;I88,VLOOKUP(I88+0.1,tablas!$R$3:$T$66,3,TRUE),VLOOKUP(I88,tablas!$R$3:$T$66,3,TRUE))&amp;"$",$C$13)</f>
        <v>$\phi8@17$</v>
      </c>
      <c r="J89" s="134" t="str">
        <f>IF(J88&gt;$C$12,"$\phi"&amp;IF(VLOOKUP(VLOOKUP(J88,tablas!$R$3:$T$66,2,TRUE)&amp;VLOOKUP(J88,tablas!$R$3:$T$66,3,TRUE),tablas!$Q$3:$R$66,2,FALSE)&lt;J88,VLOOKUP(J88+0.1,tablas!$R$3:$T$66,2,TRUE),VLOOKUP(J88,tablas!$R$3:$T$66,2,TRUE))&amp;"@"&amp;IF(VLOOKUP(VLOOKUP(J88,tablas!$R$3:$T$66,2,TRUE)&amp;VLOOKUP(J88,tablas!$R$3:$T$66,3,TRUE),tablas!$Q$3:$R$66,2,FALSE)&lt;J88,VLOOKUP(J88+0.1,tablas!$R$3:$T$66,3,TRUE),VLOOKUP(J88,tablas!$R$3:$T$66,3,TRUE))&amp;"$",$C$13)</f>
        <v>$\phi8@17$</v>
      </c>
      <c r="K89" s="134" t="str">
        <f>IF(K88&gt;$C$12,"$\phi"&amp;IF(VLOOKUP(VLOOKUP(K88,tablas!$R$3:$T$66,2,TRUE)&amp;VLOOKUP(K88,tablas!$R$3:$T$66,3,TRUE),tablas!$Q$3:$R$66,2,FALSE)&lt;K88,VLOOKUP(K88+0.1,tablas!$R$3:$T$66,2,TRUE),VLOOKUP(K88,tablas!$R$3:$T$66,2,TRUE))&amp;"@"&amp;IF(VLOOKUP(VLOOKUP(K88,tablas!$R$3:$T$66,2,TRUE)&amp;VLOOKUP(K88,tablas!$R$3:$T$66,3,TRUE),tablas!$Q$3:$R$66,2,FALSE)&lt;K88,VLOOKUP(K88+0.1,tablas!$R$3:$T$66,3,TRUE),VLOOKUP(K88,tablas!$R$3:$T$66,3,TRUE))&amp;"$",$C$13)</f>
        <v>$\phi8@17$</v>
      </c>
      <c r="L89" s="134" t="str">
        <f>IF(L88&gt;$C$12,"$\phi"&amp;IF(VLOOKUP(VLOOKUP(L88,tablas!$R$3:$T$66,2,TRUE)&amp;VLOOKUP(L88,tablas!$R$3:$T$66,3,TRUE),tablas!$Q$3:$R$66,2,FALSE)&lt;L88,VLOOKUP(L88+0.1,tablas!$R$3:$T$66,2,TRUE),VLOOKUP(L88,tablas!$R$3:$T$66,2,TRUE))&amp;"@"&amp;IF(VLOOKUP(VLOOKUP(L88,tablas!$R$3:$T$66,2,TRUE)&amp;VLOOKUP(L88,tablas!$R$3:$T$66,3,TRUE),tablas!$Q$3:$R$66,2,FALSE)&lt;L88,VLOOKUP(L88+0.1,tablas!$R$3:$T$66,3,TRUE),VLOOKUP(L88,tablas!$R$3:$T$66,3,TRUE))&amp;"$",$C$13)</f>
        <v>$\phi8@17$</v>
      </c>
      <c r="M89" s="134" t="str">
        <f>IF(M88&gt;$C$12,"$\phi"&amp;IF(VLOOKUP(VLOOKUP(M88,tablas!$R$3:$T$66,2,TRUE)&amp;VLOOKUP(M88,tablas!$R$3:$T$66,3,TRUE),tablas!$Q$3:$R$66,2,FALSE)&lt;M88,VLOOKUP(M88+0.1,tablas!$R$3:$T$66,2,TRUE),VLOOKUP(M88,tablas!$R$3:$T$66,2,TRUE))&amp;"@"&amp;IF(VLOOKUP(VLOOKUP(M88,tablas!$R$3:$T$66,2,TRUE)&amp;VLOOKUP(M88,tablas!$R$3:$T$66,3,TRUE),tablas!$Q$3:$R$66,2,FALSE)&lt;M88,VLOOKUP(M88+0.1,tablas!$R$3:$T$66,3,TRUE),VLOOKUP(M88,tablas!$R$3:$T$66,3,TRUE))&amp;"$",$C$13)</f>
        <v>$\phi8@17$</v>
      </c>
      <c r="N89" s="134" t="str">
        <f>IF(N88&gt;$C$12,"$\phi"&amp;IF(VLOOKUP(VLOOKUP(N88,tablas!$R$3:$T$66,2,TRUE)&amp;VLOOKUP(N88,tablas!$R$3:$T$66,3,TRUE),tablas!$Q$3:$R$66,2,FALSE)&lt;N88,VLOOKUP(N88+0.1,tablas!$R$3:$T$66,2,TRUE),VLOOKUP(N88,tablas!$R$3:$T$66,2,TRUE))&amp;"@"&amp;IF(VLOOKUP(VLOOKUP(N88,tablas!$R$3:$T$66,2,TRUE)&amp;VLOOKUP(N88,tablas!$R$3:$T$66,3,TRUE),tablas!$Q$3:$R$66,2,FALSE)&lt;N88,VLOOKUP(N88+0.1,tablas!$R$3:$T$66,3,TRUE),VLOOKUP(N88,tablas!$R$3:$T$66,3,TRUE))&amp;"$",$C$13)</f>
        <v>$\phi8@17$</v>
      </c>
      <c r="O89" s="134" t="str">
        <f>IF(O88&gt;$C$12,"$\phi"&amp;IF(VLOOKUP(VLOOKUP(O88,tablas!$R$3:$T$66,2,TRUE)&amp;VLOOKUP(O88,tablas!$R$3:$T$66,3,TRUE),tablas!$Q$3:$R$66,2,FALSE)&lt;O88,VLOOKUP(O88+0.1,tablas!$R$3:$T$66,2,TRUE),VLOOKUP(O88,tablas!$R$3:$T$66,2,TRUE))&amp;"@"&amp;IF(VLOOKUP(VLOOKUP(O88,tablas!$R$3:$T$66,2,TRUE)&amp;VLOOKUP(O88,tablas!$R$3:$T$66,3,TRUE),tablas!$Q$3:$R$66,2,FALSE)&lt;O88,VLOOKUP(O88+0.1,tablas!$R$3:$T$66,3,TRUE),VLOOKUP(O88,tablas!$R$3:$T$66,3,TRUE))&amp;"$",$C$13)</f>
        <v>$\phi8@17$</v>
      </c>
      <c r="P89" s="134" t="str">
        <f>IF(P88&gt;$C$12,"$\phi"&amp;IF(VLOOKUP(VLOOKUP(P88,tablas!$R$3:$T$66,2,TRUE)&amp;VLOOKUP(P88,tablas!$R$3:$T$66,3,TRUE),tablas!$Q$3:$R$66,2,FALSE)&lt;P88,VLOOKUP(P88+0.1,tablas!$R$3:$T$66,2,TRUE),VLOOKUP(P88,tablas!$R$3:$T$66,2,TRUE))&amp;"@"&amp;IF(VLOOKUP(VLOOKUP(P88,tablas!$R$3:$T$66,2,TRUE)&amp;VLOOKUP(P88,tablas!$R$3:$T$66,3,TRUE),tablas!$Q$3:$R$66,2,FALSE)&lt;P88,VLOOKUP(P88+0.1,tablas!$R$3:$T$66,3,TRUE),VLOOKUP(P88,tablas!$R$3:$T$66,3,TRUE))&amp;"$",$C$13)</f>
        <v>$\phi8@17$</v>
      </c>
      <c r="Q89" s="134" t="str">
        <f>IF(Q88&gt;$C$12,"$\phi"&amp;IF(VLOOKUP(VLOOKUP(Q88,tablas!$R$3:$T$66,2,TRUE)&amp;VLOOKUP(Q88,tablas!$R$3:$T$66,3,TRUE),tablas!$Q$3:$R$66,2,FALSE)&lt;Q88,VLOOKUP(Q88+0.1,tablas!$R$3:$T$66,2,TRUE),VLOOKUP(Q88,tablas!$R$3:$T$66,2,TRUE))&amp;"@"&amp;IF(VLOOKUP(VLOOKUP(Q88,tablas!$R$3:$T$66,2,TRUE)&amp;VLOOKUP(Q88,tablas!$R$3:$T$66,3,TRUE),tablas!$Q$3:$R$66,2,FALSE)&lt;Q88,VLOOKUP(Q88+0.1,tablas!$R$3:$T$66,3,TRUE),VLOOKUP(Q88,tablas!$R$3:$T$66,3,TRUE))&amp;"$",$C$13)</f>
        <v>$\phi8@17$</v>
      </c>
      <c r="R89" s="134" t="str">
        <f>IF(R88&gt;$C$12,"$\phi"&amp;IF(VLOOKUP(VLOOKUP(R88,tablas!$R$3:$T$66,2,TRUE)&amp;VLOOKUP(R88,tablas!$R$3:$T$66,3,TRUE),tablas!$Q$3:$R$66,2,FALSE)&lt;R88,VLOOKUP(R88+0.1,tablas!$R$3:$T$66,2,TRUE),VLOOKUP(R88,tablas!$R$3:$T$66,2,TRUE))&amp;"@"&amp;IF(VLOOKUP(VLOOKUP(R88,tablas!$R$3:$T$66,2,TRUE)&amp;VLOOKUP(R88,tablas!$R$3:$T$66,3,TRUE),tablas!$Q$3:$R$66,2,FALSE)&lt;R88,VLOOKUP(R88+0.1,tablas!$R$3:$T$66,3,TRUE),VLOOKUP(R88,tablas!$R$3:$T$66,3,TRUE))&amp;"$",$C$13)</f>
        <v>$\phi8@17$</v>
      </c>
      <c r="S89" s="134" t="str">
        <f>IF(S88&gt;$C$12,"$\phi"&amp;IF(VLOOKUP(VLOOKUP(S88,tablas!$R$3:$T$66,2,TRUE)&amp;VLOOKUP(S88,tablas!$R$3:$T$66,3,TRUE),tablas!$Q$3:$R$66,2,FALSE)&lt;S88,VLOOKUP(S88+0.1,tablas!$R$3:$T$66,2,TRUE),VLOOKUP(S88,tablas!$R$3:$T$66,2,TRUE))&amp;"@"&amp;IF(VLOOKUP(VLOOKUP(S88,tablas!$R$3:$T$66,2,TRUE)&amp;VLOOKUP(S88,tablas!$R$3:$T$66,3,TRUE),tablas!$Q$3:$R$66,2,FALSE)&lt;S88,VLOOKUP(S88+0.1,tablas!$R$3:$T$66,3,TRUE),VLOOKUP(S88,tablas!$R$3:$T$66,3,TRUE))&amp;"$",$C$13)</f>
        <v>$\phi8@17$</v>
      </c>
      <c r="T89" s="134" t="str">
        <f>IF(T88&gt;$C$12,"$\phi"&amp;IF(VLOOKUP(VLOOKUP(T88,tablas!$R$3:$T$66,2,TRUE)&amp;VLOOKUP(T88,tablas!$R$3:$T$66,3,TRUE),tablas!$Q$3:$R$66,2,FALSE)&lt;T88,VLOOKUP(T88+0.1,tablas!$R$3:$T$66,2,TRUE),VLOOKUP(T88,tablas!$R$3:$T$66,2,TRUE))&amp;"@"&amp;IF(VLOOKUP(VLOOKUP(T88,tablas!$R$3:$T$66,2,TRUE)&amp;VLOOKUP(T88,tablas!$R$3:$T$66,3,TRUE),tablas!$Q$3:$R$66,2,FALSE)&lt;T88,VLOOKUP(T88+0.1,tablas!$R$3:$T$66,3,TRUE),VLOOKUP(T88,tablas!$R$3:$T$66,3,TRUE))&amp;"$",$C$13)</f>
        <v>$\phi8@17$</v>
      </c>
      <c r="U89" s="134" t="str">
        <f>IF(U88&gt;$C$12,"$\phi"&amp;IF(VLOOKUP(VLOOKUP(U88,tablas!$R$3:$T$66,2,TRUE)&amp;VLOOKUP(U88,tablas!$R$3:$T$66,3,TRUE),tablas!$Q$3:$R$66,2,FALSE)&lt;U88,VLOOKUP(U88+0.1,tablas!$R$3:$T$66,2,TRUE),VLOOKUP(U88,tablas!$R$3:$T$66,2,TRUE))&amp;"@"&amp;IF(VLOOKUP(VLOOKUP(U88,tablas!$R$3:$T$66,2,TRUE)&amp;VLOOKUP(U88,tablas!$R$3:$T$66,3,TRUE),tablas!$Q$3:$R$66,2,FALSE)&lt;U88,VLOOKUP(U88+0.1,tablas!$R$3:$T$66,3,TRUE),VLOOKUP(U88,tablas!$R$3:$T$66,3,TRUE))&amp;"$",$C$13)</f>
        <v>$\phi8@17$</v>
      </c>
      <c r="V89" s="134" t="str">
        <f>IF(V88&gt;$C$12,"$\phi"&amp;IF(VLOOKUP(VLOOKUP(V88,tablas!$R$3:$T$66,2,TRUE)&amp;VLOOKUP(V88,tablas!$R$3:$T$66,3,TRUE),tablas!$Q$3:$R$66,2,FALSE)&lt;V88,VLOOKUP(V88+0.1,tablas!$R$3:$T$66,2,TRUE),VLOOKUP(V88,tablas!$R$3:$T$66,2,TRUE))&amp;"@"&amp;IF(VLOOKUP(VLOOKUP(V88,tablas!$R$3:$T$66,2,TRUE)&amp;VLOOKUP(V88,tablas!$R$3:$T$66,3,TRUE),tablas!$Q$3:$R$66,2,FALSE)&lt;V88,VLOOKUP(V88+0.1,tablas!$R$3:$T$66,3,TRUE),VLOOKUP(V88,tablas!$R$3:$T$66,3,TRUE))&amp;"$",$C$13)</f>
        <v>$\phi8@17$</v>
      </c>
      <c r="W89" s="134" t="str">
        <f>IF(W88&gt;$C$12,"$\phi"&amp;IF(VLOOKUP(VLOOKUP(W88,tablas!$R$3:$T$66,2,TRUE)&amp;VLOOKUP(W88,tablas!$R$3:$T$66,3,TRUE),tablas!$Q$3:$R$66,2,FALSE)&lt;W88,VLOOKUP(W88+0.1,tablas!$R$3:$T$66,2,TRUE),VLOOKUP(W88,tablas!$R$3:$T$66,2,TRUE))&amp;"@"&amp;IF(VLOOKUP(VLOOKUP(W88,tablas!$R$3:$T$66,2,TRUE)&amp;VLOOKUP(W88,tablas!$R$3:$T$66,3,TRUE),tablas!$Q$3:$R$66,2,FALSE)&lt;W88,VLOOKUP(W88+0.1,tablas!$R$3:$T$66,3,TRUE),VLOOKUP(W88,tablas!$R$3:$T$66,3,TRUE))&amp;"$",$C$13)</f>
        <v>$\phi8@17$</v>
      </c>
      <c r="X89" s="134" t="str">
        <f>IF(X88&gt;$C$12,"$\phi"&amp;IF(VLOOKUP(VLOOKUP(X88,tablas!$R$3:$T$66,2,TRUE)&amp;VLOOKUP(X88,tablas!$R$3:$T$66,3,TRUE),tablas!$Q$3:$R$66,2,FALSE)&lt;X88,VLOOKUP(X88+0.1,tablas!$R$3:$T$66,2,TRUE),VLOOKUP(X88,tablas!$R$3:$T$66,2,TRUE))&amp;"@"&amp;IF(VLOOKUP(VLOOKUP(X88,tablas!$R$3:$T$66,2,TRUE)&amp;VLOOKUP(X88,tablas!$R$3:$T$66,3,TRUE),tablas!$Q$3:$R$66,2,FALSE)&lt;X88,VLOOKUP(X88+0.1,tablas!$R$3:$T$66,3,TRUE),VLOOKUP(X88,tablas!$R$3:$T$66,3,TRUE))&amp;"$",$C$13)</f>
        <v>$\phi8@17$</v>
      </c>
    </row>
    <row r="90" spans="2:26" x14ac:dyDescent="0.25">
      <c r="C90" t="str">
        <f>IF(AND(C74='8 a 13'!C74,C79='8 a 13'!C79,C84='8 a 13'!C84,C89='8 a 13'!C89),"IGUAL","PUTA LA WEA")</f>
        <v>PUTA LA WEA</v>
      </c>
      <c r="D90" t="str">
        <f>IF(AND(D74='8 a 13'!D74,D79='8 a 13'!D79,D84='8 a 13'!D84,D89='8 a 13'!D89),"IGUAL","PUTA LA WEA")</f>
        <v>IGUAL</v>
      </c>
      <c r="E90" t="str">
        <f>IF(AND(E74='8 a 13'!E74,E79='8 a 13'!E79,E84='8 a 13'!E84,E89='8 a 13'!E89),"IGUAL","PUTA LA WEA")</f>
        <v>IGUAL</v>
      </c>
      <c r="F90" t="str">
        <f>IF(AND(F74='8 a 13'!F74,F79='8 a 13'!F79,F84='8 a 13'!F84,F89='8 a 13'!F89),"IGUAL","PUTA LA WEA")</f>
        <v>PUTA LA WEA</v>
      </c>
      <c r="G90" t="str">
        <f>IF(AND(G74='8 a 13'!G74,G79='8 a 13'!G79,G84='8 a 13'!G84,G89='8 a 13'!G89),"IGUAL","PUTA LA WEA")</f>
        <v>PUTA LA WEA</v>
      </c>
      <c r="H90" t="str">
        <f>IF(AND(H74='8 a 13'!H74,H79='8 a 13'!H79,H84='8 a 13'!H84,H89='8 a 13'!H89),"IGUAL","PUTA LA WEA")</f>
        <v>IGUAL</v>
      </c>
      <c r="I90" t="str">
        <f>IF(AND(I74='8 a 13'!I74,I79='8 a 13'!I79,I84='8 a 13'!I84,I89='8 a 13'!I89),"IGUAL","PUTA LA WEA")</f>
        <v>IGUAL</v>
      </c>
      <c r="J90" t="str">
        <f>IF(AND(J74='8 a 13'!J74,J79='8 a 13'!J79,J84='8 a 13'!J84,J89='8 a 13'!J89),"IGUAL","PUTA LA WEA")</f>
        <v>IGUAL</v>
      </c>
      <c r="K90" t="str">
        <f>IF(AND(K74='8 a 13'!K74,K79='8 a 13'!K79,K84='8 a 13'!K84,K89='8 a 13'!K89),"IGUAL","PUTA LA WEA")</f>
        <v>IGUAL</v>
      </c>
      <c r="L90" t="str">
        <f>IF(AND(L74='8 a 13'!L74,L79='8 a 13'!L79,L84='8 a 13'!L84,L89='8 a 13'!L89),"IGUAL","PUTA LA WEA")</f>
        <v>IGUAL</v>
      </c>
      <c r="M90" t="str">
        <f>IF(AND(M74='8 a 13'!M74,M79='8 a 13'!M79,M84='8 a 13'!M84,M89='8 a 13'!M89),"IGUAL","PUTA LA WEA")</f>
        <v>PUTA LA WEA</v>
      </c>
      <c r="N90" t="str">
        <f>IF(AND(N74='8 a 13'!N74,N79='8 a 13'!N79,N84='8 a 13'!N84,N89='8 a 13'!N89),"IGUAL","PUTA LA WEA")</f>
        <v>IGUAL</v>
      </c>
      <c r="O90" t="str">
        <f>IF(AND(O74='8 a 13'!O74,O79='8 a 13'!O79,O84='8 a 13'!O84,O89='8 a 13'!O89),"IGUAL","PUTA LA WEA")</f>
        <v>IGUAL</v>
      </c>
      <c r="P90" t="str">
        <f>IF(AND(P74='8 a 13'!P74,P79='8 a 13'!P79,P84='8 a 13'!P84,P89='8 a 13'!P89),"IGUAL","PUTA LA WEA")</f>
        <v>IGUAL</v>
      </c>
      <c r="Q90" t="str">
        <f>IF(AND(Q74='8 a 13'!Q74,Q79='8 a 13'!Q79,Q84='8 a 13'!Q84,Q89='8 a 13'!Q89),"IGUAL","PUTA LA WEA")</f>
        <v>IGUAL</v>
      </c>
      <c r="R90" t="str">
        <f>IF(AND(R74='8 a 13'!R74,R79='8 a 13'!R79,R84='8 a 13'!R84,R89='8 a 13'!R89),"IGUAL","PUTA LA WEA")</f>
        <v>IGUAL</v>
      </c>
      <c r="S90" t="str">
        <f>IF(AND(S74='8 a 13'!S74,S79='8 a 13'!S79,S84='8 a 13'!S84,S89='8 a 13'!S89),"IGUAL","PUTA LA WEA")</f>
        <v>IGUAL</v>
      </c>
      <c r="T90" t="str">
        <f>IF(AND(T74='8 a 13'!T74,T79='8 a 13'!T79,T84='8 a 13'!T84,T89='8 a 13'!T89),"IGUAL","PUTA LA WEA")</f>
        <v>IGUAL</v>
      </c>
      <c r="U90" t="str">
        <f>IF(AND(U74='8 a 13'!U74,U79='8 a 13'!U79,U84='8 a 13'!U84,U89='8 a 13'!U89),"IGUAL","PUTA LA WEA")</f>
        <v>IGUAL</v>
      </c>
      <c r="V90" t="str">
        <f>IF(AND(V74='8 a 13'!V74,V79='8 a 13'!V79,V84='8 a 13'!V84,V89='8 a 13'!V89),"IGUAL","PUTA LA WEA")</f>
        <v>IGUAL</v>
      </c>
      <c r="W90" t="str">
        <f>IF(AND(W74='8 a 13'!W74,W79='8 a 13'!W79,W84='8 a 13'!W84,W89='8 a 13'!W89),"IGUAL","PUTA LA WEA")</f>
        <v>IGUAL</v>
      </c>
      <c r="X90" t="str">
        <f>IF(AND(X74='8 a 13'!X74,X79='8 a 13'!X79,X84='8 a 13'!X84,X89='8 a 13'!X89),"IGUAL","PUTA LA WEA")</f>
        <v>IGUAL</v>
      </c>
    </row>
    <row r="91" spans="2:26" ht="15.75" thickBot="1" x14ac:dyDescent="0.3">
      <c r="B91" s="219" t="s">
        <v>107</v>
      </c>
      <c r="C91" s="219"/>
      <c r="P91" s="40"/>
      <c r="T91" s="40"/>
      <c r="U91" s="41"/>
    </row>
    <row r="92" spans="2:26" ht="15.75" thickBot="1" x14ac:dyDescent="0.3">
      <c r="B92" s="73" t="s">
        <v>43</v>
      </c>
      <c r="C92" s="74" t="s">
        <v>211</v>
      </c>
      <c r="D92" s="75" t="s">
        <v>212</v>
      </c>
      <c r="E92" s="74" t="s">
        <v>211</v>
      </c>
      <c r="F92" s="75" t="s">
        <v>215</v>
      </c>
      <c r="G92" s="74" t="s">
        <v>211</v>
      </c>
      <c r="H92" s="75" t="s">
        <v>216</v>
      </c>
      <c r="I92" s="74" t="s">
        <v>211</v>
      </c>
      <c r="J92" s="75" t="s">
        <v>222</v>
      </c>
      <c r="K92" s="74" t="s">
        <v>211</v>
      </c>
      <c r="L92" s="75" t="s">
        <v>231</v>
      </c>
      <c r="M92" s="74" t="s">
        <v>212</v>
      </c>
      <c r="N92" s="75" t="s">
        <v>213</v>
      </c>
      <c r="O92" s="74" t="s">
        <v>212</v>
      </c>
      <c r="P92" s="75" t="s">
        <v>218</v>
      </c>
      <c r="Q92" s="74" t="s">
        <v>212</v>
      </c>
      <c r="R92" s="75" t="s">
        <v>223</v>
      </c>
      <c r="S92" s="74" t="s">
        <v>213</v>
      </c>
      <c r="T92" s="75" t="s">
        <v>224</v>
      </c>
      <c r="U92" s="74" t="s">
        <v>213</v>
      </c>
      <c r="V92" s="75" t="s">
        <v>218</v>
      </c>
      <c r="W92" s="74" t="s">
        <v>213</v>
      </c>
      <c r="X92" s="75" t="s">
        <v>214</v>
      </c>
      <c r="Y92" s="74" t="s">
        <v>214</v>
      </c>
      <c r="Z92" s="75" t="s">
        <v>225</v>
      </c>
    </row>
    <row r="93" spans="2:26" ht="15.75" hidden="1" thickBot="1" x14ac:dyDescent="0.3">
      <c r="B93" s="144"/>
      <c r="C93" s="146" t="str">
        <f>C92&amp;"-"&amp;D92</f>
        <v>2301-2302</v>
      </c>
      <c r="D93" s="146"/>
      <c r="E93" s="146" t="str">
        <f>E92&amp;"-"&amp;F92</f>
        <v>2301-2305</v>
      </c>
      <c r="F93" s="145"/>
      <c r="G93" s="146" t="str">
        <f>G92&amp;"-"&amp;H92</f>
        <v>2301-2306</v>
      </c>
      <c r="H93" s="145"/>
      <c r="I93" s="146" t="str">
        <f>I92&amp;"-"&amp;J92</f>
        <v>2301-2312</v>
      </c>
      <c r="J93" s="145"/>
      <c r="K93" s="146" t="str">
        <f>K92&amp;"-"&amp;L92</f>
        <v>2301-2321</v>
      </c>
      <c r="L93" s="145"/>
      <c r="M93" s="146" t="str">
        <f>M92&amp;"-"&amp;N92</f>
        <v>2302-2303</v>
      </c>
      <c r="N93" s="145"/>
      <c r="O93" s="146" t="str">
        <f>O92&amp;"-"&amp;P92</f>
        <v>2302-2308</v>
      </c>
      <c r="P93" s="145"/>
      <c r="Q93" s="146" t="str">
        <f>Q92&amp;"-"&amp;R92</f>
        <v>2302-2313</v>
      </c>
      <c r="R93" s="145"/>
      <c r="S93" s="146" t="str">
        <f>S92&amp;"-"&amp;T92</f>
        <v>2303-2314</v>
      </c>
      <c r="T93" s="145"/>
      <c r="U93" s="146" t="str">
        <f>U92&amp;"-"&amp;V92</f>
        <v>2303-2308</v>
      </c>
      <c r="V93" s="145"/>
      <c r="W93" s="146" t="str">
        <f>W92&amp;"-"&amp;X92</f>
        <v>2303-2304</v>
      </c>
      <c r="X93" s="145"/>
      <c r="Y93" s="146" t="str">
        <f>Y92&amp;"-"&amp;Z92</f>
        <v>2304-2315</v>
      </c>
      <c r="Z93" s="145"/>
    </row>
    <row r="94" spans="2:26" x14ac:dyDescent="0.25">
      <c r="B94" s="105" t="s">
        <v>114</v>
      </c>
      <c r="C94" s="102" t="s">
        <v>109</v>
      </c>
      <c r="D94" s="103" t="s">
        <v>109</v>
      </c>
      <c r="E94" s="102" t="s">
        <v>108</v>
      </c>
      <c r="F94" s="103" t="s">
        <v>108</v>
      </c>
      <c r="G94" s="102" t="s">
        <v>108</v>
      </c>
      <c r="H94" s="103" t="s">
        <v>109</v>
      </c>
      <c r="I94" s="102" t="s">
        <v>108</v>
      </c>
      <c r="J94" s="103" t="s">
        <v>108</v>
      </c>
      <c r="K94" s="102" t="s">
        <v>109</v>
      </c>
      <c r="L94" s="103" t="s">
        <v>108</v>
      </c>
      <c r="M94" s="102" t="s">
        <v>109</v>
      </c>
      <c r="N94" s="103" t="s">
        <v>109</v>
      </c>
      <c r="O94" s="102" t="s">
        <v>108</v>
      </c>
      <c r="P94" s="103" t="s">
        <v>108</v>
      </c>
      <c r="Q94" s="102" t="s">
        <v>108</v>
      </c>
      <c r="R94" s="103" t="s">
        <v>108</v>
      </c>
      <c r="S94" s="102" t="s">
        <v>108</v>
      </c>
      <c r="T94" s="103" t="s">
        <v>108</v>
      </c>
      <c r="U94" s="102" t="s">
        <v>108</v>
      </c>
      <c r="V94" s="103" t="s">
        <v>108</v>
      </c>
      <c r="W94" s="102" t="s">
        <v>109</v>
      </c>
      <c r="X94" s="103" t="s">
        <v>109</v>
      </c>
      <c r="Y94" s="102" t="s">
        <v>108</v>
      </c>
      <c r="Z94" s="103" t="s">
        <v>108</v>
      </c>
    </row>
    <row r="95" spans="2:26" x14ac:dyDescent="0.25">
      <c r="B95" s="106" t="s">
        <v>110</v>
      </c>
      <c r="C95" s="104">
        <f t="shared" ref="C95:K95" si="23">HLOOKUP(C92,$B$46:$V$89,IF(C94="x",35,40),FALSE)</f>
        <v>1973.2974910394266</v>
      </c>
      <c r="D95" s="86">
        <f t="shared" si="23"/>
        <v>1034.7772925764191</v>
      </c>
      <c r="E95" s="104">
        <f t="shared" si="23"/>
        <v>2685.6097560975609</v>
      </c>
      <c r="F95" s="86">
        <f t="shared" si="23"/>
        <v>1981.8038709677417</v>
      </c>
      <c r="G95" s="104">
        <f t="shared" si="23"/>
        <v>2685.6097560975609</v>
      </c>
      <c r="H95" s="86">
        <f t="shared" si="23"/>
        <v>1125.1724137931033</v>
      </c>
      <c r="I95" s="104">
        <f t="shared" si="23"/>
        <v>2685.6097560975609</v>
      </c>
      <c r="J95" s="86">
        <f t="shared" si="23"/>
        <v>259.36137500000001</v>
      </c>
      <c r="K95" s="104">
        <f t="shared" si="23"/>
        <v>1973.2974910394266</v>
      </c>
      <c r="L95" s="86">
        <f>HLOOKUP(L92,$B$46:$X$89,IF(L94="x",35,40),FALSE)</f>
        <v>55.73749999999999</v>
      </c>
      <c r="M95" s="104">
        <f t="shared" ref="M95:Z95" si="24">HLOOKUP(M92,$B$46:$X$89,IF(M94="x",35,40),FALSE)</f>
        <v>1034.7772925764191</v>
      </c>
      <c r="N95" s="86">
        <f t="shared" si="24"/>
        <v>1034.7772925764191</v>
      </c>
      <c r="O95" s="104">
        <f t="shared" si="24"/>
        <v>1260.4468085106382</v>
      </c>
      <c r="P95" s="86">
        <f t="shared" si="24"/>
        <v>148.6333333333333</v>
      </c>
      <c r="Q95" s="104">
        <f t="shared" si="24"/>
        <v>1260.4468085106382</v>
      </c>
      <c r="R95" s="86">
        <f t="shared" si="24"/>
        <v>259.36137500000001</v>
      </c>
      <c r="S95" s="104">
        <f t="shared" si="24"/>
        <v>1260.4468085106382</v>
      </c>
      <c r="T95" s="86">
        <f t="shared" si="24"/>
        <v>259.36137500000001</v>
      </c>
      <c r="U95" s="104">
        <f t="shared" si="24"/>
        <v>1260.4468085106382</v>
      </c>
      <c r="V95" s="86">
        <f t="shared" si="24"/>
        <v>148.6333333333333</v>
      </c>
      <c r="W95" s="104">
        <f t="shared" si="24"/>
        <v>1034.7772925764191</v>
      </c>
      <c r="X95" s="86">
        <f t="shared" si="24"/>
        <v>1772.9957142857143</v>
      </c>
      <c r="Y95" s="104">
        <f t="shared" si="24"/>
        <v>2262.4164062499999</v>
      </c>
      <c r="Z95" s="86">
        <f t="shared" si="24"/>
        <v>259.36137500000001</v>
      </c>
    </row>
    <row r="96" spans="2:26" x14ac:dyDescent="0.25">
      <c r="B96" s="106" t="s">
        <v>111</v>
      </c>
      <c r="C96" s="203">
        <f>(MAX(C95:D95)-MIN(C95:D95))/(MAX(C95:D95))</f>
        <v>0.47561009058428677</v>
      </c>
      <c r="D96" s="204"/>
      <c r="E96" s="203">
        <f>(MAX(E95:F95)-MIN(E95:F95))/(MAX(E95:F95))</f>
        <v>0.26206558251133039</v>
      </c>
      <c r="F96" s="204"/>
      <c r="G96" s="203">
        <f>(MAX(G95:H95)-MIN(G95:H95))/(MAX(G95:H95))</f>
        <v>0.58103651834059367</v>
      </c>
      <c r="H96" s="204"/>
      <c r="I96" s="203">
        <f>(MAX(I95:J95)-MIN(I95:J95))/(MAX(I95:J95))</f>
        <v>0.90342551652892567</v>
      </c>
      <c r="J96" s="204"/>
      <c r="K96" s="203">
        <f>(MAX(K95:L95)-MIN(K95:L95))/(MAX(K95:L95))</f>
        <v>0.97175413223140494</v>
      </c>
      <c r="L96" s="204"/>
      <c r="M96" s="203">
        <f>(MAX(M95:N95)-MIN(M95:N95))/(MAX(M95:N95))</f>
        <v>0</v>
      </c>
      <c r="N96" s="204"/>
      <c r="O96" s="203">
        <f>(MAX(O95:P95)-MIN(O95:P95))/(MAX(O95:P95))</f>
        <v>0.88207885304659506</v>
      </c>
      <c r="P96" s="204"/>
      <c r="Q96" s="203">
        <f>(MAX(Q95:R95)-MIN(Q95:R95))/(MAX(Q95:R95))</f>
        <v>0.79423060675883261</v>
      </c>
      <c r="R96" s="204"/>
      <c r="S96" s="203">
        <f>(MAX(S95:T95)-MIN(S95:T95))/(MAX(S95:T95))</f>
        <v>0.79423060675883261</v>
      </c>
      <c r="T96" s="204"/>
      <c r="U96" s="203">
        <f>(MAX(U95:V95)-MIN(U95:V95))/(MAX(U95:V95))</f>
        <v>0.88207885304659506</v>
      </c>
      <c r="V96" s="204"/>
      <c r="W96" s="203">
        <f>(MAX(W95:X95)-MIN(W95:X95))/(MAX(W95:X95))</f>
        <v>0.41636785456455588</v>
      </c>
      <c r="X96" s="204"/>
      <c r="Y96" s="203">
        <f>(MAX(Y95:Z95)-MIN(Y95:Z95))/(MAX(Y95:Z95))</f>
        <v>0.88536090249190835</v>
      </c>
      <c r="Z96" s="204"/>
    </row>
    <row r="97" spans="2:26" x14ac:dyDescent="0.25">
      <c r="B97" s="106" t="s">
        <v>112</v>
      </c>
      <c r="C97" s="205">
        <f>IF(C96&lt;25%,(C95*0.5+D95*0.5)*0.9,IF(C96&lt;50%,(MAX(C95:D95)*0.6+MIN(C95:D95)*0.4)*0.9,IF(C96&lt;70%,(MAX(C95:D95)*0.65+MIN(C95:D95)*0.35)*0.9,IF(C96&lt;100%,(MAX(C95:D95)*0.7+MIN(C95:D95)*0.3)*0.9,0.7*MAX(C95:D95)))))</f>
        <v>1438.1004704888012</v>
      </c>
      <c r="D97" s="206"/>
      <c r="E97" s="205">
        <f>IF(E96&lt;25%,(E95*0.5+F95*0.5)*0.9,IF(E96&lt;50%,(MAX(E95:F95)*0.6+MIN(E95:F95)*0.4)*0.9,IF(E96&lt;70%,(MAX(E95:F95)*0.65+MIN(E95:F95)*0.35)*0.9,IF(E96&lt;100%,(MAX(E95:F95)*0.7+MIN(E95:F95)*0.3)*0.9,0.7*MAX(E95:F95)))))</f>
        <v>2163.6786618410697</v>
      </c>
      <c r="F97" s="206"/>
      <c r="G97" s="205">
        <f>IF(G96&lt;25%,(G95*0.5+H95*0.5)*0.9,IF(G96&lt;50%,(MAX(G95:H95)*0.6+MIN(G95:H95)*0.4)*0.9,IF(G96&lt;70%,(MAX(G95:H95)*0.65+MIN(G95:H95)*0.35)*0.9,IF(G96&lt;100%,(MAX(G95:H95)*0.7+MIN(G95:H95)*0.3)*0.9,0.7*MAX(G95:H95)))))</f>
        <v>1925.511017661901</v>
      </c>
      <c r="H97" s="206"/>
      <c r="I97" s="205">
        <f>IF(I96&lt;25%,(I95*0.5+J95*0.5)*0.9,IF(I96&lt;50%,(MAX(I95:J95)*0.6+MIN(I95:J95)*0.4)*0.9,IF(I96&lt;70%,(MAX(I95:J95)*0.65+MIN(I95:J95)*0.35)*0.9,IF(I96&lt;100%,(MAX(I95:J95)*0.7+MIN(I95:J95)*0.3)*0.9,0.7*MAX(I95:J95)))))</f>
        <v>1761.9617175914634</v>
      </c>
      <c r="J97" s="206"/>
      <c r="K97" s="205">
        <f>IF(K96&lt;25%,(K95*0.5+L95*0.5)*0.9,IF(K96&lt;50%,(MAX(K95:L95)*0.6+MIN(K95:L95)*0.4)*0.9,IF(K96&lt;70%,(MAX(K95:L95)*0.65+MIN(K95:L95)*0.35)*0.9,IF(K96&lt;100%,(MAX(K95:L95)*0.7+MIN(K95:L95)*0.3)*0.9,0.7*MAX(K95:L95)))))</f>
        <v>1258.2265443548388</v>
      </c>
      <c r="L97" s="206"/>
      <c r="M97" s="205">
        <f>IF(M96&lt;25%,(M95*0.5+N95*0.5)*0.9,IF(M96&lt;50%,(MAX(M95:N95)*0.6+MIN(M95:N95)*0.4)*0.9,IF(M96&lt;70%,(MAX(M95:N95)*0.65+MIN(M95:N95)*0.35)*0.9,IF(M96&lt;100%,(MAX(M95:N95)*0.7+MIN(M95:N95)*0.3)*0.9,0.7*MAX(M95:N95)))))</f>
        <v>931.29956331877725</v>
      </c>
      <c r="N97" s="206"/>
      <c r="O97" s="205">
        <f>IF(O96&lt;25%,(O95*0.5+P95*0.5)*0.9,IF(O96&lt;50%,(MAX(O95:P95)*0.6+MIN(O95:P95)*0.4)*0.9,IF(O96&lt;70%,(MAX(O95:P95)*0.65+MIN(O95:P95)*0.35)*0.9,IF(O96&lt;100%,(MAX(O95:P95)*0.7+MIN(O95:P95)*0.3)*0.9,0.7*MAX(O95:P95)))))</f>
        <v>834.21248936170207</v>
      </c>
      <c r="P97" s="206"/>
      <c r="Q97" s="205">
        <f>IF(Q96&lt;25%,(Q95*0.5+R95*0.5)*0.9,IF(Q96&lt;50%,(MAX(Q95:R95)*0.6+MIN(Q95:R95)*0.4)*0.9,IF(Q96&lt;70%,(MAX(Q95:R95)*0.65+MIN(Q95:R95)*0.35)*0.9,IF(Q96&lt;100%,(MAX(Q95:R95)*0.7+MIN(Q95:R95)*0.3)*0.9,0.7*MAX(Q95:R95)))))</f>
        <v>864.10906061170203</v>
      </c>
      <c r="R97" s="206"/>
      <c r="S97" s="205">
        <f>IF(S96&lt;25%,(S95*0.5+T95*0.5)*0.9,IF(S96&lt;50%,(MAX(S95:T95)*0.6+MIN(S95:T95)*0.4)*0.9,IF(S96&lt;70%,(MAX(S95:T95)*0.65+MIN(S95:T95)*0.35)*0.9,IF(S96&lt;100%,(MAX(S95:T95)*0.7+MIN(S95:T95)*0.3)*0.9,0.7*MAX(S95:T95)))))</f>
        <v>864.10906061170203</v>
      </c>
      <c r="T97" s="206"/>
      <c r="U97" s="205">
        <f>IF(U96&lt;25%,(U95*0.5+V95*0.5)*0.9,IF(U96&lt;50%,(MAX(U95:V95)*0.6+MIN(U95:V95)*0.4)*0.9,IF(U96&lt;70%,(MAX(U95:V95)*0.65+MIN(U95:V95)*0.35)*0.9,IF(U96&lt;100%,(MAX(U95:V95)*0.7+MIN(U95:V95)*0.3)*0.9,0.7*MAX(U95:V95)))))</f>
        <v>834.21248936170207</v>
      </c>
      <c r="V97" s="206"/>
      <c r="W97" s="205">
        <f>IF(W96&lt;25%,(W95*0.5+X95*0.5)*0.9,IF(W96&lt;50%,(MAX(W95:X95)*0.6+MIN(W95:X95)*0.4)*0.9,IF(W96&lt;70%,(MAX(W95:X95)*0.65+MIN(W95:X95)*0.35)*0.9,IF(W96&lt;100%,(MAX(W95:X95)*0.7+MIN(W95:X95)*0.3)*0.9,0.7*MAX(W95:X95)))))</f>
        <v>1329.9375110417966</v>
      </c>
      <c r="X97" s="206"/>
      <c r="Y97" s="205">
        <f>IF(Y96&lt;25%,(Y95*0.5+Z95*0.5)*0.9,IF(Y96&lt;50%,(MAX(Y95:Z95)*0.6+MIN(Y95:Z95)*0.4)*0.9,IF(Y96&lt;70%,(MAX(Y95:Z95)*0.65+MIN(Y95:Z95)*0.35)*0.9,IF(Y96&lt;100%,(MAX(Y95:Z95)*0.7+MIN(Y95:Z95)*0.3)*0.9,0.7*MAX(Y95:Z95)))))</f>
        <v>1495.3499071874999</v>
      </c>
      <c r="Z97" s="206"/>
    </row>
    <row r="98" spans="2:26" x14ac:dyDescent="0.25">
      <c r="B98" s="107" t="s">
        <v>15</v>
      </c>
      <c r="C98" s="207">
        <f>C97/(0.9*(0.9*($C$7/100))*($L$9*1000))</f>
        <v>2.9630051395457335</v>
      </c>
      <c r="D98" s="208"/>
      <c r="E98" s="207">
        <f>E97/(0.9*(0.9*($C$7/100))*($L$9*1000))</f>
        <v>4.4579576510266135</v>
      </c>
      <c r="F98" s="208"/>
      <c r="G98" s="207">
        <f>G97/(0.9*(0.9*($C$7/100))*($L$9*1000))</f>
        <v>3.967246488449415</v>
      </c>
      <c r="H98" s="208"/>
      <c r="I98" s="207">
        <f>I97/(0.9*(0.9*($C$7/100))*($L$9*1000))</f>
        <v>3.630276000905452</v>
      </c>
      <c r="J98" s="208"/>
      <c r="K98" s="207">
        <f>K97/(0.9*(0.9*($C$7/100))*($L$9*1000))</f>
        <v>2.5924000402900131</v>
      </c>
      <c r="L98" s="208"/>
      <c r="M98" s="207">
        <f>M97/(0.9*(0.9*($C$7/100))*($L$9*1000))</f>
        <v>1.9188126623950803</v>
      </c>
      <c r="N98" s="208"/>
      <c r="O98" s="207">
        <f>O97/(0.9*(0.9*($C$7/100))*($L$9*1000))</f>
        <v>1.7187783080356149</v>
      </c>
      <c r="P98" s="208"/>
      <c r="Q98" s="207">
        <f>Q97/(0.9*(0.9*($C$7/100))*($L$9*1000))</f>
        <v>1.7803760170179617</v>
      </c>
      <c r="R98" s="208"/>
      <c r="S98" s="207">
        <f>S97/(0.9*(0.9*($C$7/100))*($L$9*1000))</f>
        <v>1.7803760170179617</v>
      </c>
      <c r="T98" s="208"/>
      <c r="U98" s="207">
        <f>U97/(0.9*(0.9*($C$7/100))*($L$9*1000))</f>
        <v>1.7187783080356149</v>
      </c>
      <c r="V98" s="208"/>
      <c r="W98" s="207">
        <f>W97/(0.9*(0.9*($C$7/100))*($L$9*1000))</f>
        <v>2.7401504702603394</v>
      </c>
      <c r="X98" s="208"/>
      <c r="Y98" s="207">
        <f>Y97/(0.9*(0.9*($C$7/100))*($L$9*1000))</f>
        <v>3.0809596070223249</v>
      </c>
      <c r="Z98" s="208"/>
    </row>
    <row r="99" spans="2:26" x14ac:dyDescent="0.25">
      <c r="B99" s="107" t="s">
        <v>98</v>
      </c>
      <c r="C99" s="209">
        <f>(C98*($L$9))/(0.85*$L$6*100)</f>
        <v>7.3135305635846248E-2</v>
      </c>
      <c r="D99" s="210"/>
      <c r="E99" s="209">
        <f>(E98*($L$9))/(0.85*$L$6*100)</f>
        <v>0.11003494086732356</v>
      </c>
      <c r="F99" s="210"/>
      <c r="G99" s="209">
        <f>(G98*($L$9))/(0.85*$L$6*100)</f>
        <v>9.7922808365418085E-2</v>
      </c>
      <c r="H99" s="210"/>
      <c r="I99" s="209">
        <f>(I98*($L$9))/(0.85*$L$6*100)</f>
        <v>8.9605428396051526E-2</v>
      </c>
      <c r="J99" s="210"/>
      <c r="K99" s="209">
        <f>(K98*($L$9))/(0.85*$L$6*100)</f>
        <v>6.3987728791472062E-2</v>
      </c>
      <c r="L99" s="210"/>
      <c r="M99" s="209">
        <f>(M98*($L$9))/(0.85*$L$6*100)</f>
        <v>4.7361696626591371E-2</v>
      </c>
      <c r="N99" s="210"/>
      <c r="O99" s="209">
        <f>(O98*($L$9))/(0.85*$L$6*100)</f>
        <v>4.2424285803877929E-2</v>
      </c>
      <c r="P99" s="210"/>
      <c r="Q99" s="209">
        <f>(Q98*($L$9))/(0.85*$L$6*100)</f>
        <v>4.3944690616129621E-2</v>
      </c>
      <c r="R99" s="210"/>
      <c r="S99" s="209">
        <f>(S98*($L$9))/(0.85*$L$6*100)</f>
        <v>4.3944690616129621E-2</v>
      </c>
      <c r="T99" s="210"/>
      <c r="U99" s="209">
        <f>(U98*($L$9))/(0.85*$L$6*100)</f>
        <v>4.2424285803877929E-2</v>
      </c>
      <c r="V99" s="210"/>
      <c r="W99" s="209">
        <f>(W98*($L$9))/(0.85*$L$6*100)</f>
        <v>6.7634625217498578E-2</v>
      </c>
      <c r="X99" s="210"/>
      <c r="Y99" s="209">
        <f>(Y98*($L$9))/(0.85*$L$6*100)</f>
        <v>7.6046753852684834E-2</v>
      </c>
      <c r="Z99" s="210"/>
    </row>
    <row r="100" spans="2:26" ht="15.75" thickBot="1" x14ac:dyDescent="0.3">
      <c r="B100" s="108" t="s">
        <v>15</v>
      </c>
      <c r="C100" s="201">
        <f>ROUNDUP(C97/(0.9*(($C$7-C99/2)/100)*($L$9*1000)),2)</f>
        <v>2.6799999999999997</v>
      </c>
      <c r="D100" s="202"/>
      <c r="E100" s="201">
        <f>ROUNDUP(E97/(0.9*(($C$7-E99/2)/100)*($L$9*1000)),2)</f>
        <v>4.0299999999999994</v>
      </c>
      <c r="F100" s="202"/>
      <c r="G100" s="201">
        <f>ROUNDUP(G97/(0.9*(($C$7-G99/2)/100)*($L$9*1000)),2)</f>
        <v>3.59</v>
      </c>
      <c r="H100" s="202"/>
      <c r="I100" s="201">
        <f>ROUNDUP(I97/(0.9*(($C$7-I99/2)/100)*($L$9*1000)),2)</f>
        <v>3.28</v>
      </c>
      <c r="J100" s="202"/>
      <c r="K100" s="201">
        <f>ROUNDUP(K97/(0.9*(($C$7-K99/2)/100)*($L$9*1000)),2)</f>
        <v>2.34</v>
      </c>
      <c r="L100" s="202"/>
      <c r="M100" s="201">
        <f>ROUNDUP(M97/(0.9*(($C$7-M99/2)/100)*($L$9*1000)),2)</f>
        <v>1.73</v>
      </c>
      <c r="N100" s="202"/>
      <c r="O100" s="201">
        <f>ROUNDUP(O97/(0.9*(($C$7-O99/2)/100)*($L$9*1000)),2)</f>
        <v>1.55</v>
      </c>
      <c r="P100" s="202"/>
      <c r="Q100" s="201">
        <f>ROUNDUP(Q97/(0.9*(($C$7-Q99/2)/100)*($L$9*1000)),2)</f>
        <v>1.61</v>
      </c>
      <c r="R100" s="202"/>
      <c r="S100" s="201">
        <f>ROUNDUP(S97/(0.9*(($C$7-S99/2)/100)*($L$9*1000)),2)</f>
        <v>1.61</v>
      </c>
      <c r="T100" s="202"/>
      <c r="U100" s="201">
        <f>ROUNDUP(U97/(0.9*(($C$7-U99/2)/100)*($L$9*1000)),2)</f>
        <v>1.55</v>
      </c>
      <c r="V100" s="202"/>
      <c r="W100" s="201">
        <f>ROUNDUP(W97/(0.9*(($C$7-W99/2)/100)*($L$9*1000)),2)</f>
        <v>2.48</v>
      </c>
      <c r="X100" s="202"/>
      <c r="Y100" s="201">
        <f>ROUNDUP(Y97/(0.9*(($C$7-Y99/2)/100)*($L$9*1000)),2)</f>
        <v>2.7899999999999996</v>
      </c>
      <c r="Z100" s="202"/>
    </row>
    <row r="101" spans="2:26" ht="16.5" thickBot="1" x14ac:dyDescent="0.3">
      <c r="B101" s="61" t="s">
        <v>113</v>
      </c>
      <c r="C101" s="199" t="str">
        <f>IF(C100&gt;$C$12,"$\phi"&amp;IF(VLOOKUP(VLOOKUP(C100,tablas!$R$3:$T$66,2,TRUE)&amp;VLOOKUP(C100,tablas!$R$3:$T$66,3,TRUE),tablas!$Q$3:$R$66,2,FALSE)&lt;C100,VLOOKUP(C100+0.1,tablas!$R$3:$T$66,2,TRUE),VLOOKUP(C100,tablas!$R$3:$T$66,2,TRUE))&amp;"@"&amp;IF(VLOOKUP(VLOOKUP(C100,tablas!$R$3:$T$66,2,TRUE)&amp;VLOOKUP(C100,tablas!$R$3:$T$66,3,TRUE),tablas!$Q$3:$R$66,2,FALSE)&lt;C100,VLOOKUP(C100+0.1,tablas!$R$3:$T$66,3,TRUE)&amp;"$",VLOOKUP(C100,tablas!$R$3:$T$66,3,TRUE)&amp;"$"),$C$13)</f>
        <v>$\phi8@17$</v>
      </c>
      <c r="D101" s="200"/>
      <c r="E101" s="199" t="str">
        <f>IF(E100&gt;$C$12,"$\phi"&amp;IF(VLOOKUP(VLOOKUP(E100,tablas!$R$3:$T$66,2,TRUE)&amp;VLOOKUP(E100,tablas!$R$3:$T$66,3,TRUE),tablas!$Q$3:$R$66,2,FALSE)&lt;E100,VLOOKUP(E100+0.1,tablas!$R$3:$T$66,2,TRUE),VLOOKUP(E100,tablas!$R$3:$T$66,2,TRUE))&amp;"@"&amp;IF(VLOOKUP(VLOOKUP(E100,tablas!$R$3:$T$66,2,TRUE)&amp;VLOOKUP(E100,tablas!$R$3:$T$66,3,TRUE),tablas!$Q$3:$R$66,2,FALSE)&lt;E100,VLOOKUP(E100+0.1,tablas!$R$3:$T$66,3,TRUE)&amp;"$",VLOOKUP(E100,tablas!$R$3:$T$66,3,TRUE)&amp;"$"),$C$13)</f>
        <v>$\phi10@20$</v>
      </c>
      <c r="F101" s="200"/>
      <c r="G101" s="199" t="str">
        <f>IF(G100&gt;$C$12,"$\phi"&amp;IF(VLOOKUP(VLOOKUP(G100,tablas!$R$3:$T$66,2,TRUE)&amp;VLOOKUP(G100,tablas!$R$3:$T$66,3,TRUE),tablas!$Q$3:$R$66,2,FALSE)&lt;G100,VLOOKUP(G100+0.1,tablas!$R$3:$T$66,2,TRUE),VLOOKUP(G100,tablas!$R$3:$T$66,2,TRUE))&amp;"@"&amp;IF(VLOOKUP(VLOOKUP(G100,tablas!$R$3:$T$66,2,TRUE)&amp;VLOOKUP(G100,tablas!$R$3:$T$66,3,TRUE),tablas!$Q$3:$R$66,2,FALSE)&lt;G100,VLOOKUP(G100+0.1,tablas!$R$3:$T$66,3,TRUE)&amp;"$",VLOOKUP(G100,tablas!$R$3:$T$66,3,TRUE)&amp;"$"),$C$13)</f>
        <v>$\phi8@14$</v>
      </c>
      <c r="H101" s="200"/>
      <c r="I101" s="199" t="str">
        <f>IF(I100&gt;$C$12,"$\phi"&amp;IF(VLOOKUP(VLOOKUP(I100,tablas!$R$3:$T$66,2,TRUE)&amp;VLOOKUP(I100,tablas!$R$3:$T$66,3,TRUE),tablas!$Q$3:$R$66,2,FALSE)&lt;I100,VLOOKUP(I100+0.1,tablas!$R$3:$T$66,2,TRUE),VLOOKUP(I100,tablas!$R$3:$T$66,2,TRUE))&amp;"@"&amp;IF(VLOOKUP(VLOOKUP(I100,tablas!$R$3:$T$66,2,TRUE)&amp;VLOOKUP(I100,tablas!$R$3:$T$66,3,TRUE),tablas!$Q$3:$R$66,2,FALSE)&lt;I100,VLOOKUP(I100+0.1,tablas!$R$3:$T$66,3,TRUE)&amp;"$",VLOOKUP(I100,tablas!$R$3:$T$66,3,TRUE)&amp;"$"),$C$13)</f>
        <v>$\phi8@15$</v>
      </c>
      <c r="J101" s="200"/>
      <c r="K101" s="199" t="str">
        <f>IF(K100&gt;$C$12,"$\phi"&amp;IF(VLOOKUP(VLOOKUP(K100,tablas!$R$3:$T$66,2,TRUE)&amp;VLOOKUP(K100,tablas!$R$3:$T$66,3,TRUE),tablas!$Q$3:$R$66,2,FALSE)&lt;K100,VLOOKUP(K100+0.1,tablas!$R$3:$T$66,2,TRUE),VLOOKUP(K100,tablas!$R$3:$T$66,2,TRUE))&amp;"@"&amp;IF(VLOOKUP(VLOOKUP(K100,tablas!$R$3:$T$66,2,TRUE)&amp;VLOOKUP(K100,tablas!$R$3:$T$66,3,TRUE),tablas!$Q$3:$R$66,2,FALSE)&lt;K100,VLOOKUP(K100+0.1,tablas!$R$3:$T$66,3,TRUE)&amp;"$",VLOOKUP(K100,tablas!$R$3:$T$66,3,TRUE)&amp;"$"),$C$13)</f>
        <v>$\phi8@17$</v>
      </c>
      <c r="L101" s="200"/>
      <c r="M101" s="199" t="str">
        <f>IF(M100&gt;$C$12,"$\phi"&amp;IF(VLOOKUP(VLOOKUP(M100,tablas!$R$3:$T$66,2,TRUE)&amp;VLOOKUP(M100,tablas!$R$3:$T$66,3,TRUE),tablas!$Q$3:$R$66,2,FALSE)&lt;M100,VLOOKUP(M100+0.1,tablas!$R$3:$T$66,2,TRUE),VLOOKUP(M100,tablas!$R$3:$T$66,2,TRUE))&amp;"@"&amp;IF(VLOOKUP(VLOOKUP(M100,tablas!$R$3:$T$66,2,TRUE)&amp;VLOOKUP(M100,tablas!$R$3:$T$66,3,TRUE),tablas!$Q$3:$R$66,2,FALSE)&lt;M100,VLOOKUP(M100+0.1,tablas!$R$3:$T$66,3,TRUE)&amp;"$",VLOOKUP(M100,tablas!$R$3:$T$66,3,TRUE)&amp;"$"),$C$13)</f>
        <v>$\phi8@17$</v>
      </c>
      <c r="N101" s="200"/>
      <c r="O101" s="199" t="str">
        <f>IF(O100&gt;$C$12,"$\phi"&amp;IF(VLOOKUP(VLOOKUP(O100,tablas!$R$3:$T$66,2,TRUE)&amp;VLOOKUP(O100,tablas!$R$3:$T$66,3,TRUE),tablas!$Q$3:$R$66,2,FALSE)&lt;O100,VLOOKUP(O100+0.1,tablas!$R$3:$T$66,2,TRUE),VLOOKUP(O100,tablas!$R$3:$T$66,2,TRUE))&amp;"@"&amp;IF(VLOOKUP(VLOOKUP(O100,tablas!$R$3:$T$66,2,TRUE)&amp;VLOOKUP(O100,tablas!$R$3:$T$66,3,TRUE),tablas!$Q$3:$R$66,2,FALSE)&lt;O100,VLOOKUP(O100+0.1,tablas!$R$3:$T$66,3,TRUE)&amp;"$",VLOOKUP(O100,tablas!$R$3:$T$66,3,TRUE)&amp;"$"),$C$13)</f>
        <v>$\phi8@17$</v>
      </c>
      <c r="P101" s="200"/>
      <c r="Q101" s="199" t="str">
        <f>IF(Q100&gt;$C$12,"$\phi"&amp;IF(VLOOKUP(VLOOKUP(Q100,tablas!$R$3:$T$66,2,TRUE)&amp;VLOOKUP(Q100,tablas!$R$3:$T$66,3,TRUE),tablas!$Q$3:$R$66,2,FALSE)&lt;Q100,VLOOKUP(Q100+0.1,tablas!$R$3:$T$66,2,TRUE),VLOOKUP(Q100,tablas!$R$3:$T$66,2,TRUE))&amp;"@"&amp;IF(VLOOKUP(VLOOKUP(Q100,tablas!$R$3:$T$66,2,TRUE)&amp;VLOOKUP(Q100,tablas!$R$3:$T$66,3,TRUE),tablas!$Q$3:$R$66,2,FALSE)&lt;Q100,VLOOKUP(Q100+0.1,tablas!$R$3:$T$66,3,TRUE)&amp;"$",VLOOKUP(Q100,tablas!$R$3:$T$66,3,TRUE)&amp;"$"),$C$13)</f>
        <v>$\phi8@17$</v>
      </c>
      <c r="R101" s="200"/>
      <c r="S101" s="199" t="str">
        <f>IF(S100&gt;$C$12,"$\phi"&amp;IF(VLOOKUP(VLOOKUP(S100,tablas!$R$3:$T$66,2,TRUE)&amp;VLOOKUP(S100,tablas!$R$3:$T$66,3,TRUE),tablas!$Q$3:$R$66,2,FALSE)&lt;S100,VLOOKUP(S100+0.1,tablas!$R$3:$T$66,2,TRUE),VLOOKUP(S100,tablas!$R$3:$T$66,2,TRUE))&amp;"@"&amp;IF(VLOOKUP(VLOOKUP(S100,tablas!$R$3:$T$66,2,TRUE)&amp;VLOOKUP(S100,tablas!$R$3:$T$66,3,TRUE),tablas!$Q$3:$R$66,2,FALSE)&lt;S100,VLOOKUP(S100+0.1,tablas!$R$3:$T$66,3,TRUE)&amp;"$",VLOOKUP(S100,tablas!$R$3:$T$66,3,TRUE)&amp;"$"),$C$13)</f>
        <v>$\phi8@17$</v>
      </c>
      <c r="T101" s="200"/>
      <c r="U101" s="199" t="str">
        <f>IF(U100&gt;$C$12,"$\phi"&amp;IF(VLOOKUP(VLOOKUP(U100,tablas!$R$3:$T$66,2,TRUE)&amp;VLOOKUP(U100,tablas!$R$3:$T$66,3,TRUE),tablas!$Q$3:$R$66,2,FALSE)&lt;U100,VLOOKUP(U100+0.1,tablas!$R$3:$T$66,2,TRUE),VLOOKUP(U100,tablas!$R$3:$T$66,2,TRUE))&amp;"@"&amp;IF(VLOOKUP(VLOOKUP(U100,tablas!$R$3:$T$66,2,TRUE)&amp;VLOOKUP(U100,tablas!$R$3:$T$66,3,TRUE),tablas!$Q$3:$R$66,2,FALSE)&lt;U100,VLOOKUP(U100+0.1,tablas!$R$3:$T$66,3,TRUE)&amp;"$",VLOOKUP(U100,tablas!$R$3:$T$66,3,TRUE)&amp;"$"),$C$13)</f>
        <v>$\phi8@17$</v>
      </c>
      <c r="V101" s="200"/>
      <c r="W101" s="199" t="str">
        <f>IF(W100&gt;$C$12,"$\phi"&amp;IF(VLOOKUP(VLOOKUP(W100,tablas!$R$3:$T$66,2,TRUE)&amp;VLOOKUP(W100,tablas!$R$3:$T$66,3,TRUE),tablas!$Q$3:$R$66,2,FALSE)&lt;W100,VLOOKUP(W100+0.1,tablas!$R$3:$T$66,2,TRUE),VLOOKUP(W100,tablas!$R$3:$T$66,2,TRUE))&amp;"@"&amp;IF(VLOOKUP(VLOOKUP(W100,tablas!$R$3:$T$66,2,TRUE)&amp;VLOOKUP(W100,tablas!$R$3:$T$66,3,TRUE),tablas!$Q$3:$R$66,2,FALSE)&lt;W100,VLOOKUP(W100+0.1,tablas!$R$3:$T$66,3,TRUE)&amp;"$",VLOOKUP(W100,tablas!$R$3:$T$66,3,TRUE)&amp;"$"),$C$13)</f>
        <v>$\phi8@17$</v>
      </c>
      <c r="X101" s="200"/>
      <c r="Y101" s="199" t="str">
        <f>IF(Y100&gt;$C$12,"$\phi"&amp;IF(VLOOKUP(VLOOKUP(Y100,tablas!$R$3:$T$66,2,TRUE)&amp;VLOOKUP(Y100,tablas!$R$3:$T$66,3,TRUE),tablas!$Q$3:$R$66,2,FALSE)&lt;Y100,VLOOKUP(Y100+0.1,tablas!$R$3:$T$66,2,TRUE),VLOOKUP(Y100,tablas!$R$3:$T$66,2,TRUE))&amp;"@"&amp;IF(VLOOKUP(VLOOKUP(Y100,tablas!$R$3:$T$66,2,TRUE)&amp;VLOOKUP(Y100,tablas!$R$3:$T$66,3,TRUE),tablas!$Q$3:$R$66,2,FALSE)&lt;Y100,VLOOKUP(Y100+0.1,tablas!$R$3:$T$66,3,TRUE)&amp;"$",VLOOKUP(Y100,tablas!$R$3:$T$66,3,TRUE)&amp;"$"),$C$13)</f>
        <v>$\phi8@17$</v>
      </c>
      <c r="Z101" s="200"/>
    </row>
    <row r="102" spans="2:26" ht="15.75" thickBot="1" x14ac:dyDescent="0.3">
      <c r="C102" t="str">
        <f>IF(C101='2 a 7'!C101:D101,"IGUAL","PUTA LA WEA")</f>
        <v>PUTA LA WEA</v>
      </c>
      <c r="E102" t="str">
        <f>IF(E101='2 a 7'!E101:F101,"IGUAL","PUTA LA WEA")</f>
        <v>PUTA LA WEA</v>
      </c>
      <c r="G102" t="str">
        <f>IF(G101='2 a 7'!G101:H101,"IGUAL","PUTA LA WEA")</f>
        <v>PUTA LA WEA</v>
      </c>
      <c r="I102" t="str">
        <f>IF(I101='2 a 7'!I101:J101,"IGUAL","PUTA LA WEA")</f>
        <v>PUTA LA WEA</v>
      </c>
      <c r="K102" t="str">
        <f>IF(K101='2 a 7'!K101:L101,"IGUAL","PUTA LA WEA")</f>
        <v>IGUAL</v>
      </c>
      <c r="M102" t="str">
        <f>IF(M101='2 a 7'!M101:N101,"IGUAL","PUTA LA WEA")</f>
        <v>IGUAL</v>
      </c>
      <c r="O102" t="str">
        <f>IF(O101='2 a 7'!O101:P101,"IGUAL","PUTA LA WEA")</f>
        <v>IGUAL</v>
      </c>
      <c r="P102" s="40"/>
      <c r="Q102" t="str">
        <f>IF(Q101='2 a 7'!Q101:R101,"IGUAL","PUTA LA WEA")</f>
        <v>IGUAL</v>
      </c>
      <c r="S102" t="str">
        <f>IF(S101='2 a 7'!S101:T101,"IGUAL","PUTA LA WEA")</f>
        <v>IGUAL</v>
      </c>
      <c r="T102" s="40"/>
      <c r="U102" t="str">
        <f>IF(U101='2 a 7'!U101:V101,"IGUAL","PUTA LA WEA")</f>
        <v>IGUAL</v>
      </c>
      <c r="W102" t="str">
        <f>IF(W101='2 a 7'!W101:X101,"IGUAL","PUTA LA WEA")</f>
        <v>IGUAL</v>
      </c>
      <c r="Y102" t="str">
        <f>IF(Y101='2 a 7'!Y101:Z101,"IGUAL","PUTA LA WEA")</f>
        <v>PUTA LA WEA</v>
      </c>
    </row>
    <row r="103" spans="2:26" ht="16.5" customHeight="1" thickBot="1" x14ac:dyDescent="0.3">
      <c r="B103" s="73" t="s">
        <v>43</v>
      </c>
      <c r="C103" s="74" t="s">
        <v>214</v>
      </c>
      <c r="D103" s="75" t="s">
        <v>218</v>
      </c>
      <c r="E103" s="74" t="s">
        <v>214</v>
      </c>
      <c r="F103" s="75" t="s">
        <v>226</v>
      </c>
      <c r="G103" s="74" t="s">
        <v>214</v>
      </c>
      <c r="H103" s="75" t="s">
        <v>220</v>
      </c>
      <c r="I103" s="74" t="s">
        <v>214</v>
      </c>
      <c r="J103" s="75" t="s">
        <v>221</v>
      </c>
      <c r="K103" s="74" t="s">
        <v>215</v>
      </c>
      <c r="L103" s="75" t="s">
        <v>230</v>
      </c>
      <c r="M103" s="74" t="s">
        <v>215</v>
      </c>
      <c r="N103" s="75" t="s">
        <v>216</v>
      </c>
      <c r="O103" s="74" t="s">
        <v>215</v>
      </c>
      <c r="P103" s="75" t="s">
        <v>229</v>
      </c>
      <c r="Q103" s="74" t="s">
        <v>216</v>
      </c>
      <c r="R103" s="75" t="s">
        <v>229</v>
      </c>
      <c r="S103" s="74" t="s">
        <v>216</v>
      </c>
      <c r="T103" s="75" t="s">
        <v>218</v>
      </c>
      <c r="U103" s="74" t="s">
        <v>216</v>
      </c>
      <c r="V103" s="75" t="s">
        <v>217</v>
      </c>
      <c r="W103" s="74" t="s">
        <v>216</v>
      </c>
      <c r="X103" s="75" t="s">
        <v>232</v>
      </c>
      <c r="Y103" s="74" t="s">
        <v>217</v>
      </c>
      <c r="Z103" s="75" t="s">
        <v>218</v>
      </c>
    </row>
    <row r="104" spans="2:26" ht="15.75" hidden="1" thickBot="1" x14ac:dyDescent="0.3">
      <c r="B104" s="144"/>
      <c r="C104" s="146" t="str">
        <f>C103&amp;"-"&amp;D103</f>
        <v>2304-2308</v>
      </c>
      <c r="D104" s="146"/>
      <c r="E104" s="146" t="str">
        <f>E103&amp;"-"&amp;F103</f>
        <v>2304-2316</v>
      </c>
      <c r="F104" s="145"/>
      <c r="G104" s="146" t="str">
        <f>G103&amp;"-"&amp;H103</f>
        <v>2304-2310</v>
      </c>
      <c r="H104" s="145"/>
      <c r="I104" s="146" t="str">
        <f>I103&amp;"-"&amp;J103</f>
        <v>2304-2311</v>
      </c>
      <c r="J104" s="145"/>
      <c r="K104" s="146" t="str">
        <f>K103&amp;"-"&amp;L103</f>
        <v>2305-2320</v>
      </c>
      <c r="L104" s="145"/>
      <c r="M104" s="146" t="str">
        <f>M103&amp;"-"&amp;N103</f>
        <v>2305-2306</v>
      </c>
      <c r="N104" s="145"/>
      <c r="O104" s="146" t="str">
        <f>O103&amp;"-"&amp;P103</f>
        <v>2305-2319</v>
      </c>
      <c r="P104" s="145"/>
      <c r="Q104" s="146" t="str">
        <f>Q103&amp;"-"&amp;R103</f>
        <v>2306-2319</v>
      </c>
      <c r="R104" s="145"/>
      <c r="S104" s="146" t="str">
        <f>S103&amp;"-"&amp;T103</f>
        <v>2306-2308</v>
      </c>
      <c r="T104" s="145"/>
      <c r="U104" s="146" t="str">
        <f>U103&amp;"-"&amp;V103</f>
        <v>2306-2307</v>
      </c>
      <c r="V104" s="145"/>
      <c r="W104" s="146" t="str">
        <f>W103&amp;"-"&amp;X103</f>
        <v>2306-2322</v>
      </c>
      <c r="X104" s="145"/>
      <c r="Y104" s="146" t="str">
        <f>Y103&amp;"-"&amp;Z103</f>
        <v>2307-2308</v>
      </c>
      <c r="Z104" s="145"/>
    </row>
    <row r="105" spans="2:26" x14ac:dyDescent="0.25">
      <c r="B105" s="105" t="s">
        <v>114</v>
      </c>
      <c r="C105" s="102" t="s">
        <v>109</v>
      </c>
      <c r="D105" s="103" t="s">
        <v>109</v>
      </c>
      <c r="E105" s="102" t="s">
        <v>109</v>
      </c>
      <c r="F105" s="103" t="s">
        <v>108</v>
      </c>
      <c r="G105" s="102" t="s">
        <v>108</v>
      </c>
      <c r="H105" s="103" t="s">
        <v>108</v>
      </c>
      <c r="I105" s="102" t="s">
        <v>108</v>
      </c>
      <c r="J105" s="103" t="s">
        <v>108</v>
      </c>
      <c r="K105" s="102" t="s">
        <v>109</v>
      </c>
      <c r="L105" s="103" t="s">
        <v>108</v>
      </c>
      <c r="M105" s="102" t="s">
        <v>109</v>
      </c>
      <c r="N105" s="103" t="s">
        <v>108</v>
      </c>
      <c r="O105" s="102" t="s">
        <v>108</v>
      </c>
      <c r="P105" s="103" t="s">
        <v>108</v>
      </c>
      <c r="Q105" s="102" t="s">
        <v>109</v>
      </c>
      <c r="R105" s="103" t="s">
        <v>108</v>
      </c>
      <c r="S105" s="102" t="s">
        <v>109</v>
      </c>
      <c r="T105" s="103" t="s">
        <v>108</v>
      </c>
      <c r="U105" s="102" t="s">
        <v>108</v>
      </c>
      <c r="V105" s="103" t="s">
        <v>108</v>
      </c>
      <c r="W105" s="102" t="s">
        <v>108</v>
      </c>
      <c r="X105" s="103" t="s">
        <v>109</v>
      </c>
      <c r="Y105" s="102" t="s">
        <v>109</v>
      </c>
      <c r="Z105" s="103" t="s">
        <v>108</v>
      </c>
    </row>
    <row r="106" spans="2:26" x14ac:dyDescent="0.25">
      <c r="B106" s="106" t="s">
        <v>110</v>
      </c>
      <c r="C106" s="104">
        <f>HLOOKUP(C103,$B$46:$X$89,IF(C105="x",35,40),FALSE)</f>
        <v>1772.9957142857143</v>
      </c>
      <c r="D106" s="86">
        <f>HLOOKUP(D103,$B$46:$X$89,IF(D105="x",35,40),FALSE)</f>
        <v>101.91999999999999</v>
      </c>
      <c r="E106" s="104">
        <f t="shared" ref="E106:Z106" si="25">HLOOKUP(E103,$B$46:$X$89,IF(E105="x",35,40),FALSE)</f>
        <v>1772.9957142857143</v>
      </c>
      <c r="F106" s="86">
        <f t="shared" si="25"/>
        <v>123.03200000000001</v>
      </c>
      <c r="G106" s="104">
        <f t="shared" si="25"/>
        <v>2262.4164062499999</v>
      </c>
      <c r="H106" s="86">
        <f t="shared" si="25"/>
        <v>1214.946808510638</v>
      </c>
      <c r="I106" s="104">
        <f t="shared" si="25"/>
        <v>2262.4164062499999</v>
      </c>
      <c r="J106" s="86">
        <f t="shared" si="25"/>
        <v>1847.9751612903226</v>
      </c>
      <c r="K106" s="104">
        <f t="shared" si="25"/>
        <v>1714.4907906976741</v>
      </c>
      <c r="L106" s="86">
        <f t="shared" si="25"/>
        <v>62.289499999999997</v>
      </c>
      <c r="M106" s="104">
        <f t="shared" si="25"/>
        <v>1714.4907906976741</v>
      </c>
      <c r="N106" s="86">
        <f t="shared" si="25"/>
        <v>1214.946808510638</v>
      </c>
      <c r="O106" s="104">
        <f t="shared" si="25"/>
        <v>1981.8038709677417</v>
      </c>
      <c r="P106" s="86">
        <f t="shared" si="25"/>
        <v>204.24950000000004</v>
      </c>
      <c r="Q106" s="104">
        <f t="shared" si="25"/>
        <v>1125.1724137931033</v>
      </c>
      <c r="R106" s="86">
        <f t="shared" si="25"/>
        <v>204.24950000000004</v>
      </c>
      <c r="S106" s="104">
        <f t="shared" si="25"/>
        <v>1125.1724137931033</v>
      </c>
      <c r="T106" s="86">
        <f t="shared" si="25"/>
        <v>148.6333333333333</v>
      </c>
      <c r="U106" s="104">
        <f t="shared" si="25"/>
        <v>1214.946808510638</v>
      </c>
      <c r="V106" s="86">
        <f t="shared" si="25"/>
        <v>438.6613636363636</v>
      </c>
      <c r="W106" s="104">
        <f t="shared" si="25"/>
        <v>1214.946808510638</v>
      </c>
      <c r="X106" s="86">
        <f t="shared" si="25"/>
        <v>410.77647058823516</v>
      </c>
      <c r="Y106" s="104">
        <f t="shared" si="25"/>
        <v>313.83902439024388</v>
      </c>
      <c r="Z106" s="86">
        <f t="shared" si="25"/>
        <v>148.6333333333333</v>
      </c>
    </row>
    <row r="107" spans="2:26" x14ac:dyDescent="0.25">
      <c r="B107" s="106" t="s">
        <v>111</v>
      </c>
      <c r="C107" s="203">
        <f>(MAX(C106:D106)-MIN(C106:D106))/(MAX(C106:D106))</f>
        <v>0.94251537148184228</v>
      </c>
      <c r="D107" s="204"/>
      <c r="E107" s="203">
        <f>(MAX(E106:F106)-MIN(E106:F106))/(MAX(E106:F106))</f>
        <v>0.93060784128879537</v>
      </c>
      <c r="F107" s="204"/>
      <c r="G107" s="203">
        <f>(MAX(G106:H106)-MIN(G106:H106))/(MAX(G106:H106))</f>
        <v>0.46298709417315603</v>
      </c>
      <c r="H107" s="204"/>
      <c r="I107" s="203">
        <f>(MAX(I106:J106)-MIN(I106:J106))/(MAX(I106:J106))</f>
        <v>0.18318521904931812</v>
      </c>
      <c r="J107" s="204"/>
      <c r="K107" s="203">
        <f>(MAX(K106:L106)-MIN(K106:L106))/(MAX(K106:L106))</f>
        <v>0.96366880455820192</v>
      </c>
      <c r="L107" s="204"/>
      <c r="M107" s="203">
        <f>(MAX(M106:N106)-MIN(M106:N106))/(MAX(M106:N106))</f>
        <v>0.29136580079485741</v>
      </c>
      <c r="N107" s="204"/>
      <c r="O107" s="203">
        <f>(MAX(O106:P106)-MIN(O106:P106))/(MAX(O106:P106))</f>
        <v>0.89693758146699842</v>
      </c>
      <c r="P107" s="204"/>
      <c r="Q107" s="203">
        <f>(MAX(Q106:R106)-MIN(Q106:R106))/(MAX(Q106:R106))</f>
        <v>0.81847270916334658</v>
      </c>
      <c r="R107" s="204"/>
      <c r="S107" s="203">
        <f>(MAX(S106:T106)-MIN(S106:T106))/(MAX(S106:T106))</f>
        <v>0.86790172642762287</v>
      </c>
      <c r="T107" s="204"/>
      <c r="U107" s="203">
        <f>(MAX(U106:V106)-MIN(U106:V106))/(MAX(U106:V106))</f>
        <v>0.63894603404563555</v>
      </c>
      <c r="V107" s="204"/>
      <c r="W107" s="211">
        <f>(MAX(W106:X106)-MIN(W106:X106))/(MAX(W106:X106))</f>
        <v>0.66189756809864619</v>
      </c>
      <c r="X107" s="204"/>
      <c r="Y107" s="203">
        <f>(MAX(Y106:Z106)-MIN(Y106:Z106))/(MAX(Y106:Z106))</f>
        <v>0.5264026402640265</v>
      </c>
      <c r="Z107" s="204"/>
    </row>
    <row r="108" spans="2:26" x14ac:dyDescent="0.25">
      <c r="B108" s="106" t="s">
        <v>112</v>
      </c>
      <c r="C108" s="205">
        <f>IF(C107&lt;25%,(C106*0.5+D106*0.5)*0.9,IF(C107&lt;50%,(MAX(C106:D106)*0.6+MIN(C106:D106)*0.4)*0.9,IF(C107&lt;70%,(MAX(C106:D106)*0.65+MIN(C106:D106)*0.35)*0.9,IF(C107&lt;100%,(MAX(C106:D106)*0.7+MIN(C106:D106)*0.3)*0.9,0.7*MAX(C106:D106)))))</f>
        <v>1144.5056999999999</v>
      </c>
      <c r="D108" s="206"/>
      <c r="E108" s="205">
        <f>IF(E107&lt;25%,(E106*0.5+F106*0.5)*0.9,IF(E107&lt;50%,(MAX(E106:F106)*0.6+MIN(E106:F106)*0.4)*0.9,IF(E107&lt;70%,(MAX(E106:F106)*0.65+MIN(E106:F106)*0.35)*0.9,IF(E107&lt;100%,(MAX(E106:F106)*0.7+MIN(E106:F106)*0.3)*0.9,0.7*MAX(E106:F106)))))</f>
        <v>1150.2059400000001</v>
      </c>
      <c r="F108" s="206"/>
      <c r="G108" s="205">
        <f>IF(G107&lt;25%,(G106*0.5+H106*0.5)*0.9,IF(G107&lt;50%,(MAX(G106:H106)*0.6+MIN(G106:H106)*0.4)*0.9,IF(G107&lt;70%,(MAX(G106:H106)*0.65+MIN(G106:H106)*0.35)*0.9,IF(G107&lt;100%,(MAX(G106:H106)*0.7+MIN(G106:H106)*0.3)*0.9,0.7*MAX(G106:H106)))))</f>
        <v>1659.0857104388297</v>
      </c>
      <c r="H108" s="206"/>
      <c r="I108" s="205">
        <f>IF(I107&lt;25%,(I106*0.5+J106*0.5)*0.9,IF(I107&lt;50%,(MAX(I106:J106)*0.6+MIN(I106:J106)*0.4)*0.9,IF(I107&lt;70%,(MAX(I106:J106)*0.65+MIN(I106:J106)*0.35)*0.9,IF(I107&lt;100%,(MAX(I106:J106)*0.7+MIN(I106:J106)*0.3)*0.9,0.7*MAX(I106:J106)))))</f>
        <v>1849.676205393145</v>
      </c>
      <c r="J108" s="206"/>
      <c r="K108" s="205">
        <f>IF(K107&lt;25%,(K106*0.5+L106*0.5)*0.9,IF(K107&lt;50%,(MAX(K106:L106)*0.6+MIN(K106:L106)*0.4)*0.9,IF(K107&lt;70%,(MAX(K106:L106)*0.65+MIN(K106:L106)*0.35)*0.9,IF(K107&lt;100%,(MAX(K106:L106)*0.7+MIN(K106:L106)*0.3)*0.9,0.7*MAX(K106:L106)))))</f>
        <v>1096.9473631395347</v>
      </c>
      <c r="L108" s="206"/>
      <c r="M108" s="205">
        <f>IF(M107&lt;25%,(M106*0.5+N106*0.5)*0.9,IF(M107&lt;50%,(MAX(M106:N106)*0.6+MIN(M106:N106)*0.4)*0.9,IF(M107&lt;70%,(MAX(M106:N106)*0.65+MIN(M106:N106)*0.35)*0.9,IF(M107&lt;100%,(MAX(M106:N106)*0.7+MIN(M106:N106)*0.3)*0.9,0.7*MAX(M106:N106)))))</f>
        <v>1363.2058780405737</v>
      </c>
      <c r="N108" s="206"/>
      <c r="O108" s="205">
        <f>IF(O107&lt;25%,(O106*0.5+P106*0.5)*0.9,IF(O107&lt;50%,(MAX(O106:P106)*0.6+MIN(O106:P106)*0.4)*0.9,IF(O107&lt;70%,(MAX(O106:P106)*0.65+MIN(O106:P106)*0.35)*0.9,IF(O107&lt;100%,(MAX(O106:P106)*0.7+MIN(O106:P106)*0.3)*0.9,0.7*MAX(O106:P106)))))</f>
        <v>1303.6838037096772</v>
      </c>
      <c r="P108" s="206"/>
      <c r="Q108" s="205">
        <f>IF(Q107&lt;25%,(Q106*0.5+R106*0.5)*0.9,IF(Q107&lt;50%,(MAX(Q106:R106)*0.6+MIN(Q106:R106)*0.4)*0.9,IF(Q107&lt;70%,(MAX(Q106:R106)*0.65+MIN(Q106:R106)*0.35)*0.9,IF(Q107&lt;100%,(MAX(Q106:R106)*0.7+MIN(Q106:R106)*0.3)*0.9,0.7*MAX(Q106:R106)))))</f>
        <v>764.00598568965506</v>
      </c>
      <c r="R108" s="206"/>
      <c r="S108" s="205">
        <f>IF(S107&lt;25%,(S106*0.5+T106*0.5)*0.9,IF(S107&lt;50%,(MAX(S106:T106)*0.6+MIN(S106:T106)*0.4)*0.9,IF(S107&lt;70%,(MAX(S106:T106)*0.65+MIN(S106:T106)*0.35)*0.9,IF(S107&lt;100%,(MAX(S106:T106)*0.7+MIN(S106:T106)*0.3)*0.9,0.7*MAX(S106:T106)))))</f>
        <v>748.989620689655</v>
      </c>
      <c r="T108" s="206"/>
      <c r="U108" s="205">
        <f>IF(U107&lt;25%,(U106*0.5+V106*0.5)*0.9,IF(U107&lt;50%,(MAX(U106:V106)*0.6+MIN(U106:V106)*0.4)*0.9,IF(U107&lt;70%,(MAX(U106:V106)*0.65+MIN(U106:V106)*0.35)*0.9,IF(U107&lt;100%,(MAX(U106:V106)*0.7+MIN(U106:V106)*0.3)*0.9,0.7*MAX(U106:V106)))))</f>
        <v>848.92221252417778</v>
      </c>
      <c r="V108" s="206"/>
      <c r="W108" s="212">
        <f>IF(W107&lt;25%,(W106*0.5+X106*0.5)*0.9,IF(W107&lt;50%,(MAX(W106:X106)*0.6+MIN(W106:X106)*0.4)*0.9,IF(W107&lt;70%,(MAX(W106:X106)*0.65+MIN(W106:X106)*0.35)*0.9,IF(W107&lt;100%,(MAX(W106:X106)*0.7+MIN(W106:X106)*0.3)*0.9,0.7*MAX(W106:X106)))))</f>
        <v>840.13847121401739</v>
      </c>
      <c r="X108" s="206"/>
      <c r="Y108" s="205">
        <f>IF(Y107&lt;25%,(Y106*0.5+Z106*0.5)*0.9,IF(Y107&lt;50%,(MAX(Y106:Z106)*0.6+MIN(Y106:Z106)*0.4)*0.9,IF(Y107&lt;70%,(MAX(Y106:Z106)*0.65+MIN(Y106:Z106)*0.35)*0.9,IF(Y107&lt;100%,(MAX(Y106:Z106)*0.7+MIN(Y106:Z106)*0.3)*0.9,0.7*MAX(Y106:Z106)))))</f>
        <v>230.41532926829268</v>
      </c>
      <c r="Z108" s="206"/>
    </row>
    <row r="109" spans="2:26" x14ac:dyDescent="0.25">
      <c r="B109" s="107" t="s">
        <v>15</v>
      </c>
      <c r="C109" s="207">
        <f>C108/(0.9*(0.9*($C$7/100))*($L$9*1000))</f>
        <v>2.3580941255006667</v>
      </c>
      <c r="D109" s="208"/>
      <c r="E109" s="207">
        <f>E108/(0.9*(0.9*($C$7/100))*($L$9*1000))</f>
        <v>2.3698386737872714</v>
      </c>
      <c r="F109" s="208"/>
      <c r="G109" s="207">
        <f>G108/(0.9*(0.9*($C$7/100))*($L$9*1000))</f>
        <v>3.418314358318971</v>
      </c>
      <c r="H109" s="208"/>
      <c r="I109" s="207">
        <f>I108/(0.9*(0.9*($C$7/100))*($L$9*1000))</f>
        <v>3.810999450693815</v>
      </c>
      <c r="J109" s="208"/>
      <c r="K109" s="207">
        <f>K108/(0.9*(0.9*($C$7/100))*($L$9*1000))</f>
        <v>2.2601068155473438</v>
      </c>
      <c r="L109" s="208"/>
      <c r="M109" s="207">
        <f>M108/(0.9*(0.9*($C$7/100))*($L$9*1000))</f>
        <v>2.8086952933964899</v>
      </c>
      <c r="N109" s="208"/>
      <c r="O109" s="207">
        <f>O108/(0.9*(0.9*($C$7/100))*($L$9*1000))</f>
        <v>2.6860583735302974</v>
      </c>
      <c r="P109" s="208"/>
      <c r="Q109" s="207">
        <f>Q108/(0.9*(0.9*($C$7/100))*($L$9*1000))</f>
        <v>1.574127613957818</v>
      </c>
      <c r="R109" s="208"/>
      <c r="S109" s="207">
        <f>S108/(0.9*(0.9*($C$7/100))*($L$9*1000))</f>
        <v>1.543188491424069</v>
      </c>
      <c r="T109" s="208"/>
      <c r="U109" s="207">
        <f>U108/(0.9*(0.9*($C$7/100))*($L$9*1000))</f>
        <v>1.749085637896161</v>
      </c>
      <c r="V109" s="208"/>
      <c r="W109" s="213">
        <f>W108/(0.9*(0.9*($C$7/100))*($L$9*1000))</f>
        <v>1.7309879658763478</v>
      </c>
      <c r="X109" s="208"/>
      <c r="Y109" s="207">
        <f>Y108/(0.9*(0.9*($C$7/100))*($L$9*1000))</f>
        <v>0.47473860057915207</v>
      </c>
      <c r="Z109" s="208"/>
    </row>
    <row r="110" spans="2:26" x14ac:dyDescent="0.25">
      <c r="B110" s="107" t="s">
        <v>98</v>
      </c>
      <c r="C110" s="209">
        <f>(C109*($L$9))/(0.85*$L$6*100)</f>
        <v>5.8204399406821532E-2</v>
      </c>
      <c r="D110" s="210"/>
      <c r="E110" s="209">
        <f>(E109*($L$9))/(0.85*$L$6*100)</f>
        <v>5.8494287911242913E-2</v>
      </c>
      <c r="F110" s="210"/>
      <c r="G110" s="209">
        <f>(G109*($L$9))/(0.85*$L$6*100)</f>
        <v>8.4373618532901942E-2</v>
      </c>
      <c r="H110" s="210"/>
      <c r="I110" s="209">
        <f>(I109*($L$9))/(0.85*$L$6*100)</f>
        <v>9.4066191747229119E-2</v>
      </c>
      <c r="J110" s="210"/>
      <c r="K110" s="209">
        <f>(K109*($L$9))/(0.85*$L$6*100)</f>
        <v>5.5785796831272383E-2</v>
      </c>
      <c r="L110" s="210"/>
      <c r="M110" s="209">
        <f>(M109*($L$9))/(0.85*$L$6*100)</f>
        <v>6.932650435834474E-2</v>
      </c>
      <c r="N110" s="210"/>
      <c r="O110" s="209">
        <f>(O109*($L$9))/(0.85*$L$6*100)</f>
        <v>6.6299480038694764E-2</v>
      </c>
      <c r="P110" s="210"/>
      <c r="Q110" s="209">
        <f>(Q109*($L$9))/(0.85*$L$6*100)</f>
        <v>3.8853899583272553E-2</v>
      </c>
      <c r="R110" s="210"/>
      <c r="S110" s="209">
        <f>(S109*($L$9))/(0.85*$L$6*100)</f>
        <v>3.8090234967099283E-2</v>
      </c>
      <c r="T110" s="210"/>
      <c r="U110" s="209">
        <f>(U109*($L$9))/(0.85*$L$6*100)</f>
        <v>4.3172355998821042E-2</v>
      </c>
      <c r="V110" s="210"/>
      <c r="W110" s="214">
        <f>(W109*($L$9))/(0.85*$L$6*100)</f>
        <v>4.2725654521054035E-2</v>
      </c>
      <c r="X110" s="210"/>
      <c r="Y110" s="209">
        <f>(Y109*($L$9))/(0.85*$L$6*100)</f>
        <v>1.1717884720177457E-2</v>
      </c>
      <c r="Z110" s="210"/>
    </row>
    <row r="111" spans="2:26" ht="15.75" thickBot="1" x14ac:dyDescent="0.3">
      <c r="B111" s="108" t="s">
        <v>15</v>
      </c>
      <c r="C111" s="201">
        <f>ROUNDUP(C108/(0.9*(($C$7-C110/2)/100)*($L$9*1000)),2)</f>
        <v>2.13</v>
      </c>
      <c r="D111" s="202"/>
      <c r="E111" s="201">
        <f>ROUNDUP(E108/(0.9*(($C$7-E110/2)/100)*($L$9*1000)),2)</f>
        <v>2.1399999999999997</v>
      </c>
      <c r="F111" s="202"/>
      <c r="G111" s="201">
        <f>ROUNDUP(G108/(0.9*(($C$7-G110/2)/100)*($L$9*1000)),2)</f>
        <v>3.09</v>
      </c>
      <c r="H111" s="202"/>
      <c r="I111" s="201">
        <f>ROUNDUP(I108/(0.9*(($C$7-I110/2)/100)*($L$9*1000)),2)</f>
        <v>3.4499999999999997</v>
      </c>
      <c r="J111" s="202"/>
      <c r="K111" s="201">
        <f>ROUNDUP(K108/(0.9*(($C$7-K110/2)/100)*($L$9*1000)),2)</f>
        <v>2.0399999999999996</v>
      </c>
      <c r="L111" s="202"/>
      <c r="M111" s="201">
        <f>ROUNDUP(M108/(0.9*(($C$7-M110/2)/100)*($L$9*1000)),2)</f>
        <v>2.5399999999999996</v>
      </c>
      <c r="N111" s="202"/>
      <c r="O111" s="201">
        <f>ROUNDUP(O108/(0.9*(($C$7-O110/2)/100)*($L$9*1000)),2)</f>
        <v>2.4299999999999997</v>
      </c>
      <c r="P111" s="202"/>
      <c r="Q111" s="201">
        <f>ROUNDUP(Q108/(0.9*(($C$7-Q110/2)/100)*($L$9*1000)),2)</f>
        <v>1.42</v>
      </c>
      <c r="R111" s="202"/>
      <c r="S111" s="201">
        <f>ROUNDUP(S108/(0.9*(($C$7-S110/2)/100)*($L$9*1000)),2)</f>
        <v>1.4</v>
      </c>
      <c r="T111" s="202"/>
      <c r="U111" s="201">
        <f>ROUNDUP(U108/(0.9*(($C$7-U110/2)/100)*($L$9*1000)),2)</f>
        <v>1.58</v>
      </c>
      <c r="V111" s="202"/>
      <c r="W111" s="215">
        <f>ROUNDUP(W108/(0.9*(($C$7-W110/2)/100)*($L$9*1000)),2)</f>
        <v>1.57</v>
      </c>
      <c r="X111" s="216"/>
      <c r="Y111" s="201">
        <f>ROUNDUP(Y108/(0.9*(($C$7-Y110/2)/100)*($L$9*1000)),2)</f>
        <v>0.43</v>
      </c>
      <c r="Z111" s="202"/>
    </row>
    <row r="112" spans="2:26" ht="16.5" thickBot="1" x14ac:dyDescent="0.3">
      <c r="B112" s="61" t="s">
        <v>113</v>
      </c>
      <c r="C112" s="199" t="str">
        <f>IF(C111&gt;$C$12,"$\phi"&amp;IF(VLOOKUP(VLOOKUP(C111,tablas!$R$3:$T$66,2,TRUE)&amp;VLOOKUP(C111,tablas!$R$3:$T$66,3,TRUE),tablas!$Q$3:$R$66,2,FALSE)&lt;C111,VLOOKUP(C111+0.1,tablas!$R$3:$T$66,2,TRUE),VLOOKUP(C111,tablas!$R$3:$T$66,2,TRUE))&amp;"@"&amp;IF(VLOOKUP(VLOOKUP(C111,tablas!$R$3:$T$66,2,TRUE)&amp;VLOOKUP(C111,tablas!$R$3:$T$66,3,TRUE),tablas!$Q$3:$R$66,2,FALSE)&lt;C111,VLOOKUP(C111+0.1,tablas!$R$3:$T$66,3,TRUE)&amp;"$",VLOOKUP(C111,tablas!$R$3:$T$66,3,TRUE)&amp;"$"),$C$13)</f>
        <v>$\phi8@17$</v>
      </c>
      <c r="D112" s="200"/>
      <c r="E112" s="199" t="str">
        <f>IF(E111&gt;$C$12,"$\phi"&amp;IF(VLOOKUP(VLOOKUP(E111,tablas!$R$3:$T$66,2,TRUE)&amp;VLOOKUP(E111,tablas!$R$3:$T$66,3,TRUE),tablas!$Q$3:$R$66,2,FALSE)&lt;E111,VLOOKUP(E111+0.1,tablas!$R$3:$T$66,2,TRUE),VLOOKUP(E111,tablas!$R$3:$T$66,2,TRUE))&amp;"@"&amp;IF(VLOOKUP(VLOOKUP(E111,tablas!$R$3:$T$66,2,TRUE)&amp;VLOOKUP(E111,tablas!$R$3:$T$66,3,TRUE),tablas!$Q$3:$R$66,2,FALSE)&lt;E111,VLOOKUP(E111+0.1,tablas!$R$3:$T$66,3,TRUE)&amp;"$",VLOOKUP(E111,tablas!$R$3:$T$66,3,TRUE)&amp;"$"),$C$13)</f>
        <v>$\phi8@17$</v>
      </c>
      <c r="F112" s="200"/>
      <c r="G112" s="199" t="str">
        <f>IF(G111&gt;$C$12,"$\phi"&amp;IF(VLOOKUP(VLOOKUP(G111,tablas!$R$3:$T$66,2,TRUE)&amp;VLOOKUP(G111,tablas!$R$3:$T$66,3,TRUE),tablas!$Q$3:$R$66,2,FALSE)&lt;G111,VLOOKUP(G111+0.1,tablas!$R$3:$T$66,2,TRUE),VLOOKUP(G111,tablas!$R$3:$T$66,2,TRUE))&amp;"@"&amp;IF(VLOOKUP(VLOOKUP(G111,tablas!$R$3:$T$66,2,TRUE)&amp;VLOOKUP(G111,tablas!$R$3:$T$66,3,TRUE),tablas!$Q$3:$R$66,2,FALSE)&lt;G111,VLOOKUP(G111+0.1,tablas!$R$3:$T$66,3,TRUE)&amp;"$",VLOOKUP(G111,tablas!$R$3:$T$66,3,TRUE)&amp;"$"),$C$13)</f>
        <v>$\phi10@25$</v>
      </c>
      <c r="H112" s="200"/>
      <c r="I112" s="199" t="str">
        <f>IF(I111&gt;$C$12,"$\phi"&amp;IF(VLOOKUP(VLOOKUP(I111,tablas!$R$3:$T$66,2,TRUE)&amp;VLOOKUP(I111,tablas!$R$3:$T$66,3,TRUE),tablas!$Q$3:$R$66,2,FALSE)&lt;I111,VLOOKUP(I111+0.1,tablas!$R$3:$T$66,2,TRUE),VLOOKUP(I111,tablas!$R$3:$T$66,2,TRUE))&amp;"@"&amp;IF(VLOOKUP(VLOOKUP(I111,tablas!$R$3:$T$66,2,TRUE)&amp;VLOOKUP(I111,tablas!$R$3:$T$66,3,TRUE),tablas!$Q$3:$R$66,2,FALSE)&lt;I111,VLOOKUP(I111+0.1,tablas!$R$3:$T$66,3,TRUE)&amp;"$",VLOOKUP(I111,tablas!$R$3:$T$66,3,TRUE)&amp;"$"),$C$13)</f>
        <v>$\phi10@23$</v>
      </c>
      <c r="J112" s="200"/>
      <c r="K112" s="199" t="str">
        <f>IF(K111&gt;$C$12,"$\phi"&amp;IF(VLOOKUP(VLOOKUP(K111,tablas!$R$3:$T$66,2,TRUE)&amp;VLOOKUP(K111,tablas!$R$3:$T$66,3,TRUE),tablas!$Q$3:$R$66,2,FALSE)&lt;K111,VLOOKUP(K111+0.1,tablas!$R$3:$T$66,2,TRUE),VLOOKUP(K111,tablas!$R$3:$T$66,2,TRUE))&amp;"@"&amp;IF(VLOOKUP(VLOOKUP(K111,tablas!$R$3:$T$66,2,TRUE)&amp;VLOOKUP(K111,tablas!$R$3:$T$66,3,TRUE),tablas!$Q$3:$R$66,2,FALSE)&lt;K111,VLOOKUP(K111+0.1,tablas!$R$3:$T$66,3,TRUE)&amp;"$",VLOOKUP(K111,tablas!$R$3:$T$66,3,TRUE)&amp;"$"),$C$13)</f>
        <v>$\phi8@17$</v>
      </c>
      <c r="L112" s="200"/>
      <c r="M112" s="199" t="str">
        <f>IF(M111&gt;$C$12,"$\phi"&amp;IF(VLOOKUP(VLOOKUP(M111,tablas!$R$3:$T$66,2,TRUE)&amp;VLOOKUP(M111,tablas!$R$3:$T$66,3,TRUE),tablas!$Q$3:$R$66,2,FALSE)&lt;M111,VLOOKUP(M111+0.1,tablas!$R$3:$T$66,2,TRUE),VLOOKUP(M111,tablas!$R$3:$T$66,2,TRUE))&amp;"@"&amp;IF(VLOOKUP(VLOOKUP(M111,tablas!$R$3:$T$66,2,TRUE)&amp;VLOOKUP(M111,tablas!$R$3:$T$66,3,TRUE),tablas!$Q$3:$R$66,2,FALSE)&lt;M111,VLOOKUP(M111+0.1,tablas!$R$3:$T$66,3,TRUE)&amp;"$",VLOOKUP(M111,tablas!$R$3:$T$66,3,TRUE)&amp;"$"),$C$13)</f>
        <v>$\phi8@17$</v>
      </c>
      <c r="N112" s="200"/>
      <c r="O112" s="199" t="str">
        <f>IF(O111&gt;$C$12,"$\phi"&amp;IF(VLOOKUP(VLOOKUP(O111,tablas!$R$3:$T$66,2,TRUE)&amp;VLOOKUP(O111,tablas!$R$3:$T$66,3,TRUE),tablas!$Q$3:$R$66,2,FALSE)&lt;O111,VLOOKUP(O111+0.1,tablas!$R$3:$T$66,2,TRUE),VLOOKUP(O111,tablas!$R$3:$T$66,2,TRUE))&amp;"@"&amp;IF(VLOOKUP(VLOOKUP(O111,tablas!$R$3:$T$66,2,TRUE)&amp;VLOOKUP(O111,tablas!$R$3:$T$66,3,TRUE),tablas!$Q$3:$R$66,2,FALSE)&lt;O111,VLOOKUP(O111+0.1,tablas!$R$3:$T$66,3,TRUE)&amp;"$",VLOOKUP(O111,tablas!$R$3:$T$66,3,TRUE)&amp;"$"),$C$13)</f>
        <v>$\phi8@17$</v>
      </c>
      <c r="P112" s="200"/>
      <c r="Q112" s="199" t="str">
        <f>IF(Q111&gt;$C$12,"$\phi"&amp;IF(VLOOKUP(VLOOKUP(Q111,tablas!$R$3:$T$66,2,TRUE)&amp;VLOOKUP(Q111,tablas!$R$3:$T$66,3,TRUE),tablas!$Q$3:$R$66,2,FALSE)&lt;Q111,VLOOKUP(Q111+0.1,tablas!$R$3:$T$66,2,TRUE),VLOOKUP(Q111,tablas!$R$3:$T$66,2,TRUE))&amp;"@"&amp;IF(VLOOKUP(VLOOKUP(Q111,tablas!$R$3:$T$66,2,TRUE)&amp;VLOOKUP(Q111,tablas!$R$3:$T$66,3,TRUE),tablas!$Q$3:$R$66,2,FALSE)&lt;Q111,VLOOKUP(Q111+0.1,tablas!$R$3:$T$66,3,TRUE)&amp;"$",VLOOKUP(Q111,tablas!$R$3:$T$66,3,TRUE)&amp;"$"),$C$13)</f>
        <v>$\phi8@17$</v>
      </c>
      <c r="R112" s="200"/>
      <c r="S112" s="199" t="str">
        <f>IF(S111&gt;$C$12,"$\phi"&amp;IF(VLOOKUP(VLOOKUP(S111,tablas!$R$3:$T$66,2,TRUE)&amp;VLOOKUP(S111,tablas!$R$3:$T$66,3,TRUE),tablas!$Q$3:$R$66,2,FALSE)&lt;S111,VLOOKUP(S111+0.1,tablas!$R$3:$T$66,2,TRUE),VLOOKUP(S111,tablas!$R$3:$T$66,2,TRUE))&amp;"@"&amp;IF(VLOOKUP(VLOOKUP(S111,tablas!$R$3:$T$66,2,TRUE)&amp;VLOOKUP(S111,tablas!$R$3:$T$66,3,TRUE),tablas!$Q$3:$R$66,2,FALSE)&lt;S111,VLOOKUP(S111+0.1,tablas!$R$3:$T$66,3,TRUE)&amp;"$",VLOOKUP(S111,tablas!$R$3:$T$66,3,TRUE)&amp;"$"),$C$13)</f>
        <v>$\phi8@17$</v>
      </c>
      <c r="T112" s="200"/>
      <c r="U112" s="199" t="str">
        <f>IF(U111&gt;$C$12,"$\phi"&amp;IF(VLOOKUP(VLOOKUP(U111,tablas!$R$3:$T$66,2,TRUE)&amp;VLOOKUP(U111,tablas!$R$3:$T$66,3,TRUE),tablas!$Q$3:$R$66,2,FALSE)&lt;U111,VLOOKUP(U111+0.1,tablas!$R$3:$T$66,2,TRUE),VLOOKUP(U111,tablas!$R$3:$T$66,2,TRUE))&amp;"@"&amp;IF(VLOOKUP(VLOOKUP(U111,tablas!$R$3:$T$66,2,TRUE)&amp;VLOOKUP(U111,tablas!$R$3:$T$66,3,TRUE),tablas!$Q$3:$R$66,2,FALSE)&lt;U111,VLOOKUP(U111+0.1,tablas!$R$3:$T$66,3,TRUE)&amp;"$",VLOOKUP(U111,tablas!$R$3:$T$66,3,TRUE)&amp;"$"),$C$13)</f>
        <v>$\phi8@17$</v>
      </c>
      <c r="V112" s="200"/>
      <c r="W112" s="199" t="str">
        <f>IF(W111&gt;$C$12,"$\phi"&amp;IF(VLOOKUP(VLOOKUP(W111,tablas!$R$3:$T$66,2,TRUE)&amp;VLOOKUP(W111,tablas!$R$3:$T$66,3,TRUE),tablas!$Q$3:$R$66,2,FALSE)&lt;W111,VLOOKUP(W111+0.1,tablas!$R$3:$T$66,2,TRUE),VLOOKUP(W111,tablas!$R$3:$T$66,2,TRUE))&amp;"@"&amp;IF(VLOOKUP(VLOOKUP(W111,tablas!$R$3:$T$66,2,TRUE)&amp;VLOOKUP(W111,tablas!$R$3:$T$66,3,TRUE),tablas!$Q$3:$R$66,2,FALSE)&lt;W111,VLOOKUP(W111+0.1,tablas!$R$3:$T$66,3,TRUE)&amp;"$",VLOOKUP(W111,tablas!$R$3:$T$66,3,TRUE)&amp;"$"),$C$13)</f>
        <v>$\phi8@17$</v>
      </c>
      <c r="X112" s="200"/>
      <c r="Y112" s="199" t="str">
        <f>IF(Y111&gt;$C$12,"$\phi"&amp;IF(VLOOKUP(VLOOKUP(Y111,tablas!$R$3:$T$66,2,TRUE)&amp;VLOOKUP(Y111,tablas!$R$3:$T$66,3,TRUE),tablas!$Q$3:$R$66,2,FALSE)&lt;Y111,VLOOKUP(Y111+0.1,tablas!$R$3:$T$66,2,TRUE),VLOOKUP(Y111,tablas!$R$3:$T$66,2,TRUE))&amp;"@"&amp;IF(VLOOKUP(VLOOKUP(Y111,tablas!$R$3:$T$66,2,TRUE)&amp;VLOOKUP(Y111,tablas!$R$3:$T$66,3,TRUE),tablas!$Q$3:$R$66,2,FALSE)&lt;Y111,VLOOKUP(Y111+0.1,tablas!$R$3:$T$66,3,TRUE)&amp;"$",VLOOKUP(Y111,tablas!$R$3:$T$66,3,TRUE)&amp;"$"),$C$13)</f>
        <v>$\phi8@17$</v>
      </c>
      <c r="Z112" s="200"/>
    </row>
    <row r="113" spans="2:30" ht="15.75" thickBot="1" x14ac:dyDescent="0.3">
      <c r="C113" t="str">
        <f>IF(C112='2 a 7'!C112:D112,"IGUAL","PUTA LA WEA")</f>
        <v>IGUAL</v>
      </c>
      <c r="E113" t="str">
        <f>IF(E112='2 a 7'!E112:F112,"IGUAL","PUTA LA WEA")</f>
        <v>IGUAL</v>
      </c>
      <c r="G113" t="str">
        <f>IF(G112='2 a 7'!G112:H112,"IGUAL","PUTA LA WEA")</f>
        <v>PUTA LA WEA</v>
      </c>
      <c r="I113" t="str">
        <f>IF(I112='2 a 7'!I112:J112,"IGUAL","PUTA LA WEA")</f>
        <v>PUTA LA WEA</v>
      </c>
      <c r="K113" t="str">
        <f>IF(K112='2 a 7'!K112:L112,"IGUAL","PUTA LA WEA")</f>
        <v>IGUAL</v>
      </c>
      <c r="M113" t="str">
        <f>IF(M112='2 a 7'!M112:N112,"IGUAL","PUTA LA WEA")</f>
        <v>IGUAL</v>
      </c>
      <c r="O113" t="str">
        <f>IF(O112='2 a 7'!O112:P112,"IGUAL","PUTA LA WEA")</f>
        <v>IGUAL</v>
      </c>
      <c r="P113" s="40"/>
      <c r="Q113" t="str">
        <f>IF(Q112='2 a 7'!Q112:R112,"IGUAL","PUTA LA WEA")</f>
        <v>IGUAL</v>
      </c>
      <c r="S113" t="str">
        <f>IF(S112='2 a 7'!S112:T112,"IGUAL","PUTA LA WEA")</f>
        <v>IGUAL</v>
      </c>
      <c r="T113" s="40"/>
      <c r="U113" t="str">
        <f>IF(U112='2 a 7'!U112:V112,"IGUAL","PUTA LA WEA")</f>
        <v>IGUAL</v>
      </c>
      <c r="W113" t="str">
        <f>IF(W112='2 a 7'!W112:X112,"IGUAL","PUTA LA WEA")</f>
        <v>IGUAL</v>
      </c>
      <c r="Y113" t="str">
        <f>IF(Y112='2 a 7'!Y112:Z112,"IGUAL","PUTA LA WEA")</f>
        <v>IGUAL</v>
      </c>
    </row>
    <row r="114" spans="2:30" ht="15.75" thickBot="1" x14ac:dyDescent="0.3">
      <c r="B114" s="73" t="s">
        <v>43</v>
      </c>
      <c r="C114" s="74" t="s">
        <v>217</v>
      </c>
      <c r="D114" s="75" t="s">
        <v>232</v>
      </c>
      <c r="E114" s="74" t="s">
        <v>218</v>
      </c>
      <c r="F114" s="75" t="s">
        <v>219</v>
      </c>
      <c r="G114" s="74" t="s">
        <v>218</v>
      </c>
      <c r="H114" s="75" t="s">
        <v>220</v>
      </c>
      <c r="I114" s="74" t="s">
        <v>219</v>
      </c>
      <c r="J114" s="75" t="s">
        <v>232</v>
      </c>
      <c r="K114" s="74" t="s">
        <v>219</v>
      </c>
      <c r="L114" s="75" t="s">
        <v>220</v>
      </c>
      <c r="M114" s="74" t="s">
        <v>220</v>
      </c>
      <c r="N114" s="75" t="s">
        <v>221</v>
      </c>
      <c r="O114" s="74" t="s">
        <v>220</v>
      </c>
      <c r="P114" s="75" t="s">
        <v>228</v>
      </c>
      <c r="Q114" s="74" t="s">
        <v>221</v>
      </c>
      <c r="R114" s="75" t="s">
        <v>228</v>
      </c>
      <c r="S114" s="74" t="s">
        <v>221</v>
      </c>
      <c r="T114" s="75" t="s">
        <v>227</v>
      </c>
      <c r="U114" s="74" t="s">
        <v>223</v>
      </c>
      <c r="V114" s="75" t="s">
        <v>224</v>
      </c>
      <c r="W114" s="74" t="s">
        <v>222</v>
      </c>
      <c r="X114" s="75" t="s">
        <v>231</v>
      </c>
      <c r="Y114" s="74" t="s">
        <v>225</v>
      </c>
      <c r="Z114" s="75" t="s">
        <v>226</v>
      </c>
      <c r="AA114" s="74" t="s">
        <v>227</v>
      </c>
      <c r="AB114" s="75" t="s">
        <v>228</v>
      </c>
      <c r="AC114" s="74" t="s">
        <v>229</v>
      </c>
      <c r="AD114" s="75" t="s">
        <v>230</v>
      </c>
    </row>
    <row r="115" spans="2:30" ht="15.75" hidden="1" thickBot="1" x14ac:dyDescent="0.3">
      <c r="B115" s="144"/>
      <c r="C115" s="146" t="str">
        <f>C114&amp;"-"&amp;D114</f>
        <v>2307-2322</v>
      </c>
      <c r="D115" s="146"/>
      <c r="E115" s="146" t="str">
        <f>E114&amp;"-"&amp;F114</f>
        <v>2308-2309</v>
      </c>
      <c r="F115" s="145"/>
      <c r="G115" s="146" t="str">
        <f>G114&amp;"-"&amp;H114</f>
        <v>2308-2310</v>
      </c>
      <c r="H115" s="145"/>
      <c r="I115" s="146" t="str">
        <f>I114&amp;"-"&amp;J114</f>
        <v>2309-2322</v>
      </c>
      <c r="J115" s="145"/>
      <c r="K115" s="146" t="str">
        <f>K114&amp;"-"&amp;L114</f>
        <v>2309-2310</v>
      </c>
      <c r="L115" s="145"/>
      <c r="M115" s="146" t="str">
        <f>M114&amp;"-"&amp;N114</f>
        <v>2310-2311</v>
      </c>
      <c r="N115" s="145"/>
      <c r="O115" s="146" t="str">
        <f>O114&amp;"-"&amp;P114</f>
        <v>2310-2318</v>
      </c>
      <c r="P115" s="145"/>
      <c r="Q115" s="146" t="str">
        <f>Q114&amp;"-"&amp;R114</f>
        <v>2311-2318</v>
      </c>
      <c r="R115" s="145"/>
      <c r="S115" s="146" t="str">
        <f>S114&amp;"-"&amp;T114</f>
        <v>2311-2317</v>
      </c>
      <c r="T115" s="145"/>
      <c r="U115" s="146" t="str">
        <f>U114&amp;"-"&amp;V114</f>
        <v>2313-2314</v>
      </c>
      <c r="V115" s="145"/>
      <c r="W115" s="146" t="str">
        <f>W114&amp;"-"&amp;X114</f>
        <v>2312-2321</v>
      </c>
      <c r="X115" s="145"/>
      <c r="Y115" s="146" t="str">
        <f>Y114&amp;"-"&amp;Z114</f>
        <v>2315-2316</v>
      </c>
      <c r="Z115" s="145"/>
      <c r="AA115" s="146" t="str">
        <f>AA114&amp;"-"&amp;AB114</f>
        <v>2317-2318</v>
      </c>
      <c r="AB115" s="145"/>
      <c r="AC115" s="146" t="str">
        <f>AC114&amp;"-"&amp;AD114</f>
        <v>2319-2320</v>
      </c>
      <c r="AD115" s="145"/>
    </row>
    <row r="116" spans="2:30" x14ac:dyDescent="0.25">
      <c r="B116" s="105" t="s">
        <v>114</v>
      </c>
      <c r="C116" s="102" t="s">
        <v>109</v>
      </c>
      <c r="D116" s="103" t="s">
        <v>108</v>
      </c>
      <c r="E116" s="102" t="s">
        <v>108</v>
      </c>
      <c r="F116" s="103" t="s">
        <v>109</v>
      </c>
      <c r="G116" s="102" t="s">
        <v>108</v>
      </c>
      <c r="H116" s="103" t="s">
        <v>108</v>
      </c>
      <c r="I116" s="102" t="s">
        <v>108</v>
      </c>
      <c r="J116" s="103" t="s">
        <v>109</v>
      </c>
      <c r="K116" s="102" t="s">
        <v>108</v>
      </c>
      <c r="L116" s="103" t="s">
        <v>109</v>
      </c>
      <c r="M116" s="102" t="s">
        <v>109</v>
      </c>
      <c r="N116" s="103" t="s">
        <v>109</v>
      </c>
      <c r="O116" s="102" t="s">
        <v>108</v>
      </c>
      <c r="P116" s="103" t="s">
        <v>108</v>
      </c>
      <c r="Q116" s="102" t="s">
        <v>108</v>
      </c>
      <c r="R116" s="103" t="s">
        <v>108</v>
      </c>
      <c r="S116" s="102" t="s">
        <v>109</v>
      </c>
      <c r="T116" s="103" t="s">
        <v>108</v>
      </c>
      <c r="U116" s="102" t="s">
        <v>109</v>
      </c>
      <c r="V116" s="103" t="s">
        <v>109</v>
      </c>
      <c r="W116" s="102" t="s">
        <v>108</v>
      </c>
      <c r="X116" s="103" t="s">
        <v>109</v>
      </c>
      <c r="Y116" s="102" t="s">
        <v>108</v>
      </c>
      <c r="Z116" s="103" t="s">
        <v>109</v>
      </c>
      <c r="AA116" s="102" t="s">
        <v>109</v>
      </c>
      <c r="AB116" s="103" t="s">
        <v>108</v>
      </c>
      <c r="AC116" s="102" t="s">
        <v>108</v>
      </c>
      <c r="AD116" s="103" t="s">
        <v>109</v>
      </c>
    </row>
    <row r="117" spans="2:30" x14ac:dyDescent="0.25">
      <c r="B117" s="106" t="s">
        <v>110</v>
      </c>
      <c r="C117" s="104">
        <f t="shared" ref="C117:T117" si="26">HLOOKUP(C114,$B$46:$X$89,IF(C116="x",35,40),FALSE)</f>
        <v>313.83902439024388</v>
      </c>
      <c r="D117" s="86">
        <f t="shared" si="26"/>
        <v>543.60239520958078</v>
      </c>
      <c r="E117" s="104">
        <f t="shared" si="26"/>
        <v>148.6333333333333</v>
      </c>
      <c r="F117" s="86">
        <f t="shared" si="26"/>
        <v>437.32</v>
      </c>
      <c r="G117" s="104">
        <f t="shared" si="26"/>
        <v>148.6333333333333</v>
      </c>
      <c r="H117" s="86">
        <f t="shared" si="26"/>
        <v>1214.946808510638</v>
      </c>
      <c r="I117" s="104">
        <f t="shared" si="26"/>
        <v>637.75833333333333</v>
      </c>
      <c r="J117" s="86">
        <f t="shared" si="26"/>
        <v>410.77647058823516</v>
      </c>
      <c r="K117" s="104">
        <f t="shared" si="26"/>
        <v>637.75833333333333</v>
      </c>
      <c r="L117" s="86">
        <f t="shared" si="26"/>
        <v>1125.1724137931033</v>
      </c>
      <c r="M117" s="104">
        <f t="shared" si="26"/>
        <v>1125.1724137931033</v>
      </c>
      <c r="N117" s="86">
        <f t="shared" si="26"/>
        <v>1598.7133953488374</v>
      </c>
      <c r="O117" s="104">
        <f t="shared" si="26"/>
        <v>1214.946808510638</v>
      </c>
      <c r="P117" s="86">
        <f t="shared" si="26"/>
        <v>204.24950000000004</v>
      </c>
      <c r="Q117" s="104">
        <f t="shared" si="26"/>
        <v>1847.9751612903226</v>
      </c>
      <c r="R117" s="86">
        <f t="shared" si="26"/>
        <v>204.24950000000004</v>
      </c>
      <c r="S117" s="104">
        <f t="shared" si="26"/>
        <v>1598.7133953488374</v>
      </c>
      <c r="T117" s="86">
        <f t="shared" si="26"/>
        <v>123.03200000000001</v>
      </c>
      <c r="U117" s="104">
        <f t="shared" ref="U117:AD117" si="27">HLOOKUP(U114,$B$46:$X$89,IF(U116="x",35,40),FALSE)</f>
        <v>184.43475555555557</v>
      </c>
      <c r="V117" s="86">
        <f t="shared" si="27"/>
        <v>184.43475555555557</v>
      </c>
      <c r="W117" s="104">
        <f t="shared" si="27"/>
        <v>259.36137500000001</v>
      </c>
      <c r="X117" s="86">
        <f t="shared" si="27"/>
        <v>39.635555555555548</v>
      </c>
      <c r="Y117" s="104">
        <f t="shared" si="27"/>
        <v>259.36137500000001</v>
      </c>
      <c r="Z117" s="86">
        <f t="shared" si="27"/>
        <v>87.489422222222231</v>
      </c>
      <c r="AA117" s="104">
        <f t="shared" si="27"/>
        <v>87.489422222222231</v>
      </c>
      <c r="AB117" s="86">
        <f t="shared" si="27"/>
        <v>204.24950000000004</v>
      </c>
      <c r="AC117" s="104">
        <f t="shared" si="27"/>
        <v>204.24950000000004</v>
      </c>
      <c r="AD117" s="86">
        <f t="shared" si="27"/>
        <v>44.294755555555554</v>
      </c>
    </row>
    <row r="118" spans="2:30" x14ac:dyDescent="0.25">
      <c r="B118" s="106" t="s">
        <v>111</v>
      </c>
      <c r="C118" s="203">
        <f>(MAX(C117:D117)-MIN(C117:D117))/(MAX(C117:D117))</f>
        <v>0.42266806188510964</v>
      </c>
      <c r="D118" s="204"/>
      <c r="E118" s="203">
        <f>(MAX(E117:F117)-MIN(E117:F117))/(MAX(E117:F117))</f>
        <v>0.66012683313515674</v>
      </c>
      <c r="F118" s="204"/>
      <c r="G118" s="203">
        <f>(MAX(G117:H117)-MIN(G117:H117))/(MAX(G117:H117))</f>
        <v>0.87766268260292168</v>
      </c>
      <c r="H118" s="204"/>
      <c r="I118" s="203">
        <f>(MAX(I117:J117)-MIN(I117:J117))/(MAX(I117:J117))</f>
        <v>0.35590575752847581</v>
      </c>
      <c r="J118" s="204"/>
      <c r="K118" s="203">
        <f>(MAX(K117:L117)-MIN(K117:L117))/(MAX(K117:L117))</f>
        <v>0.43319057104913672</v>
      </c>
      <c r="L118" s="204"/>
      <c r="M118" s="203">
        <f>(MAX(M117:N117)-MIN(M117:N117))/(MAX(M117:N117))</f>
        <v>0.29620129720149624</v>
      </c>
      <c r="N118" s="204"/>
      <c r="O118" s="203">
        <f>(MAX(O117:P117)-MIN(O117:P117))/(MAX(O117:P117))</f>
        <v>0.83188605577689234</v>
      </c>
      <c r="P118" s="204"/>
      <c r="Q118" s="203">
        <f>(MAX(Q117:R117)-MIN(Q117:R117))/(MAX(Q117:R117))</f>
        <v>0.88947389322192738</v>
      </c>
      <c r="R118" s="204"/>
      <c r="S118" s="203">
        <f>(MAX(S117:T117)-MIN(S117:T117))/(MAX(S117:T117))</f>
        <v>0.9230431168226032</v>
      </c>
      <c r="T118" s="204"/>
      <c r="U118" s="203">
        <f>(MAX(U117:V117)-MIN(U117:V117))/(MAX(U117:V117))</f>
        <v>0</v>
      </c>
      <c r="V118" s="204"/>
      <c r="W118" s="203">
        <f>(MAX(W117:X117)-MIN(W117:X117))/(MAX(W117:X117))</f>
        <v>0.84718019190191463</v>
      </c>
      <c r="X118" s="204"/>
      <c r="Y118" s="203">
        <f>(MAX(Y117:Z117)-MIN(Y117:Z117))/(MAX(Y117:Z117))</f>
        <v>0.6626736644104303</v>
      </c>
      <c r="Z118" s="204"/>
      <c r="AA118" s="203">
        <f>(MAX(AA117:AB117)-MIN(AA117:AB117))/(MAX(AA117:AB117))</f>
        <v>0.57165416697606497</v>
      </c>
      <c r="AB118" s="204"/>
      <c r="AC118" s="203">
        <f>(MAX(AC117:AD117)-MIN(AC117:AD117))/(MAX(AC117:AD117))</f>
        <v>0.78313408083958325</v>
      </c>
      <c r="AD118" s="204"/>
    </row>
    <row r="119" spans="2:30" x14ac:dyDescent="0.25">
      <c r="B119" s="106" t="s">
        <v>112</v>
      </c>
      <c r="C119" s="205">
        <f>IF(C118&lt;25%,(C117*0.5+D117*0.5)*0.9,IF(C118&lt;50%,(MAX(C117:D117)*0.6+MIN(C117:D117)*0.4)*0.9,IF(C118&lt;70%,(MAX(C117:D117)*0.65+MIN(C117:D117)*0.35)*0.9,IF(C118&lt;100%,(MAX(C117:D117)*0.7+MIN(C117:D117)*0.3)*0.9,0.7*MAX(C117:D117)))))</f>
        <v>406.52734219366147</v>
      </c>
      <c r="D119" s="206"/>
      <c r="E119" s="205">
        <f>IF(E118&lt;25%,(E117*0.5+F117*0.5)*0.9,IF(E118&lt;50%,(MAX(E117:F117)*0.6+MIN(E117:F117)*0.4)*0.9,IF(E118&lt;70%,(MAX(E117:F117)*0.65+MIN(E117:F117)*0.35)*0.9,IF(E118&lt;100%,(MAX(E117:F117)*0.7+MIN(E117:F117)*0.3)*0.9,0.7*MAX(E117:F117)))))</f>
        <v>302.65169999999995</v>
      </c>
      <c r="F119" s="206"/>
      <c r="G119" s="205">
        <f>IF(G118&lt;25%,(G117*0.5+H117*0.5)*0.9,IF(G118&lt;50%,(MAX(G117:H117)*0.6+MIN(G117:H117)*0.4)*0.9,IF(G118&lt;70%,(MAX(G117:H117)*0.65+MIN(G117:H117)*0.35)*0.9,IF(G118&lt;100%,(MAX(G117:H117)*0.7+MIN(G117:H117)*0.3)*0.9,0.7*MAX(G117:H117)))))</f>
        <v>805.54748936170199</v>
      </c>
      <c r="H119" s="206"/>
      <c r="I119" s="205">
        <f>IF(I118&lt;25%,(I117*0.5+J117*0.5)*0.9,IF(I118&lt;50%,(MAX(I117:J117)*0.6+MIN(I117:J117)*0.4)*0.9,IF(I118&lt;70%,(MAX(I117:J117)*0.65+MIN(I117:J117)*0.35)*0.9,IF(I118&lt;100%,(MAX(I117:J117)*0.7+MIN(I117:J117)*0.3)*0.9,0.7*MAX(I117:J117)))))</f>
        <v>492.26902941176462</v>
      </c>
      <c r="J119" s="206"/>
      <c r="K119" s="205">
        <f>IF(K118&lt;25%,(K117*0.5+L117*0.5)*0.9,IF(K118&lt;50%,(MAX(K117:L117)*0.6+MIN(K117:L117)*0.4)*0.9,IF(K118&lt;70%,(MAX(K117:L117)*0.65+MIN(K117:L117)*0.35)*0.9,IF(K118&lt;100%,(MAX(K117:L117)*0.7+MIN(K117:L117)*0.3)*0.9,0.7*MAX(K117:L117)))))</f>
        <v>837.18610344827584</v>
      </c>
      <c r="L119" s="206"/>
      <c r="M119" s="205">
        <f>IF(M118&lt;25%,(M117*0.5+N117*0.5)*0.9,IF(M118&lt;50%,(MAX(M117:N117)*0.6+MIN(M117:N117)*0.4)*0.9,IF(M118&lt;70%,(MAX(M117:N117)*0.65+MIN(M117:N117)*0.35)*0.9,IF(M118&lt;100%,(MAX(M117:N117)*0.7+MIN(M117:N117)*0.3)*0.9,0.7*MAX(M117:N117)))))</f>
        <v>1268.3673024538894</v>
      </c>
      <c r="N119" s="206"/>
      <c r="O119" s="205">
        <f>IF(O118&lt;25%,(O117*0.5+P117*0.5)*0.9,IF(O118&lt;50%,(MAX(O117:P117)*0.6+MIN(O117:P117)*0.4)*0.9,IF(O118&lt;70%,(MAX(O117:P117)*0.65+MIN(O117:P117)*0.35)*0.9,IF(O118&lt;100%,(MAX(O117:P117)*0.7+MIN(O117:P117)*0.3)*0.9,0.7*MAX(O117:P117)))))</f>
        <v>820.56385436170194</v>
      </c>
      <c r="P119" s="206"/>
      <c r="Q119" s="205">
        <f>IF(Q118&lt;25%,(Q117*0.5+R117*0.5)*0.9,IF(Q118&lt;50%,(MAX(Q117:R117)*0.6+MIN(Q117:R117)*0.4)*0.9,IF(Q118&lt;70%,(MAX(Q117:R117)*0.65+MIN(Q117:R117)*0.35)*0.9,IF(Q118&lt;100%,(MAX(Q117:R117)*0.7+MIN(Q117:R117)*0.3)*0.9,0.7*MAX(Q117:R117)))))</f>
        <v>1219.3717166129031</v>
      </c>
      <c r="R119" s="206"/>
      <c r="S119" s="205">
        <f>IF(S118&lt;25%,(S117*0.5+T117*0.5)*0.9,IF(S118&lt;50%,(MAX(S117:T117)*0.6+MIN(S117:T117)*0.4)*0.9,IF(S118&lt;70%,(MAX(S117:T117)*0.65+MIN(S117:T117)*0.35)*0.9,IF(S118&lt;100%,(MAX(S117:T117)*0.7+MIN(S117:T117)*0.3)*0.9,0.7*MAX(S117:T117)))))</f>
        <v>1040.4080790697674</v>
      </c>
      <c r="T119" s="206"/>
      <c r="U119" s="205">
        <f>IF(U118&lt;25%,(U117*0.5+V117*0.5)*0.9,IF(U118&lt;50%,(MAX(U117:V117)*0.6+MIN(U117:V117)*0.4)*0.9,IF(U118&lt;70%,(MAX(U117:V117)*0.65+MIN(U117:V117)*0.35)*0.9,IF(U118&lt;100%,(MAX(U117:V117)*0.7+MIN(U117:V117)*0.3)*0.9,0.7*MAX(U117:V117)))))</f>
        <v>165.99128000000002</v>
      </c>
      <c r="V119" s="206"/>
      <c r="W119" s="205">
        <f>IF(W118&lt;25%,(W117*0.5+X117*0.5)*0.9,IF(W118&lt;50%,(MAX(W117:X117)*0.6+MIN(W117:X117)*0.4)*0.9,IF(W118&lt;70%,(MAX(W117:X117)*0.65+MIN(W117:X117)*0.35)*0.9,IF(W118&lt;100%,(MAX(W117:X117)*0.7+MIN(W117:X117)*0.3)*0.9,0.7*MAX(W117:X117)))))</f>
        <v>174.09926625000003</v>
      </c>
      <c r="X119" s="206"/>
      <c r="Y119" s="205">
        <f>IF(Y118&lt;25%,(Y117*0.5+Z117*0.5)*0.9,IF(Y118&lt;50%,(MAX(Y117:Z117)*0.6+MIN(Y117:Z117)*0.4)*0.9,IF(Y118&lt;70%,(MAX(Y117:Z117)*0.65+MIN(Y117:Z117)*0.35)*0.9,IF(Y118&lt;100%,(MAX(Y117:Z117)*0.7+MIN(Y117:Z117)*0.3)*0.9,0.7*MAX(Y117:Z117)))))</f>
        <v>179.28557237500002</v>
      </c>
      <c r="Z119" s="206"/>
      <c r="AA119" s="205">
        <f>IF(AA118&lt;25%,(AA117*0.5+AB117*0.5)*0.9,IF(AA118&lt;50%,(MAX(AA117:AB117)*0.6+MIN(AA117:AB117)*0.4)*0.9,IF(AA118&lt;70%,(MAX(AA117:AB117)*0.65+MIN(AA117:AB117)*0.35)*0.9,IF(AA118&lt;100%,(MAX(AA117:AB117)*0.7+MIN(AA117:AB117)*0.3)*0.9,0.7*MAX(AA117:AB117)))))</f>
        <v>147.04512550000004</v>
      </c>
      <c r="AB119" s="206"/>
      <c r="AC119" s="205">
        <f>IF(AC118&lt;25%,(AC117*0.5+AD117*0.5)*0.9,IF(AC118&lt;50%,(MAX(AC117:AD117)*0.6+MIN(AC117:AD117)*0.4)*0.9,IF(AC118&lt;70%,(MAX(AC117:AD117)*0.65+MIN(AC117:AD117)*0.35)*0.9,IF(AC118&lt;100%,(MAX(AC117:AD117)*0.7+MIN(AC117:AD117)*0.3)*0.9,0.7*MAX(AC117:AD117)))))</f>
        <v>140.63676900000002</v>
      </c>
      <c r="AD119" s="206"/>
    </row>
    <row r="120" spans="2:30" x14ac:dyDescent="0.25">
      <c r="B120" s="107" t="s">
        <v>15</v>
      </c>
      <c r="C120" s="207">
        <f>C119/(0.9*(0.9*($C$7/100))*($L$9*1000))</f>
        <v>0.83759280314835693</v>
      </c>
      <c r="D120" s="208"/>
      <c r="E120" s="207">
        <f>E119/(0.9*(0.9*($C$7/100))*($L$9*1000))</f>
        <v>0.62357155219304727</v>
      </c>
      <c r="F120" s="208"/>
      <c r="G120" s="207">
        <f>G119/(0.9*(0.9*($C$7/100))*($L$9*1000))</f>
        <v>1.659718079582863</v>
      </c>
      <c r="H120" s="208"/>
      <c r="I120" s="207">
        <f>I119/(0.9*(0.9*($C$7/100))*($L$9*1000))</f>
        <v>1.0142515729033041</v>
      </c>
      <c r="J120" s="208"/>
      <c r="K120" s="207">
        <f>K119/(0.9*(0.9*($C$7/100))*($L$9*1000))</f>
        <v>1.7249050244941313</v>
      </c>
      <c r="L120" s="208"/>
      <c r="M120" s="207">
        <f>M119/(0.9*(0.9*($C$7/100))*($L$9*1000))</f>
        <v>2.6132936558495463</v>
      </c>
      <c r="N120" s="208"/>
      <c r="O120" s="207">
        <f>O119/(0.9*(0.9*($C$7/100))*($L$9*1000))</f>
        <v>1.6906572021166117</v>
      </c>
      <c r="P120" s="208"/>
      <c r="Q120" s="207">
        <f>Q119/(0.9*(0.9*($C$7/100))*($L$9*1000))</f>
        <v>2.5123450951328166</v>
      </c>
      <c r="R120" s="208"/>
      <c r="S120" s="207">
        <f>S119/(0.9*(0.9*($C$7/100))*($L$9*1000))</f>
        <v>2.1436155183655718</v>
      </c>
      <c r="T120" s="208"/>
      <c r="U120" s="207">
        <f>U119/(0.9*(0.9*($C$7/100))*($L$9*1000))</f>
        <v>0.3420018460828429</v>
      </c>
      <c r="V120" s="208"/>
      <c r="W120" s="207">
        <f>W119/(0.9*(0.9*($C$7/100))*($L$9*1000))</f>
        <v>0.35870721919349252</v>
      </c>
      <c r="X120" s="208"/>
      <c r="Y120" s="207">
        <f>Y119/(0.9*(0.9*($C$7/100))*($L$9*1000))</f>
        <v>0.36939287851909536</v>
      </c>
      <c r="Z120" s="208"/>
      <c r="AA120" s="207">
        <f>AA119/(0.9*(0.9*($C$7/100))*($L$9*1000))</f>
        <v>0.30296594121379944</v>
      </c>
      <c r="AB120" s="208"/>
      <c r="AC120" s="207">
        <f>AC119/(0.9*(0.9*($C$7/100))*($L$9*1000))</f>
        <v>0.28976241779162332</v>
      </c>
      <c r="AD120" s="208"/>
    </row>
    <row r="121" spans="2:30" x14ac:dyDescent="0.25">
      <c r="B121" s="107" t="s">
        <v>98</v>
      </c>
      <c r="C121" s="209">
        <f>(C120*($L$9))/(0.85*$L$6*100)</f>
        <v>2.0674147620962903E-2</v>
      </c>
      <c r="D121" s="210"/>
      <c r="E121" s="209">
        <f>(E120*($L$9))/(0.85*$L$6*100)</f>
        <v>1.5391500826910279E-2</v>
      </c>
      <c r="F121" s="210"/>
      <c r="G121" s="209">
        <f>(G120*($L$9))/(0.85*$L$6*100)</f>
        <v>4.0966513152333642E-2</v>
      </c>
      <c r="H121" s="210"/>
      <c r="I121" s="209">
        <f>(I120*($L$9))/(0.85*$L$6*100)</f>
        <v>2.5034583229677863E-2</v>
      </c>
      <c r="J121" s="210"/>
      <c r="K121" s="209">
        <f>(K120*($L$9))/(0.85*$L$6*100)</f>
        <v>4.2575510408505664E-2</v>
      </c>
      <c r="L121" s="210"/>
      <c r="M121" s="209">
        <f>(M120*($L$9))/(0.85*$L$6*100)</f>
        <v>6.4503442024429411E-2</v>
      </c>
      <c r="N121" s="210"/>
      <c r="O121" s="209">
        <f>(O120*($L$9))/(0.85*$L$6*100)</f>
        <v>4.1730177768506911E-2</v>
      </c>
      <c r="P121" s="210"/>
      <c r="Q121" s="209">
        <f>(Q120*($L$9))/(0.85*$L$6*100)</f>
        <v>6.2011747446184866E-2</v>
      </c>
      <c r="R121" s="210"/>
      <c r="S121" s="209">
        <f>(S120*($L$9))/(0.85*$L$6*100)</f>
        <v>5.2910463775113305E-2</v>
      </c>
      <c r="T121" s="210"/>
      <c r="U121" s="209">
        <f>(U120*($L$9))/(0.85*$L$6*100)</f>
        <v>8.4415680578694783E-3</v>
      </c>
      <c r="V121" s="210"/>
      <c r="W121" s="209">
        <f>(W120*($L$9))/(0.85*$L$6*100)</f>
        <v>8.8539036802084657E-3</v>
      </c>
      <c r="X121" s="210"/>
      <c r="Y121" s="209">
        <f>(Y120*($L$9))/(0.85*$L$6*100)</f>
        <v>9.1176558250388017E-3</v>
      </c>
      <c r="Z121" s="210"/>
      <c r="AA121" s="209">
        <f>(AA120*($L$9))/(0.85*$L$6*100)</f>
        <v>7.4780520668688679E-3</v>
      </c>
      <c r="AB121" s="210"/>
      <c r="AC121" s="209">
        <f>(AC120*($L$9))/(0.85*$L$6*100)</f>
        <v>7.152151950104658E-3</v>
      </c>
      <c r="AD121" s="210"/>
    </row>
    <row r="122" spans="2:30" ht="15.75" thickBot="1" x14ac:dyDescent="0.3">
      <c r="B122" s="108" t="s">
        <v>15</v>
      </c>
      <c r="C122" s="201">
        <f>ROUNDUP(C119/(0.9*(($C$7-C121/2)/100)*($L$9*1000)),2)</f>
        <v>0.76</v>
      </c>
      <c r="D122" s="202"/>
      <c r="E122" s="201">
        <f>ROUNDUP(E119/(0.9*(($C$7-E121/2)/100)*($L$9*1000)),2)</f>
        <v>0.57000000000000006</v>
      </c>
      <c r="F122" s="202"/>
      <c r="G122" s="201">
        <f>ROUNDUP(G119/(0.9*(($C$7-G121/2)/100)*($L$9*1000)),2)</f>
        <v>1.5</v>
      </c>
      <c r="H122" s="202"/>
      <c r="I122" s="201">
        <f>ROUNDUP(I119/(0.9*(($C$7-I121/2)/100)*($L$9*1000)),2)</f>
        <v>0.92</v>
      </c>
      <c r="J122" s="202"/>
      <c r="K122" s="201">
        <f>ROUNDUP(K119/(0.9*(($C$7-K121/2)/100)*($L$9*1000)),2)</f>
        <v>1.56</v>
      </c>
      <c r="L122" s="202"/>
      <c r="M122" s="201">
        <f>ROUNDUP(M119/(0.9*(($C$7-M121/2)/100)*($L$9*1000)),2)</f>
        <v>2.36</v>
      </c>
      <c r="N122" s="202"/>
      <c r="O122" s="201">
        <f>ROUNDUP(O119/(0.9*(($C$7-O121/2)/100)*($L$9*1000)),2)</f>
        <v>1.53</v>
      </c>
      <c r="P122" s="202"/>
      <c r="Q122" s="201">
        <f>ROUNDUP(Q119/(0.9*(($C$7-Q121/2)/100)*($L$9*1000)),2)</f>
        <v>2.2699999999999996</v>
      </c>
      <c r="R122" s="202"/>
      <c r="S122" s="201">
        <f>ROUNDUP(S119/(0.9*(($C$7-S121/2)/100)*($L$9*1000)),2)</f>
        <v>1.94</v>
      </c>
      <c r="T122" s="202"/>
      <c r="U122" s="201">
        <f>ROUNDUP(U119/(0.9*(($C$7-U121/2)/100)*($L$9*1000)),2)</f>
        <v>0.31</v>
      </c>
      <c r="V122" s="202"/>
      <c r="W122" s="201">
        <f>ROUNDUP(W119/(0.9*(($C$7-W121/2)/100)*($L$9*1000)),2)</f>
        <v>0.33</v>
      </c>
      <c r="X122" s="202"/>
      <c r="Y122" s="201">
        <f>ROUNDUP(Y119/(0.9*(($C$7-Y121/2)/100)*($L$9*1000)),2)</f>
        <v>0.34</v>
      </c>
      <c r="Z122" s="202"/>
      <c r="AA122" s="201">
        <f>ROUNDUP(AA119/(0.9*(($C$7-AA121/2)/100)*($L$9*1000)),2)</f>
        <v>0.28000000000000003</v>
      </c>
      <c r="AB122" s="202"/>
      <c r="AC122" s="201">
        <f>ROUNDUP(AC119/(0.9*(($C$7-AC121/2)/100)*($L$9*1000)),2)</f>
        <v>0.27</v>
      </c>
      <c r="AD122" s="202"/>
    </row>
    <row r="123" spans="2:30" ht="16.5" thickBot="1" x14ac:dyDescent="0.3">
      <c r="B123" s="61" t="s">
        <v>113</v>
      </c>
      <c r="C123" s="199" t="str">
        <f>IF(C122&gt;$C$12,"$\phi"&amp;IF(VLOOKUP(VLOOKUP(C122,tablas!$R$3:$T$66,2,TRUE)&amp;VLOOKUP(C122,tablas!$R$3:$T$66,3,TRUE),tablas!$Q$3:$R$66,2,FALSE)&lt;C122,VLOOKUP(C122+0.1,tablas!$R$3:$T$66,2,TRUE),VLOOKUP(C122,tablas!$R$3:$T$66,2,TRUE))&amp;"@"&amp;IF(VLOOKUP(VLOOKUP(C122,tablas!$R$3:$T$66,2,TRUE)&amp;VLOOKUP(C122,tablas!$R$3:$T$66,3,TRUE),tablas!$Q$3:$R$66,2,FALSE)&lt;C122,VLOOKUP(C122+0.1,tablas!$R$3:$T$66,3,TRUE)&amp;"$",VLOOKUP(C122,tablas!$R$3:$T$66,3,TRUE)&amp;"$"),$C$13)</f>
        <v>$\phi8@17$</v>
      </c>
      <c r="D123" s="200"/>
      <c r="E123" s="199" t="str">
        <f>IF(E122&gt;$C$12,"$\phi"&amp;IF(VLOOKUP(VLOOKUP(E122,tablas!$R$3:$T$66,2,TRUE)&amp;VLOOKUP(E122,tablas!$R$3:$T$66,3,TRUE),tablas!$Q$3:$R$66,2,FALSE)&lt;E122,VLOOKUP(E122+0.1,tablas!$R$3:$T$66,2,TRUE),VLOOKUP(E122,tablas!$R$3:$T$66,2,TRUE))&amp;"@"&amp;IF(VLOOKUP(VLOOKUP(E122,tablas!$R$3:$T$66,2,TRUE)&amp;VLOOKUP(E122,tablas!$R$3:$T$66,3,TRUE),tablas!$Q$3:$R$66,2,FALSE)&lt;E122,VLOOKUP(E122+0.1,tablas!$R$3:$T$66,3,TRUE)&amp;"$",VLOOKUP(E122,tablas!$R$3:$T$66,3,TRUE)&amp;"$"),$C$13)</f>
        <v>$\phi8@17$</v>
      </c>
      <c r="F123" s="200"/>
      <c r="G123" s="199" t="str">
        <f>IF(G122&gt;$C$12,"$\phi"&amp;IF(VLOOKUP(VLOOKUP(G122,tablas!$R$3:$T$66,2,TRUE)&amp;VLOOKUP(G122,tablas!$R$3:$T$66,3,TRUE),tablas!$Q$3:$R$66,2,FALSE)&lt;G122,VLOOKUP(G122+0.1,tablas!$R$3:$T$66,2,TRUE),VLOOKUP(G122,tablas!$R$3:$T$66,2,TRUE))&amp;"@"&amp;IF(VLOOKUP(VLOOKUP(G122,tablas!$R$3:$T$66,2,TRUE)&amp;VLOOKUP(G122,tablas!$R$3:$T$66,3,TRUE),tablas!$Q$3:$R$66,2,FALSE)&lt;G122,VLOOKUP(G122+0.1,tablas!$R$3:$T$66,3,TRUE)&amp;"$",VLOOKUP(G122,tablas!$R$3:$T$66,3,TRUE)&amp;"$"),$C$13)</f>
        <v>$\phi8@17$</v>
      </c>
      <c r="H123" s="200"/>
      <c r="I123" s="199" t="str">
        <f>IF(I122&gt;$C$12,"$\phi"&amp;IF(VLOOKUP(VLOOKUP(I122,tablas!$R$3:$T$66,2,TRUE)&amp;VLOOKUP(I122,tablas!$R$3:$T$66,3,TRUE),tablas!$Q$3:$R$66,2,FALSE)&lt;I122,VLOOKUP(I122+0.1,tablas!$R$3:$T$66,2,TRUE),VLOOKUP(I122,tablas!$R$3:$T$66,2,TRUE))&amp;"@"&amp;IF(VLOOKUP(VLOOKUP(I122,tablas!$R$3:$T$66,2,TRUE)&amp;VLOOKUP(I122,tablas!$R$3:$T$66,3,TRUE),tablas!$Q$3:$R$66,2,FALSE)&lt;I122,VLOOKUP(I122+0.1,tablas!$R$3:$T$66,3,TRUE)&amp;"$",VLOOKUP(I122,tablas!$R$3:$T$66,3,TRUE)&amp;"$"),$C$13)</f>
        <v>$\phi8@17$</v>
      </c>
      <c r="J123" s="200"/>
      <c r="K123" s="199" t="str">
        <f>IF(K122&gt;$C$12,"$\phi"&amp;IF(VLOOKUP(VLOOKUP(K122,tablas!$R$3:$T$66,2,TRUE)&amp;VLOOKUP(K122,tablas!$R$3:$T$66,3,TRUE),tablas!$Q$3:$R$66,2,FALSE)&lt;K122,VLOOKUP(K122+0.1,tablas!$R$3:$T$66,2,TRUE),VLOOKUP(K122,tablas!$R$3:$T$66,2,TRUE))&amp;"@"&amp;IF(VLOOKUP(VLOOKUP(K122,tablas!$R$3:$T$66,2,TRUE)&amp;VLOOKUP(K122,tablas!$R$3:$T$66,3,TRUE),tablas!$Q$3:$R$66,2,FALSE)&lt;K122,VLOOKUP(K122+0.1,tablas!$R$3:$T$66,3,TRUE)&amp;"$",VLOOKUP(K122,tablas!$R$3:$T$66,3,TRUE)&amp;"$"),$C$13)</f>
        <v>$\phi8@17$</v>
      </c>
      <c r="L123" s="200"/>
      <c r="M123" s="199" t="str">
        <f>IF(M122&gt;$C$12,"$\phi"&amp;IF(VLOOKUP(VLOOKUP(M122,tablas!$R$3:$T$66,2,TRUE)&amp;VLOOKUP(M122,tablas!$R$3:$T$66,3,TRUE),tablas!$Q$3:$R$66,2,FALSE)&lt;M122,VLOOKUP(M122+0.1,tablas!$R$3:$T$66,2,TRUE),VLOOKUP(M122,tablas!$R$3:$T$66,2,TRUE))&amp;"@"&amp;IF(VLOOKUP(VLOOKUP(M122,tablas!$R$3:$T$66,2,TRUE)&amp;VLOOKUP(M122,tablas!$R$3:$T$66,3,TRUE),tablas!$Q$3:$R$66,2,FALSE)&lt;M122,VLOOKUP(M122+0.1,tablas!$R$3:$T$66,3,TRUE)&amp;"$",VLOOKUP(M122,tablas!$R$3:$T$66,3,TRUE)&amp;"$"),$C$13)</f>
        <v>$\phi8@17$</v>
      </c>
      <c r="N123" s="200"/>
      <c r="O123" s="199" t="str">
        <f>IF(O122&gt;$C$12,"$\phi"&amp;IF(VLOOKUP(VLOOKUP(O122,tablas!$R$3:$T$66,2,TRUE)&amp;VLOOKUP(O122,tablas!$R$3:$T$66,3,TRUE),tablas!$Q$3:$R$66,2,FALSE)&lt;O122,VLOOKUP(O122+0.1,tablas!$R$3:$T$66,2,TRUE),VLOOKUP(O122,tablas!$R$3:$T$66,2,TRUE))&amp;"@"&amp;IF(VLOOKUP(VLOOKUP(O122,tablas!$R$3:$T$66,2,TRUE)&amp;VLOOKUP(O122,tablas!$R$3:$T$66,3,TRUE),tablas!$Q$3:$R$66,2,FALSE)&lt;O122,VLOOKUP(O122+0.1,tablas!$R$3:$T$66,3,TRUE)&amp;"$",VLOOKUP(O122,tablas!$R$3:$T$66,3,TRUE)&amp;"$"),$C$13)</f>
        <v>$\phi8@17$</v>
      </c>
      <c r="P123" s="200"/>
      <c r="Q123" s="199" t="str">
        <f>IF(Q122&gt;$C$12,"$\phi"&amp;IF(VLOOKUP(VLOOKUP(Q122,tablas!$R$3:$T$66,2,TRUE)&amp;VLOOKUP(Q122,tablas!$R$3:$T$66,3,TRUE),tablas!$Q$3:$R$66,2,FALSE)&lt;Q122,VLOOKUP(Q122+0.1,tablas!$R$3:$T$66,2,TRUE),VLOOKUP(Q122,tablas!$R$3:$T$66,2,TRUE))&amp;"@"&amp;IF(VLOOKUP(VLOOKUP(Q122,tablas!$R$3:$T$66,2,TRUE)&amp;VLOOKUP(Q122,tablas!$R$3:$T$66,3,TRUE),tablas!$Q$3:$R$66,2,FALSE)&lt;Q122,VLOOKUP(Q122+0.1,tablas!$R$3:$T$66,3,TRUE)&amp;"$",VLOOKUP(Q122,tablas!$R$3:$T$66,3,TRUE)&amp;"$"),$C$13)</f>
        <v>$\phi8@17$</v>
      </c>
      <c r="R123" s="200"/>
      <c r="S123" s="199" t="str">
        <f>IF(S122&gt;$C$12,"$\phi"&amp;IF(VLOOKUP(VLOOKUP(S122,tablas!$R$3:$T$66,2,TRUE)&amp;VLOOKUP(S122,tablas!$R$3:$T$66,3,TRUE),tablas!$Q$3:$R$66,2,FALSE)&lt;S122,VLOOKUP(S122+0.1,tablas!$R$3:$T$66,2,TRUE),VLOOKUP(S122,tablas!$R$3:$T$66,2,TRUE))&amp;"@"&amp;IF(VLOOKUP(VLOOKUP(S122,tablas!$R$3:$T$66,2,TRUE)&amp;VLOOKUP(S122,tablas!$R$3:$T$66,3,TRUE),tablas!$Q$3:$R$66,2,FALSE)&lt;S122,VLOOKUP(S122+0.1,tablas!$R$3:$T$66,3,TRUE)&amp;"$",VLOOKUP(S122,tablas!$R$3:$T$66,3,TRUE)&amp;"$"),$C$13)</f>
        <v>$\phi8@17$</v>
      </c>
      <c r="T123" s="200"/>
      <c r="U123" s="199" t="str">
        <f>IF(U122&gt;$C$12,"$\phi"&amp;IF(VLOOKUP(VLOOKUP(U122,tablas!$R$3:$T$66,2,TRUE)&amp;VLOOKUP(U122,tablas!$R$3:$T$66,3,TRUE),tablas!$Q$3:$R$66,2,FALSE)&lt;U122,VLOOKUP(U122+0.1,tablas!$R$3:$T$66,2,TRUE),VLOOKUP(U122,tablas!$R$3:$T$66,2,TRUE))&amp;"@"&amp;IF(VLOOKUP(VLOOKUP(U122,tablas!$R$3:$T$66,2,TRUE)&amp;VLOOKUP(U122,tablas!$R$3:$T$66,3,TRUE),tablas!$Q$3:$R$66,2,FALSE)&lt;U122,VLOOKUP(U122+0.1,tablas!$R$3:$T$66,3,TRUE)&amp;"$",VLOOKUP(U122,tablas!$R$3:$T$66,3,TRUE)&amp;"$"),$C$13)</f>
        <v>$\phi8@17$</v>
      </c>
      <c r="V123" s="200"/>
      <c r="W123" s="199" t="str">
        <f>IF(W122&gt;$C$12,"$\phi"&amp;IF(VLOOKUP(VLOOKUP(W122,tablas!$R$3:$T$66,2,TRUE)&amp;VLOOKUP(W122,tablas!$R$3:$T$66,3,TRUE),tablas!$Q$3:$R$66,2,FALSE)&lt;W122,VLOOKUP(W122+0.1,tablas!$R$3:$T$66,2,TRUE),VLOOKUP(W122,tablas!$R$3:$T$66,2,TRUE))&amp;"@"&amp;IF(VLOOKUP(VLOOKUP(W122,tablas!$R$3:$T$66,2,TRUE)&amp;VLOOKUP(W122,tablas!$R$3:$T$66,3,TRUE),tablas!$Q$3:$R$66,2,FALSE)&lt;W122,VLOOKUP(W122+0.1,tablas!$R$3:$T$66,3,TRUE)&amp;"$",VLOOKUP(W122,tablas!$R$3:$T$66,3,TRUE)&amp;"$"),$C$13)</f>
        <v>$\phi8@17$</v>
      </c>
      <c r="X123" s="200"/>
      <c r="Y123" s="199" t="str">
        <f>IF(Y122&gt;$C$12,"$\phi"&amp;IF(VLOOKUP(VLOOKUP(Y122,tablas!$R$3:$T$66,2,TRUE)&amp;VLOOKUP(Y122,tablas!$R$3:$T$66,3,TRUE),tablas!$Q$3:$R$66,2,FALSE)&lt;Y122,VLOOKUP(Y122+0.1,tablas!$R$3:$T$66,2,TRUE),VLOOKUP(Y122,tablas!$R$3:$T$66,2,TRUE))&amp;"@"&amp;IF(VLOOKUP(VLOOKUP(Y122,tablas!$R$3:$T$66,2,TRUE)&amp;VLOOKUP(Y122,tablas!$R$3:$T$66,3,TRUE),tablas!$Q$3:$R$66,2,FALSE)&lt;Y122,VLOOKUP(Y122+0.1,tablas!$R$3:$T$66,3,TRUE)&amp;"$",VLOOKUP(Y122,tablas!$R$3:$T$66,3,TRUE)&amp;"$"),$C$13)</f>
        <v>$\phi8@17$</v>
      </c>
      <c r="Z123" s="200"/>
      <c r="AA123" s="199" t="str">
        <f>IF(AA122&gt;$C$12,"$\phi"&amp;IF(VLOOKUP(VLOOKUP(AA122,tablas!$R$3:$T$66,2,TRUE)&amp;VLOOKUP(AA122,tablas!$R$3:$T$66,3,TRUE),tablas!$Q$3:$R$66,2,FALSE)&lt;AA122,VLOOKUP(AA122+0.1,tablas!$R$3:$T$66,2,TRUE),VLOOKUP(AA122,tablas!$R$3:$T$66,2,TRUE))&amp;"@"&amp;IF(VLOOKUP(VLOOKUP(AA122,tablas!$R$3:$T$66,2,TRUE)&amp;VLOOKUP(AA122,tablas!$R$3:$T$66,3,TRUE),tablas!$Q$3:$R$66,2,FALSE)&lt;AA122,VLOOKUP(AA122+0.1,tablas!$R$3:$T$66,3,TRUE)&amp;"$",VLOOKUP(AA122,tablas!$R$3:$T$66,3,TRUE)&amp;"$"),$C$13)</f>
        <v>$\phi8@17$</v>
      </c>
      <c r="AB123" s="200"/>
      <c r="AC123" s="199" t="str">
        <f>IF(AC122&gt;$C$12,"$\phi"&amp;IF(VLOOKUP(VLOOKUP(AC122,tablas!$R$3:$T$66,2,TRUE)&amp;VLOOKUP(AC122,tablas!$R$3:$T$66,3,TRUE),tablas!$Q$3:$R$66,2,FALSE)&lt;AC122,VLOOKUP(AC122+0.1,tablas!$R$3:$T$66,2,TRUE),VLOOKUP(AC122,tablas!$R$3:$T$66,2,TRUE))&amp;"@"&amp;IF(VLOOKUP(VLOOKUP(AC122,tablas!$R$3:$T$66,2,TRUE)&amp;VLOOKUP(AC122,tablas!$R$3:$T$66,3,TRUE),tablas!$Q$3:$R$66,2,FALSE)&lt;AC122,VLOOKUP(AC122+0.1,tablas!$R$3:$T$66,3,TRUE)&amp;"$",VLOOKUP(AC122,tablas!$R$3:$T$66,3,TRUE)&amp;"$"),$C$13)</f>
        <v>$\phi8@17$</v>
      </c>
      <c r="AD123" s="200"/>
    </row>
    <row r="124" spans="2:30" x14ac:dyDescent="0.25">
      <c r="C124" t="str">
        <f>IF(C123='2 a 7'!C123:D123,"IGUAL","PUTA LA WEA")</f>
        <v>IGUAL</v>
      </c>
      <c r="E124" t="str">
        <f>IF(E123='2 a 7'!E123:F123,"IGUAL","PUTA LA WEA")</f>
        <v>IGUAL</v>
      </c>
      <c r="G124" t="str">
        <f>IF(G123='2 a 7'!G123:H123,"IGUAL","PUTA LA WEA")</f>
        <v>IGUAL</v>
      </c>
      <c r="I124" t="str">
        <f>IF(I123='2 a 7'!I123:J123,"IGUAL","PUTA LA WEA")</f>
        <v>IGUAL</v>
      </c>
      <c r="K124" t="str">
        <f>IF(K123='2 a 7'!K123:L123,"IGUAL","PUTA LA WEA")</f>
        <v>IGUAL</v>
      </c>
      <c r="M124" t="str">
        <f>IF(M123='2 a 7'!M123:N123,"IGUAL","PUTA LA WEA")</f>
        <v>IGUAL</v>
      </c>
      <c r="O124" t="str">
        <f>IF(O123='2 a 7'!O123:P123,"IGUAL","PUTA LA WEA")</f>
        <v>IGUAL</v>
      </c>
      <c r="Q124" t="str">
        <f>IF(Q123='2 a 7'!Q123:R123,"IGUAL","PUTA LA WEA")</f>
        <v>IGUAL</v>
      </c>
      <c r="S124" t="str">
        <f>IF(S123='2 a 7'!S123:T123,"IGUAL","PUTA LA WEA")</f>
        <v>IGUAL</v>
      </c>
      <c r="U124" t="str">
        <f>IF(U123='2 a 7'!U123:V123,"IGUAL","PUTA LA WEA")</f>
        <v>IGUAL</v>
      </c>
    </row>
  </sheetData>
  <mergeCells count="232">
    <mergeCell ref="E4:F4"/>
    <mergeCell ref="H4:I4"/>
    <mergeCell ref="K4:L4"/>
    <mergeCell ref="B91:C91"/>
    <mergeCell ref="C96:D96"/>
    <mergeCell ref="E96:F96"/>
    <mergeCell ref="G96:H96"/>
    <mergeCell ref="I96:J96"/>
    <mergeCell ref="K96:L96"/>
    <mergeCell ref="Y96:Z96"/>
    <mergeCell ref="C97:D97"/>
    <mergeCell ref="E97:F97"/>
    <mergeCell ref="G97:H97"/>
    <mergeCell ref="I97:J97"/>
    <mergeCell ref="K97:L97"/>
    <mergeCell ref="M97:N97"/>
    <mergeCell ref="O97:P97"/>
    <mergeCell ref="Q97:R97"/>
    <mergeCell ref="S97:T97"/>
    <mergeCell ref="M96:N96"/>
    <mergeCell ref="O96:P96"/>
    <mergeCell ref="Q96:R96"/>
    <mergeCell ref="S96:T96"/>
    <mergeCell ref="U96:V96"/>
    <mergeCell ref="W96:X96"/>
    <mergeCell ref="U97:V97"/>
    <mergeCell ref="W97:X97"/>
    <mergeCell ref="Y97:Z97"/>
    <mergeCell ref="U98:V98"/>
    <mergeCell ref="W98:X98"/>
    <mergeCell ref="Y98:Z98"/>
    <mergeCell ref="C99:D99"/>
    <mergeCell ref="E99:F99"/>
    <mergeCell ref="G99:H99"/>
    <mergeCell ref="I99:J99"/>
    <mergeCell ref="K99:L99"/>
    <mergeCell ref="Y99:Z99"/>
    <mergeCell ref="M99:N99"/>
    <mergeCell ref="O99:P99"/>
    <mergeCell ref="Q99:R99"/>
    <mergeCell ref="S99:T99"/>
    <mergeCell ref="U99:V99"/>
    <mergeCell ref="W99:X99"/>
    <mergeCell ref="C98:D98"/>
    <mergeCell ref="E98:F98"/>
    <mergeCell ref="G98:H98"/>
    <mergeCell ref="I98:J98"/>
    <mergeCell ref="K98:L98"/>
    <mergeCell ref="M98:N98"/>
    <mergeCell ref="O98:P98"/>
    <mergeCell ref="Q98:R98"/>
    <mergeCell ref="S98:T98"/>
    <mergeCell ref="U100:V100"/>
    <mergeCell ref="W100:X100"/>
    <mergeCell ref="Y100:Z100"/>
    <mergeCell ref="C101:D101"/>
    <mergeCell ref="E101:F101"/>
    <mergeCell ref="G101:H101"/>
    <mergeCell ref="I101:J101"/>
    <mergeCell ref="K101:L101"/>
    <mergeCell ref="M101:N101"/>
    <mergeCell ref="O101:P101"/>
    <mergeCell ref="Q101:R101"/>
    <mergeCell ref="S101:T101"/>
    <mergeCell ref="U101:V101"/>
    <mergeCell ref="W101:X101"/>
    <mergeCell ref="Y101:Z101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C107:D107"/>
    <mergeCell ref="E107:F107"/>
    <mergeCell ref="G107:H107"/>
    <mergeCell ref="I107:J107"/>
    <mergeCell ref="K107:L107"/>
    <mergeCell ref="Y107:Z107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M107:N107"/>
    <mergeCell ref="O107:P107"/>
    <mergeCell ref="Q107:R107"/>
    <mergeCell ref="S107:T107"/>
    <mergeCell ref="U107:V107"/>
    <mergeCell ref="W107:X107"/>
    <mergeCell ref="U108:V108"/>
    <mergeCell ref="W108:X108"/>
    <mergeCell ref="Y108:Z108"/>
    <mergeCell ref="U109:V109"/>
    <mergeCell ref="W109:X109"/>
    <mergeCell ref="Y109:Z109"/>
    <mergeCell ref="C110:D110"/>
    <mergeCell ref="E110:F110"/>
    <mergeCell ref="G110:H110"/>
    <mergeCell ref="I110:J110"/>
    <mergeCell ref="K110:L110"/>
    <mergeCell ref="Y110:Z110"/>
    <mergeCell ref="M110:N110"/>
    <mergeCell ref="O110:P110"/>
    <mergeCell ref="Q110:R110"/>
    <mergeCell ref="S110:T110"/>
    <mergeCell ref="U110:V110"/>
    <mergeCell ref="W110:X110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U111:V111"/>
    <mergeCell ref="W111:X111"/>
    <mergeCell ref="Y111:Z111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C111:D111"/>
    <mergeCell ref="E111:F111"/>
    <mergeCell ref="G111:H111"/>
    <mergeCell ref="I111:J111"/>
    <mergeCell ref="K111:L111"/>
    <mergeCell ref="M111:N111"/>
    <mergeCell ref="O111:P111"/>
    <mergeCell ref="Q111:R111"/>
    <mergeCell ref="S111:T111"/>
    <mergeCell ref="O120:P120"/>
    <mergeCell ref="Q120:R120"/>
    <mergeCell ref="S120:T120"/>
    <mergeCell ref="W120:X120"/>
    <mergeCell ref="W118:X118"/>
    <mergeCell ref="C119:D119"/>
    <mergeCell ref="E119:F119"/>
    <mergeCell ref="G119:H119"/>
    <mergeCell ref="I119:J119"/>
    <mergeCell ref="K119:L119"/>
    <mergeCell ref="M119:N119"/>
    <mergeCell ref="O119:P119"/>
    <mergeCell ref="Q119:R119"/>
    <mergeCell ref="S119:T119"/>
    <mergeCell ref="W119:X119"/>
    <mergeCell ref="C118:D118"/>
    <mergeCell ref="E118:F118"/>
    <mergeCell ref="G118:H118"/>
    <mergeCell ref="I118:J118"/>
    <mergeCell ref="K118:L118"/>
    <mergeCell ref="M118:N118"/>
    <mergeCell ref="O118:P118"/>
    <mergeCell ref="Q118:R118"/>
    <mergeCell ref="S118:T118"/>
    <mergeCell ref="C123:D123"/>
    <mergeCell ref="E123:F123"/>
    <mergeCell ref="G123:H123"/>
    <mergeCell ref="I123:J123"/>
    <mergeCell ref="K123:L123"/>
    <mergeCell ref="C120:D120"/>
    <mergeCell ref="E120:F120"/>
    <mergeCell ref="G120:H120"/>
    <mergeCell ref="I120:J120"/>
    <mergeCell ref="K120:L120"/>
    <mergeCell ref="M121:N121"/>
    <mergeCell ref="O121:P121"/>
    <mergeCell ref="Q121:R121"/>
    <mergeCell ref="S121:T121"/>
    <mergeCell ref="C122:D122"/>
    <mergeCell ref="E122:F122"/>
    <mergeCell ref="G122:H122"/>
    <mergeCell ref="I122:J122"/>
    <mergeCell ref="K122:L122"/>
    <mergeCell ref="C121:D121"/>
    <mergeCell ref="E121:F121"/>
    <mergeCell ref="G121:H121"/>
    <mergeCell ref="I121:J121"/>
    <mergeCell ref="K121:L121"/>
    <mergeCell ref="U123:V123"/>
    <mergeCell ref="Y118:Z118"/>
    <mergeCell ref="Y119:Z119"/>
    <mergeCell ref="Y120:Z120"/>
    <mergeCell ref="Y121:Z121"/>
    <mergeCell ref="Y122:Z122"/>
    <mergeCell ref="Y123:Z123"/>
    <mergeCell ref="M123:N123"/>
    <mergeCell ref="O123:P123"/>
    <mergeCell ref="Q123:R123"/>
    <mergeCell ref="S123:T123"/>
    <mergeCell ref="W123:X123"/>
    <mergeCell ref="U118:V118"/>
    <mergeCell ref="U119:V119"/>
    <mergeCell ref="U120:V120"/>
    <mergeCell ref="U121:V121"/>
    <mergeCell ref="U122:V122"/>
    <mergeCell ref="M122:N122"/>
    <mergeCell ref="O122:P122"/>
    <mergeCell ref="Q122:R122"/>
    <mergeCell ref="S122:T122"/>
    <mergeCell ref="W122:X122"/>
    <mergeCell ref="W121:X121"/>
    <mergeCell ref="M120:N120"/>
    <mergeCell ref="AC118:AD118"/>
    <mergeCell ref="AC119:AD119"/>
    <mergeCell ref="AC120:AD120"/>
    <mergeCell ref="AC121:AD121"/>
    <mergeCell ref="AC122:AD122"/>
    <mergeCell ref="AC123:AD123"/>
    <mergeCell ref="AA118:AB118"/>
    <mergeCell ref="AA119:AB119"/>
    <mergeCell ref="AA120:AB120"/>
    <mergeCell ref="AA121:AB121"/>
    <mergeCell ref="AA122:AB122"/>
    <mergeCell ref="AA123:AB123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357D-C98C-407F-BE7A-2CD9958ECD51}">
  <dimension ref="B1:M68"/>
  <sheetViews>
    <sheetView zoomScale="85" zoomScaleNormal="85" workbookViewId="0">
      <selection activeCell="C3" sqref="C3:C6"/>
    </sheetView>
  </sheetViews>
  <sheetFormatPr defaultColWidth="11.42578125" defaultRowHeight="15" x14ac:dyDescent="0.25"/>
  <cols>
    <col min="1" max="1" width="2.85546875" customWidth="1"/>
    <col min="2" max="3" width="11.42578125" style="233"/>
    <col min="4" max="4" width="14.5703125" customWidth="1"/>
    <col min="5" max="5" width="12" customWidth="1"/>
    <col min="6" max="7" width="13.5703125" customWidth="1"/>
    <col min="8" max="8" width="12.85546875" customWidth="1"/>
    <col min="9" max="9" width="13.5703125" customWidth="1"/>
    <col min="10" max="10" width="12.85546875" customWidth="1"/>
    <col min="11" max="11" width="13.5703125" customWidth="1"/>
    <col min="12" max="12" width="12.85546875" customWidth="1"/>
    <col min="13" max="13" width="13.5703125" customWidth="1"/>
    <col min="14" max="14" width="8.42578125" customWidth="1"/>
    <col min="15" max="15" width="10.5703125" bestFit="1" customWidth="1"/>
    <col min="16" max="16" width="21.5703125" bestFit="1" customWidth="1"/>
    <col min="17" max="17" width="15.140625" bestFit="1" customWidth="1"/>
    <col min="18" max="18" width="13.5703125" customWidth="1"/>
  </cols>
  <sheetData>
    <row r="1" spans="2:13" ht="15.75" thickBot="1" x14ac:dyDescent="0.3"/>
    <row r="2" spans="2:13" ht="15.75" thickBot="1" x14ac:dyDescent="0.3">
      <c r="B2" s="222" t="s">
        <v>273</v>
      </c>
      <c r="C2" s="223"/>
      <c r="D2" s="223"/>
      <c r="E2" s="223"/>
      <c r="F2" s="223"/>
      <c r="G2" s="224"/>
      <c r="H2" s="225"/>
      <c r="I2" s="225"/>
      <c r="J2" s="225"/>
      <c r="K2" s="225"/>
      <c r="L2" s="225"/>
      <c r="M2" s="225"/>
    </row>
    <row r="3" spans="2:13" ht="15.75" thickBot="1" x14ac:dyDescent="0.3">
      <c r="B3" s="245" t="s">
        <v>43</v>
      </c>
      <c r="C3" s="238" t="s">
        <v>19</v>
      </c>
      <c r="D3" s="226" t="s">
        <v>246</v>
      </c>
      <c r="E3" s="226" t="s">
        <v>244</v>
      </c>
      <c r="F3" s="228" t="s">
        <v>240</v>
      </c>
      <c r="G3" s="229"/>
      <c r="H3" s="228" t="s">
        <v>241</v>
      </c>
      <c r="I3" s="229"/>
      <c r="J3" s="228" t="s">
        <v>247</v>
      </c>
      <c r="K3" s="229"/>
      <c r="L3" s="228" t="s">
        <v>248</v>
      </c>
      <c r="M3" s="224"/>
    </row>
    <row r="4" spans="2:13" ht="30.75" thickBot="1" x14ac:dyDescent="0.3">
      <c r="B4" s="248"/>
      <c r="C4" s="239"/>
      <c r="D4" s="227"/>
      <c r="E4" s="227"/>
      <c r="F4" s="141" t="s">
        <v>245</v>
      </c>
      <c r="G4" s="142" t="s">
        <v>242</v>
      </c>
      <c r="H4" s="141" t="s">
        <v>245</v>
      </c>
      <c r="I4" s="142" t="s">
        <v>242</v>
      </c>
      <c r="J4" s="141" t="s">
        <v>245</v>
      </c>
      <c r="K4" s="142" t="s">
        <v>242</v>
      </c>
      <c r="L4" s="141" t="s">
        <v>245</v>
      </c>
      <c r="M4" s="138" t="s">
        <v>242</v>
      </c>
    </row>
    <row r="5" spans="2:13" x14ac:dyDescent="0.25">
      <c r="B5" s="251" t="str">
        <f>'23'!C46</f>
        <v>2301</v>
      </c>
      <c r="C5" s="285">
        <f>'23'!$C$4</f>
        <v>16</v>
      </c>
      <c r="D5" s="270">
        <f>'23'!$C$12</f>
        <v>2.88</v>
      </c>
      <c r="E5" s="270">
        <f>HLOOKUP($B5,'23'!$C$46:$AE$89,21)</f>
        <v>910</v>
      </c>
      <c r="F5" s="270">
        <f>HLOOKUP($B5,'23'!$C$46:$AE$89,28)</f>
        <v>1.39</v>
      </c>
      <c r="G5" s="270" t="str">
        <f>HLOOKUP($B5,'23'!$C$46:$AE$89,29)</f>
        <v>$\phi8@17$</v>
      </c>
      <c r="H5" s="270">
        <f>HLOOKUP($B5,'23'!$C$46:$AE$89,33)</f>
        <v>0.4</v>
      </c>
      <c r="I5" s="270" t="str">
        <f>HLOOKUP($B5,'23'!$C$46:$AE$89,34)</f>
        <v>$\phi8@17$</v>
      </c>
      <c r="J5" s="270">
        <f>HLOOKUP($B5,'23'!$C$46:$AE$89,38)</f>
        <v>5.01</v>
      </c>
      <c r="K5" s="270" t="str">
        <f>HLOOKUP($B5,'23'!$C$46:$AE$89,39)</f>
        <v>$\phi8@10$</v>
      </c>
      <c r="L5" s="270">
        <f>HLOOKUP($B5,'23'!$C$46:$AE$89,43)</f>
        <v>3.6799999999999997</v>
      </c>
      <c r="M5" s="271" t="str">
        <f>HLOOKUP($B5,'23'!$C$46:$AE$89,44)</f>
        <v>$\phi10@21$</v>
      </c>
    </row>
    <row r="6" spans="2:13" x14ac:dyDescent="0.25">
      <c r="B6" s="257" t="str">
        <f>'23'!D46</f>
        <v>2302</v>
      </c>
      <c r="C6" s="288">
        <f>'23'!$C$4</f>
        <v>16</v>
      </c>
      <c r="D6" s="236">
        <f>'23'!$C$12</f>
        <v>2.88</v>
      </c>
      <c r="E6" s="236">
        <f>HLOOKUP($B6,'23'!$C$46:$AE$89,21)</f>
        <v>910</v>
      </c>
      <c r="F6" s="236">
        <f>HLOOKUP($B6,'23'!$C$46:$AE$89,28)</f>
        <v>0.57999999999999996</v>
      </c>
      <c r="G6" s="236" t="str">
        <f>HLOOKUP($B6,'23'!$C$46:$AE$89,29)</f>
        <v>$\phi8@17$</v>
      </c>
      <c r="H6" s="236">
        <f>HLOOKUP($B6,'23'!$C$46:$AE$89,33)</f>
        <v>0.28000000000000003</v>
      </c>
      <c r="I6" s="236" t="str">
        <f>HLOOKUP($B6,'23'!$C$46:$AE$89,34)</f>
        <v>$\phi8@17$</v>
      </c>
      <c r="J6" s="236">
        <f>HLOOKUP($B6,'23'!$C$46:$AE$89,38)</f>
        <v>2.3499999999999996</v>
      </c>
      <c r="K6" s="236" t="str">
        <f>HLOOKUP($B6,'23'!$C$46:$AE$89,39)</f>
        <v>$\phi8@17$</v>
      </c>
      <c r="L6" s="236">
        <f>HLOOKUP($B6,'23'!$C$46:$AE$89,43)</f>
        <v>1.93</v>
      </c>
      <c r="M6" s="272" t="str">
        <f>HLOOKUP($B6,'23'!$C$46:$AE$89,44)</f>
        <v>$\phi8@17$</v>
      </c>
    </row>
    <row r="7" spans="2:13" x14ac:dyDescent="0.25">
      <c r="B7" s="257" t="str">
        <f>'23'!E46</f>
        <v>2303</v>
      </c>
      <c r="C7" s="288">
        <f>'23'!$C$4</f>
        <v>16</v>
      </c>
      <c r="D7" s="236">
        <f>'23'!$C$12</f>
        <v>2.88</v>
      </c>
      <c r="E7" s="236">
        <f>HLOOKUP($B7,'23'!$C$46:$AE$89,21)</f>
        <v>910</v>
      </c>
      <c r="F7" s="236">
        <f>HLOOKUP($B7,'23'!$C$46:$AE$89,28)</f>
        <v>0.57999999999999996</v>
      </c>
      <c r="G7" s="236" t="str">
        <f>HLOOKUP($B7,'23'!$C$46:$AE$89,29)</f>
        <v>$\phi8@17$</v>
      </c>
      <c r="H7" s="236">
        <f>HLOOKUP($B7,'23'!$C$46:$AE$89,33)</f>
        <v>0.28000000000000003</v>
      </c>
      <c r="I7" s="236" t="str">
        <f>HLOOKUP($B7,'23'!$C$46:$AE$89,34)</f>
        <v>$\phi8@17$</v>
      </c>
      <c r="J7" s="236">
        <f>HLOOKUP($B7,'23'!$C$46:$AE$89,38)</f>
        <v>2.3499999999999996</v>
      </c>
      <c r="K7" s="236" t="str">
        <f>HLOOKUP($B7,'23'!$C$46:$AE$89,39)</f>
        <v>$\phi8@17$</v>
      </c>
      <c r="L7" s="236">
        <f>HLOOKUP($B7,'23'!$C$46:$AE$89,43)</f>
        <v>1.93</v>
      </c>
      <c r="M7" s="272" t="str">
        <f>HLOOKUP($B7,'23'!$C$46:$AE$89,44)</f>
        <v>$\phi8@17$</v>
      </c>
    </row>
    <row r="8" spans="2:13" x14ac:dyDescent="0.25">
      <c r="B8" s="257" t="str">
        <f>'23'!F46</f>
        <v>2304</v>
      </c>
      <c r="C8" s="288">
        <f>'23'!$C$4</f>
        <v>16</v>
      </c>
      <c r="D8" s="236">
        <f>'23'!$C$12</f>
        <v>2.88</v>
      </c>
      <c r="E8" s="236">
        <f>HLOOKUP($B8,'23'!$C$46:$AE$89,21)</f>
        <v>910</v>
      </c>
      <c r="F8" s="236">
        <f>HLOOKUP($B8,'23'!$C$46:$AE$89,28)</f>
        <v>1.1100000000000001</v>
      </c>
      <c r="G8" s="236" t="str">
        <f>HLOOKUP($B8,'23'!$C$46:$AE$89,29)</f>
        <v>$\phi8@17$</v>
      </c>
      <c r="H8" s="236">
        <f>HLOOKUP($B8,'23'!$C$46:$AE$89,33)</f>
        <v>0.43</v>
      </c>
      <c r="I8" s="236" t="str">
        <f>HLOOKUP($B8,'23'!$C$46:$AE$89,34)</f>
        <v>$\phi8@17$</v>
      </c>
      <c r="J8" s="236">
        <f>HLOOKUP($B8,'23'!$C$46:$AE$89,38)</f>
        <v>4.22</v>
      </c>
      <c r="K8" s="236" t="str">
        <f>HLOOKUP($B8,'23'!$C$46:$AE$89,39)</f>
        <v>$\phi8@12$</v>
      </c>
      <c r="L8" s="236">
        <f>HLOOKUP($B8,'23'!$C$46:$AE$89,43)</f>
        <v>3.3</v>
      </c>
      <c r="M8" s="272" t="str">
        <f>HLOOKUP($B8,'23'!$C$46:$AE$89,44)</f>
        <v>$\phi8@15$</v>
      </c>
    </row>
    <row r="9" spans="2:13" x14ac:dyDescent="0.25">
      <c r="B9" s="257" t="str">
        <f>'23'!G46</f>
        <v>2305</v>
      </c>
      <c r="C9" s="288">
        <f>'23'!$C$4</f>
        <v>16</v>
      </c>
      <c r="D9" s="236">
        <f>'23'!$C$12</f>
        <v>2.88</v>
      </c>
      <c r="E9" s="236">
        <f>HLOOKUP($B9,'23'!$C$46:$AE$89,21)</f>
        <v>910</v>
      </c>
      <c r="F9" s="236">
        <f>HLOOKUP($B9,'23'!$C$46:$AE$89,28)</f>
        <v>0.87</v>
      </c>
      <c r="G9" s="236" t="str">
        <f>HLOOKUP($B9,'23'!$C$46:$AE$89,29)</f>
        <v>$\phi8@17$</v>
      </c>
      <c r="H9" s="236">
        <f>HLOOKUP($B9,'23'!$C$46:$AE$89,33)</f>
        <v>0.52</v>
      </c>
      <c r="I9" s="236" t="str">
        <f>HLOOKUP($B9,'23'!$C$46:$AE$89,34)</f>
        <v>$\phi8@17$</v>
      </c>
      <c r="J9" s="236">
        <f>HLOOKUP($B9,'23'!$C$46:$AE$89,38)</f>
        <v>3.69</v>
      </c>
      <c r="K9" s="236" t="str">
        <f>HLOOKUP($B9,'23'!$C$46:$AE$89,39)</f>
        <v>$\phi10@21$</v>
      </c>
      <c r="L9" s="236">
        <f>HLOOKUP($B9,'23'!$C$46:$AE$89,43)</f>
        <v>3.19</v>
      </c>
      <c r="M9" s="272" t="str">
        <f>HLOOKUP($B9,'23'!$C$46:$AE$89,44)</f>
        <v>$\phi10@24$</v>
      </c>
    </row>
    <row r="10" spans="2:13" x14ac:dyDescent="0.25">
      <c r="B10" s="257" t="str">
        <f>'23'!H46</f>
        <v>2306</v>
      </c>
      <c r="C10" s="288">
        <f>'23'!$C$4</f>
        <v>16</v>
      </c>
      <c r="D10" s="236">
        <f>'23'!$C$12</f>
        <v>2.88</v>
      </c>
      <c r="E10" s="236">
        <f>HLOOKUP($B10,'23'!$C$46:$AE$89,21)</f>
        <v>910</v>
      </c>
      <c r="F10" s="236">
        <f>HLOOKUP($B10,'23'!$C$46:$AE$89,28)</f>
        <v>0.49</v>
      </c>
      <c r="G10" s="236" t="str">
        <f>HLOOKUP($B10,'23'!$C$46:$AE$89,29)</f>
        <v>$\phi8@17$</v>
      </c>
      <c r="H10" s="236">
        <f>HLOOKUP($B10,'23'!$C$46:$AE$89,33)</f>
        <v>0.38</v>
      </c>
      <c r="I10" s="236" t="str">
        <f>HLOOKUP($B10,'23'!$C$46:$AE$89,34)</f>
        <v>$\phi8@17$</v>
      </c>
      <c r="J10" s="236">
        <f>HLOOKUP($B10,'23'!$C$46:$AE$89,38)</f>
        <v>2.2599999999999998</v>
      </c>
      <c r="K10" s="236" t="str">
        <f>HLOOKUP($B10,'23'!$C$46:$AE$89,39)</f>
        <v>$\phi8@17$</v>
      </c>
      <c r="L10" s="236">
        <f>HLOOKUP($B10,'23'!$C$46:$AE$89,43)</f>
        <v>2.0999999999999996</v>
      </c>
      <c r="M10" s="272" t="str">
        <f>HLOOKUP($B10,'23'!$C$46:$AE$89,44)</f>
        <v>$\phi8@17$</v>
      </c>
    </row>
    <row r="11" spans="2:13" x14ac:dyDescent="0.25">
      <c r="B11" s="257" t="str">
        <f>'23'!I46</f>
        <v>2307</v>
      </c>
      <c r="C11" s="288">
        <f>'23'!$C$4</f>
        <v>16</v>
      </c>
      <c r="D11" s="236">
        <f>'23'!$C$12</f>
        <v>2.88</v>
      </c>
      <c r="E11" s="236">
        <f>HLOOKUP($B11,'23'!$C$46:$AE$89,21)</f>
        <v>910</v>
      </c>
      <c r="F11" s="236">
        <f>HLOOKUP($B11,'23'!$C$46:$AE$89,28)</f>
        <v>0.3</v>
      </c>
      <c r="G11" s="236" t="str">
        <f>HLOOKUP($B11,'23'!$C$46:$AE$89,29)</f>
        <v>$\phi8@17$</v>
      </c>
      <c r="H11" s="236">
        <f>HLOOKUP($B11,'23'!$C$46:$AE$89,33)</f>
        <v>6.0000000000000005E-2</v>
      </c>
      <c r="I11" s="236" t="str">
        <f>HLOOKUP($B11,'23'!$C$46:$AE$89,34)</f>
        <v>$\phi8@17$</v>
      </c>
      <c r="J11" s="236">
        <f>HLOOKUP($B11,'23'!$C$46:$AE$89,38)</f>
        <v>0.82000000000000006</v>
      </c>
      <c r="K11" s="236" t="str">
        <f>HLOOKUP($B11,'23'!$C$46:$AE$89,39)</f>
        <v>$\phi8@17$</v>
      </c>
      <c r="L11" s="236">
        <f>HLOOKUP($B11,'23'!$C$46:$AE$89,43)</f>
        <v>0.59</v>
      </c>
      <c r="M11" s="272" t="str">
        <f>HLOOKUP($B11,'23'!$C$46:$AE$89,44)</f>
        <v>$\phi8@17$</v>
      </c>
    </row>
    <row r="12" spans="2:13" x14ac:dyDescent="0.25">
      <c r="B12" s="257" t="str">
        <f>'23'!J46</f>
        <v>2308</v>
      </c>
      <c r="C12" s="288">
        <f>'23'!$C$4</f>
        <v>16</v>
      </c>
      <c r="D12" s="236">
        <f>'23'!$C$12</f>
        <v>2.88</v>
      </c>
      <c r="E12" s="236">
        <f>HLOOKUP($B12,'23'!$C$46:$AE$89,21)</f>
        <v>910</v>
      </c>
      <c r="F12" s="236">
        <f>HLOOKUP($B12,'23'!$C$46:$AE$89,28)</f>
        <v>0.2</v>
      </c>
      <c r="G12" s="236" t="str">
        <f>HLOOKUP($B12,'23'!$C$46:$AE$89,29)</f>
        <v>$\phi8@17$</v>
      </c>
      <c r="H12" s="236">
        <f>HLOOKUP($B12,'23'!$C$46:$AE$89,33)</f>
        <v>0</v>
      </c>
      <c r="I12" s="236" t="str">
        <f>HLOOKUP($B12,'23'!$C$46:$AE$89,34)</f>
        <v>$\phi8@17$</v>
      </c>
      <c r="J12" s="236">
        <f>HLOOKUP($B12,'23'!$C$46:$AE$89,38)</f>
        <v>0.28000000000000003</v>
      </c>
      <c r="K12" s="236" t="str">
        <f>HLOOKUP($B12,'23'!$C$46:$AE$89,39)</f>
        <v>$\phi8@17$</v>
      </c>
      <c r="L12" s="236">
        <f>HLOOKUP($B12,'23'!$C$46:$AE$89,43)</f>
        <v>0.19</v>
      </c>
      <c r="M12" s="272" t="str">
        <f>HLOOKUP($B12,'23'!$C$46:$AE$89,44)</f>
        <v>$\phi8@17$</v>
      </c>
    </row>
    <row r="13" spans="2:13" x14ac:dyDescent="0.25">
      <c r="B13" s="257" t="str">
        <f>'23'!K46</f>
        <v>2309</v>
      </c>
      <c r="C13" s="288">
        <f>'23'!$C$4</f>
        <v>16</v>
      </c>
      <c r="D13" s="236">
        <f>'23'!$C$12</f>
        <v>2.88</v>
      </c>
      <c r="E13" s="236">
        <f>HLOOKUP($B13,'23'!$C$46:$AE$89,21)</f>
        <v>910</v>
      </c>
      <c r="F13" s="236">
        <f>HLOOKUP($B13,'23'!$C$46:$AE$89,28)</f>
        <v>0.84</v>
      </c>
      <c r="G13" s="236" t="str">
        <f>HLOOKUP($B13,'23'!$C$46:$AE$89,29)</f>
        <v>$\phi8@17$</v>
      </c>
      <c r="H13" s="236">
        <f>HLOOKUP($B13,'23'!$C$46:$AE$89,33)</f>
        <v>0</v>
      </c>
      <c r="I13" s="236" t="str">
        <f>HLOOKUP($B13,'23'!$C$46:$AE$89,34)</f>
        <v>$\phi8@17$</v>
      </c>
      <c r="J13" s="236">
        <f>HLOOKUP($B13,'23'!$C$46:$AE$89,38)</f>
        <v>1.19</v>
      </c>
      <c r="K13" s="236" t="str">
        <f>HLOOKUP($B13,'23'!$C$46:$AE$89,39)</f>
        <v>$\phi8@17$</v>
      </c>
      <c r="L13" s="236">
        <f>HLOOKUP($B13,'23'!$C$46:$AE$89,43)</f>
        <v>0.82000000000000006</v>
      </c>
      <c r="M13" s="272" t="str">
        <f>HLOOKUP($B13,'23'!$C$46:$AE$89,44)</f>
        <v>$\phi8@17$</v>
      </c>
    </row>
    <row r="14" spans="2:13" x14ac:dyDescent="0.25">
      <c r="B14" s="257" t="str">
        <f>'23'!L46</f>
        <v>2310</v>
      </c>
      <c r="C14" s="288">
        <f>'23'!$C$4</f>
        <v>16</v>
      </c>
      <c r="D14" s="236">
        <f>'23'!$C$12</f>
        <v>2.88</v>
      </c>
      <c r="E14" s="236">
        <f>HLOOKUP($B14,'23'!$C$46:$AE$89,21)</f>
        <v>910</v>
      </c>
      <c r="F14" s="236">
        <f>HLOOKUP($B14,'23'!$C$46:$AE$89,28)</f>
        <v>0.49</v>
      </c>
      <c r="G14" s="236" t="str">
        <f>HLOOKUP($B14,'23'!$C$46:$AE$89,29)</f>
        <v>$\phi8@17$</v>
      </c>
      <c r="H14" s="236">
        <f>HLOOKUP($B14,'23'!$C$46:$AE$89,33)</f>
        <v>0.38</v>
      </c>
      <c r="I14" s="236" t="str">
        <f>HLOOKUP($B14,'23'!$C$46:$AE$89,34)</f>
        <v>$\phi8@17$</v>
      </c>
      <c r="J14" s="236">
        <f>HLOOKUP($B14,'23'!$C$46:$AE$89,38)</f>
        <v>2.2599999999999998</v>
      </c>
      <c r="K14" s="236" t="str">
        <f>HLOOKUP($B14,'23'!$C$46:$AE$89,39)</f>
        <v>$\phi8@17$</v>
      </c>
      <c r="L14" s="236">
        <f>HLOOKUP($B14,'23'!$C$46:$AE$89,43)</f>
        <v>2.0999999999999996</v>
      </c>
      <c r="M14" s="272" t="str">
        <f>HLOOKUP($B14,'23'!$C$46:$AE$89,44)</f>
        <v>$\phi8@17$</v>
      </c>
    </row>
    <row r="15" spans="2:13" x14ac:dyDescent="0.25">
      <c r="B15" s="257" t="str">
        <f>'23'!M46</f>
        <v>2311</v>
      </c>
      <c r="C15" s="288">
        <f>'23'!$C$4</f>
        <v>16</v>
      </c>
      <c r="D15" s="236">
        <f>'23'!$C$12</f>
        <v>2.88</v>
      </c>
      <c r="E15" s="236">
        <f>HLOOKUP($B15,'23'!$C$46:$AE$89,21)</f>
        <v>910</v>
      </c>
      <c r="F15" s="236">
        <f>HLOOKUP($B15,'23'!$C$46:$AE$89,28)</f>
        <v>0.81</v>
      </c>
      <c r="G15" s="236" t="str">
        <f>HLOOKUP($B15,'23'!$C$46:$AE$89,29)</f>
        <v>$\phi8@17$</v>
      </c>
      <c r="H15" s="236">
        <f>HLOOKUP($B15,'23'!$C$46:$AE$89,33)</f>
        <v>0.48</v>
      </c>
      <c r="I15" s="236" t="str">
        <f>HLOOKUP($B15,'23'!$C$46:$AE$89,34)</f>
        <v>$\phi8@17$</v>
      </c>
      <c r="J15" s="236">
        <f>HLOOKUP($B15,'23'!$C$46:$AE$89,38)</f>
        <v>3.44</v>
      </c>
      <c r="K15" s="236" t="str">
        <f>HLOOKUP($B15,'23'!$C$46:$AE$89,39)</f>
        <v>$\phi10@23$</v>
      </c>
      <c r="L15" s="236">
        <f>HLOOKUP($B15,'23'!$C$46:$AE$89,43)</f>
        <v>2.98</v>
      </c>
      <c r="M15" s="272" t="str">
        <f>HLOOKUP($B15,'23'!$C$46:$AE$89,44)</f>
        <v>$\phi8@17$</v>
      </c>
    </row>
    <row r="16" spans="2:13" x14ac:dyDescent="0.25">
      <c r="B16" s="257" t="str">
        <f>'23'!N46</f>
        <v>2312</v>
      </c>
      <c r="C16" s="288">
        <f>'23'!$C$4</f>
        <v>16</v>
      </c>
      <c r="D16" s="236">
        <f>'23'!$C$12</f>
        <v>2.88</v>
      </c>
      <c r="E16" s="236">
        <f>HLOOKUP($B16,'23'!$C$46:$AE$89,21)</f>
        <v>910</v>
      </c>
      <c r="F16" s="236">
        <f>HLOOKUP($B16,'23'!$C$46:$AE$89,28)</f>
        <v>0.33</v>
      </c>
      <c r="G16" s="236" t="str">
        <f>HLOOKUP($B16,'23'!$C$46:$AE$89,29)</f>
        <v>$\phi8@17$</v>
      </c>
      <c r="H16" s="236">
        <f>HLOOKUP($B16,'23'!$C$46:$AE$89,33)</f>
        <v>0</v>
      </c>
      <c r="I16" s="236" t="str">
        <f>HLOOKUP($B16,'23'!$C$46:$AE$89,34)</f>
        <v>$\phi8@17$</v>
      </c>
      <c r="J16" s="236">
        <f>HLOOKUP($B16,'23'!$C$46:$AE$89,38)</f>
        <v>0.49</v>
      </c>
      <c r="K16" s="236" t="str">
        <f>HLOOKUP($B16,'23'!$C$46:$AE$89,39)</f>
        <v>$\phi8@17$</v>
      </c>
      <c r="L16" s="236">
        <f>HLOOKUP($B16,'23'!$C$46:$AE$89,43)</f>
        <v>0.35000000000000003</v>
      </c>
      <c r="M16" s="272" t="str">
        <f>HLOOKUP($B16,'23'!$C$46:$AE$89,44)</f>
        <v>$\phi8@17$</v>
      </c>
    </row>
    <row r="17" spans="2:13" x14ac:dyDescent="0.25">
      <c r="B17" s="257" t="str">
        <f>'23'!$O$46</f>
        <v>2313</v>
      </c>
      <c r="C17" s="288">
        <f>'23'!$C$4</f>
        <v>16</v>
      </c>
      <c r="D17" s="236">
        <f>'23'!$C$12</f>
        <v>2.88</v>
      </c>
      <c r="E17" s="236">
        <f>HLOOKUP($B17,'23'!$C$46:$AE$89,21)</f>
        <v>910</v>
      </c>
      <c r="F17" s="236">
        <f>HLOOKUP($B17,'23'!$C$46:$AE$89,28)</f>
        <v>0.33</v>
      </c>
      <c r="G17" s="236" t="str">
        <f>HLOOKUP($B17,'23'!$C$46:$AE$89,29)</f>
        <v>$\phi8@17$</v>
      </c>
      <c r="H17" s="236">
        <f>HLOOKUP($B17,'23'!$C$46:$AE$89,33)</f>
        <v>0</v>
      </c>
      <c r="I17" s="236" t="str">
        <f>HLOOKUP($B17,'23'!$C$46:$AE$89,34)</f>
        <v>$\phi8@17$</v>
      </c>
      <c r="J17" s="236">
        <f>HLOOKUP($B17,'23'!$C$46:$AE$89,38)</f>
        <v>0.49</v>
      </c>
      <c r="K17" s="236" t="str">
        <f>HLOOKUP($B17,'23'!$C$46:$AE$89,39)</f>
        <v>$\phi8@17$</v>
      </c>
      <c r="L17" s="236">
        <f>HLOOKUP($B17,'23'!$C$46:$AE$89,43)</f>
        <v>0.35000000000000003</v>
      </c>
      <c r="M17" s="272" t="str">
        <f>HLOOKUP($B17,'23'!$C$46:$AE$89,44)</f>
        <v>$\phi8@17$</v>
      </c>
    </row>
    <row r="18" spans="2:13" x14ac:dyDescent="0.25">
      <c r="B18" s="257" t="str">
        <f>'23'!$P$46</f>
        <v>2314</v>
      </c>
      <c r="C18" s="288">
        <f>'23'!$C$4</f>
        <v>16</v>
      </c>
      <c r="D18" s="236">
        <f>'23'!$C$12</f>
        <v>2.88</v>
      </c>
      <c r="E18" s="236">
        <f>HLOOKUP($B18,'23'!$C$46:$AE$89,21)</f>
        <v>910</v>
      </c>
      <c r="F18" s="236">
        <f>HLOOKUP($B18,'23'!$C$46:$AE$89,28)</f>
        <v>0.33</v>
      </c>
      <c r="G18" s="236" t="str">
        <f>HLOOKUP($B18,'23'!$C$46:$AE$89,29)</f>
        <v>$\phi8@17$</v>
      </c>
      <c r="H18" s="236">
        <f>HLOOKUP($B18,'23'!$C$46:$AE$89,33)</f>
        <v>0</v>
      </c>
      <c r="I18" s="236" t="str">
        <f>HLOOKUP($B18,'23'!$C$46:$AE$89,34)</f>
        <v>$\phi8@17$</v>
      </c>
      <c r="J18" s="236">
        <f>HLOOKUP($B18,'23'!$C$46:$AE$89,38)</f>
        <v>0.49</v>
      </c>
      <c r="K18" s="236" t="str">
        <f>HLOOKUP($B18,'23'!$C$46:$AE$89,39)</f>
        <v>$\phi8@17$</v>
      </c>
      <c r="L18" s="236">
        <f>HLOOKUP($B18,'23'!$C$46:$AE$89,43)</f>
        <v>0.35000000000000003</v>
      </c>
      <c r="M18" s="272" t="str">
        <f>HLOOKUP($B18,'23'!$C$46:$AE$89,44)</f>
        <v>$\phi8@17$</v>
      </c>
    </row>
    <row r="19" spans="2:13" x14ac:dyDescent="0.25">
      <c r="B19" s="257" t="str">
        <f>'23'!$Q$46</f>
        <v>2315</v>
      </c>
      <c r="C19" s="288">
        <f>'23'!$C$4</f>
        <v>16</v>
      </c>
      <c r="D19" s="236">
        <f>'23'!$C$12</f>
        <v>2.88</v>
      </c>
      <c r="E19" s="236">
        <f>HLOOKUP($B19,'23'!$C$46:$AE$89,21)</f>
        <v>910</v>
      </c>
      <c r="F19" s="236">
        <f>HLOOKUP($B19,'23'!$C$46:$AE$89,28)</f>
        <v>0.33</v>
      </c>
      <c r="G19" s="236" t="str">
        <f>HLOOKUP($B19,'23'!$C$46:$AE$89,29)</f>
        <v>$\phi8@17$</v>
      </c>
      <c r="H19" s="236">
        <f>HLOOKUP($B19,'23'!$C$46:$AE$89,33)</f>
        <v>0</v>
      </c>
      <c r="I19" s="236" t="str">
        <f>HLOOKUP($B19,'23'!$C$46:$AE$89,34)</f>
        <v>$\phi8@17$</v>
      </c>
      <c r="J19" s="236">
        <f>HLOOKUP($B19,'23'!$C$46:$AE$89,38)</f>
        <v>0.49</v>
      </c>
      <c r="K19" s="236" t="str">
        <f>HLOOKUP($B19,'23'!$C$46:$AE$89,39)</f>
        <v>$\phi8@17$</v>
      </c>
      <c r="L19" s="236">
        <f>HLOOKUP($B19,'23'!$C$46:$AE$89,43)</f>
        <v>0.35000000000000003</v>
      </c>
      <c r="M19" s="272" t="str">
        <f>HLOOKUP($B19,'23'!$C$46:$AE$89,44)</f>
        <v>$\phi8@17$</v>
      </c>
    </row>
    <row r="20" spans="2:13" x14ac:dyDescent="0.25">
      <c r="B20" s="257" t="str">
        <f>'23'!$R$46</f>
        <v>2316</v>
      </c>
      <c r="C20" s="288">
        <f>'23'!$C$4</f>
        <v>16</v>
      </c>
      <c r="D20" s="236">
        <f>'23'!$C$12</f>
        <v>2.88</v>
      </c>
      <c r="E20" s="236">
        <f>HLOOKUP($B20,'23'!$C$46:$AE$89,21)</f>
        <v>910</v>
      </c>
      <c r="F20" s="236">
        <f>HLOOKUP($B20,'23'!$C$46:$AE$89,28)</f>
        <v>0.16</v>
      </c>
      <c r="G20" s="236" t="str">
        <f>HLOOKUP($B20,'23'!$C$46:$AE$89,29)</f>
        <v>$\phi8@17$</v>
      </c>
      <c r="H20" s="236">
        <f>HLOOKUP($B20,'23'!$C$46:$AE$89,33)</f>
        <v>0</v>
      </c>
      <c r="I20" s="236" t="str">
        <f>HLOOKUP($B20,'23'!$C$46:$AE$89,34)</f>
        <v>$\phi8@17$</v>
      </c>
      <c r="J20" s="236">
        <f>HLOOKUP($B20,'23'!$C$46:$AE$89,38)</f>
        <v>0.23</v>
      </c>
      <c r="K20" s="236" t="str">
        <f>HLOOKUP($B20,'23'!$C$46:$AE$89,39)</f>
        <v>$\phi8@17$</v>
      </c>
      <c r="L20" s="236">
        <f>HLOOKUP($B20,'23'!$C$46:$AE$89,43)</f>
        <v>0.17</v>
      </c>
      <c r="M20" s="272" t="str">
        <f>HLOOKUP($B20,'23'!$C$46:$AE$89,44)</f>
        <v>$\phi8@17$</v>
      </c>
    </row>
    <row r="21" spans="2:13" x14ac:dyDescent="0.25">
      <c r="B21" s="257" t="str">
        <f>'23'!$S$46</f>
        <v>2317</v>
      </c>
      <c r="C21" s="288">
        <f>'23'!$C$4</f>
        <v>16</v>
      </c>
      <c r="D21" s="236">
        <f>'23'!$C$12</f>
        <v>2.88</v>
      </c>
      <c r="E21" s="236">
        <f>HLOOKUP($B21,'23'!$C$46:$AE$89,21)</f>
        <v>910</v>
      </c>
      <c r="F21" s="236">
        <f>HLOOKUP($B21,'23'!$C$46:$AE$89,28)</f>
        <v>0.16</v>
      </c>
      <c r="G21" s="236" t="str">
        <f>HLOOKUP($B21,'23'!$C$46:$AE$89,29)</f>
        <v>$\phi8@17$</v>
      </c>
      <c r="H21" s="236">
        <f>HLOOKUP($B21,'23'!$C$46:$AE$89,33)</f>
        <v>0</v>
      </c>
      <c r="I21" s="236" t="str">
        <f>HLOOKUP($B21,'23'!$C$46:$AE$89,34)</f>
        <v>$\phi8@17$</v>
      </c>
      <c r="J21" s="236">
        <f>HLOOKUP($B21,'23'!$C$46:$AE$89,38)</f>
        <v>0.23</v>
      </c>
      <c r="K21" s="236" t="str">
        <f>HLOOKUP($B21,'23'!$C$46:$AE$89,39)</f>
        <v>$\phi8@17$</v>
      </c>
      <c r="L21" s="236">
        <f>HLOOKUP($B21,'23'!$C$46:$AE$89,43)</f>
        <v>0.17</v>
      </c>
      <c r="M21" s="272" t="str">
        <f>HLOOKUP($B21,'23'!$C$46:$AE$89,44)</f>
        <v>$\phi8@17$</v>
      </c>
    </row>
    <row r="22" spans="2:13" x14ac:dyDescent="0.25">
      <c r="B22" s="257" t="str">
        <f>'23'!T46</f>
        <v>2318</v>
      </c>
      <c r="C22" s="288">
        <f>'23'!$C$4</f>
        <v>16</v>
      </c>
      <c r="D22" s="236">
        <f>'23'!$C$12</f>
        <v>2.88</v>
      </c>
      <c r="E22" s="236">
        <f>HLOOKUP($B22,'23'!$C$46:$AE$89,21)</f>
        <v>910</v>
      </c>
      <c r="F22" s="236">
        <f>HLOOKUP($B22,'23'!$C$46:$AE$89,28)</f>
        <v>0.26</v>
      </c>
      <c r="G22" s="236" t="str">
        <f>HLOOKUP($B22,'23'!$C$46:$AE$89,29)</f>
        <v>$\phi8@17$</v>
      </c>
      <c r="H22" s="236">
        <f>HLOOKUP($B22,'23'!$C$46:$AE$89,33)</f>
        <v>0</v>
      </c>
      <c r="I22" s="236" t="str">
        <f>HLOOKUP($B22,'23'!$C$46:$AE$89,34)</f>
        <v>$\phi8@17$</v>
      </c>
      <c r="J22" s="236">
        <f>HLOOKUP($B22,'23'!$C$46:$AE$89,38)</f>
        <v>0.38</v>
      </c>
      <c r="K22" s="236" t="str">
        <f>HLOOKUP($B22,'23'!$C$46:$AE$89,39)</f>
        <v>$\phi8@17$</v>
      </c>
      <c r="L22" s="236">
        <f>HLOOKUP($B22,'23'!$C$46:$AE$89,43)</f>
        <v>0.27</v>
      </c>
      <c r="M22" s="272" t="str">
        <f>HLOOKUP($B22,'23'!$C$46:$AE$89,44)</f>
        <v>$\phi8@17$</v>
      </c>
    </row>
    <row r="23" spans="2:13" x14ac:dyDescent="0.25">
      <c r="B23" s="257" t="str">
        <f>'23'!$U$46</f>
        <v>2319</v>
      </c>
      <c r="C23" s="288">
        <f>'23'!$C$4</f>
        <v>16</v>
      </c>
      <c r="D23" s="236">
        <f>'23'!$C$12</f>
        <v>2.88</v>
      </c>
      <c r="E23" s="236">
        <f>HLOOKUP($B23,'23'!$C$46:$AE$89,21)</f>
        <v>910</v>
      </c>
      <c r="F23" s="236">
        <f>HLOOKUP($B23,'23'!$C$46:$AE$89,28)</f>
        <v>0.26</v>
      </c>
      <c r="G23" s="236" t="str">
        <f>HLOOKUP($B23,'23'!$C$46:$AE$89,29)</f>
        <v>$\phi8@17$</v>
      </c>
      <c r="H23" s="236">
        <f>HLOOKUP($B23,'23'!$C$46:$AE$89,33)</f>
        <v>0</v>
      </c>
      <c r="I23" s="236" t="str">
        <f>HLOOKUP($B23,'23'!$C$46:$AE$89,34)</f>
        <v>$\phi8@17$</v>
      </c>
      <c r="J23" s="236">
        <f>HLOOKUP($B23,'23'!$C$46:$AE$89,38)</f>
        <v>0.38</v>
      </c>
      <c r="K23" s="236" t="str">
        <f>HLOOKUP($B23,'23'!$C$46:$AE$89,39)</f>
        <v>$\phi8@17$</v>
      </c>
      <c r="L23" s="236">
        <f>HLOOKUP($B23,'23'!$C$46:$AE$89,43)</f>
        <v>0.27</v>
      </c>
      <c r="M23" s="272" t="str">
        <f>HLOOKUP($B23,'23'!$C$46:$AE$89,44)</f>
        <v>$\phi8@17$</v>
      </c>
    </row>
    <row r="24" spans="2:13" x14ac:dyDescent="0.25">
      <c r="B24" s="257" t="str">
        <f>'23'!$V$46</f>
        <v>2320</v>
      </c>
      <c r="C24" s="288">
        <f>'23'!$C$4</f>
        <v>16</v>
      </c>
      <c r="D24" s="236">
        <f>'23'!$C$12</f>
        <v>2.88</v>
      </c>
      <c r="E24" s="236">
        <f>HLOOKUP($B24,'23'!$C$46:$AE$89,21)</f>
        <v>910</v>
      </c>
      <c r="F24" s="236">
        <f>HLOOKUP($B24,'23'!$C$46:$AE$89,28)</f>
        <v>0.08</v>
      </c>
      <c r="G24" s="236" t="str">
        <f>HLOOKUP($B24,'23'!$C$46:$AE$89,29)</f>
        <v>$\phi8@17$</v>
      </c>
      <c r="H24" s="236">
        <f>HLOOKUP($B24,'23'!$C$46:$AE$89,33)</f>
        <v>0</v>
      </c>
      <c r="I24" s="236" t="str">
        <f>HLOOKUP($B24,'23'!$C$46:$AE$89,34)</f>
        <v>$\phi8@17$</v>
      </c>
      <c r="J24" s="236">
        <f>HLOOKUP($B24,'23'!$C$46:$AE$89,38)</f>
        <v>0.12</v>
      </c>
      <c r="K24" s="236" t="str">
        <f>HLOOKUP($B24,'23'!$C$46:$AE$89,39)</f>
        <v>$\phi8@17$</v>
      </c>
      <c r="L24" s="236">
        <f>HLOOKUP($B24,'23'!$C$46:$AE$89,43)</f>
        <v>0.09</v>
      </c>
      <c r="M24" s="272" t="str">
        <f>HLOOKUP($B24,'23'!$C$46:$AE$89,44)</f>
        <v>$\phi8@17$</v>
      </c>
    </row>
    <row r="25" spans="2:13" x14ac:dyDescent="0.25">
      <c r="B25" s="257" t="str">
        <f>'23'!$W$46</f>
        <v>2321</v>
      </c>
      <c r="C25" s="288">
        <f>'23'!$C$4</f>
        <v>16</v>
      </c>
      <c r="D25" s="236">
        <f>'23'!$C$12</f>
        <v>2.88</v>
      </c>
      <c r="E25" s="236">
        <f>HLOOKUP($B25,'23'!$C$46:$AE$89,21)</f>
        <v>910</v>
      </c>
      <c r="F25" s="236">
        <f>HLOOKUP($B25,'23'!$C$46:$AE$89,28)</f>
        <v>6.9999999999999993E-2</v>
      </c>
      <c r="G25" s="236" t="str">
        <f>HLOOKUP($B25,'23'!$C$46:$AE$89,29)</f>
        <v>$\phi8@17$</v>
      </c>
      <c r="H25" s="236">
        <f>HLOOKUP($B25,'23'!$C$46:$AE$89,33)</f>
        <v>0</v>
      </c>
      <c r="I25" s="236" t="str">
        <f>HLOOKUP($B25,'23'!$C$46:$AE$89,34)</f>
        <v>$\phi8@17$</v>
      </c>
      <c r="J25" s="236">
        <f>HLOOKUP($B25,'23'!$C$46:$AE$89,38)</f>
        <v>0.11</v>
      </c>
      <c r="K25" s="236" t="str">
        <f>HLOOKUP($B25,'23'!$C$46:$AE$89,39)</f>
        <v>$\phi8@17$</v>
      </c>
      <c r="L25" s="236">
        <f>HLOOKUP($B25,'23'!$C$46:$AE$89,43)</f>
        <v>0.08</v>
      </c>
      <c r="M25" s="272" t="str">
        <f>HLOOKUP($B25,'23'!$C$46:$AE$89,44)</f>
        <v>$\phi8@17$</v>
      </c>
    </row>
    <row r="26" spans="2:13" ht="15.75" thickBot="1" x14ac:dyDescent="0.3">
      <c r="B26" s="258" t="str">
        <f>'23'!$X$46</f>
        <v>2322</v>
      </c>
      <c r="C26" s="289">
        <f>'23'!$C$4</f>
        <v>16</v>
      </c>
      <c r="D26" s="237">
        <f>'23'!$C$12</f>
        <v>2.88</v>
      </c>
      <c r="E26" s="237">
        <f>HLOOKUP($B26,'23'!$C$46:$AE$89,21)</f>
        <v>910</v>
      </c>
      <c r="F26" s="237">
        <f>HLOOKUP($B26,'23'!$C$46:$AE$89,28)</f>
        <v>0.35000000000000003</v>
      </c>
      <c r="G26" s="237" t="str">
        <f>HLOOKUP($B26,'23'!$C$46:$AE$89,29)</f>
        <v>$\phi8@17$</v>
      </c>
      <c r="H26" s="237">
        <f>HLOOKUP($B26,'23'!$C$46:$AE$89,33)</f>
        <v>9.9999999999999992E-2</v>
      </c>
      <c r="I26" s="237" t="str">
        <f>HLOOKUP($B26,'23'!$C$46:$AE$89,34)</f>
        <v>$\phi8@17$</v>
      </c>
      <c r="J26" s="237">
        <f>HLOOKUP($B26,'23'!$C$46:$AE$89,38)</f>
        <v>1.01</v>
      </c>
      <c r="K26" s="237" t="str">
        <f>HLOOKUP($B26,'23'!$C$46:$AE$89,39)</f>
        <v>$\phi8@17$</v>
      </c>
      <c r="L26" s="237">
        <f>HLOOKUP($B26,'23'!$C$46:$AE$89,43)</f>
        <v>0.77</v>
      </c>
      <c r="M26" s="273" t="str">
        <f>HLOOKUP($B26,'23'!$C$46:$AE$89,44)</f>
        <v>$\phi8@17$</v>
      </c>
    </row>
    <row r="27" spans="2:13" ht="15.75" thickBot="1" x14ac:dyDescent="0.3"/>
    <row r="28" spans="2:13" ht="15.75" thickBot="1" x14ac:dyDescent="0.3">
      <c r="D28" s="220" t="s">
        <v>107</v>
      </c>
      <c r="E28" s="221"/>
      <c r="F28" s="124"/>
      <c r="G28" s="124"/>
    </row>
    <row r="29" spans="2:13" s="279" customFormat="1" ht="30" customHeight="1" thickBot="1" x14ac:dyDescent="0.3">
      <c r="B29" s="280"/>
      <c r="C29" s="280"/>
      <c r="D29" s="136" t="s">
        <v>278</v>
      </c>
      <c r="E29" s="137" t="str">
        <f>'-1'!B97</f>
        <v>Mu $[kgf \cdot m/m]$</v>
      </c>
      <c r="F29" s="137" t="str">
        <f>'-1'!B100</f>
        <v>As $[cm^2/m]$</v>
      </c>
      <c r="G29" s="138" t="str">
        <f>'-1'!B101</f>
        <v>F'</v>
      </c>
    </row>
    <row r="30" spans="2:13" x14ac:dyDescent="0.25">
      <c r="D30" s="2" t="str">
        <f>'23'!C92&amp;"-"&amp;'23'!D92</f>
        <v>2301-2302</v>
      </c>
      <c r="E30" s="155">
        <f>HLOOKUP($D30,'23'!$C$93:$AF$101,E$68,FALSE)</f>
        <v>1438.1004704888012</v>
      </c>
      <c r="F30" s="155">
        <f>HLOOKUP($D30,'23'!$C$93:$AF$101,F$68,FALSE)</f>
        <v>2.6799999999999997</v>
      </c>
      <c r="G30" s="156" t="str">
        <f>HLOOKUP($D30,'23'!$C$93:$AF$101,G$68,FALSE)</f>
        <v>$\phi8@17$</v>
      </c>
    </row>
    <row r="31" spans="2:13" x14ac:dyDescent="0.25">
      <c r="D31" s="148" t="str">
        <f>'23'!E92&amp;"-"&amp;'23'!F92</f>
        <v>2301-2305</v>
      </c>
      <c r="E31" s="149">
        <f>HLOOKUP($D31,'23'!$C$93:$AF$101,E$68,FALSE)</f>
        <v>2163.6786618410697</v>
      </c>
      <c r="F31" s="149">
        <f>HLOOKUP($D31,'23'!$C$93:$AF$101,F$68,FALSE)</f>
        <v>4.0299999999999994</v>
      </c>
      <c r="G31" s="150" t="str">
        <f>HLOOKUP($D31,'23'!$C$93:$AF$101,G$68,FALSE)</f>
        <v>$\phi10@20$</v>
      </c>
    </row>
    <row r="32" spans="2:13" x14ac:dyDescent="0.25">
      <c r="D32" s="148" t="str">
        <f>'23'!G92&amp;"-"&amp;'23'!H92</f>
        <v>2301-2306</v>
      </c>
      <c r="E32" s="149">
        <f>HLOOKUP($D32,'23'!$C$93:$AF$101,E$68,FALSE)</f>
        <v>1925.511017661901</v>
      </c>
      <c r="F32" s="149">
        <f>HLOOKUP($D32,'23'!$C$93:$AF$101,F$68,FALSE)</f>
        <v>3.59</v>
      </c>
      <c r="G32" s="150" t="str">
        <f>HLOOKUP($D32,'23'!$C$93:$AF$101,G$68,FALSE)</f>
        <v>$\phi8@14$</v>
      </c>
    </row>
    <row r="33" spans="4:7" hidden="1" x14ac:dyDescent="0.25">
      <c r="D33" s="148" t="str">
        <f>'23'!I92&amp;"-"&amp;'23'!J92</f>
        <v>2301-2312</v>
      </c>
      <c r="E33" s="149">
        <f>HLOOKUP($D33,'23'!$C$93:$AF$101,E$68,FALSE)</f>
        <v>1761.9617175914634</v>
      </c>
      <c r="F33" s="149">
        <f>HLOOKUP($D33,'23'!$C$93:$AF$101,F$68,FALSE)</f>
        <v>3.28</v>
      </c>
      <c r="G33" s="150" t="str">
        <f>HLOOKUP($D33,'23'!$C$93:$AF$101,G$68,FALSE)</f>
        <v>$\phi8@15$</v>
      </c>
    </row>
    <row r="34" spans="4:7" hidden="1" x14ac:dyDescent="0.25">
      <c r="D34" s="148" t="str">
        <f>'23'!K92&amp;"-"&amp;'23'!L92</f>
        <v>2301-2321</v>
      </c>
      <c r="E34" s="149">
        <f>HLOOKUP($D34,'23'!$C$93:$AF$101,E$68,FALSE)</f>
        <v>1258.2265443548388</v>
      </c>
      <c r="F34" s="149">
        <f>HLOOKUP($D34,'23'!$C$93:$AF$101,F$68,FALSE)</f>
        <v>2.34</v>
      </c>
      <c r="G34" s="150" t="str">
        <f>HLOOKUP($D34,'23'!$C$93:$AF$101,G$68,FALSE)</f>
        <v>$\phi8@17$</v>
      </c>
    </row>
    <row r="35" spans="4:7" x14ac:dyDescent="0.25">
      <c r="D35" s="148" t="str">
        <f>'23'!M92&amp;"-"&amp;'23'!N92</f>
        <v>2302-2303</v>
      </c>
      <c r="E35" s="149">
        <f>HLOOKUP($D35,'23'!$C$93:$AF$101,E$68,FALSE)</f>
        <v>931.29956331877725</v>
      </c>
      <c r="F35" s="149">
        <f>HLOOKUP($D35,'23'!$C$93:$AF$101,F$68,FALSE)</f>
        <v>1.73</v>
      </c>
      <c r="G35" s="150" t="str">
        <f>HLOOKUP($D35,'23'!$C$93:$AF$101,G$68,FALSE)</f>
        <v>$\phi8@17$</v>
      </c>
    </row>
    <row r="36" spans="4:7" x14ac:dyDescent="0.25">
      <c r="D36" s="148" t="str">
        <f>'23'!O92&amp;"-"&amp;'23'!P92</f>
        <v>2302-2308</v>
      </c>
      <c r="E36" s="149">
        <f>HLOOKUP($D36,'23'!$C$93:$AF$101,E$68,FALSE)</f>
        <v>834.21248936170207</v>
      </c>
      <c r="F36" s="149">
        <f>HLOOKUP($D36,'23'!$C$93:$AF$101,F$68,FALSE)</f>
        <v>1.55</v>
      </c>
      <c r="G36" s="150" t="str">
        <f>HLOOKUP($D36,'23'!$C$93:$AF$101,G$68,FALSE)</f>
        <v>$\phi8@17$</v>
      </c>
    </row>
    <row r="37" spans="4:7" hidden="1" x14ac:dyDescent="0.25">
      <c r="D37" s="148" t="str">
        <f>'23'!Q92&amp;"-"&amp;'23'!R92</f>
        <v>2302-2313</v>
      </c>
      <c r="E37" s="149">
        <f>HLOOKUP($D37,'23'!$C$93:$AF$101,E$68,FALSE)</f>
        <v>864.10906061170203</v>
      </c>
      <c r="F37" s="149">
        <f>HLOOKUP($D37,'23'!$C$93:$AF$101,F$68,FALSE)</f>
        <v>1.61</v>
      </c>
      <c r="G37" s="150" t="str">
        <f>HLOOKUP($D37,'23'!$C$93:$AF$101,G$68,FALSE)</f>
        <v>$\phi8@17$</v>
      </c>
    </row>
    <row r="38" spans="4:7" hidden="1" x14ac:dyDescent="0.25">
      <c r="D38" s="148" t="str">
        <f>'23'!S92&amp;"-"&amp;'23'!T92</f>
        <v>2303-2314</v>
      </c>
      <c r="E38" s="149">
        <f>HLOOKUP($D38,'23'!$C$93:$AF$101,E$68,FALSE)</f>
        <v>864.10906061170203</v>
      </c>
      <c r="F38" s="149">
        <f>HLOOKUP($D38,'23'!$C$93:$AF$101,F$68,FALSE)</f>
        <v>1.61</v>
      </c>
      <c r="G38" s="150" t="str">
        <f>HLOOKUP($D38,'23'!$C$93:$AF$101,G$68,FALSE)</f>
        <v>$\phi8@17$</v>
      </c>
    </row>
    <row r="39" spans="4:7" x14ac:dyDescent="0.25">
      <c r="D39" s="148" t="str">
        <f>'23'!U92&amp;"-"&amp;'23'!V92</f>
        <v>2303-2308</v>
      </c>
      <c r="E39" s="149">
        <f>HLOOKUP($D39,'23'!$C$93:$AF$101,E$68,FALSE)</f>
        <v>834.21248936170207</v>
      </c>
      <c r="F39" s="149">
        <f>HLOOKUP($D39,'23'!$C$93:$AF$101,F$68,FALSE)</f>
        <v>1.55</v>
      </c>
      <c r="G39" s="150" t="str">
        <f>HLOOKUP($D39,'23'!$C$93:$AF$101,G$68,FALSE)</f>
        <v>$\phi8@17$</v>
      </c>
    </row>
    <row r="40" spans="4:7" x14ac:dyDescent="0.25">
      <c r="D40" s="148" t="str">
        <f>'23'!W92&amp;"-"&amp;'23'!X92</f>
        <v>2303-2304</v>
      </c>
      <c r="E40" s="149">
        <f>HLOOKUP($D40,'23'!$C$93:$AF$101,E$68,FALSE)</f>
        <v>1329.9375110417966</v>
      </c>
      <c r="F40" s="149">
        <f>HLOOKUP($D40,'23'!$C$93:$AF$101,F$68,FALSE)</f>
        <v>2.48</v>
      </c>
      <c r="G40" s="150" t="str">
        <f>HLOOKUP($D40,'23'!$C$93:$AF$101,G$68,FALSE)</f>
        <v>$\phi8@17$</v>
      </c>
    </row>
    <row r="41" spans="4:7" hidden="1" x14ac:dyDescent="0.25">
      <c r="D41" s="148" t="str">
        <f>'23'!Y92&amp;"-"&amp;'23'!Z92</f>
        <v>2304-2315</v>
      </c>
      <c r="E41" s="149">
        <f>HLOOKUP($D41,'23'!$C$93:$AF$101,E$68,FALSE)</f>
        <v>1495.3499071874999</v>
      </c>
      <c r="F41" s="149">
        <f>HLOOKUP($D41,'23'!$C$93:$AF$101,F$68,FALSE)</f>
        <v>2.7899999999999996</v>
      </c>
      <c r="G41" s="150" t="str">
        <f>HLOOKUP($D41,'23'!$C$93:$AF$101,G$68,FALSE)</f>
        <v>$\phi8@17$</v>
      </c>
    </row>
    <row r="42" spans="4:7" x14ac:dyDescent="0.25">
      <c r="D42" s="148" t="str">
        <f>'23'!C103&amp;"-"&amp;'23'!D103</f>
        <v>2304-2308</v>
      </c>
      <c r="E42" s="149">
        <f>HLOOKUP($D42,'23'!$C$104:$AF$112,E$68,FALSE)</f>
        <v>1144.5056999999999</v>
      </c>
      <c r="F42" s="149">
        <f>HLOOKUP($D42,'23'!$C$104:$AF$112,F$68,FALSE)</f>
        <v>2.13</v>
      </c>
      <c r="G42" s="150" t="str">
        <f>HLOOKUP($D42,'23'!$C$104:$AF$112,G$68,FALSE)</f>
        <v>$\phi8@17$</v>
      </c>
    </row>
    <row r="43" spans="4:7" hidden="1" x14ac:dyDescent="0.25">
      <c r="D43" s="148" t="str">
        <f>'23'!E103&amp;"-"&amp;'23'!F103</f>
        <v>2304-2316</v>
      </c>
      <c r="E43" s="149">
        <f>HLOOKUP($D43,'23'!$C$104:$AF$112,E$68,FALSE)</f>
        <v>1150.2059400000001</v>
      </c>
      <c r="F43" s="149">
        <f>HLOOKUP($D43,'23'!$C$104:$AF$112,F$68,FALSE)</f>
        <v>2.1399999999999997</v>
      </c>
      <c r="G43" s="150" t="str">
        <f>HLOOKUP($D43,'23'!$C$104:$AF$112,G$68,FALSE)</f>
        <v>$\phi8@17$</v>
      </c>
    </row>
    <row r="44" spans="4:7" x14ac:dyDescent="0.25">
      <c r="D44" s="148" t="str">
        <f>'23'!G103&amp;"-"&amp;'23'!H103</f>
        <v>2304-2310</v>
      </c>
      <c r="E44" s="149">
        <f>HLOOKUP($D44,'23'!$C$104:$AF$112,E$68,FALSE)</f>
        <v>1659.0857104388297</v>
      </c>
      <c r="F44" s="149">
        <f>HLOOKUP($D44,'23'!$C$104:$AF$112,F$68,FALSE)</f>
        <v>3.09</v>
      </c>
      <c r="G44" s="150" t="str">
        <f>HLOOKUP($D44,'23'!$C$104:$AF$112,G$68,FALSE)</f>
        <v>$\phi10@25$</v>
      </c>
    </row>
    <row r="45" spans="4:7" x14ac:dyDescent="0.25">
      <c r="D45" s="148" t="str">
        <f>'23'!I103&amp;"-"&amp;'23'!J103</f>
        <v>2304-2311</v>
      </c>
      <c r="E45" s="149">
        <f>HLOOKUP($D45,'23'!$C$104:$AF$112,E$68,FALSE)</f>
        <v>1849.676205393145</v>
      </c>
      <c r="F45" s="149">
        <f>HLOOKUP($D45,'23'!$C$104:$AF$112,F$68,FALSE)</f>
        <v>3.4499999999999997</v>
      </c>
      <c r="G45" s="150" t="str">
        <f>HLOOKUP($D45,'23'!$C$104:$AF$112,G$68,FALSE)</f>
        <v>$\phi10@23$</v>
      </c>
    </row>
    <row r="46" spans="4:7" hidden="1" x14ac:dyDescent="0.25">
      <c r="D46" s="148" t="str">
        <f>'23'!K103&amp;"-"&amp;'23'!L103</f>
        <v>2305-2320</v>
      </c>
      <c r="E46" s="149">
        <f>HLOOKUP($D46,'23'!$C$104:$AF$112,E$68,FALSE)</f>
        <v>1096.9473631395347</v>
      </c>
      <c r="F46" s="149">
        <f>HLOOKUP($D46,'23'!$C$104:$AF$112,F$68,FALSE)</f>
        <v>2.0399999999999996</v>
      </c>
      <c r="G46" s="150" t="str">
        <f>HLOOKUP($D46,'23'!$C$104:$AF$112,G$68,FALSE)</f>
        <v>$\phi8@17$</v>
      </c>
    </row>
    <row r="47" spans="4:7" x14ac:dyDescent="0.25">
      <c r="D47" s="148" t="str">
        <f>'23'!M103&amp;"-"&amp;'23'!N103</f>
        <v>2305-2306</v>
      </c>
      <c r="E47" s="149">
        <f>HLOOKUP($D47,'23'!$C$104:$AF$112,E$68,FALSE)</f>
        <v>1363.2058780405737</v>
      </c>
      <c r="F47" s="149">
        <f>HLOOKUP($D47,'23'!$C$104:$AF$112,F$68,FALSE)</f>
        <v>2.5399999999999996</v>
      </c>
      <c r="G47" s="150" t="str">
        <f>HLOOKUP($D47,'23'!$C$104:$AF$112,G$68,FALSE)</f>
        <v>$\phi8@17$</v>
      </c>
    </row>
    <row r="48" spans="4:7" hidden="1" x14ac:dyDescent="0.25">
      <c r="D48" s="148" t="str">
        <f>'23'!O103&amp;"-"&amp;'23'!P103</f>
        <v>2305-2319</v>
      </c>
      <c r="E48" s="149">
        <f>HLOOKUP($D48,'23'!$C$104:$AF$112,E$68,FALSE)</f>
        <v>1303.6838037096772</v>
      </c>
      <c r="F48" s="149">
        <f>HLOOKUP($D48,'23'!$C$104:$AF$112,F$68,FALSE)</f>
        <v>2.4299999999999997</v>
      </c>
      <c r="G48" s="150" t="str">
        <f>HLOOKUP($D48,'23'!$C$104:$AF$112,G$68,FALSE)</f>
        <v>$\phi8@17$</v>
      </c>
    </row>
    <row r="49" spans="4:7" hidden="1" x14ac:dyDescent="0.25">
      <c r="D49" s="148" t="str">
        <f>'23'!Q103&amp;"-"&amp;'23'!R103</f>
        <v>2306-2319</v>
      </c>
      <c r="E49" s="149">
        <f>HLOOKUP($D49,'23'!$C$104:$AF$112,E$68,FALSE)</f>
        <v>764.00598568965506</v>
      </c>
      <c r="F49" s="149">
        <f>HLOOKUP($D49,'23'!$C$104:$AF$112,F$68,FALSE)</f>
        <v>1.42</v>
      </c>
      <c r="G49" s="150" t="str">
        <f>HLOOKUP($D49,'23'!$C$104:$AF$112,G$68,FALSE)</f>
        <v>$\phi8@17$</v>
      </c>
    </row>
    <row r="50" spans="4:7" x14ac:dyDescent="0.25">
      <c r="D50" s="148" t="str">
        <f>'23'!S103&amp;"-"&amp;'23'!T103</f>
        <v>2306-2308</v>
      </c>
      <c r="E50" s="149">
        <f>HLOOKUP($D50,'23'!$C$104:$AF$112,E$68,FALSE)</f>
        <v>748.989620689655</v>
      </c>
      <c r="F50" s="149">
        <f>HLOOKUP($D50,'23'!$C$104:$AF$112,F$68,FALSE)</f>
        <v>1.4</v>
      </c>
      <c r="G50" s="150" t="str">
        <f>HLOOKUP($D50,'23'!$C$104:$AF$112,G$68,FALSE)</f>
        <v>$\phi8@17$</v>
      </c>
    </row>
    <row r="51" spans="4:7" x14ac:dyDescent="0.25">
      <c r="D51" s="148" t="str">
        <f>'23'!U103&amp;"-"&amp;'23'!V103</f>
        <v>2306-2307</v>
      </c>
      <c r="E51" s="149">
        <f>HLOOKUP($D51,'23'!$C$104:$AF$112,E$68,FALSE)</f>
        <v>848.92221252417778</v>
      </c>
      <c r="F51" s="149">
        <f>HLOOKUP($D51,'23'!$C$104:$AF$112,F$68,FALSE)</f>
        <v>1.58</v>
      </c>
      <c r="G51" s="150" t="str">
        <f>HLOOKUP($D51,'23'!$C$104:$AF$112,G$68,FALSE)</f>
        <v>$\phi8@17$</v>
      </c>
    </row>
    <row r="52" spans="4:7" x14ac:dyDescent="0.25">
      <c r="D52" s="148" t="str">
        <f>'23'!W103&amp;"-"&amp;'23'!X103</f>
        <v>2306-2322</v>
      </c>
      <c r="E52" s="149">
        <f>HLOOKUP($D52,'23'!$C$104:$AF$112,E$68,FALSE)</f>
        <v>840.13847121401739</v>
      </c>
      <c r="F52" s="149">
        <f>HLOOKUP($D52,'23'!$C$104:$AF$112,F$68,FALSE)</f>
        <v>1.57</v>
      </c>
      <c r="G52" s="150" t="str">
        <f>HLOOKUP($D52,'23'!$C$104:$AF$112,G$68,FALSE)</f>
        <v>$\phi8@17$</v>
      </c>
    </row>
    <row r="53" spans="4:7" x14ac:dyDescent="0.25">
      <c r="D53" s="148" t="str">
        <f>'23'!Y103&amp;"-"&amp;'23'!Z103</f>
        <v>2307-2308</v>
      </c>
      <c r="E53" s="149">
        <f>HLOOKUP($D53,'23'!$C$104:$AF$112,E$68,FALSE)</f>
        <v>230.41532926829268</v>
      </c>
      <c r="F53" s="149">
        <f>HLOOKUP($D53,'23'!$C$104:$AF$112,F$68,FALSE)</f>
        <v>0.43</v>
      </c>
      <c r="G53" s="150" t="str">
        <f>HLOOKUP($D53,'23'!$C$104:$AF$112,G$68,FALSE)</f>
        <v>$\phi8@17$</v>
      </c>
    </row>
    <row r="54" spans="4:7" hidden="1" x14ac:dyDescent="0.25">
      <c r="D54" s="148" t="str">
        <f>'23'!C114&amp;"-"&amp;'23'!D114</f>
        <v>2307-2322</v>
      </c>
      <c r="E54" s="149">
        <f>HLOOKUP($D54,'23'!$C$115:$AF$123,E$68,FALSE)</f>
        <v>406.52734219366147</v>
      </c>
      <c r="F54" s="149">
        <f>HLOOKUP($D54,'23'!$C$115:$AF$123,F$68,FALSE)</f>
        <v>0.76</v>
      </c>
      <c r="G54" s="150" t="str">
        <f>HLOOKUP($D54,'23'!$C$115:$AF$123,G$68,FALSE)</f>
        <v>$\phi8@17$</v>
      </c>
    </row>
    <row r="55" spans="4:7" x14ac:dyDescent="0.25">
      <c r="D55" s="148" t="str">
        <f>'23'!E114&amp;"-"&amp;'23'!F114</f>
        <v>2308-2309</v>
      </c>
      <c r="E55" s="149">
        <f>HLOOKUP($D55,'23'!$C$115:$AF$123,E$68,FALSE)</f>
        <v>302.65169999999995</v>
      </c>
      <c r="F55" s="149">
        <f>HLOOKUP($D55,'23'!$C$115:$AF$123,F$68,FALSE)</f>
        <v>0.57000000000000006</v>
      </c>
      <c r="G55" s="150" t="str">
        <f>HLOOKUP($D55,'23'!$C$115:$AF$123,G$68,FALSE)</f>
        <v>$\phi8@17$</v>
      </c>
    </row>
    <row r="56" spans="4:7" x14ac:dyDescent="0.25">
      <c r="D56" s="148" t="str">
        <f>'23'!G114&amp;"-"&amp;'23'!H114</f>
        <v>2308-2310</v>
      </c>
      <c r="E56" s="149">
        <f>HLOOKUP($D56,'23'!$C$115:$AF$123,E$68,FALSE)</f>
        <v>805.54748936170199</v>
      </c>
      <c r="F56" s="149">
        <f>HLOOKUP($D56,'23'!$C$115:$AF$123,F$68,FALSE)</f>
        <v>1.5</v>
      </c>
      <c r="G56" s="150" t="str">
        <f>HLOOKUP($D56,'23'!$C$115:$AF$123,G$68,FALSE)</f>
        <v>$\phi8@17$</v>
      </c>
    </row>
    <row r="57" spans="4:7" x14ac:dyDescent="0.25">
      <c r="D57" s="148" t="str">
        <f>'23'!I114&amp;"-"&amp;'23'!J114</f>
        <v>2309-2322</v>
      </c>
      <c r="E57" s="149">
        <f>HLOOKUP($D57,'23'!$C$115:$AF$123,E$68,FALSE)</f>
        <v>492.26902941176462</v>
      </c>
      <c r="F57" s="149">
        <f>HLOOKUP($D57,'23'!$C$115:$AF$123,F$68,FALSE)</f>
        <v>0.92</v>
      </c>
      <c r="G57" s="150" t="str">
        <f>HLOOKUP($D57,'23'!$C$115:$AF$123,G$68,FALSE)</f>
        <v>$\phi8@17$</v>
      </c>
    </row>
    <row r="58" spans="4:7" x14ac:dyDescent="0.25">
      <c r="D58" s="148" t="str">
        <f>'23'!K114&amp;"-"&amp;'23'!L114</f>
        <v>2309-2310</v>
      </c>
      <c r="E58" s="149">
        <f>HLOOKUP($D58,'23'!$C$115:$AF$123,E$68,FALSE)</f>
        <v>837.18610344827584</v>
      </c>
      <c r="F58" s="149">
        <f>HLOOKUP($D58,'23'!$C$115:$AF$123,F$68,FALSE)</f>
        <v>1.56</v>
      </c>
      <c r="G58" s="150" t="str">
        <f>HLOOKUP($D58,'23'!$C$115:$AF$123,G$68,FALSE)</f>
        <v>$\phi8@17$</v>
      </c>
    </row>
    <row r="59" spans="4:7" ht="15.75" thickBot="1" x14ac:dyDescent="0.3">
      <c r="D59" s="135" t="str">
        <f>'23'!M114&amp;"-"&amp;'23'!N114</f>
        <v>2310-2311</v>
      </c>
      <c r="E59" s="152">
        <f>HLOOKUP($D59,'23'!$C$115:$AF$123,E$68,FALSE)</f>
        <v>1268.3673024538894</v>
      </c>
      <c r="F59" s="152">
        <f>HLOOKUP($D59,'23'!$C$115:$AF$123,F$68,FALSE)</f>
        <v>2.36</v>
      </c>
      <c r="G59" s="153" t="str">
        <f>HLOOKUP($D59,'23'!$C$115:$AF$123,G$68,FALSE)</f>
        <v>$\phi8@17$</v>
      </c>
    </row>
    <row r="60" spans="4:7" hidden="1" x14ac:dyDescent="0.25">
      <c r="D60" s="148" t="str">
        <f>'23'!O114&amp;"-"&amp;'23'!P114</f>
        <v>2310-2318</v>
      </c>
      <c r="E60" s="149">
        <f>HLOOKUP($D60,'23'!$C$115:$AF$123,E$68,FALSE)</f>
        <v>820.56385436170194</v>
      </c>
      <c r="F60" s="149">
        <f>HLOOKUP($D60,'23'!$C$115:$AF$123,F$68,FALSE)</f>
        <v>1.53</v>
      </c>
      <c r="G60" s="150" t="str">
        <f>HLOOKUP($D60,'23'!$C$115:$AF$123,G$68,FALSE)</f>
        <v>$\phi8@17$</v>
      </c>
    </row>
    <row r="61" spans="4:7" hidden="1" x14ac:dyDescent="0.25">
      <c r="D61" s="148" t="str">
        <f>'23'!Q114&amp;"-"&amp;'23'!R114</f>
        <v>2311-2318</v>
      </c>
      <c r="E61" s="149">
        <f>HLOOKUP($D61,'23'!$C$115:$AF$123,E$68,FALSE)</f>
        <v>1219.3717166129031</v>
      </c>
      <c r="F61" s="149">
        <f>HLOOKUP($D61,'23'!$C$115:$AF$123,F$68,FALSE)</f>
        <v>2.2699999999999996</v>
      </c>
      <c r="G61" s="150" t="str">
        <f>HLOOKUP($D61,'23'!$C$115:$AF$123,G$68,FALSE)</f>
        <v>$\phi8@17$</v>
      </c>
    </row>
    <row r="62" spans="4:7" hidden="1" x14ac:dyDescent="0.25">
      <c r="D62" s="148" t="str">
        <f>'23'!S114&amp;"-"&amp;'23'!T114</f>
        <v>2311-2317</v>
      </c>
      <c r="E62" s="149">
        <f>HLOOKUP($D62,'23'!$C$115:$AF$123,E$68,FALSE)</f>
        <v>1040.4080790697674</v>
      </c>
      <c r="F62" s="149">
        <f>HLOOKUP($D62,'23'!$C$115:$AF$123,F$68,FALSE)</f>
        <v>1.94</v>
      </c>
      <c r="G62" s="150" t="str">
        <f>HLOOKUP($D62,'23'!$C$115:$AF$123,G$68,FALSE)</f>
        <v>$\phi8@17$</v>
      </c>
    </row>
    <row r="63" spans="4:7" hidden="1" x14ac:dyDescent="0.25">
      <c r="D63" s="148" t="str">
        <f>'23'!U114&amp;"-"&amp;'23'!V114</f>
        <v>2313-2314</v>
      </c>
      <c r="E63" s="149">
        <f>HLOOKUP($D63,'23'!$C$115:$AF$123,E$68,FALSE)</f>
        <v>165.99128000000002</v>
      </c>
      <c r="F63" s="149">
        <f>HLOOKUP($D63,'23'!$C$115:$AF$123,F$68,FALSE)</f>
        <v>0.31</v>
      </c>
      <c r="G63" s="150" t="str">
        <f>HLOOKUP($D63,'23'!$C$115:$AF$123,G$68,FALSE)</f>
        <v>$\phi8@17$</v>
      </c>
    </row>
    <row r="64" spans="4:7" hidden="1" x14ac:dyDescent="0.25">
      <c r="D64" s="148" t="str">
        <f>'23'!W114&amp;"-"&amp;'23'!X114</f>
        <v>2312-2321</v>
      </c>
      <c r="E64" s="149">
        <f>HLOOKUP($D64,'23'!$C$115:$AF$123,E$68,FALSE)</f>
        <v>174.09926625000003</v>
      </c>
      <c r="F64" s="149">
        <f>HLOOKUP($D64,'23'!$C$115:$AF$123,F$68,FALSE)</f>
        <v>0.33</v>
      </c>
      <c r="G64" s="150" t="str">
        <f>HLOOKUP($D64,'23'!$C$115:$AF$123,G$68,FALSE)</f>
        <v>$\phi8@17$</v>
      </c>
    </row>
    <row r="65" spans="4:7" hidden="1" x14ac:dyDescent="0.25">
      <c r="D65" s="281" t="str">
        <f>'23'!Y114&amp;"-"&amp;'23'!Z114</f>
        <v>2315-2316</v>
      </c>
      <c r="E65" s="149">
        <f>HLOOKUP($D65,'23'!$C$115:$AF$123,E$68,FALSE)</f>
        <v>179.28557237500002</v>
      </c>
      <c r="F65" s="149">
        <f>HLOOKUP($D65,'23'!$C$115:$AF$123,F$68,FALSE)</f>
        <v>0.34</v>
      </c>
      <c r="G65" s="150" t="str">
        <f>HLOOKUP($D65,'23'!$C$115:$AF$123,G$68,FALSE)</f>
        <v>$\phi8@17$</v>
      </c>
    </row>
    <row r="66" spans="4:7" hidden="1" x14ac:dyDescent="0.25">
      <c r="D66" s="281" t="str">
        <f>'23'!AA114&amp;"-"&amp;'23'!AB114</f>
        <v>2317-2318</v>
      </c>
      <c r="E66" s="149">
        <f>HLOOKUP($D66,'23'!$C$115:$AF$123,E$68,FALSE)</f>
        <v>147.04512550000004</v>
      </c>
      <c r="F66" s="149">
        <f>HLOOKUP($D66,'23'!$C$115:$AF$123,F$68,FALSE)</f>
        <v>0.28000000000000003</v>
      </c>
      <c r="G66" s="150" t="str">
        <f>HLOOKUP($D66,'23'!$C$115:$AF$123,G$68,FALSE)</f>
        <v>$\phi8@17$</v>
      </c>
    </row>
    <row r="67" spans="4:7" ht="15.75" hidden="1" thickBot="1" x14ac:dyDescent="0.3">
      <c r="D67" s="135" t="str">
        <f>'23'!AC114&amp;"-"&amp;'23'!AD114</f>
        <v>2319-2320</v>
      </c>
      <c r="E67" s="152">
        <f>HLOOKUP($D67,'23'!$C$115:$AF$123,E$68,FALSE)</f>
        <v>140.63676900000002</v>
      </c>
      <c r="F67" s="152">
        <f>HLOOKUP($D67,'23'!$C$115:$AF$123,F$68,FALSE)</f>
        <v>0.27</v>
      </c>
      <c r="G67" s="153" t="str">
        <f>HLOOKUP($D67,'23'!$C$115:$AF$123,G$68,FALSE)</f>
        <v>$\phi8@17$</v>
      </c>
    </row>
    <row r="68" spans="4:7" x14ac:dyDescent="0.25">
      <c r="D68" s="124"/>
      <c r="E68" s="124">
        <v>5</v>
      </c>
      <c r="F68" s="124">
        <v>8</v>
      </c>
      <c r="G68" s="124">
        <v>9</v>
      </c>
    </row>
  </sheetData>
  <mergeCells count="12">
    <mergeCell ref="D28:E28"/>
    <mergeCell ref="B2:G2"/>
    <mergeCell ref="H2:J2"/>
    <mergeCell ref="K2:M2"/>
    <mergeCell ref="B3:B4"/>
    <mergeCell ref="D3:D4"/>
    <mergeCell ref="E3:E4"/>
    <mergeCell ref="F3:G3"/>
    <mergeCell ref="H3:I3"/>
    <mergeCell ref="J3:K3"/>
    <mergeCell ref="L3:M3"/>
    <mergeCell ref="C3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EA37-D073-48E3-A36C-EE045226CB78}">
  <dimension ref="A2:U101"/>
  <sheetViews>
    <sheetView showGridLines="0" topLeftCell="A45" zoomScale="70" zoomScaleNormal="70" workbookViewId="0">
      <selection activeCell="E85" sqref="E85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6" width="17.28515625" customWidth="1"/>
    <col min="7" max="7" width="4.28515625" customWidth="1"/>
    <col min="8" max="8" width="14.140625" bestFit="1" customWidth="1"/>
    <col min="9" max="9" width="17.5703125" bestFit="1" customWidth="1"/>
    <col min="10" max="10" width="4.28515625" customWidth="1"/>
    <col min="11" max="11" width="16.85546875" bestFit="1" customWidth="1"/>
    <col min="12" max="12" width="10.5703125" bestFit="1" customWidth="1"/>
    <col min="13" max="13" width="11.28515625" bestFit="1" customWidth="1"/>
    <col min="14" max="24" width="14.7109375" bestFit="1" customWidth="1"/>
  </cols>
  <sheetData>
    <row r="2" spans="2:21" ht="18.75" x14ac:dyDescent="0.3">
      <c r="B2" s="52" t="s">
        <v>233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4" t="s">
        <v>19</v>
      </c>
      <c r="C4" s="113">
        <v>16</v>
      </c>
      <c r="E4" s="217" t="s">
        <v>29</v>
      </c>
      <c r="F4" s="218"/>
      <c r="H4" s="217" t="s">
        <v>30</v>
      </c>
      <c r="I4" s="218"/>
      <c r="K4" s="217" t="s">
        <v>39</v>
      </c>
      <c r="L4" s="218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187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2.04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&amp;"$"</f>
        <v>$\phi8@17$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25">
      <c r="B16" s="63" t="s">
        <v>234</v>
      </c>
      <c r="C16" s="6">
        <v>2.1</v>
      </c>
      <c r="D16" s="6">
        <v>4.04</v>
      </c>
      <c r="E16" s="6">
        <v>16</v>
      </c>
      <c r="F16" s="6" t="s">
        <v>9</v>
      </c>
      <c r="G16" s="6">
        <v>100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235</v>
      </c>
      <c r="C17" s="6">
        <v>2.3199999999999998</v>
      </c>
      <c r="D17" s="6">
        <v>4.3</v>
      </c>
      <c r="E17" s="6">
        <v>16</v>
      </c>
      <c r="F17" s="6">
        <v>6</v>
      </c>
      <c r="G17" s="6">
        <v>100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t="15.75" hidden="1" thickBot="1" x14ac:dyDescent="0.3">
      <c r="B18" s="66" t="s">
        <v>236</v>
      </c>
      <c r="C18" s="9">
        <v>2.9</v>
      </c>
      <c r="D18" s="9">
        <v>6.36</v>
      </c>
      <c r="E18" s="9">
        <v>16</v>
      </c>
      <c r="F18" s="9">
        <v>6</v>
      </c>
      <c r="G18" s="9">
        <v>100</v>
      </c>
      <c r="H18" s="9" t="s">
        <v>187</v>
      </c>
      <c r="I18" s="10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4"/>
      <c r="C19" s="6"/>
      <c r="D19" s="6"/>
      <c r="E19" s="6"/>
      <c r="F19" s="6"/>
      <c r="G19" s="6"/>
      <c r="H19" s="6"/>
      <c r="I19" s="6"/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4"/>
      <c r="C20" s="6"/>
      <c r="D20" s="6"/>
      <c r="E20" s="6"/>
      <c r="F20" s="6"/>
      <c r="G20" s="6"/>
      <c r="H20" s="6"/>
      <c r="I20" s="6"/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4"/>
      <c r="C21" s="6"/>
      <c r="D21" s="6"/>
      <c r="E21" s="6"/>
      <c r="F21" s="6"/>
      <c r="G21" s="6"/>
      <c r="H21" s="6"/>
      <c r="I21" s="6"/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4"/>
      <c r="C22" s="6"/>
      <c r="D22" s="6"/>
      <c r="E22" s="6"/>
      <c r="F22" s="6"/>
      <c r="G22" s="6"/>
      <c r="H22" s="6"/>
      <c r="I22" s="6"/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4"/>
      <c r="C23" s="6"/>
      <c r="D23" s="6"/>
      <c r="E23" s="6"/>
      <c r="F23" s="6"/>
      <c r="G23" s="6"/>
      <c r="H23" s="6"/>
      <c r="I23" s="6"/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4"/>
      <c r="C24" s="6"/>
      <c r="D24" s="6"/>
      <c r="E24" s="6"/>
      <c r="F24" s="6"/>
      <c r="G24" s="6"/>
      <c r="H24" s="6"/>
      <c r="I24" s="6"/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4"/>
      <c r="C25" s="6"/>
      <c r="D25" s="6"/>
      <c r="E25" s="6"/>
      <c r="F25" s="6"/>
      <c r="G25" s="6"/>
      <c r="H25" s="6"/>
      <c r="I25" s="6"/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4"/>
      <c r="C26" s="6"/>
      <c r="D26" s="6"/>
      <c r="E26" s="6"/>
      <c r="F26" s="6"/>
      <c r="G26" s="6"/>
      <c r="H26" s="6"/>
      <c r="I26" s="6"/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4"/>
      <c r="C27" s="6"/>
      <c r="D27" s="6"/>
      <c r="E27" s="6"/>
      <c r="F27" s="6"/>
      <c r="G27" s="6"/>
      <c r="H27" s="6"/>
      <c r="I27" s="6"/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4"/>
      <c r="C28" s="6"/>
      <c r="D28" s="6"/>
      <c r="E28" s="6"/>
      <c r="F28" s="6"/>
      <c r="G28" s="6"/>
      <c r="H28" s="6"/>
      <c r="I28" s="6"/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4"/>
      <c r="C29" s="6"/>
      <c r="D29" s="6"/>
      <c r="E29" s="6"/>
      <c r="F29" s="6"/>
      <c r="G29" s="6"/>
      <c r="H29" s="6"/>
      <c r="I29" s="6"/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4"/>
      <c r="C30" s="6"/>
      <c r="D30" s="6"/>
      <c r="E30" s="6"/>
      <c r="F30" s="6"/>
      <c r="G30" s="6"/>
      <c r="H30" s="6"/>
      <c r="I30" s="6"/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4"/>
      <c r="C31" s="6"/>
      <c r="D31" s="6"/>
      <c r="E31" s="6"/>
      <c r="F31" s="6"/>
      <c r="G31" s="6"/>
      <c r="H31" s="6"/>
      <c r="I31" s="6"/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4"/>
      <c r="C32" s="6"/>
      <c r="D32" s="6"/>
      <c r="E32" s="6"/>
      <c r="F32" s="6"/>
      <c r="G32" s="6"/>
      <c r="H32" s="6"/>
      <c r="I32" s="6"/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1:21" hidden="1" x14ac:dyDescent="0.25">
      <c r="B33" s="64"/>
      <c r="C33" s="6"/>
      <c r="D33" s="6"/>
      <c r="E33" s="6"/>
      <c r="F33" s="6"/>
      <c r="G33" s="6"/>
      <c r="H33" s="6"/>
      <c r="I33" s="6"/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1:21" hidden="1" x14ac:dyDescent="0.25">
      <c r="B34" s="64"/>
      <c r="C34" s="6"/>
      <c r="D34" s="6"/>
      <c r="E34" s="6"/>
      <c r="F34" s="6"/>
      <c r="G34" s="6"/>
      <c r="H34" s="6"/>
      <c r="I34" s="6"/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1:21" hidden="1" x14ac:dyDescent="0.25">
      <c r="B35" s="64"/>
      <c r="C35" s="6"/>
      <c r="D35" s="6"/>
      <c r="E35" s="6"/>
      <c r="F35" s="6"/>
      <c r="G35" s="6"/>
      <c r="H35" s="6"/>
      <c r="I35" s="6"/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1:21" hidden="1" x14ac:dyDescent="0.25">
      <c r="B36" s="64"/>
      <c r="C36" s="6"/>
      <c r="D36" s="6"/>
      <c r="E36" s="6"/>
      <c r="F36" s="6"/>
      <c r="G36" s="6"/>
      <c r="H36" s="6"/>
      <c r="I36" s="6"/>
      <c r="J36" s="64"/>
      <c r="K36" s="6"/>
      <c r="L36" s="6"/>
      <c r="M36" s="6"/>
      <c r="N36" s="6"/>
      <c r="O36" s="6"/>
      <c r="P36" s="6"/>
      <c r="Q36" s="6"/>
      <c r="T36" s="40"/>
      <c r="U36" s="41"/>
    </row>
    <row r="37" spans="1:21" hidden="1" x14ac:dyDescent="0.25">
      <c r="B37" s="64"/>
      <c r="C37" s="6"/>
      <c r="D37" s="6"/>
      <c r="E37" s="6"/>
      <c r="F37" s="6"/>
      <c r="G37" s="6"/>
      <c r="H37" s="6"/>
      <c r="I37" s="6"/>
      <c r="J37" s="64"/>
      <c r="K37" s="6"/>
      <c r="L37" s="6"/>
      <c r="M37" s="6"/>
      <c r="N37" s="6"/>
      <c r="O37" s="6"/>
      <c r="P37" s="6"/>
      <c r="Q37" s="6"/>
      <c r="T37" s="40"/>
      <c r="U37" s="41"/>
    </row>
    <row r="38" spans="1:21" hidden="1" x14ac:dyDescent="0.25">
      <c r="B38" s="64"/>
      <c r="C38" s="6"/>
      <c r="D38" s="6"/>
      <c r="E38" s="6"/>
      <c r="F38" s="6"/>
      <c r="G38" s="6"/>
      <c r="H38" s="6"/>
      <c r="I38" s="6"/>
      <c r="J38" s="64"/>
      <c r="K38" s="6"/>
      <c r="L38" s="6"/>
      <c r="M38" s="6"/>
      <c r="N38" s="6"/>
      <c r="O38" s="6"/>
      <c r="P38" s="6"/>
      <c r="Q38" s="6"/>
      <c r="T38" s="40"/>
      <c r="U38" s="41"/>
    </row>
    <row r="39" spans="1:21" hidden="1" x14ac:dyDescent="0.25">
      <c r="B39" s="64"/>
      <c r="C39" s="6"/>
      <c r="D39" s="6"/>
      <c r="E39" s="6"/>
      <c r="F39" s="6"/>
      <c r="G39" s="6"/>
      <c r="H39" s="6"/>
      <c r="I39" s="6"/>
      <c r="J39" s="64"/>
      <c r="K39" s="6"/>
      <c r="L39" s="6"/>
      <c r="M39" s="6"/>
      <c r="N39" s="6"/>
      <c r="O39" s="6"/>
      <c r="P39" s="6"/>
      <c r="Q39" s="6"/>
      <c r="T39" s="40"/>
      <c r="U39" s="41"/>
    </row>
    <row r="40" spans="1:21" hidden="1" x14ac:dyDescent="0.25">
      <c r="B40" s="64"/>
      <c r="C40" s="6"/>
      <c r="D40" s="6"/>
      <c r="E40" s="6"/>
      <c r="F40" s="6"/>
      <c r="G40" s="6"/>
      <c r="H40" s="6"/>
      <c r="I40" s="6"/>
      <c r="J40" s="64"/>
      <c r="K40" s="6"/>
      <c r="L40" s="6"/>
      <c r="M40" s="6"/>
      <c r="N40" s="6"/>
      <c r="O40" s="6"/>
      <c r="P40" s="6"/>
      <c r="Q40" s="6"/>
      <c r="T40" s="40"/>
      <c r="U40" s="41"/>
    </row>
    <row r="41" spans="1:21" hidden="1" x14ac:dyDescent="0.25">
      <c r="B41" s="64"/>
      <c r="C41" s="6"/>
      <c r="D41" s="6"/>
      <c r="E41" s="6"/>
      <c r="F41" s="6"/>
      <c r="G41" s="6"/>
      <c r="H41" s="6"/>
      <c r="I41" s="6"/>
      <c r="J41" s="64"/>
      <c r="K41" s="6"/>
      <c r="L41" s="6"/>
      <c r="M41" s="6"/>
      <c r="N41" s="6"/>
      <c r="O41" s="6"/>
      <c r="P41" s="6"/>
      <c r="Q41" s="6"/>
      <c r="T41" s="40"/>
      <c r="U41" s="41"/>
    </row>
    <row r="42" spans="1:21" hidden="1" x14ac:dyDescent="0.25">
      <c r="B42" s="64"/>
      <c r="C42" s="6"/>
      <c r="D42" s="6"/>
      <c r="E42" s="6"/>
      <c r="F42" s="6"/>
      <c r="G42" s="6"/>
      <c r="H42" s="6"/>
      <c r="I42" s="6"/>
      <c r="J42" s="64"/>
      <c r="K42" s="6"/>
      <c r="L42" s="6"/>
      <c r="M42" s="6"/>
      <c r="N42" s="6"/>
      <c r="O42" s="6"/>
      <c r="P42" s="6"/>
      <c r="Q42" s="6"/>
      <c r="T42" s="40"/>
      <c r="U42" s="41"/>
    </row>
    <row r="43" spans="1:21" hidden="1" x14ac:dyDescent="0.25">
      <c r="B43" s="64"/>
      <c r="C43" s="6"/>
      <c r="D43" s="6"/>
      <c r="E43" s="6"/>
      <c r="F43" s="6"/>
      <c r="G43" s="6"/>
      <c r="H43" s="6"/>
      <c r="I43" s="6"/>
      <c r="J43" s="64"/>
      <c r="K43" s="6"/>
      <c r="L43" s="6"/>
      <c r="M43" s="6"/>
      <c r="N43" s="6"/>
      <c r="O43" s="6"/>
      <c r="P43" s="6"/>
      <c r="Q43" s="6"/>
      <c r="T43" s="40"/>
      <c r="U43" s="41"/>
    </row>
    <row r="44" spans="1:21" hidden="1" x14ac:dyDescent="0.25">
      <c r="A44" s="39"/>
      <c r="B44" s="64"/>
      <c r="C44" s="6"/>
      <c r="D44" s="6"/>
      <c r="E44" s="6"/>
      <c r="F44" s="6"/>
      <c r="G44" s="6"/>
      <c r="H44" s="6"/>
      <c r="I44" s="6"/>
      <c r="J44" s="64"/>
      <c r="K44" s="6"/>
      <c r="L44" s="6"/>
      <c r="M44" s="6"/>
      <c r="N44" s="6"/>
      <c r="O44" s="6"/>
      <c r="P44" s="6"/>
      <c r="Q44" s="6"/>
      <c r="T44" s="40"/>
      <c r="U44" s="41"/>
    </row>
    <row r="45" spans="1:21" ht="15.75" thickBot="1" x14ac:dyDescent="0.3">
      <c r="A45" s="39"/>
      <c r="B45" s="64"/>
      <c r="C45" s="6"/>
      <c r="D45" s="6"/>
      <c r="E45" s="6"/>
      <c r="F45" s="112"/>
      <c r="G45" s="6"/>
      <c r="H45" s="6"/>
      <c r="I45" s="6"/>
      <c r="P45" s="40"/>
      <c r="T45" s="40"/>
      <c r="U45" s="41"/>
    </row>
    <row r="46" spans="1:21" ht="15.75" thickBot="1" x14ac:dyDescent="0.3">
      <c r="B46" s="73" t="s">
        <v>43</v>
      </c>
      <c r="C46" s="74" t="s">
        <v>234</v>
      </c>
      <c r="D46" s="74" t="s">
        <v>235</v>
      </c>
      <c r="E46" s="74" t="s">
        <v>236</v>
      </c>
      <c r="F46" s="39"/>
      <c r="G46" s="39"/>
      <c r="H46" s="39"/>
      <c r="I46" s="39"/>
    </row>
    <row r="47" spans="1:21" ht="15.75" thickBot="1" x14ac:dyDescent="0.3">
      <c r="B47" s="71" t="s">
        <v>95</v>
      </c>
      <c r="C47" s="115"/>
      <c r="D47" s="115"/>
      <c r="E47" s="72"/>
      <c r="F47" s="39"/>
      <c r="G47" s="39"/>
      <c r="H47" s="39"/>
      <c r="I47" s="39"/>
    </row>
    <row r="48" spans="1:21" x14ac:dyDescent="0.25">
      <c r="B48" s="97" t="s">
        <v>81</v>
      </c>
      <c r="C48" s="76">
        <f>VLOOKUP(C$46,$B$16:$H$18,2)</f>
        <v>2.1</v>
      </c>
      <c r="D48" s="76">
        <f>VLOOKUP(D$46,$B$16:$H$18,2)</f>
        <v>2.3199999999999998</v>
      </c>
      <c r="E48" s="76">
        <f>VLOOKUP(E$46,$B$16:$H$18,2)</f>
        <v>2.9</v>
      </c>
    </row>
    <row r="49" spans="2:5" x14ac:dyDescent="0.25">
      <c r="B49" s="97" t="s">
        <v>82</v>
      </c>
      <c r="C49" s="76">
        <f>VLOOKUP(C$46,$B$16:$H$18,3)</f>
        <v>4.04</v>
      </c>
      <c r="D49" s="76">
        <f>VLOOKUP(D$46,$B$16:$H$18,3)</f>
        <v>4.3</v>
      </c>
      <c r="E49" s="76">
        <f>VLOOKUP(E$46,$B$16:$H$18,3)</f>
        <v>6.36</v>
      </c>
    </row>
    <row r="50" spans="2:5" x14ac:dyDescent="0.25">
      <c r="B50" s="100" t="s">
        <v>86</v>
      </c>
      <c r="C50" s="76">
        <f>ROUNDUP((C54*C48*100)/C55+$C$5,0)</f>
        <v>6</v>
      </c>
      <c r="D50" s="76">
        <f t="shared" ref="D50:E50" si="0">ROUNDUP((D54*D48*100)/D55+$C$5,0)</f>
        <v>6</v>
      </c>
      <c r="E50" s="76">
        <f t="shared" si="0"/>
        <v>7</v>
      </c>
    </row>
    <row r="51" spans="2:5" ht="15.75" thickBot="1" x14ac:dyDescent="0.3">
      <c r="B51" s="101" t="s">
        <v>0</v>
      </c>
      <c r="C51" s="116" t="str">
        <f>VLOOKUP(C$46,$B$16:$I$18,5)</f>
        <v>5a</v>
      </c>
      <c r="D51" s="116">
        <f>VLOOKUP(D$46,$B$16:$I$18,5)</f>
        <v>6</v>
      </c>
      <c r="E51" s="116">
        <f>VLOOKUP(E$46,$B$16:$I$18,5)</f>
        <v>6</v>
      </c>
    </row>
    <row r="52" spans="2:5" ht="15.75" thickBot="1" x14ac:dyDescent="0.3">
      <c r="B52" s="71" t="s">
        <v>94</v>
      </c>
      <c r="C52" s="115"/>
      <c r="D52" s="115"/>
      <c r="E52" s="72"/>
    </row>
    <row r="53" spans="2:5" x14ac:dyDescent="0.25">
      <c r="B53" s="100" t="s">
        <v>84</v>
      </c>
      <c r="C53" s="80">
        <f>ROUNDUP(C49/C48,1)</f>
        <v>2</v>
      </c>
      <c r="D53" s="81">
        <f>ROUNDUP(D49/D48,1)</f>
        <v>1.9000000000000001</v>
      </c>
      <c r="E53" s="81">
        <f t="shared" ref="E53" si="1">ROUNDUP(E49/E48,1)</f>
        <v>2.2000000000000002</v>
      </c>
    </row>
    <row r="54" spans="2:5" x14ac:dyDescent="0.25">
      <c r="B54" s="100" t="s">
        <v>11</v>
      </c>
      <c r="C54" s="76">
        <f>IF(C53&gt;1.5,VLOOKUP(C51&amp;1.5,tablas!$L$3:$O$56,4,FALSE),VLOOKUP(C51&amp;C53,tablas!$L$3:$O$56,4,FALSE))</f>
        <v>0.59</v>
      </c>
      <c r="D54" s="77">
        <f>IF(D53&gt;1.5,VLOOKUP(D51&amp;1.5,tablas!$L$3:$O$56,4,FALSE),VLOOKUP(D51&amp;D53,tablas!$L$3:$O$56,4,FALSE))</f>
        <v>0.57999999999999996</v>
      </c>
      <c r="E54" s="77">
        <f>IF(E53&gt;1.5,VLOOKUP(E51&amp;1.5,tablas!$L$3:$O$56,4,FALSE),VLOOKUP(E51&amp;E53,tablas!$L$3:$O$56,4,FALSE))</f>
        <v>0.57999999999999996</v>
      </c>
    </row>
    <row r="55" spans="2:5" x14ac:dyDescent="0.25">
      <c r="B55" s="100" t="s">
        <v>85</v>
      </c>
      <c r="C55" s="76">
        <v>40</v>
      </c>
      <c r="D55" s="77">
        <v>40</v>
      </c>
      <c r="E55" s="77">
        <v>40</v>
      </c>
    </row>
    <row r="56" spans="2:5" x14ac:dyDescent="0.25">
      <c r="B56" s="97" t="s">
        <v>4</v>
      </c>
      <c r="C56" s="76">
        <f>IF(C53&lt;=2,VLOOKUP(C51&amp;C53,tablas!$B$3:$J$92,6,FALSE),"Franja de losa")</f>
        <v>49</v>
      </c>
      <c r="D56" s="77">
        <f>IF(D53&lt;=2,VLOOKUP(D51&amp;D53-0.1,tablas!$B$3:$J$92,6,FALSE),"Franja de losa")</f>
        <v>48.8</v>
      </c>
      <c r="E56" s="77" t="str">
        <f>IF(E53&lt;=2,VLOOKUP(E51&amp;E53,tablas!$B$3:$J$92,6,FALSE),"Franja de losa")</f>
        <v>Franja de losa</v>
      </c>
    </row>
    <row r="57" spans="2:5" x14ac:dyDescent="0.25">
      <c r="B57" s="97" t="s">
        <v>5</v>
      </c>
      <c r="C57" s="76">
        <f>IF(C53&lt;=2,VLOOKUP(C51&amp;C53,tablas!$B$3:$J$92,7,FALSE),"Franja de losa")</f>
        <v>194</v>
      </c>
      <c r="D57" s="77">
        <f>IF(D53&lt;=2,VLOOKUP(D51&amp;D53-0.1,tablas!$B$3:$J$92,7,FALSE),"Franja de losa")</f>
        <v>190</v>
      </c>
      <c r="E57" s="77" t="str">
        <f>IF(E53&lt;=2,VLOOKUP(E51&amp;E53,tablas!$B$3:$J$92,7,FALSE),"Franja de losa")</f>
        <v>Franja de losa</v>
      </c>
    </row>
    <row r="58" spans="2:5" x14ac:dyDescent="0.25">
      <c r="B58" s="97" t="s">
        <v>6</v>
      </c>
      <c r="C58" s="76">
        <f>IF(C53&lt;=2,VLOOKUP(C51&amp;C53,tablas!$B$3:$J$92,8,FALSE),"Franja de losa")</f>
        <v>23.6</v>
      </c>
      <c r="D58" s="77">
        <f>IF(D53&lt;=2,VLOOKUP(D51&amp;D53-0.1,tablas!$B$3:$J$92,8,FALSE),"Franja de losa")</f>
        <v>22</v>
      </c>
      <c r="E58" s="77" t="str">
        <f>IF(E53&lt;=2,VLOOKUP(E51&amp;E53,tablas!$B$3:$J$92,8,FALSE),"Franja de losa")</f>
        <v>Franja de losa</v>
      </c>
    </row>
    <row r="59" spans="2:5" x14ac:dyDescent="0.25">
      <c r="B59" s="97" t="s">
        <v>7</v>
      </c>
      <c r="C59" s="76">
        <f>IF(C53&lt;=2,VLOOKUP(C51&amp;C53,tablas!$B$3:$J$92,9,FALSE),"Franja de losa")</f>
        <v>35.4</v>
      </c>
      <c r="D59" s="77">
        <f>IF(D53&lt;=2,VLOOKUP(D51&amp;D53-0.1,tablas!$B$3:$J$92,9,FALSE),"Franja de losa")</f>
        <v>31.4</v>
      </c>
      <c r="E59" s="77" t="str">
        <f>IF(E53&lt;=2,VLOOKUP(E51&amp;E53,tablas!$B$3:$J$92,9,FALSE),"Franja de losa")</f>
        <v>Franja de losa</v>
      </c>
    </row>
    <row r="60" spans="2:5" x14ac:dyDescent="0.25">
      <c r="B60" s="100" t="s">
        <v>2</v>
      </c>
      <c r="C60" s="76">
        <f>IF(C53&lt;=2,VLOOKUP(C51&amp;C53,tablas!$B$3:$J$92,4,FALSE),"Franja de losa")</f>
        <v>1.24</v>
      </c>
      <c r="D60" s="77">
        <f>IF(D53&lt;=2,VLOOKUP(D51&amp;D53-0.1,tablas!$B$3:$J$92,4,FALSE),"Franja de losa")</f>
        <v>1.39</v>
      </c>
      <c r="E60" s="77" t="str">
        <f>IF(E53&lt;=2,VLOOKUP(E51&amp;E53,tablas!$B$3:$J$92,4,FALSE),"Franja de losa")</f>
        <v>Franja de losa</v>
      </c>
    </row>
    <row r="61" spans="2:5" ht="15.75" thickBot="1" x14ac:dyDescent="0.3">
      <c r="B61" s="101" t="s">
        <v>3</v>
      </c>
      <c r="C61" s="82">
        <f>IF(C53&lt;=2,VLOOKUP(C51&amp;C53,tablas!$B$3:$J$92,5,FALSE),"Franja de losa")</f>
        <v>1.6</v>
      </c>
      <c r="D61" s="83">
        <f>IF(D53&lt;=2,VLOOKUP(D51&amp;D53-0.1,tablas!$B$3:$J$92,5,FALSE),"Franja de losa")</f>
        <v>1.39</v>
      </c>
      <c r="E61" s="83" t="str">
        <f>IF(E53&lt;=2,VLOOKUP(E51&amp;E53,tablas!$B$3:$J$92,5,FALSE),"Franja de losa")</f>
        <v>Franja de losa</v>
      </c>
    </row>
    <row r="62" spans="2:5" ht="15.75" thickBot="1" x14ac:dyDescent="0.3">
      <c r="B62" s="71" t="s">
        <v>87</v>
      </c>
      <c r="C62" s="115"/>
      <c r="D62" s="115"/>
      <c r="E62" s="72"/>
    </row>
    <row r="63" spans="2:5" x14ac:dyDescent="0.25">
      <c r="B63" s="97" t="s">
        <v>83</v>
      </c>
      <c r="C63" s="84">
        <f>VLOOKUP(C$46,$B$16:$H$18,6)</f>
        <v>100</v>
      </c>
      <c r="D63" s="84">
        <f>VLOOKUP(D$46,$B$16:$H$18,6)</f>
        <v>100</v>
      </c>
      <c r="E63" s="84">
        <f>VLOOKUP(E$46,$B$16:$H$18,6)</f>
        <v>100</v>
      </c>
    </row>
    <row r="64" spans="2:5" x14ac:dyDescent="0.25">
      <c r="B64" s="97" t="s">
        <v>89</v>
      </c>
      <c r="C64" s="76">
        <f>$L$7*($C$4/100)</f>
        <v>400</v>
      </c>
      <c r="D64" s="77">
        <f>$L$7*($C$4/100)</f>
        <v>400</v>
      </c>
      <c r="E64" s="77">
        <f t="shared" ref="E64" si="2">$L$7*($C$4/100)</f>
        <v>400</v>
      </c>
    </row>
    <row r="65" spans="2:5" x14ac:dyDescent="0.25">
      <c r="B65" s="97" t="s">
        <v>90</v>
      </c>
      <c r="C65" s="76">
        <f>C64+$I$8</f>
        <v>625</v>
      </c>
      <c r="D65" s="77">
        <f>D64+$I$8</f>
        <v>625</v>
      </c>
      <c r="E65" s="77">
        <f t="shared" ref="E65" si="3">E64+$I$8</f>
        <v>625</v>
      </c>
    </row>
    <row r="66" spans="2:5" x14ac:dyDescent="0.25">
      <c r="B66" s="97" t="s">
        <v>91</v>
      </c>
      <c r="C66" s="76">
        <f>1.2*C65+1.6*C63</f>
        <v>910</v>
      </c>
      <c r="D66" s="77">
        <f>1.2*D65+1.6*D63</f>
        <v>910</v>
      </c>
      <c r="E66" s="77">
        <f t="shared" ref="E66" si="4">1.2*E65+1.6*E63</f>
        <v>910</v>
      </c>
    </row>
    <row r="67" spans="2:5" x14ac:dyDescent="0.25">
      <c r="B67" s="98" t="s">
        <v>92</v>
      </c>
      <c r="C67" s="85">
        <f>C66*C48*C49</f>
        <v>7720.4400000000005</v>
      </c>
      <c r="D67" s="86">
        <f>D66*D48*D49</f>
        <v>9078.159999999998</v>
      </c>
      <c r="E67" s="86">
        <f t="shared" ref="E67" si="5">E66*E48*E49</f>
        <v>16784.04</v>
      </c>
    </row>
    <row r="68" spans="2:5" ht="15.75" thickBot="1" x14ac:dyDescent="0.3">
      <c r="B68" s="99" t="s">
        <v>93</v>
      </c>
      <c r="C68" s="87">
        <f>C63/(2*C66)</f>
        <v>5.4945054945054944E-2</v>
      </c>
      <c r="D68" s="88">
        <f>D63/(2*D66)</f>
        <v>5.4945054945054944E-2</v>
      </c>
      <c r="E68" s="88">
        <f t="shared" ref="E68" si="6">E63/(2*E66)</f>
        <v>5.4945054945054944E-2</v>
      </c>
    </row>
    <row r="69" spans="2:5" ht="15.75" thickBot="1" x14ac:dyDescent="0.3">
      <c r="B69" s="71" t="s">
        <v>96</v>
      </c>
      <c r="C69" s="115"/>
      <c r="D69" s="115"/>
      <c r="E69" s="72"/>
    </row>
    <row r="70" spans="2:5" x14ac:dyDescent="0.25">
      <c r="B70" s="96" t="s">
        <v>97</v>
      </c>
      <c r="C70" s="89">
        <f>IF(C53&lt;=2,C67/C56*(1+C68*C60)*C54,IF(OR(C51=6,C51="5a",C51="3a"),C66*C48^2/17,(IF(OR(C51="2a",C51=4,C51="5b"),C66*C48^2/12,IF(OR(C51=1,C51="2b",C51="3b"),C66*C48^2/8)))))</f>
        <v>99.293965714285719</v>
      </c>
      <c r="D70" s="89">
        <f t="shared" ref="D70:E70" si="7">IF(D53&lt;=2,D67/D56*(1+D68*D60)*D54,IF(OR(D51=6,D51="5a",D51="3a"),D66*D48^2/17,(IF(OR(D51="2a",D51=4,D51="5b"),D66*D48^2/12,IF(OR(D51=1,D51="2b",D51="3b"),D66*D48^2/8)))))</f>
        <v>116.13658524590161</v>
      </c>
      <c r="E70" s="89">
        <f t="shared" si="7"/>
        <v>450.18235294117648</v>
      </c>
    </row>
    <row r="71" spans="2:5" x14ac:dyDescent="0.25">
      <c r="B71" s="97" t="s">
        <v>15</v>
      </c>
      <c r="C71" s="90">
        <f>C70/(0.9*(0.9*($C$7/100))*($L$9*1000))</f>
        <v>0.20458134655731447</v>
      </c>
      <c r="D71" s="90">
        <f t="shared" ref="D71:E71" si="8">D70/(0.9*(0.9*($C$7/100))*($L$9*1000))</f>
        <v>0.23928321145457643</v>
      </c>
      <c r="E71" s="90">
        <f t="shared" si="8"/>
        <v>0.92753785487888452</v>
      </c>
    </row>
    <row r="72" spans="2:5" x14ac:dyDescent="0.25">
      <c r="B72" s="97" t="s">
        <v>98</v>
      </c>
      <c r="C72" s="92">
        <f>(C71*($L$9))/(0.85*$L$6*100)</f>
        <v>5.0496433867664708E-3</v>
      </c>
      <c r="D72" s="92">
        <f t="shared" ref="D72:E72" si="9">(D71*($L$9))/(0.85*$L$6*100)</f>
        <v>5.9061830739653232E-3</v>
      </c>
      <c r="E72" s="92">
        <f t="shared" si="9"/>
        <v>2.2894244630228523E-2</v>
      </c>
    </row>
    <row r="73" spans="2:5" ht="15.75" thickBot="1" x14ac:dyDescent="0.3">
      <c r="B73" s="97" t="s">
        <v>15</v>
      </c>
      <c r="C73" s="76">
        <f>ROUNDUP(C70/(0.9*(($C$7-C72/2)/100)*($L$9*1000)),2)</f>
        <v>0.19</v>
      </c>
      <c r="D73" s="76">
        <f t="shared" ref="D73:E73" si="10">ROUNDUP(D70/(0.9*(($C$7-D72/2)/100)*($L$9*1000)),2)</f>
        <v>0.22</v>
      </c>
      <c r="E73" s="76">
        <f t="shared" si="10"/>
        <v>0.84</v>
      </c>
    </row>
    <row r="74" spans="2:5" ht="16.5" thickBot="1" x14ac:dyDescent="0.3">
      <c r="B74" s="61" t="s">
        <v>100</v>
      </c>
      <c r="C74" s="94" t="str">
        <f>IF(C73&gt;$C$12,"φ"&amp;IF(VLOOKUP(VLOOKUP(C73,tablas!$R$3:$T$66,2,TRUE)&amp;VLOOKUP(C73,tablas!$R$3:$T$66,3,TRUE),tablas!$Q$3:$R$66,2,FALSE)&lt;C73,VLOOKUP(C73+0.1,tablas!$R$3:$T$66,2,TRUE),VLOOKUP(C73,tablas!$R$3:$T$66,2,TRUE))&amp;"@"&amp;IF(VLOOKUP(VLOOKUP(C73,tablas!$R$3:$T$66,2,TRUE)&amp;VLOOKUP(C73,tablas!$R$3:$T$66,3,TRUE),tablas!$Q$3:$R$66,2,FALSE)&lt;C73,VLOOKUP(C73+0.1,tablas!$R$3:$T$66,3,TRUE),VLOOKUP(C73,tablas!$R$3:$T$66,3,TRUE)),$C$13)</f>
        <v>$\phi8@17$</v>
      </c>
      <c r="D74" s="94" t="str">
        <f>IF(D73&gt;$C$12,"φ"&amp;IF(VLOOKUP(VLOOKUP(D73,tablas!$R$3:$T$66,2,TRUE)&amp;VLOOKUP(D73,tablas!$R$3:$T$66,3,TRUE),tablas!$Q$3:$R$66,2,FALSE)&lt;D73,VLOOKUP(D73+0.1,tablas!$R$3:$T$66,2,TRUE),VLOOKUP(D73,tablas!$R$3:$T$66,2,TRUE))&amp;"@"&amp;IF(VLOOKUP(VLOOKUP(D73,tablas!$R$3:$T$66,2,TRUE)&amp;VLOOKUP(D73,tablas!$R$3:$T$66,3,TRUE),tablas!$Q$3:$R$66,2,FALSE)&lt;D73,VLOOKUP(D73+0.1,tablas!$R$3:$T$66,3,TRUE),VLOOKUP(D73,tablas!$R$3:$T$66,3,TRUE)),$C$13)</f>
        <v>$\phi8@17$</v>
      </c>
      <c r="E74" s="94" t="str">
        <f>IF(E73&gt;$C$12,"φ"&amp;IF(VLOOKUP(VLOOKUP(E73,tablas!$R$3:$T$66,2,TRUE)&amp;VLOOKUP(E73,tablas!$R$3:$T$66,3,TRUE),tablas!$Q$3:$R$66,2,FALSE)&lt;E73,VLOOKUP(E73+0.1,tablas!$R$3:$T$66,2,TRUE),VLOOKUP(E73,tablas!$R$3:$T$66,2,TRUE))&amp;"@"&amp;IF(VLOOKUP(VLOOKUP(E73,tablas!$R$3:$T$66,2,TRUE)&amp;VLOOKUP(E73,tablas!$R$3:$T$66,3,TRUE),tablas!$Q$3:$R$66,2,FALSE)&lt;E73,VLOOKUP(E73+0.1,tablas!$R$3:$T$66,3,TRUE),VLOOKUP(E73,tablas!$R$3:$T$66,3,TRUE)),$C$13)</f>
        <v>$\phi8@17$</v>
      </c>
    </row>
    <row r="75" spans="2:5" x14ac:dyDescent="0.25">
      <c r="B75" s="96" t="s">
        <v>102</v>
      </c>
      <c r="C75" s="89">
        <f>IF(C53&lt;=2,C67/C57*(1+C68*C61)*C54,"0")</f>
        <v>25.543837113402059</v>
      </c>
      <c r="D75" s="89">
        <f>IF(D53&lt;=2,D67/D57*(1+D68*D61)*D54,"0")</f>
        <v>29.828765052631567</v>
      </c>
      <c r="E75" s="89" t="str">
        <f>IF(E53&lt;=2,E67/E57*(1+E68*E61)*E54,"0")</f>
        <v>0</v>
      </c>
    </row>
    <row r="76" spans="2:5" x14ac:dyDescent="0.25">
      <c r="B76" s="97" t="s">
        <v>15</v>
      </c>
      <c r="C76" s="85">
        <f>C75/(0.9*(0.9*($C$7/100))*($L$9*1000))</f>
        <v>5.2629508302020081E-2</v>
      </c>
      <c r="D76" s="85">
        <f>D75/(0.9*(0.9*($C$7/100))*($L$9*1000))</f>
        <v>6.1458003784122778E-2</v>
      </c>
      <c r="E76" s="85">
        <f>E75/(0.9*(0.9*($C$7/100))*($L$9*1000))</f>
        <v>0</v>
      </c>
    </row>
    <row r="77" spans="2:5" x14ac:dyDescent="0.25">
      <c r="B77" s="97" t="s">
        <v>98</v>
      </c>
      <c r="C77" s="85">
        <f>(C76*($L$9))/(0.85*$L$6*100)</f>
        <v>1.2990443802344057E-3</v>
      </c>
      <c r="D77" s="85">
        <f>(D76*($L$9))/(0.85*$L$6*100)</f>
        <v>1.5169564947868828E-3</v>
      </c>
      <c r="E77" s="85">
        <f>(E76*($L$9))/(0.85*$L$6*100)</f>
        <v>0</v>
      </c>
    </row>
    <row r="78" spans="2:5" ht="15.75" thickBot="1" x14ac:dyDescent="0.3">
      <c r="B78" s="97" t="s">
        <v>15</v>
      </c>
      <c r="C78" s="76">
        <f>ROUNDUP(C75/(0.9*(($C$7-C77/2)/100)*($L$9*1000)),2)</f>
        <v>0.05</v>
      </c>
      <c r="D78" s="76">
        <f>ROUNDUP(D75/(0.9*(($C$7-D77/2)/100)*($L$9*1000)),2)</f>
        <v>6.0000000000000005E-2</v>
      </c>
      <c r="E78" s="76">
        <f>ROUNDUP(E75/(0.9*(($C$7-E77/2)/100)*($L$9*1000)),2)</f>
        <v>0</v>
      </c>
    </row>
    <row r="79" spans="2:5" ht="16.5" thickBot="1" x14ac:dyDescent="0.3">
      <c r="B79" s="61" t="s">
        <v>101</v>
      </c>
      <c r="C79" s="94" t="str">
        <f>IF(C78&gt;$C$12,"φ"&amp;IF(VLOOKUP(VLOOKUP(C78,tablas!$R$3:$T$66,2,TRUE)&amp;VLOOKUP(C78,tablas!$R$3:$T$66,3,TRUE),tablas!$Q$3:$R$66,2,FALSE)&lt;C78,VLOOKUP(C78+0.1,tablas!$R$3:$T$66,2,TRUE),VLOOKUP(C78,tablas!$R$3:$T$66,2,TRUE))&amp;"@"&amp;IF(VLOOKUP(VLOOKUP(C78,tablas!$R$3:$T$66,2,TRUE)&amp;VLOOKUP(C78,tablas!$R$3:$T$66,3,TRUE),tablas!$Q$3:$R$66,2,FALSE)&lt;C78,VLOOKUP(C78+0.1,tablas!$R$3:$T$66,3,TRUE),VLOOKUP(C78,tablas!$R$3:$T$66,3,TRUE)),$C$13)</f>
        <v>$\phi8@17$</v>
      </c>
      <c r="D79" s="94" t="str">
        <f>IF(D78&gt;$C$12,"φ"&amp;IF(VLOOKUP(VLOOKUP(D78,tablas!$R$3:$T$66,2,TRUE)&amp;VLOOKUP(D78,tablas!$R$3:$T$66,3,TRUE),tablas!$Q$3:$R$66,2,FALSE)&lt;D78,VLOOKUP(D78+0.1,tablas!$R$3:$T$66,2,TRUE),VLOOKUP(D78,tablas!$R$3:$T$66,2,TRUE))&amp;"@"&amp;IF(VLOOKUP(VLOOKUP(D78,tablas!$R$3:$T$66,2,TRUE)&amp;VLOOKUP(D78,tablas!$R$3:$T$66,3,TRUE),tablas!$Q$3:$R$66,2,FALSE)&lt;D78,VLOOKUP(D78+0.1,tablas!$R$3:$T$66,3,TRUE),VLOOKUP(D78,tablas!$R$3:$T$66,3,TRUE)),$C$13)</f>
        <v>$\phi8@17$</v>
      </c>
      <c r="E79" s="94" t="str">
        <f>IF(E78&gt;$C$12,"φ"&amp;IF(VLOOKUP(VLOOKUP(E78,tablas!$R$3:$T$66,2,TRUE)&amp;VLOOKUP(E78,tablas!$R$3:$T$66,3,TRUE),tablas!$Q$3:$R$66,2,FALSE)&lt;E78,VLOOKUP(E78+0.1,tablas!$R$3:$T$66,2,TRUE),VLOOKUP(E78,tablas!$R$3:$T$66,2,TRUE))&amp;"@"&amp;IF(VLOOKUP(VLOOKUP(E78,tablas!$R$3:$T$66,2,TRUE)&amp;VLOOKUP(E78,tablas!$R$3:$T$66,3,TRUE),tablas!$Q$3:$R$66,2,FALSE)&lt;E78,VLOOKUP(E78+0.1,tablas!$R$3:$T$66,3,TRUE),VLOOKUP(E78,tablas!$R$3:$T$66,3,TRUE)),$C$13)</f>
        <v>$\phi8@17$</v>
      </c>
    </row>
    <row r="80" spans="2:5" x14ac:dyDescent="0.25">
      <c r="B80" s="96" t="s">
        <v>103</v>
      </c>
      <c r="C80" s="89">
        <f>IF(C53&lt;=2,C67/C58,IF(OR(C51=6,C51="5a",C51="3a"),C66*C48^2/12,(IF(OR(C51="2a",C51=4,C51="5b"),C66*C48^2/8,"-"))))</f>
        <v>327.13728813559322</v>
      </c>
      <c r="D80" s="89">
        <f t="shared" ref="D80:E80" si="11">IF(D53&lt;=2,D67/D58,IF(OR(D51=6,D51="5a",D51="3a"),D66*D48^2/12,(IF(OR(D51="2a",D51=4,D51="5b"),D66*D48^2/8,"-"))))</f>
        <v>412.64363636363629</v>
      </c>
      <c r="E80" s="89">
        <f t="shared" si="11"/>
        <v>637.75833333333333</v>
      </c>
    </row>
    <row r="81" spans="2:21" x14ac:dyDescent="0.25">
      <c r="B81" s="97" t="s">
        <v>15</v>
      </c>
      <c r="C81" s="90">
        <f>C80/(0.9*(0.9*($C$7/100))*($L$9*1000))</f>
        <v>0.67402068629694145</v>
      </c>
      <c r="D81" s="90">
        <f t="shared" ref="D81:E81" si="12">D80/(0.9*(0.9*($C$7/100))*($L$9*1000))</f>
        <v>0.85019457293600553</v>
      </c>
      <c r="E81" s="90">
        <f t="shared" si="12"/>
        <v>1.3140119610784196</v>
      </c>
    </row>
    <row r="82" spans="2:21" x14ac:dyDescent="0.25">
      <c r="B82" s="97" t="s">
        <v>98</v>
      </c>
      <c r="C82" s="92">
        <f>(C81*($L$9))/(0.85*$L$6*100)</f>
        <v>1.6636727435703054E-2</v>
      </c>
      <c r="D82" s="92">
        <f t="shared" ref="D82:E82" si="13">(D81*($L$9))/(0.85*$L$6*100)</f>
        <v>2.0985194764510402E-2</v>
      </c>
      <c r="E82" s="92">
        <f t="shared" si="13"/>
        <v>3.2433513226157069E-2</v>
      </c>
    </row>
    <row r="83" spans="2:21" ht="15.75" thickBot="1" x14ac:dyDescent="0.3">
      <c r="B83" s="97" t="s">
        <v>15</v>
      </c>
      <c r="C83" s="76">
        <f>ROUNDUP(C80/(0.9*(($C$7-C82/2)/100)*($L$9*1000)),2)</f>
        <v>0.61</v>
      </c>
      <c r="D83" s="76">
        <f t="shared" ref="D83:E83" si="14">ROUNDUP(D80/(0.9*(($C$7-D82/2)/100)*($L$9*1000)),2)</f>
        <v>0.77</v>
      </c>
      <c r="E83" s="76">
        <f t="shared" si="14"/>
        <v>1.19</v>
      </c>
    </row>
    <row r="84" spans="2:21" ht="16.5" thickBot="1" x14ac:dyDescent="0.3">
      <c r="B84" s="61" t="s">
        <v>105</v>
      </c>
      <c r="C84" s="94" t="str">
        <f>IF(C83&gt;$C$12,"φ"&amp;IF(VLOOKUP(VLOOKUP(C83,tablas!$R$3:$T$66,2,TRUE)&amp;VLOOKUP(C83,tablas!$R$3:$T$66,3,TRUE),tablas!$Q$3:$R$66,2,FALSE)&lt;C83,VLOOKUP(C83+0.1,tablas!$R$3:$T$66,2,TRUE),VLOOKUP(C83,tablas!$R$3:$T$66,2,TRUE))&amp;"@"&amp;IF(VLOOKUP(VLOOKUP(C83,tablas!$R$3:$T$66,2,TRUE)&amp;VLOOKUP(C83,tablas!$R$3:$T$66,3,TRUE),tablas!$Q$3:$R$66,2,FALSE)&lt;C83,VLOOKUP(C83+0.1,tablas!$R$3:$T$66,3,TRUE),VLOOKUP(C83,tablas!$R$3:$T$66,3,TRUE)),$C$13)</f>
        <v>$\phi8@17$</v>
      </c>
      <c r="D84" s="94" t="str">
        <f>IF(D83&gt;$C$12,"φ"&amp;IF(VLOOKUP(VLOOKUP(D83,tablas!$R$3:$T$66,2,TRUE)&amp;VLOOKUP(D83,tablas!$R$3:$T$66,3,TRUE),tablas!$Q$3:$R$66,2,FALSE)&lt;D83,VLOOKUP(D83+0.1,tablas!$R$3:$T$66,2,TRUE),VLOOKUP(D83,tablas!$R$3:$T$66,2,TRUE))&amp;"@"&amp;IF(VLOOKUP(VLOOKUP(D83,tablas!$R$3:$T$66,2,TRUE)&amp;VLOOKUP(D83,tablas!$R$3:$T$66,3,TRUE),tablas!$Q$3:$R$66,2,FALSE)&lt;D83,VLOOKUP(D83+0.1,tablas!$R$3:$T$66,3,TRUE),VLOOKUP(D83,tablas!$R$3:$T$66,3,TRUE)),$C$13)</f>
        <v>$\phi8@17$</v>
      </c>
      <c r="E84" s="94" t="str">
        <f>IF(E83&gt;$C$12,"φ"&amp;IF(VLOOKUP(VLOOKUP(E83,tablas!$R$3:$T$66,2,TRUE)&amp;VLOOKUP(E83,tablas!$R$3:$T$66,3,TRUE),tablas!$Q$3:$R$66,2,FALSE)&lt;E83,VLOOKUP(E83+0.1,tablas!$R$3:$T$66,2,TRUE),VLOOKUP(E83,tablas!$R$3:$T$66,2,TRUE))&amp;"@"&amp;IF(VLOOKUP(VLOOKUP(E83,tablas!$R$3:$T$66,2,TRUE)&amp;VLOOKUP(E83,tablas!$R$3:$T$66,3,TRUE),tablas!$Q$3:$R$66,2,FALSE)&lt;E83,VLOOKUP(E83+0.1,tablas!$R$3:$T$66,3,TRUE),VLOOKUP(E83,tablas!$R$3:$T$66,3,TRUE)),$C$13)</f>
        <v>$\phi8@17$</v>
      </c>
    </row>
    <row r="85" spans="2:21" x14ac:dyDescent="0.25">
      <c r="B85" s="96" t="s">
        <v>104</v>
      </c>
      <c r="C85" s="89">
        <f>IF(C53&lt;=2,C67/C59,IF(OR(C51=6,C51="5a",C51="3a"),C66*C48^2/17.5,(IF(OR(C51="2a",C51=4,C51="5b"),C66*C48^2/11.25,IF(OR(C51=1,C51="2b",C51="3b"),C66*C48^2/8)))))</f>
        <v>218.09152542372883</v>
      </c>
      <c r="D85" s="89">
        <f t="shared" ref="D85:E85" si="15">IF(D53&lt;=2,D67/D59,IF(OR(D51=6,D51="5a",D51="3a"),D66*D48^2/17.5,(IF(OR(D51="2a",D51=4,D51="5b"),D66*D48^2/11.25,IF(OR(D51=1,D51="2b",D51="3b"),D66*D48^2/8)))))</f>
        <v>289.11337579617827</v>
      </c>
      <c r="E85" s="89">
        <f t="shared" si="15"/>
        <v>437.32</v>
      </c>
    </row>
    <row r="86" spans="2:21" x14ac:dyDescent="0.25">
      <c r="B86" s="97" t="s">
        <v>15</v>
      </c>
      <c r="C86" s="90">
        <f>C85/(0.9*(0.9*($C$7/100))*($L$9*1000))</f>
        <v>0.44934712419796097</v>
      </c>
      <c r="D86" s="91">
        <f>D85/(0.9*(0.9*($C$7/100))*($L$9*1000))</f>
        <v>0.59567772626089555</v>
      </c>
      <c r="E86" s="91">
        <f t="shared" ref="E86" si="16">E85/(0.9*(0.9*($C$7/100))*($L$9*1000))</f>
        <v>0.90103677331091636</v>
      </c>
    </row>
    <row r="87" spans="2:21" x14ac:dyDescent="0.25">
      <c r="B87" s="97" t="s">
        <v>98</v>
      </c>
      <c r="C87" s="92">
        <f>(C86*($L$9))/(0.85*$L$6*100)</f>
        <v>1.1091151623802037E-2</v>
      </c>
      <c r="D87" s="93">
        <f>(D86*($L$9))/(0.85*$L$6*100)</f>
        <v>1.4703002701249326E-2</v>
      </c>
      <c r="E87" s="93">
        <f t="shared" ref="E87" si="17">(E86*($L$9))/(0.85*$L$6*100)</f>
        <v>2.2240123355079133E-2</v>
      </c>
    </row>
    <row r="88" spans="2:21" ht="15.75" thickBot="1" x14ac:dyDescent="0.3">
      <c r="B88" s="97" t="s">
        <v>15</v>
      </c>
      <c r="C88" s="76">
        <f>ROUNDUP(C85/(0.9*(($C$7-C87/2)/100)*($L$9*1000)),2)</f>
        <v>0.41000000000000003</v>
      </c>
      <c r="D88" s="77">
        <f>ROUNDUP(D85/(0.9*(($C$7-D87/2)/100)*($L$9*1000)),2)</f>
        <v>0.54</v>
      </c>
      <c r="E88" s="77">
        <f t="shared" ref="E88" si="18">ROUNDUP(E85/(0.9*(($C$7-E87/2)/100)*($L$9*1000)),2)</f>
        <v>0.82000000000000006</v>
      </c>
    </row>
    <row r="89" spans="2:21" ht="16.5" thickBot="1" x14ac:dyDescent="0.3">
      <c r="B89" s="61" t="s">
        <v>106</v>
      </c>
      <c r="C89" s="94" t="str">
        <f>IF(C88&gt;$C$12,"φ"&amp;IF(VLOOKUP(VLOOKUP(C88,tablas!$R$3:$T$66,2,TRUE)&amp;VLOOKUP(C88,tablas!$R$3:$T$66,3,TRUE),tablas!$Q$3:$R$66,2,FALSE)&lt;C88,VLOOKUP(C88+0.1,tablas!$R$3:$T$66,2,TRUE),VLOOKUP(C88,tablas!$R$3:$T$66,2,TRUE))&amp;"@"&amp;IF(VLOOKUP(VLOOKUP(C88,tablas!$R$3:$T$66,2,TRUE)&amp;VLOOKUP(C88,tablas!$R$3:$T$66,3,TRUE),tablas!$Q$3:$R$66,2,FALSE)&lt;C88,VLOOKUP(C88+0.1,tablas!$R$3:$T$66,3,TRUE),VLOOKUP(C88,tablas!$R$3:$T$66,3,TRUE)),$C$13)</f>
        <v>$\phi8@17$</v>
      </c>
      <c r="D89" s="95" t="str">
        <f>IF(D88&gt;$C$12,"φ"&amp;IF(VLOOKUP(VLOOKUP(D88,tablas!$R$3:$T$66,2,TRUE)&amp;VLOOKUP(D88,tablas!$R$3:$T$66,3,TRUE),tablas!$Q$3:$R$66,2,FALSE)&lt;D88,VLOOKUP(D88+0.1,tablas!$R$3:$T$66,2,TRUE),VLOOKUP(D88,tablas!$R$3:$T$66,2,TRUE))&amp;"@"&amp;IF(VLOOKUP(VLOOKUP(D88,tablas!$R$3:$T$66,2,TRUE)&amp;VLOOKUP(D88,tablas!$R$3:$T$66,3,TRUE),tablas!$Q$3:$R$66,2,FALSE)&lt;D88,VLOOKUP(D88+0.1,tablas!$R$3:$T$66,3,TRUE),VLOOKUP(D88,tablas!$R$3:$T$66,3,TRUE)),$C$13)</f>
        <v>$\phi8@17$</v>
      </c>
      <c r="E89" s="95" t="str">
        <f>IF(E88&gt;$C$12,"φ"&amp;IF(VLOOKUP(VLOOKUP(E88,tablas!$R$3:$T$66,2,TRUE)&amp;VLOOKUP(E88,tablas!$R$3:$T$66,3,TRUE),tablas!$Q$3:$R$66,2,FALSE)&lt;E88,VLOOKUP(E88+0.1,tablas!$R$3:$T$66,2,TRUE),VLOOKUP(E88,tablas!$R$3:$T$66,2,TRUE))&amp;"@"&amp;IF(VLOOKUP(VLOOKUP(E88,tablas!$R$3:$T$66,2,TRUE)&amp;VLOOKUP(E88,tablas!$R$3:$T$66,3,TRUE),tablas!$Q$3:$R$66,2,FALSE)&lt;E88,VLOOKUP(E88+0.1,tablas!$R$3:$T$66,3,TRUE),VLOOKUP(E88,tablas!$R$3:$T$66,3,TRUE)),$C$13)</f>
        <v>$\phi8@17$</v>
      </c>
    </row>
    <row r="91" spans="2:21" ht="15.75" thickBot="1" x14ac:dyDescent="0.3">
      <c r="B91" s="219" t="s">
        <v>107</v>
      </c>
      <c r="C91" s="219"/>
      <c r="P91" s="40"/>
      <c r="T91" s="40"/>
      <c r="U91" s="41"/>
    </row>
    <row r="92" spans="2:21" ht="15.75" thickBot="1" x14ac:dyDescent="0.3">
      <c r="B92" s="73" t="s">
        <v>43</v>
      </c>
      <c r="C92" s="74" t="s">
        <v>234</v>
      </c>
      <c r="D92" s="75" t="s">
        <v>235</v>
      </c>
      <c r="E92" s="74" t="s">
        <v>235</v>
      </c>
      <c r="F92" s="75" t="s">
        <v>236</v>
      </c>
    </row>
    <row r="93" spans="2:21" ht="15.75" thickBot="1" x14ac:dyDescent="0.3">
      <c r="B93" s="144"/>
      <c r="C93" s="146" t="str">
        <f>C92&amp;"-"&amp;D92</f>
        <v>2401-2402</v>
      </c>
      <c r="D93" s="146"/>
      <c r="E93" s="146" t="str">
        <f>E92&amp;"-"&amp;F92</f>
        <v>2402-2403</v>
      </c>
      <c r="F93" s="145"/>
    </row>
    <row r="94" spans="2:21" x14ac:dyDescent="0.25">
      <c r="B94" s="105" t="s">
        <v>114</v>
      </c>
      <c r="C94" s="102" t="s">
        <v>109</v>
      </c>
      <c r="D94" s="103" t="s">
        <v>108</v>
      </c>
      <c r="E94" s="102" t="s">
        <v>109</v>
      </c>
      <c r="F94" s="103" t="s">
        <v>108</v>
      </c>
    </row>
    <row r="95" spans="2:21" x14ac:dyDescent="0.25">
      <c r="B95" s="106" t="s">
        <v>110</v>
      </c>
      <c r="C95" s="104">
        <f>HLOOKUP(C92,$B$46:$E$89,IF(C94="x",35,40),FALSE)</f>
        <v>218.09152542372883</v>
      </c>
      <c r="D95" s="86">
        <f>HLOOKUP(D92,$B$46:$E$89,IF(D94="x",35,40),FALSE)</f>
        <v>412.64363636363629</v>
      </c>
      <c r="E95" s="104">
        <f>HLOOKUP(E92,$B$46:$E$89,IF(E94="x",35,40),FALSE)</f>
        <v>289.11337579617827</v>
      </c>
      <c r="F95" s="86">
        <f>HLOOKUP(F92,$B$46:$E$89,IF(F94="x",35,40),FALSE)</f>
        <v>637.75833333333333</v>
      </c>
    </row>
    <row r="96" spans="2:21" x14ac:dyDescent="0.25">
      <c r="B96" s="106" t="s">
        <v>111</v>
      </c>
      <c r="C96" s="203">
        <f>(MAX(C95:D95)-MIN(C95:D95))/(MAX(C95:D95))</f>
        <v>0.47147730825166828</v>
      </c>
      <c r="D96" s="204"/>
      <c r="E96" s="203">
        <f>(MAX(E95:F95)-MIN(E95:F95))/(MAX(E95:F95))</f>
        <v>0.5466725236108062</v>
      </c>
      <c r="F96" s="204"/>
    </row>
    <row r="97" spans="2:6" x14ac:dyDescent="0.25">
      <c r="B97" s="106" t="s">
        <v>112</v>
      </c>
      <c r="C97" s="205">
        <f>IF(C96&lt;25%,(C95*0.5+D95*0.5)*0.9,IF(C96&lt;50%,(MAX(C95:D95)*0.6+MIN(C95:D95)*0.4)*0.9,IF(C96&lt;70%,(MAX(C95:D95)*0.65+MIN(C95:D95)*0.35)*0.9,IF(C96&lt;100%,(MAX(C95:D95)*0.7+MIN(C95:D95)*0.3)*0.9,0.7*MAX(C95:D95)))))</f>
        <v>301.34051278890598</v>
      </c>
      <c r="D97" s="206"/>
      <c r="E97" s="205">
        <f>IF(E96&lt;25%,(E95*0.5+F95*0.5)*0.9,IF(E96&lt;50%,(MAX(E95:F95)*0.6+MIN(E95:F95)*0.4)*0.9,IF(E96&lt;70%,(MAX(E95:F95)*0.65+MIN(E95:F95)*0.35)*0.9,IF(E96&lt;100%,(MAX(E95:F95)*0.7+MIN(E95:F95)*0.3)*0.9,0.7*MAX(E95:F95)))))</f>
        <v>464.15933837579615</v>
      </c>
      <c r="F97" s="206"/>
    </row>
    <row r="98" spans="2:6" x14ac:dyDescent="0.25">
      <c r="B98" s="107" t="s">
        <v>15</v>
      </c>
      <c r="C98" s="207">
        <f>C97/(0.9*(0.9*($C$7/100))*($L$9*1000))</f>
        <v>0.62087003409670893</v>
      </c>
      <c r="D98" s="208"/>
      <c r="E98" s="207">
        <f>E97/(0.9*(0.9*($C$7/100))*($L$9*1000))</f>
        <v>0.95633548100305765</v>
      </c>
      <c r="F98" s="208"/>
    </row>
    <row r="99" spans="2:6" x14ac:dyDescent="0.25">
      <c r="B99" s="107" t="s">
        <v>98</v>
      </c>
      <c r="C99" s="209">
        <f>(C98*($L$9))/(0.85*$L$6*100)</f>
        <v>1.5324819757404351E-2</v>
      </c>
      <c r="D99" s="210"/>
      <c r="E99" s="209">
        <f>(E98*($L$9))/(0.85*$L$6*100)</f>
        <v>2.3605051088195429E-2</v>
      </c>
      <c r="F99" s="210"/>
    </row>
    <row r="100" spans="2:6" ht="15.75" thickBot="1" x14ac:dyDescent="0.3">
      <c r="B100" s="108" t="s">
        <v>15</v>
      </c>
      <c r="C100" s="201">
        <f>ROUNDUP(C97/(0.9*(($C$7-C99/2)/100)*($L$9*1000)),2)</f>
        <v>0.56000000000000005</v>
      </c>
      <c r="D100" s="202"/>
      <c r="E100" s="201">
        <f>ROUNDUP(E97/(0.9*(($C$7-E99/2)/100)*($L$9*1000)),2)</f>
        <v>0.87</v>
      </c>
      <c r="F100" s="202"/>
    </row>
    <row r="101" spans="2:6" ht="16.5" thickBot="1" x14ac:dyDescent="0.3">
      <c r="B101" s="61" t="s">
        <v>113</v>
      </c>
      <c r="C101" s="199" t="str">
        <f>IF(C100&gt;$C$12,"$\phi"&amp;IF(VLOOKUP(VLOOKUP(C100,tablas!$R$3:$T$66,2,TRUE)&amp;VLOOKUP(C100,tablas!$R$3:$T$66,3,TRUE),tablas!$Q$3:$R$66,2,FALSE)&lt;C100,VLOOKUP(C100+0.1,tablas!$R$3:$T$66,2,TRUE),VLOOKUP(C100,tablas!$R$3:$T$66,2,TRUE))&amp;"@"&amp;IF(VLOOKUP(VLOOKUP(C100,tablas!$R$3:$T$66,2,TRUE)&amp;VLOOKUP(C100,tablas!$R$3:$T$66,3,TRUE),tablas!$Q$3:$R$66,2,FALSE)&lt;C100,VLOOKUP(C100+0.1,tablas!$R$3:$T$66,3,TRUE)&amp;"$",VLOOKUP(C100,tablas!$R$3:$T$66,3,TRUE)&amp;"$"),$C$13)</f>
        <v>$\phi8@17$</v>
      </c>
      <c r="D101" s="200"/>
      <c r="E101" s="199" t="str">
        <f>IF(E100&gt;$C$12,"$\phi"&amp;IF(VLOOKUP(VLOOKUP(E100,tablas!$R$3:$T$66,2,TRUE)&amp;VLOOKUP(E100,tablas!$R$3:$T$66,3,TRUE),tablas!$Q$3:$R$66,2,FALSE)&lt;E100,VLOOKUP(E100+0.1,tablas!$R$3:$T$66,2,TRUE),VLOOKUP(E100,tablas!$R$3:$T$66,2,TRUE))&amp;"@"&amp;IF(VLOOKUP(VLOOKUP(E100,tablas!$R$3:$T$66,2,TRUE)&amp;VLOOKUP(E100,tablas!$R$3:$T$66,3,TRUE),tablas!$Q$3:$R$66,2,FALSE)&lt;E100,VLOOKUP(E100+0.1,tablas!$R$3:$T$66,3,TRUE)&amp;"$",VLOOKUP(E100,tablas!$R$3:$T$66,3,TRUE)&amp;"$"),$C$13)</f>
        <v>$\phi8@17$</v>
      </c>
      <c r="F101" s="200"/>
    </row>
  </sheetData>
  <mergeCells count="16">
    <mergeCell ref="H4:I4"/>
    <mergeCell ref="K4:L4"/>
    <mergeCell ref="B91:C91"/>
    <mergeCell ref="C96:D96"/>
    <mergeCell ref="E96:F96"/>
    <mergeCell ref="C98:D98"/>
    <mergeCell ref="E98:F98"/>
    <mergeCell ref="C97:D97"/>
    <mergeCell ref="E97:F97"/>
    <mergeCell ref="E4:F4"/>
    <mergeCell ref="C101:D101"/>
    <mergeCell ref="E101:F101"/>
    <mergeCell ref="C100:D100"/>
    <mergeCell ref="E100:F100"/>
    <mergeCell ref="C99:D99"/>
    <mergeCell ref="E99:F9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39D2E-6E2A-46B8-B23E-646EC0A82765}">
  <dimension ref="B1:M13"/>
  <sheetViews>
    <sheetView workbookViewId="0">
      <selection activeCell="J17" sqref="J17"/>
    </sheetView>
  </sheetViews>
  <sheetFormatPr defaultColWidth="11.42578125" defaultRowHeight="15" x14ac:dyDescent="0.25"/>
  <cols>
    <col min="1" max="1" width="2.85546875" customWidth="1"/>
    <col min="5" max="6" width="12" customWidth="1"/>
    <col min="15" max="15" width="9.7109375" bestFit="1" customWidth="1"/>
    <col min="16" max="16" width="20.7109375" bestFit="1" customWidth="1"/>
    <col min="17" max="17" width="14.28515625" bestFit="1" customWidth="1"/>
    <col min="18" max="18" width="8.28515625" bestFit="1" customWidth="1"/>
  </cols>
  <sheetData>
    <row r="1" spans="2:13" ht="15.75" thickBot="1" x14ac:dyDescent="0.3"/>
    <row r="2" spans="2:13" ht="15.75" thickBot="1" x14ac:dyDescent="0.3">
      <c r="B2" s="222" t="s">
        <v>274</v>
      </c>
      <c r="C2" s="223"/>
      <c r="D2" s="223"/>
      <c r="E2" s="223"/>
      <c r="F2" s="223"/>
      <c r="G2" s="224"/>
      <c r="H2" s="225"/>
      <c r="I2" s="225"/>
      <c r="J2" s="225"/>
      <c r="K2" s="225"/>
      <c r="L2" s="225"/>
      <c r="M2" s="225"/>
    </row>
    <row r="3" spans="2:13" ht="15.75" thickBot="1" x14ac:dyDescent="0.3">
      <c r="B3" s="262" t="s">
        <v>43</v>
      </c>
      <c r="C3" s="238" t="s">
        <v>19</v>
      </c>
      <c r="D3" s="226" t="s">
        <v>246</v>
      </c>
      <c r="E3" s="226" t="s">
        <v>244</v>
      </c>
      <c r="F3" s="228" t="s">
        <v>240</v>
      </c>
      <c r="G3" s="229"/>
      <c r="H3" s="228" t="s">
        <v>241</v>
      </c>
      <c r="I3" s="229"/>
      <c r="J3" s="228" t="s">
        <v>247</v>
      </c>
      <c r="K3" s="229"/>
      <c r="L3" s="228" t="s">
        <v>248</v>
      </c>
      <c r="M3" s="224"/>
    </row>
    <row r="4" spans="2:13" ht="45.75" thickBot="1" x14ac:dyDescent="0.3">
      <c r="B4" s="263"/>
      <c r="C4" s="239"/>
      <c r="D4" s="227"/>
      <c r="E4" s="227"/>
      <c r="F4" s="141" t="s">
        <v>245</v>
      </c>
      <c r="G4" s="142" t="s">
        <v>242</v>
      </c>
      <c r="H4" s="141" t="s">
        <v>245</v>
      </c>
      <c r="I4" s="142" t="s">
        <v>242</v>
      </c>
      <c r="J4" s="141" t="s">
        <v>245</v>
      </c>
      <c r="K4" s="142" t="s">
        <v>242</v>
      </c>
      <c r="L4" s="141" t="s">
        <v>245</v>
      </c>
      <c r="M4" s="138" t="s">
        <v>242</v>
      </c>
    </row>
    <row r="5" spans="2:13" ht="15" customHeight="1" x14ac:dyDescent="0.25">
      <c r="B5" s="260" t="str">
        <f>'24'!C46</f>
        <v>2401</v>
      </c>
      <c r="C5" s="285">
        <f>'24'!$C$4</f>
        <v>16</v>
      </c>
      <c r="D5" s="270">
        <f>'24'!$C$12</f>
        <v>2.88</v>
      </c>
      <c r="E5" s="270">
        <f>HLOOKUP($B5,'24'!$C$46:$AE$89,21)</f>
        <v>910</v>
      </c>
      <c r="F5" s="270">
        <f>HLOOKUP($B5,'24'!$C$46:$AE$89,28)</f>
        <v>0.19</v>
      </c>
      <c r="G5" s="270" t="str">
        <f>HLOOKUP($B5,'24'!$C$46:$AE$89,29)</f>
        <v>$\phi8@17$</v>
      </c>
      <c r="H5" s="270">
        <f>HLOOKUP($B5,'24'!$C$46:$AE$89,33)</f>
        <v>0.05</v>
      </c>
      <c r="I5" s="270" t="str">
        <f>HLOOKUP($B5,'24'!$C$46:$AE$89,34)</f>
        <v>$\phi8@17$</v>
      </c>
      <c r="J5" s="270">
        <f>HLOOKUP($B5,'24'!$C$46:$AE$89,38)</f>
        <v>0.61</v>
      </c>
      <c r="K5" s="270" t="str">
        <f>HLOOKUP($B5,'24'!$C$46:$AE$89,39)</f>
        <v>$\phi8@17$</v>
      </c>
      <c r="L5" s="270">
        <f>HLOOKUP($B5,'24'!$C$46:$AE$89,43)</f>
        <v>0.41000000000000003</v>
      </c>
      <c r="M5" s="271" t="str">
        <f>HLOOKUP($B5,'24'!$C$46:$AE$89,44)</f>
        <v>$\phi8@17$</v>
      </c>
    </row>
    <row r="6" spans="2:13" ht="15" customHeight="1" x14ac:dyDescent="0.25">
      <c r="B6" s="257" t="str">
        <f>'24'!D46</f>
        <v>2402</v>
      </c>
      <c r="C6" s="288">
        <f>'24'!$C$4</f>
        <v>16</v>
      </c>
      <c r="D6" s="236">
        <f>'24'!$C$12</f>
        <v>2.88</v>
      </c>
      <c r="E6" s="236">
        <f>HLOOKUP($B6,'24'!$C$46:$AE$89,21)</f>
        <v>910</v>
      </c>
      <c r="F6" s="236">
        <f>HLOOKUP($B6,'24'!$C$46:$AE$89,28)</f>
        <v>0.22</v>
      </c>
      <c r="G6" s="236" t="str">
        <f>HLOOKUP($B6,'24'!$C$46:$AE$89,29)</f>
        <v>$\phi8@17$</v>
      </c>
      <c r="H6" s="236">
        <f>HLOOKUP($B6,'24'!$C$46:$AE$89,33)</f>
        <v>6.0000000000000005E-2</v>
      </c>
      <c r="I6" s="236" t="str">
        <f>HLOOKUP($B6,'24'!$C$46:$AE$89,34)</f>
        <v>$\phi8@17$</v>
      </c>
      <c r="J6" s="236">
        <f>HLOOKUP($B6,'24'!$C$46:$AE$89,38)</f>
        <v>0.77</v>
      </c>
      <c r="K6" s="236" t="str">
        <f>HLOOKUP($B6,'24'!$C$46:$AE$89,39)</f>
        <v>$\phi8@17$</v>
      </c>
      <c r="L6" s="236">
        <f>HLOOKUP($B6,'24'!$C$46:$AE$89,43)</f>
        <v>0.54</v>
      </c>
      <c r="M6" s="272" t="str">
        <f>HLOOKUP($B6,'24'!$C$46:$AE$89,44)</f>
        <v>$\phi8@17$</v>
      </c>
    </row>
    <row r="7" spans="2:13" ht="15" customHeight="1" thickBot="1" x14ac:dyDescent="0.3">
      <c r="B7" s="258" t="str">
        <f>'24'!E46</f>
        <v>2403</v>
      </c>
      <c r="C7" s="289">
        <f>'24'!$C$4</f>
        <v>16</v>
      </c>
      <c r="D7" s="237">
        <f>'24'!$C$12</f>
        <v>2.88</v>
      </c>
      <c r="E7" s="237">
        <f>HLOOKUP($B7,'24'!$C$46:$AE$89,21)</f>
        <v>910</v>
      </c>
      <c r="F7" s="237">
        <f>HLOOKUP($B7,'24'!$C$46:$AE$89,28)</f>
        <v>0.84</v>
      </c>
      <c r="G7" s="237" t="str">
        <f>HLOOKUP($B7,'24'!$C$46:$AE$89,29)</f>
        <v>$\phi8@17$</v>
      </c>
      <c r="H7" s="237">
        <f>HLOOKUP($B7,'24'!$C$46:$AE$89,33)</f>
        <v>0</v>
      </c>
      <c r="I7" s="237" t="str">
        <f>HLOOKUP($B7,'24'!$C$46:$AE$89,34)</f>
        <v>$\phi8@17$</v>
      </c>
      <c r="J7" s="237">
        <f>HLOOKUP($B7,'24'!$C$46:$AE$89,38)</f>
        <v>1.19</v>
      </c>
      <c r="K7" s="237" t="str">
        <f>HLOOKUP($B7,'24'!$C$46:$AE$89,39)</f>
        <v>$\phi8@17$</v>
      </c>
      <c r="L7" s="237">
        <f>HLOOKUP($B7,'24'!$C$46:$AE$89,43)</f>
        <v>0.82000000000000006</v>
      </c>
      <c r="M7" s="273" t="str">
        <f>HLOOKUP($B7,'24'!$C$46:$AE$89,44)</f>
        <v>$\phi8@17$</v>
      </c>
    </row>
    <row r="8" spans="2:13" ht="15.75" thickBot="1" x14ac:dyDescent="0.3"/>
    <row r="9" spans="2:13" ht="15.75" thickBot="1" x14ac:dyDescent="0.3">
      <c r="D9" s="220" t="s">
        <v>107</v>
      </c>
      <c r="E9" s="221"/>
      <c r="F9" s="124"/>
      <c r="G9" s="124"/>
    </row>
    <row r="10" spans="2:13" s="279" customFormat="1" ht="30" customHeight="1" thickBot="1" x14ac:dyDescent="0.3">
      <c r="D10" s="136" t="s">
        <v>278</v>
      </c>
      <c r="E10" s="137" t="str">
        <f>'-1'!B97</f>
        <v>Mu $[kgf \cdot m/m]$</v>
      </c>
      <c r="F10" s="137" t="str">
        <f>'-1'!B100</f>
        <v>As $[cm^2/m]$</v>
      </c>
      <c r="G10" s="138" t="str">
        <f>'-1'!B101</f>
        <v>F'</v>
      </c>
    </row>
    <row r="11" spans="2:13" ht="15" customHeight="1" x14ac:dyDescent="0.25">
      <c r="D11" s="2" t="str">
        <f>'24'!C92&amp;"-"&amp;'24'!D92</f>
        <v>2401-2402</v>
      </c>
      <c r="E11" s="155">
        <f>HLOOKUP($D11,'24'!$C$93:$AF$101,E$13,FALSE)</f>
        <v>301.34051278890598</v>
      </c>
      <c r="F11" s="155">
        <f>HLOOKUP($D11,'24'!$C$93:$AF$101,F$13,FALSE)</f>
        <v>0.56000000000000005</v>
      </c>
      <c r="G11" s="156" t="str">
        <f>HLOOKUP($D11,'24'!$C$93:$AF$101,G$13,FALSE)</f>
        <v>$\phi8@17$</v>
      </c>
    </row>
    <row r="12" spans="2:13" ht="15" customHeight="1" thickBot="1" x14ac:dyDescent="0.3">
      <c r="D12" s="151" t="str">
        <f>'24'!E92&amp;"-"&amp;'24'!F92</f>
        <v>2402-2403</v>
      </c>
      <c r="E12" s="152">
        <f>HLOOKUP($D12,'24'!$C$93:$AF$101,E$13,FALSE)</f>
        <v>464.15933837579615</v>
      </c>
      <c r="F12" s="152">
        <f>HLOOKUP($D12,'24'!$C$93:$AF$101,F$13,FALSE)</f>
        <v>0.87</v>
      </c>
      <c r="G12" s="153" t="str">
        <f>HLOOKUP($D12,'24'!$C$93:$AF$101,G$13,FALSE)</f>
        <v>$\phi8@17$</v>
      </c>
    </row>
    <row r="13" spans="2:13" x14ac:dyDescent="0.25">
      <c r="D13" s="124"/>
      <c r="E13" s="124">
        <v>5</v>
      </c>
      <c r="F13" s="124">
        <v>8</v>
      </c>
      <c r="G13" s="124">
        <v>9</v>
      </c>
    </row>
  </sheetData>
  <mergeCells count="12">
    <mergeCell ref="D9:E9"/>
    <mergeCell ref="B2:G2"/>
    <mergeCell ref="H2:J2"/>
    <mergeCell ref="K2:M2"/>
    <mergeCell ref="B3:B4"/>
    <mergeCell ref="D3:D4"/>
    <mergeCell ref="E3:E4"/>
    <mergeCell ref="F3:G3"/>
    <mergeCell ref="H3:I3"/>
    <mergeCell ref="J3:K3"/>
    <mergeCell ref="L3:M3"/>
    <mergeCell ref="C3:C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383B-C220-4E10-A929-5AC4BA731A59}">
  <dimension ref="B2:U61"/>
  <sheetViews>
    <sheetView showGridLines="0" topLeftCell="A35" zoomScale="80" zoomScaleNormal="80" workbookViewId="0">
      <selection activeCell="C18" sqref="C18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3" width="13.7109375" bestFit="1" customWidth="1"/>
    <col min="4" max="4" width="4.28515625" customWidth="1"/>
    <col min="5" max="5" width="18.28515625" bestFit="1" customWidth="1"/>
    <col min="6" max="6" width="11.85546875" bestFit="1" customWidth="1"/>
    <col min="7" max="7" width="4.28515625" customWidth="1"/>
    <col min="8" max="8" width="14.140625" bestFit="1" customWidth="1"/>
    <col min="9" max="9" width="17.5703125" bestFit="1" customWidth="1"/>
    <col min="10" max="10" width="4.28515625" customWidth="1"/>
    <col min="11" max="11" width="13.5703125" bestFit="1" customWidth="1"/>
    <col min="12" max="12" width="10.5703125" bestFit="1" customWidth="1"/>
    <col min="13" max="13" width="11.28515625" bestFit="1" customWidth="1"/>
    <col min="14" max="24" width="14.7109375" bestFit="1" customWidth="1"/>
  </cols>
  <sheetData>
    <row r="2" spans="2:21" ht="18.75" x14ac:dyDescent="0.3">
      <c r="B2" s="52" t="s">
        <v>237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4" t="s">
        <v>19</v>
      </c>
      <c r="C4" s="113">
        <v>16</v>
      </c>
      <c r="E4" s="217" t="s">
        <v>29</v>
      </c>
      <c r="F4" s="218"/>
      <c r="H4" s="217" t="s">
        <v>30</v>
      </c>
      <c r="I4" s="218"/>
      <c r="K4" s="217" t="s">
        <v>39</v>
      </c>
      <c r="L4" s="218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187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2.04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&amp;"$"</f>
        <v>$\phi8@17$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t="15.75" hidden="1" thickBot="1" x14ac:dyDescent="0.3">
      <c r="B16" s="122" t="s">
        <v>238</v>
      </c>
      <c r="C16" s="121">
        <v>2.2000000000000002</v>
      </c>
      <c r="D16" s="121">
        <v>4.04</v>
      </c>
      <c r="E16" s="121">
        <v>16</v>
      </c>
      <c r="F16" s="121">
        <v>6</v>
      </c>
      <c r="G16" s="121">
        <v>100</v>
      </c>
      <c r="H16" s="121" t="s">
        <v>187</v>
      </c>
      <c r="I16" s="123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t="15.75" thickBot="1" x14ac:dyDescent="0.3">
      <c r="B17" s="67"/>
      <c r="C17" s="9"/>
      <c r="D17" s="6"/>
      <c r="E17" s="6"/>
      <c r="F17" s="112"/>
      <c r="G17" s="6"/>
      <c r="H17" s="6"/>
      <c r="I17" s="6"/>
      <c r="P17" s="40"/>
      <c r="T17" s="40"/>
      <c r="U17" s="41"/>
    </row>
    <row r="18" spans="2:21" ht="15.75" thickBot="1" x14ac:dyDescent="0.3">
      <c r="B18" s="73" t="s">
        <v>43</v>
      </c>
      <c r="C18" s="74" t="s">
        <v>340</v>
      </c>
      <c r="D18" s="39"/>
      <c r="E18" s="39"/>
      <c r="F18" s="39"/>
      <c r="G18" s="39"/>
    </row>
    <row r="19" spans="2:21" ht="15.75" thickBot="1" x14ac:dyDescent="0.3">
      <c r="B19" s="71" t="s">
        <v>95</v>
      </c>
      <c r="C19" s="72"/>
      <c r="D19" s="39"/>
      <c r="E19" s="39"/>
      <c r="F19" s="39"/>
      <c r="G19" s="39"/>
    </row>
    <row r="20" spans="2:21" x14ac:dyDescent="0.25">
      <c r="B20" s="97" t="s">
        <v>81</v>
      </c>
      <c r="C20" s="76">
        <f>VLOOKUP(C$18,$B$16:$H$16,2)</f>
        <v>2.2000000000000002</v>
      </c>
    </row>
    <row r="21" spans="2:21" x14ac:dyDescent="0.25">
      <c r="B21" s="97" t="s">
        <v>82</v>
      </c>
      <c r="C21" s="76">
        <f>VLOOKUP(C$18,$B$16:$H$16,3)</f>
        <v>4.04</v>
      </c>
    </row>
    <row r="22" spans="2:21" x14ac:dyDescent="0.25">
      <c r="B22" s="100" t="s">
        <v>86</v>
      </c>
      <c r="C22" s="76">
        <f>ROUNDUP((C26*C20*100)/C27+$C$5,0)</f>
        <v>6</v>
      </c>
    </row>
    <row r="23" spans="2:21" ht="15.75" thickBot="1" x14ac:dyDescent="0.3">
      <c r="B23" s="101" t="s">
        <v>0</v>
      </c>
      <c r="C23" s="116">
        <f>VLOOKUP(C$18,$B$16:$I$16,5)</f>
        <v>6</v>
      </c>
    </row>
    <row r="24" spans="2:21" ht="15.75" thickBot="1" x14ac:dyDescent="0.3">
      <c r="B24" s="71" t="s">
        <v>94</v>
      </c>
      <c r="C24" s="72"/>
    </row>
    <row r="25" spans="2:21" x14ac:dyDescent="0.25">
      <c r="B25" s="100" t="s">
        <v>84</v>
      </c>
      <c r="C25" s="80">
        <f>ROUNDUP(C21/C20,1)</f>
        <v>1.9000000000000001</v>
      </c>
    </row>
    <row r="26" spans="2:21" x14ac:dyDescent="0.25">
      <c r="B26" s="100" t="s">
        <v>11</v>
      </c>
      <c r="C26" s="76">
        <f>IF(C25&gt;1.5,VLOOKUP(C23&amp;1.5,tablas!$L$3:$O$56,4,FALSE),VLOOKUP(C23&amp;C25,tablas!$L$3:$O$56,4,FALSE))</f>
        <v>0.57999999999999996</v>
      </c>
    </row>
    <row r="27" spans="2:21" x14ac:dyDescent="0.25">
      <c r="B27" s="100" t="s">
        <v>85</v>
      </c>
      <c r="C27" s="76">
        <v>35</v>
      </c>
    </row>
    <row r="28" spans="2:21" x14ac:dyDescent="0.25">
      <c r="B28" s="97" t="s">
        <v>4</v>
      </c>
      <c r="C28" s="76">
        <f>IF(C25&lt;=2,VLOOKUP(C23&amp;C25-0.1,tablas!$B$3:$J$92,6,FALSE),"Franja de losa")</f>
        <v>48.8</v>
      </c>
    </row>
    <row r="29" spans="2:21" x14ac:dyDescent="0.25">
      <c r="B29" s="97" t="s">
        <v>5</v>
      </c>
      <c r="C29" s="76">
        <f>IF(C25&lt;=2,VLOOKUP(C23&amp;C25-0.1,tablas!$B$3:$J$92,7,FALSE),"Franja de losa")</f>
        <v>190</v>
      </c>
    </row>
    <row r="30" spans="2:21" x14ac:dyDescent="0.25">
      <c r="B30" s="97" t="s">
        <v>6</v>
      </c>
      <c r="C30" s="76">
        <f>IF(C25&lt;=2,VLOOKUP(C23&amp;C25-0.1,tablas!$B$3:$J$92,8,FALSE),"Franja de losa")</f>
        <v>22</v>
      </c>
    </row>
    <row r="31" spans="2:21" x14ac:dyDescent="0.25">
      <c r="B31" s="97" t="s">
        <v>7</v>
      </c>
      <c r="C31" s="76">
        <f>IF(C25&lt;=2,VLOOKUP(C23&amp;C25-0.1,tablas!$B$3:$J$92,9,FALSE),"Franja de losa")</f>
        <v>31.4</v>
      </c>
    </row>
    <row r="32" spans="2:21" x14ac:dyDescent="0.25">
      <c r="B32" s="100" t="s">
        <v>2</v>
      </c>
      <c r="C32" s="76">
        <f>IF(C25&lt;=2,VLOOKUP(C23&amp;C25-0.1,tablas!$B$3:$J$92,4,FALSE),"Franja de losa")</f>
        <v>1.39</v>
      </c>
    </row>
    <row r="33" spans="2:3" ht="15.75" thickBot="1" x14ac:dyDescent="0.3">
      <c r="B33" s="101" t="s">
        <v>3</v>
      </c>
      <c r="C33" s="82">
        <f>IF(C25&lt;=2,VLOOKUP(C23&amp;C25-0.1,tablas!$B$3:$J$92,5,FALSE),"Franja de losa")</f>
        <v>1.39</v>
      </c>
    </row>
    <row r="34" spans="2:3" ht="15.75" thickBot="1" x14ac:dyDescent="0.3">
      <c r="B34" s="71" t="s">
        <v>87</v>
      </c>
      <c r="C34" s="72"/>
    </row>
    <row r="35" spans="2:3" x14ac:dyDescent="0.25">
      <c r="B35" s="97" t="s">
        <v>83</v>
      </c>
      <c r="C35" s="84">
        <f>VLOOKUP($C$18,$B$16:$H$16,6)</f>
        <v>100</v>
      </c>
    </row>
    <row r="36" spans="2:3" x14ac:dyDescent="0.25">
      <c r="B36" s="97" t="s">
        <v>89</v>
      </c>
      <c r="C36" s="76">
        <f>$L$7*($C$4/100)</f>
        <v>400</v>
      </c>
    </row>
    <row r="37" spans="2:3" x14ac:dyDescent="0.25">
      <c r="B37" s="97" t="s">
        <v>90</v>
      </c>
      <c r="C37" s="76">
        <f>C36+$I$8</f>
        <v>625</v>
      </c>
    </row>
    <row r="38" spans="2:3" x14ac:dyDescent="0.25">
      <c r="B38" s="97" t="s">
        <v>91</v>
      </c>
      <c r="C38" s="76">
        <f>1.2*C37+1.6*C35</f>
        <v>910</v>
      </c>
    </row>
    <row r="39" spans="2:3" x14ac:dyDescent="0.25">
      <c r="B39" s="98" t="s">
        <v>92</v>
      </c>
      <c r="C39" s="85">
        <f>C38*C20*C21</f>
        <v>8088.0800000000008</v>
      </c>
    </row>
    <row r="40" spans="2:3" ht="15.75" thickBot="1" x14ac:dyDescent="0.3">
      <c r="B40" s="99" t="s">
        <v>93</v>
      </c>
      <c r="C40" s="87">
        <f>C35/(2*C38)</f>
        <v>5.4945054945054944E-2</v>
      </c>
    </row>
    <row r="41" spans="2:3" ht="15.75" thickBot="1" x14ac:dyDescent="0.3">
      <c r="B41" s="71" t="s">
        <v>96</v>
      </c>
      <c r="C41" s="72"/>
    </row>
    <row r="42" spans="2:3" x14ac:dyDescent="0.25">
      <c r="B42" s="96" t="s">
        <v>97</v>
      </c>
      <c r="C42" s="89">
        <f>IF(C25&lt;=2,C39/C28*(1+C40*C32)*C26,IF(OR(C23=6,C23="5a",C23="3a"),C38*C20^2/17,(IF(OR(C23="2a",C23=4,C23="5b"),C38*C20^2/12,IF(OR(C23=1,C23="2b",C23="3b"),C38*C20^2/8)))))</f>
        <v>103.47052622950821</v>
      </c>
    </row>
    <row r="43" spans="2:3" x14ac:dyDescent="0.25">
      <c r="B43" s="97" t="s">
        <v>15</v>
      </c>
      <c r="C43" s="90">
        <f>C42/(0.9*(0.9*($C$7/100))*($L$9*1000))</f>
        <v>0.21318656609946632</v>
      </c>
    </row>
    <row r="44" spans="2:3" x14ac:dyDescent="0.25">
      <c r="B44" s="97" t="s">
        <v>98</v>
      </c>
      <c r="C44" s="92">
        <f>(C43*($L$9))/(0.85*$L$6*100)</f>
        <v>5.2620444227549938E-3</v>
      </c>
    </row>
    <row r="45" spans="2:3" ht="15.75" thickBot="1" x14ac:dyDescent="0.3">
      <c r="B45" s="97" t="s">
        <v>15</v>
      </c>
      <c r="C45" s="76">
        <f>ROUNDUP(C42/(0.9*(($C$7-C44/2)/100)*($L$9*1000)),2)</f>
        <v>0.2</v>
      </c>
    </row>
    <row r="46" spans="2:3" ht="16.5" thickBot="1" x14ac:dyDescent="0.3">
      <c r="B46" s="61" t="s">
        <v>100</v>
      </c>
      <c r="C46" s="94" t="str">
        <f>IF(C45&gt;$C$12,"φ"&amp;IF(VLOOKUP(VLOOKUP(C45,tablas!$R$3:$T$66,2,TRUE)&amp;VLOOKUP(C45,tablas!$R$3:$T$66,3,TRUE),tablas!$Q$3:$R$66,2,FALSE)&lt;C45,VLOOKUP(C45+0.1,tablas!$R$3:$T$66,2,TRUE),VLOOKUP(C45,tablas!$R$3:$T$66,2,TRUE))&amp;"@"&amp;IF(VLOOKUP(VLOOKUP(C45,tablas!$R$3:$T$66,2,TRUE)&amp;VLOOKUP(C45,tablas!$R$3:$T$66,3,TRUE),tablas!$Q$3:$R$66,2,FALSE)&lt;C45,VLOOKUP(C45+0.1,tablas!$R$3:$T$66,3,TRUE),VLOOKUP(C45,tablas!$R$3:$T$66,3,TRUE)),$C$13)</f>
        <v>$\phi8@17$</v>
      </c>
    </row>
    <row r="47" spans="2:3" x14ac:dyDescent="0.25">
      <c r="B47" s="96" t="s">
        <v>102</v>
      </c>
      <c r="C47" s="89">
        <f>IF(C25&lt;=2,C39/C29*(1+C40*C33)*C26,"0")</f>
        <v>26.575587789473687</v>
      </c>
    </row>
    <row r="48" spans="2:3" x14ac:dyDescent="0.25">
      <c r="B48" s="97" t="s">
        <v>15</v>
      </c>
      <c r="C48" s="85">
        <f>C47/(0.9*(0.9*($C$7/100))*($L$9*1000))</f>
        <v>5.4755286450810299E-2</v>
      </c>
    </row>
    <row r="49" spans="2:3" x14ac:dyDescent="0.25">
      <c r="B49" s="97" t="s">
        <v>98</v>
      </c>
      <c r="C49" s="85">
        <f>(C48*($L$9))/(0.85*$L$6*100)</f>
        <v>1.3515145675286511E-3</v>
      </c>
    </row>
    <row r="50" spans="2:3" ht="15.75" thickBot="1" x14ac:dyDescent="0.3">
      <c r="B50" s="97" t="s">
        <v>15</v>
      </c>
      <c r="C50" s="76">
        <f>ROUNDUP(C47/(0.9*(($C$7-C49/2)/100)*($L$9*1000)),2)</f>
        <v>0.05</v>
      </c>
    </row>
    <row r="51" spans="2:3" ht="16.5" thickBot="1" x14ac:dyDescent="0.3">
      <c r="B51" s="61" t="s">
        <v>101</v>
      </c>
      <c r="C51" s="94" t="str">
        <f>IF(C50&gt;$C$12,"φ"&amp;IF(VLOOKUP(VLOOKUP(C50,tablas!$R$3:$T$66,2,TRUE)&amp;VLOOKUP(C50,tablas!$R$3:$T$66,3,TRUE),tablas!$Q$3:$R$66,2,FALSE)&lt;C50,VLOOKUP(C50+0.1,tablas!$R$3:$T$66,2,TRUE),VLOOKUP(C50,tablas!$R$3:$T$66,2,TRUE))&amp;"@"&amp;IF(VLOOKUP(VLOOKUP(C50,tablas!$R$3:$T$66,2,TRUE)&amp;VLOOKUP(C50,tablas!$R$3:$T$66,3,TRUE),tablas!$Q$3:$R$66,2,FALSE)&lt;C50,VLOOKUP(C50+0.1,tablas!$R$3:$T$66,3,TRUE),VLOOKUP(C50,tablas!$R$3:$T$66,3,TRUE)),$C$13)</f>
        <v>$\phi8@17$</v>
      </c>
    </row>
    <row r="52" spans="2:3" x14ac:dyDescent="0.25">
      <c r="B52" s="96" t="s">
        <v>103</v>
      </c>
      <c r="C52" s="89">
        <f>IF(C25&lt;=2,C39/C30,IF(OR(C23=6,C23="5a",C23="3a"),C38*C20^2/12,(IF(OR(C23="2a",C23=4,C23="5b"),C38*C20^2/8,"-"))))</f>
        <v>367.64000000000004</v>
      </c>
    </row>
    <row r="53" spans="2:3" x14ac:dyDescent="0.25">
      <c r="B53" s="97" t="s">
        <v>15</v>
      </c>
      <c r="C53" s="90">
        <f>C52/(0.9*(0.9*($C$7/100))*($L$9*1000))</f>
        <v>0.75747086650513429</v>
      </c>
    </row>
    <row r="54" spans="2:3" x14ac:dyDescent="0.25">
      <c r="B54" s="97" t="s">
        <v>98</v>
      </c>
      <c r="C54" s="92">
        <f>(C53*($L$9))/(0.85*$L$6*100)</f>
        <v>1.8696512737266292E-2</v>
      </c>
    </row>
    <row r="55" spans="2:3" ht="15.75" thickBot="1" x14ac:dyDescent="0.3">
      <c r="B55" s="97" t="s">
        <v>15</v>
      </c>
      <c r="C55" s="76">
        <f>ROUNDUP(C52/(0.9*(($C$7-C54/2)/100)*($L$9*1000)),2)</f>
        <v>0.69000000000000006</v>
      </c>
    </row>
    <row r="56" spans="2:3" ht="16.5" thickBot="1" x14ac:dyDescent="0.3">
      <c r="B56" s="61" t="s">
        <v>105</v>
      </c>
      <c r="C56" s="94" t="str">
        <f>IF(C55&gt;$C$12,"φ"&amp;IF(VLOOKUP(VLOOKUP(C55,tablas!$R$3:$T$66,2,TRUE)&amp;VLOOKUP(C55,tablas!$R$3:$T$66,3,TRUE),tablas!$Q$3:$R$66,2,FALSE)&lt;C55,VLOOKUP(C55+0.1,tablas!$R$3:$T$66,2,TRUE),VLOOKUP(C55,tablas!$R$3:$T$66,2,TRUE))&amp;"@"&amp;IF(VLOOKUP(VLOOKUP(C55,tablas!$R$3:$T$66,2,TRUE)&amp;VLOOKUP(C55,tablas!$R$3:$T$66,3,TRUE),tablas!$Q$3:$R$66,2,FALSE)&lt;C55,VLOOKUP(C55+0.1,tablas!$R$3:$T$66,3,TRUE),VLOOKUP(C55,tablas!$R$3:$T$66,3,TRUE)),$C$13)</f>
        <v>$\phi8@17$</v>
      </c>
    </row>
    <row r="57" spans="2:3" x14ac:dyDescent="0.25">
      <c r="B57" s="96" t="s">
        <v>104</v>
      </c>
      <c r="C57" s="89">
        <f>IF(C25&lt;=2,C39/C31,IF(OR(C23=6,C23="5a",C23="3a"),C38*C20^2/17.5,(IF(OR(C23="2a",C23=4,C23="5b"),C38*C20^2/11.25,IF(OR(C23=1,C23="2b",C23="3b"),C38*C20^2/8)))))</f>
        <v>257.58216560509555</v>
      </c>
    </row>
    <row r="58" spans="2:3" x14ac:dyDescent="0.25">
      <c r="B58" s="97" t="s">
        <v>15</v>
      </c>
      <c r="C58" s="90">
        <f>C57/(0.9*(0.9*($C$7/100))*($L$9*1000))</f>
        <v>0.53071207207366089</v>
      </c>
    </row>
    <row r="59" spans="2:3" x14ac:dyDescent="0.25">
      <c r="B59" s="97" t="s">
        <v>98</v>
      </c>
      <c r="C59" s="92">
        <f>(C58*($L$9))/(0.85*$L$6*100)</f>
        <v>1.3099467522925425E-2</v>
      </c>
    </row>
    <row r="60" spans="2:3" ht="15.75" thickBot="1" x14ac:dyDescent="0.3">
      <c r="B60" s="97" t="s">
        <v>15</v>
      </c>
      <c r="C60" s="76">
        <f>ROUNDUP(C57/(0.9*(($C$7-C59/2)/100)*($L$9*1000)),2)</f>
        <v>0.48</v>
      </c>
    </row>
    <row r="61" spans="2:3" ht="16.5" thickBot="1" x14ac:dyDescent="0.3">
      <c r="B61" s="61" t="s">
        <v>106</v>
      </c>
      <c r="C61" s="94" t="str">
        <f>IF(C60&gt;$C$12,"φ"&amp;IF(VLOOKUP(VLOOKUP(C60,tablas!$R$3:$T$66,2,TRUE)&amp;VLOOKUP(C60,tablas!$R$3:$T$66,3,TRUE),tablas!$Q$3:$R$66,2,FALSE)&lt;C60,VLOOKUP(C60+0.1,tablas!$R$3:$T$66,2,TRUE),VLOOKUP(C60,tablas!$R$3:$T$66,2,TRUE))&amp;"@"&amp;IF(VLOOKUP(VLOOKUP(C60,tablas!$R$3:$T$66,2,TRUE)&amp;VLOOKUP(C60,tablas!$R$3:$T$66,3,TRUE),tablas!$Q$3:$R$66,2,FALSE)&lt;C60,VLOOKUP(C60+0.1,tablas!$R$3:$T$66,3,TRUE),VLOOKUP(C60,tablas!$R$3:$T$66,3,TRUE)),$C$13)</f>
        <v>$\phi8@17$</v>
      </c>
    </row>
  </sheetData>
  <mergeCells count="3">
    <mergeCell ref="E4:F4"/>
    <mergeCell ref="H4:I4"/>
    <mergeCell ref="K4:L4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8AF6-BB47-4CDD-B52E-30A0E77B3801}">
  <dimension ref="B3:M7"/>
  <sheetViews>
    <sheetView workbookViewId="0">
      <selection activeCell="G10" sqref="G10"/>
    </sheetView>
  </sheetViews>
  <sheetFormatPr defaultColWidth="11.42578125" defaultRowHeight="15" x14ac:dyDescent="0.25"/>
  <cols>
    <col min="1" max="1" width="2.85546875" customWidth="1"/>
    <col min="4" max="4" width="12" customWidth="1"/>
    <col min="6" max="6" width="12.85546875" customWidth="1"/>
    <col min="7" max="7" width="12.140625" customWidth="1"/>
    <col min="8" max="8" width="12.85546875" customWidth="1"/>
    <col min="9" max="9" width="12.140625" customWidth="1"/>
    <col min="10" max="10" width="12.85546875" customWidth="1"/>
    <col min="11" max="11" width="12.140625" customWidth="1"/>
    <col min="12" max="12" width="12.85546875" customWidth="1"/>
    <col min="13" max="13" width="12.140625" customWidth="1"/>
  </cols>
  <sheetData>
    <row r="3" spans="2:13" ht="15.75" thickBot="1" x14ac:dyDescent="0.3"/>
    <row r="4" spans="2:13" ht="15.75" thickBot="1" x14ac:dyDescent="0.3">
      <c r="B4" s="222" t="s">
        <v>275</v>
      </c>
      <c r="C4" s="223"/>
      <c r="D4" s="223"/>
      <c r="E4" s="223"/>
      <c r="F4" s="223"/>
      <c r="G4" s="224"/>
      <c r="H4" s="225"/>
      <c r="I4" s="225"/>
      <c r="J4" s="225"/>
      <c r="K4" s="225"/>
      <c r="L4" s="225"/>
      <c r="M4" s="225"/>
    </row>
    <row r="5" spans="2:13" ht="15.75" thickBot="1" x14ac:dyDescent="0.3">
      <c r="B5" s="262" t="s">
        <v>43</v>
      </c>
      <c r="C5" s="238" t="s">
        <v>19</v>
      </c>
      <c r="D5" s="226" t="s">
        <v>246</v>
      </c>
      <c r="E5" s="226" t="s">
        <v>244</v>
      </c>
      <c r="F5" s="228" t="s">
        <v>240</v>
      </c>
      <c r="G5" s="229"/>
      <c r="H5" s="228" t="s">
        <v>241</v>
      </c>
      <c r="I5" s="229"/>
      <c r="J5" s="228" t="s">
        <v>247</v>
      </c>
      <c r="K5" s="229"/>
      <c r="L5" s="228" t="s">
        <v>248</v>
      </c>
      <c r="M5" s="224"/>
    </row>
    <row r="6" spans="2:13" ht="30" customHeight="1" thickBot="1" x14ac:dyDescent="0.3">
      <c r="B6" s="263"/>
      <c r="C6" s="239"/>
      <c r="D6" s="227"/>
      <c r="E6" s="227"/>
      <c r="F6" s="141" t="s">
        <v>245</v>
      </c>
      <c r="G6" s="142" t="s">
        <v>242</v>
      </c>
      <c r="H6" s="141" t="s">
        <v>245</v>
      </c>
      <c r="I6" s="142" t="s">
        <v>242</v>
      </c>
      <c r="J6" s="141" t="s">
        <v>245</v>
      </c>
      <c r="K6" s="142" t="s">
        <v>242</v>
      </c>
      <c r="L6" s="141" t="s">
        <v>245</v>
      </c>
      <c r="M6" s="138" t="s">
        <v>242</v>
      </c>
    </row>
    <row r="7" spans="2:13" ht="15.75" thickBot="1" x14ac:dyDescent="0.3">
      <c r="B7" s="282" t="str">
        <f>Cubierta!C18</f>
        <v>CU01</v>
      </c>
      <c r="C7" s="268">
        <f>Cubierta!C4</f>
        <v>16</v>
      </c>
      <c r="D7" s="283">
        <f>Cubierta!$C$12</f>
        <v>2.88</v>
      </c>
      <c r="E7" s="283">
        <f>HLOOKUP($B7,Cubierta!$C$18:$AE$61,21)</f>
        <v>910</v>
      </c>
      <c r="F7" s="283">
        <f>HLOOKUP($B7,Cubierta!$C$18:$AE$61,28)</f>
        <v>0.2</v>
      </c>
      <c r="G7" s="283" t="str">
        <f>HLOOKUP($B7,Cubierta!$C$18:$AE$61,29)</f>
        <v>$\phi8@17$</v>
      </c>
      <c r="H7" s="283">
        <f>HLOOKUP($B7,Cubierta!$C$18:$AE$61,33)</f>
        <v>0.05</v>
      </c>
      <c r="I7" s="283" t="str">
        <f>HLOOKUP($B7,Cubierta!$C$18:$AE$61,34)</f>
        <v>$\phi8@17$</v>
      </c>
      <c r="J7" s="283">
        <f>HLOOKUP($B7,Cubierta!$C$18:$AE$61,38)</f>
        <v>0.69000000000000006</v>
      </c>
      <c r="K7" s="283" t="str">
        <f>HLOOKUP($B7,Cubierta!$C$18:$AE$61,39)</f>
        <v>$\phi8@17$</v>
      </c>
      <c r="L7" s="283">
        <f>HLOOKUP($B7,Cubierta!$C$18:$AE$61,43)</f>
        <v>0.48</v>
      </c>
      <c r="M7" s="284" t="str">
        <f>HLOOKUP($B7,Cubierta!$C$18:$AE$61,44)</f>
        <v>$\phi8@17$</v>
      </c>
    </row>
  </sheetData>
  <mergeCells count="11">
    <mergeCell ref="B4:G4"/>
    <mergeCell ref="H4:J4"/>
    <mergeCell ref="K4:M4"/>
    <mergeCell ref="B5:B6"/>
    <mergeCell ref="D5:D6"/>
    <mergeCell ref="E5:E6"/>
    <mergeCell ref="F5:G5"/>
    <mergeCell ref="H5:I5"/>
    <mergeCell ref="J5:K5"/>
    <mergeCell ref="L5:M5"/>
    <mergeCell ref="C5:C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53B9-FB73-4E93-9F0A-F7D72E013962}">
  <dimension ref="B1:I28"/>
  <sheetViews>
    <sheetView zoomScale="80" zoomScaleNormal="80" workbookViewId="0">
      <selection activeCell="J3" sqref="J3"/>
    </sheetView>
  </sheetViews>
  <sheetFormatPr defaultRowHeight="15" x14ac:dyDescent="0.25"/>
  <cols>
    <col min="1" max="1" width="2.85546875" customWidth="1"/>
    <col min="4" max="7" width="11.42578125" customWidth="1"/>
    <col min="8" max="8" width="11.42578125" style="234" customWidth="1"/>
  </cols>
  <sheetData>
    <row r="1" spans="2:9" ht="15.75" thickBot="1" x14ac:dyDescent="0.3">
      <c r="H1"/>
    </row>
    <row r="2" spans="2:9" ht="30" customHeight="1" thickBot="1" x14ac:dyDescent="0.3">
      <c r="B2" s="69" t="s">
        <v>285</v>
      </c>
      <c r="C2" s="69" t="s">
        <v>43</v>
      </c>
      <c r="D2" s="230" t="s">
        <v>314</v>
      </c>
      <c r="E2" s="230" t="s">
        <v>315</v>
      </c>
      <c r="F2" s="230" t="s">
        <v>316</v>
      </c>
      <c r="G2" s="230" t="s">
        <v>317</v>
      </c>
      <c r="H2" s="230" t="s">
        <v>341</v>
      </c>
      <c r="I2" s="230" t="s">
        <v>342</v>
      </c>
    </row>
    <row r="3" spans="2:9" x14ac:dyDescent="0.25">
      <c r="B3" s="6">
        <v>-1</v>
      </c>
      <c r="C3" s="64" t="s">
        <v>72</v>
      </c>
      <c r="D3" s="231">
        <v>-0.54169999999999996</v>
      </c>
      <c r="E3" s="231">
        <v>-1.7500000000000002E-2</v>
      </c>
      <c r="F3" s="15">
        <f>-(D3-E3)</f>
        <v>0.5242</v>
      </c>
      <c r="G3" s="15">
        <f>3*F3</f>
        <v>1.5726</v>
      </c>
      <c r="H3" s="15">
        <f>(HLOOKUP(Deformaciones!C3,'-1'!$C$46:$AE$51,3)*1000/180)/10</f>
        <v>4.5777777777777775</v>
      </c>
      <c r="I3" s="15" t="str">
        <f>IF(G3&lt;H3,"OK","MAL")</f>
        <v>OK</v>
      </c>
    </row>
    <row r="4" spans="2:9" x14ac:dyDescent="0.25">
      <c r="B4" s="6">
        <v>1</v>
      </c>
      <c r="C4" s="64" t="s">
        <v>124</v>
      </c>
      <c r="D4" s="231">
        <v>-0.53100000000000003</v>
      </c>
      <c r="E4" s="231">
        <v>-8.9099999999999999E-2</v>
      </c>
      <c r="F4" s="15">
        <f t="shared" ref="F4:F28" si="0">-(D4-E4)</f>
        <v>0.44190000000000002</v>
      </c>
      <c r="G4" s="15">
        <f t="shared" ref="G4:G28" si="1">3*F4</f>
        <v>1.3257000000000001</v>
      </c>
      <c r="H4" s="15">
        <f>(HLOOKUP(Deformaciones!C4,'1'!$C$46:$AE$51,3)*1000/180)/10</f>
        <v>3.0777777777777779</v>
      </c>
      <c r="I4" s="15" t="str">
        <f t="shared" ref="I4:I28" si="2">IF(G4&lt;H4,"OK","MAL")</f>
        <v>OK</v>
      </c>
    </row>
    <row r="5" spans="2:9" x14ac:dyDescent="0.25">
      <c r="B5" s="6">
        <v>2</v>
      </c>
      <c r="C5" s="64" t="s">
        <v>318</v>
      </c>
      <c r="D5" s="231">
        <v>-0.32450000000000001</v>
      </c>
      <c r="E5" s="231">
        <v>-8.6800000000000002E-2</v>
      </c>
      <c r="F5" s="15">
        <f t="shared" si="0"/>
        <v>0.23770000000000002</v>
      </c>
      <c r="G5" s="15">
        <f t="shared" si="1"/>
        <v>0.71310000000000007</v>
      </c>
      <c r="H5" s="15">
        <f>(HLOOKUP(Deformaciones!C5,'2 a 7'!$C$46:$AE$51,3)*1000/480)/10</f>
        <v>1.2604166666666665</v>
      </c>
      <c r="I5" s="15" t="str">
        <f t="shared" si="2"/>
        <v>OK</v>
      </c>
    </row>
    <row r="6" spans="2:9" x14ac:dyDescent="0.25">
      <c r="B6" s="6">
        <v>3</v>
      </c>
      <c r="C6" s="64" t="s">
        <v>319</v>
      </c>
      <c r="D6" s="231">
        <v>-0.34200000000000003</v>
      </c>
      <c r="E6" s="231">
        <v>-0.1172</v>
      </c>
      <c r="F6" s="15">
        <f t="shared" si="0"/>
        <v>0.22480000000000003</v>
      </c>
      <c r="G6" s="15">
        <f t="shared" si="1"/>
        <v>0.67440000000000011</v>
      </c>
      <c r="H6" s="15">
        <f>(HLOOKUP(Deformaciones!C5,'2 a 7'!$C$46:$AE$51,3)*1000/480)/10</f>
        <v>1.2604166666666665</v>
      </c>
      <c r="I6" s="15" t="str">
        <f t="shared" si="2"/>
        <v>OK</v>
      </c>
    </row>
    <row r="7" spans="2:9" x14ac:dyDescent="0.25">
      <c r="B7" s="6">
        <v>4</v>
      </c>
      <c r="C7" s="64" t="s">
        <v>320</v>
      </c>
      <c r="D7" s="231">
        <v>-0.37769999999999998</v>
      </c>
      <c r="E7" s="231">
        <v>-0.14530000000000001</v>
      </c>
      <c r="F7" s="15">
        <f t="shared" si="0"/>
        <v>0.23239999999999997</v>
      </c>
      <c r="G7" s="15">
        <f t="shared" si="1"/>
        <v>0.69719999999999993</v>
      </c>
      <c r="H7" s="15">
        <f>(HLOOKUP(Deformaciones!C5,'2 a 7'!$C$46:$AE$51,3)*1000/480)/10</f>
        <v>1.2604166666666665</v>
      </c>
      <c r="I7" s="15" t="str">
        <f t="shared" si="2"/>
        <v>OK</v>
      </c>
    </row>
    <row r="8" spans="2:9" x14ac:dyDescent="0.25">
      <c r="B8" s="6">
        <v>5</v>
      </c>
      <c r="C8" s="64" t="s">
        <v>321</v>
      </c>
      <c r="D8" s="231">
        <v>-0.40949999999999998</v>
      </c>
      <c r="E8" s="231">
        <v>-0.17299999999999999</v>
      </c>
      <c r="F8" s="15">
        <f t="shared" si="0"/>
        <v>0.23649999999999999</v>
      </c>
      <c r="G8" s="15">
        <f t="shared" si="1"/>
        <v>0.70950000000000002</v>
      </c>
      <c r="H8" s="15">
        <f>(HLOOKUP(Deformaciones!C5,'2 a 7'!$C$46:$AE$51,3)*1000/480)/10</f>
        <v>1.2604166666666665</v>
      </c>
      <c r="I8" s="15" t="str">
        <f t="shared" si="2"/>
        <v>OK</v>
      </c>
    </row>
    <row r="9" spans="2:9" x14ac:dyDescent="0.25">
      <c r="B9" s="6">
        <v>6</v>
      </c>
      <c r="C9" s="64" t="s">
        <v>322</v>
      </c>
      <c r="D9" s="231">
        <v>-0.44019999999999998</v>
      </c>
      <c r="E9" s="231">
        <v>-0.19889999999999999</v>
      </c>
      <c r="F9" s="15">
        <f t="shared" si="0"/>
        <v>0.24129999999999999</v>
      </c>
      <c r="G9" s="15">
        <f t="shared" si="1"/>
        <v>0.72389999999999999</v>
      </c>
      <c r="H9" s="15">
        <f>(HLOOKUP(Deformaciones!C5,'2 a 7'!$C$46:$AE$51,3)*1000/480)/10</f>
        <v>1.2604166666666665</v>
      </c>
      <c r="I9" s="15" t="str">
        <f t="shared" si="2"/>
        <v>OK</v>
      </c>
    </row>
    <row r="10" spans="2:9" x14ac:dyDescent="0.25">
      <c r="B10" s="6">
        <v>7</v>
      </c>
      <c r="C10" s="64" t="s">
        <v>323</v>
      </c>
      <c r="D10" s="231">
        <v>-0.46889999999999998</v>
      </c>
      <c r="E10" s="231">
        <v>-0.22370000000000001</v>
      </c>
      <c r="F10" s="15">
        <f t="shared" si="0"/>
        <v>0.24519999999999997</v>
      </c>
      <c r="G10" s="15">
        <f t="shared" si="1"/>
        <v>0.73559999999999992</v>
      </c>
      <c r="H10" s="15">
        <f>(HLOOKUP(Deformaciones!C5,'2 a 7'!$C$46:$AE$51,3)*1000/480)/10</f>
        <v>1.2604166666666665</v>
      </c>
      <c r="I10" s="15" t="str">
        <f t="shared" si="2"/>
        <v>OK</v>
      </c>
    </row>
    <row r="11" spans="2:9" x14ac:dyDescent="0.25">
      <c r="B11" s="6">
        <v>8</v>
      </c>
      <c r="C11" s="64" t="s">
        <v>324</v>
      </c>
      <c r="D11" s="231">
        <v>-0.50639999999999996</v>
      </c>
      <c r="E11" s="231">
        <v>-0.24859999999999999</v>
      </c>
      <c r="F11" s="15">
        <f t="shared" si="0"/>
        <v>0.25779999999999997</v>
      </c>
      <c r="G11" s="15">
        <f t="shared" si="1"/>
        <v>0.77339999999999987</v>
      </c>
      <c r="H11" s="15">
        <f>(HLOOKUP(Deformaciones!C11,'8 a 13'!$C$46:$AE$51,3)*1000/480)/10</f>
        <v>1.2604166666666665</v>
      </c>
      <c r="I11" s="15" t="str">
        <f t="shared" si="2"/>
        <v>OK</v>
      </c>
    </row>
    <row r="12" spans="2:9" x14ac:dyDescent="0.25">
      <c r="B12" s="6">
        <v>9</v>
      </c>
      <c r="C12" s="64" t="s">
        <v>325</v>
      </c>
      <c r="D12" s="231">
        <v>-0.53320000000000001</v>
      </c>
      <c r="E12" s="231">
        <v>-0.27200000000000002</v>
      </c>
      <c r="F12" s="15">
        <f t="shared" si="0"/>
        <v>0.26119999999999999</v>
      </c>
      <c r="G12" s="15">
        <f t="shared" si="1"/>
        <v>0.78359999999999996</v>
      </c>
      <c r="H12" s="15">
        <f>(HLOOKUP(Deformaciones!C11,'8 a 13'!$C$46:$AE$51,3)*1000/480)/10</f>
        <v>1.2604166666666665</v>
      </c>
      <c r="I12" s="15" t="str">
        <f t="shared" si="2"/>
        <v>OK</v>
      </c>
    </row>
    <row r="13" spans="2:9" x14ac:dyDescent="0.25">
      <c r="B13" s="6">
        <v>10</v>
      </c>
      <c r="C13" s="64" t="s">
        <v>326</v>
      </c>
      <c r="D13" s="231">
        <v>-0.55810000000000004</v>
      </c>
      <c r="E13" s="231">
        <v>-0.29370000000000002</v>
      </c>
      <c r="F13" s="15">
        <f t="shared" si="0"/>
        <v>0.26440000000000002</v>
      </c>
      <c r="G13" s="15">
        <f t="shared" si="1"/>
        <v>0.79320000000000013</v>
      </c>
      <c r="H13" s="15">
        <f>(HLOOKUP(Deformaciones!C11,'8 a 13'!$C$46:$AE$51,3)*1000/480)/10</f>
        <v>1.2604166666666665</v>
      </c>
      <c r="I13" s="15" t="str">
        <f t="shared" si="2"/>
        <v>OK</v>
      </c>
    </row>
    <row r="14" spans="2:9" x14ac:dyDescent="0.25">
      <c r="B14" s="6">
        <v>11</v>
      </c>
      <c r="C14" s="64" t="s">
        <v>327</v>
      </c>
      <c r="D14" s="231">
        <v>-0.58099999999999996</v>
      </c>
      <c r="E14" s="231">
        <v>-0.31369999999999998</v>
      </c>
      <c r="F14" s="15">
        <f t="shared" si="0"/>
        <v>0.26729999999999998</v>
      </c>
      <c r="G14" s="15">
        <f t="shared" si="1"/>
        <v>0.80189999999999995</v>
      </c>
      <c r="H14" s="15">
        <f>(HLOOKUP(Deformaciones!C11,'8 a 13'!$C$46:$AE$51,3)*1000/480)/10</f>
        <v>1.2604166666666665</v>
      </c>
      <c r="I14" s="15" t="str">
        <f t="shared" si="2"/>
        <v>OK</v>
      </c>
    </row>
    <row r="15" spans="2:9" x14ac:dyDescent="0.25">
      <c r="B15" s="6">
        <v>12</v>
      </c>
      <c r="C15" s="64" t="s">
        <v>328</v>
      </c>
      <c r="D15" s="231">
        <v>-0.60189999999999999</v>
      </c>
      <c r="E15" s="231">
        <v>-0.33200000000000002</v>
      </c>
      <c r="F15" s="15">
        <f t="shared" si="0"/>
        <v>0.26989999999999997</v>
      </c>
      <c r="G15" s="15">
        <f t="shared" si="1"/>
        <v>0.80969999999999986</v>
      </c>
      <c r="H15" s="15">
        <f>(HLOOKUP(Deformaciones!C11,'8 a 13'!$C$46:$AE$51,3)*1000/480)/10</f>
        <v>1.2604166666666665</v>
      </c>
      <c r="I15" s="15" t="str">
        <f t="shared" si="2"/>
        <v>OK</v>
      </c>
    </row>
    <row r="16" spans="2:9" x14ac:dyDescent="0.25">
      <c r="B16" s="6">
        <v>13</v>
      </c>
      <c r="C16" s="64" t="s">
        <v>329</v>
      </c>
      <c r="D16" s="231">
        <v>-0.62160000000000004</v>
      </c>
      <c r="E16" s="231">
        <v>-0.34870000000000001</v>
      </c>
      <c r="F16" s="15">
        <f t="shared" si="0"/>
        <v>0.27290000000000003</v>
      </c>
      <c r="G16" s="15">
        <f t="shared" si="1"/>
        <v>0.81870000000000009</v>
      </c>
      <c r="H16" s="15">
        <f>(HLOOKUP(Deformaciones!C11,'8 a 13'!$C$46:$AE$51,3)*1000/480)/10</f>
        <v>1.2604166666666665</v>
      </c>
      <c r="I16" s="15" t="str">
        <f t="shared" si="2"/>
        <v>OK</v>
      </c>
    </row>
    <row r="17" spans="2:9" x14ac:dyDescent="0.25">
      <c r="B17" s="6">
        <v>14</v>
      </c>
      <c r="C17" s="64" t="s">
        <v>330</v>
      </c>
      <c r="D17" s="231">
        <v>-0.65490000000000004</v>
      </c>
      <c r="E17" s="231">
        <v>-0.37180000000000002</v>
      </c>
      <c r="F17" s="15">
        <f t="shared" si="0"/>
        <v>0.28310000000000002</v>
      </c>
      <c r="G17" s="15">
        <f t="shared" si="1"/>
        <v>0.84930000000000005</v>
      </c>
      <c r="H17" s="15">
        <f>(HLOOKUP(Deformaciones!C17,'14 a 22'!$C$46:$AE$51,3)*1000/480)/10</f>
        <v>1.2604166666666665</v>
      </c>
      <c r="I17" s="15" t="str">
        <f t="shared" si="2"/>
        <v>OK</v>
      </c>
    </row>
    <row r="18" spans="2:9" x14ac:dyDescent="0.25">
      <c r="B18" s="6">
        <v>15</v>
      </c>
      <c r="C18" s="64" t="s">
        <v>331</v>
      </c>
      <c r="D18" s="231">
        <v>-0.6784</v>
      </c>
      <c r="E18" s="231">
        <v>-0.39219999999999999</v>
      </c>
      <c r="F18" s="15">
        <f t="shared" si="0"/>
        <v>0.28620000000000001</v>
      </c>
      <c r="G18" s="15">
        <f t="shared" si="1"/>
        <v>0.85860000000000003</v>
      </c>
      <c r="H18" s="15">
        <f>(HLOOKUP(Deformaciones!C17,'14 a 22'!$C$46:$AE$51,3)*1000/480)/10</f>
        <v>1.2604166666666665</v>
      </c>
      <c r="I18" s="15" t="str">
        <f t="shared" si="2"/>
        <v>OK</v>
      </c>
    </row>
    <row r="19" spans="2:9" x14ac:dyDescent="0.25">
      <c r="B19" s="6">
        <v>16</v>
      </c>
      <c r="C19" s="64" t="s">
        <v>332</v>
      </c>
      <c r="D19" s="231">
        <v>-0.69899999999999995</v>
      </c>
      <c r="E19" s="231">
        <v>-0.4103</v>
      </c>
      <c r="F19" s="15">
        <f t="shared" si="0"/>
        <v>0.28869999999999996</v>
      </c>
      <c r="G19" s="15">
        <f t="shared" si="1"/>
        <v>0.86609999999999987</v>
      </c>
      <c r="H19" s="15">
        <f>(HLOOKUP(Deformaciones!C17,'14 a 22'!$C$46:$AE$51,3)*1000/480)/10</f>
        <v>1.2604166666666665</v>
      </c>
      <c r="I19" s="15" t="str">
        <f t="shared" si="2"/>
        <v>OK</v>
      </c>
    </row>
    <row r="20" spans="2:9" x14ac:dyDescent="0.25">
      <c r="B20" s="6">
        <v>17</v>
      </c>
      <c r="C20" s="64" t="s">
        <v>333</v>
      </c>
      <c r="D20" s="231">
        <v>-0.71689999999999998</v>
      </c>
      <c r="E20" s="231">
        <v>-0.42599999999999999</v>
      </c>
      <c r="F20" s="15">
        <f t="shared" si="0"/>
        <v>0.29089999999999999</v>
      </c>
      <c r="G20" s="15">
        <f t="shared" si="1"/>
        <v>0.87270000000000003</v>
      </c>
      <c r="H20" s="15">
        <f>(HLOOKUP(Deformaciones!C17,'14 a 22'!$C$46:$AE$51,3)*1000/480)/10</f>
        <v>1.2604166666666665</v>
      </c>
      <c r="I20" s="15" t="str">
        <f t="shared" si="2"/>
        <v>OK</v>
      </c>
    </row>
    <row r="21" spans="2:9" x14ac:dyDescent="0.25">
      <c r="B21" s="6">
        <v>18</v>
      </c>
      <c r="C21" s="64" t="s">
        <v>334</v>
      </c>
      <c r="D21" s="231">
        <v>-0.73199999999999998</v>
      </c>
      <c r="E21" s="231">
        <v>-0.43919999999999998</v>
      </c>
      <c r="F21" s="15">
        <f t="shared" si="0"/>
        <v>0.2928</v>
      </c>
      <c r="G21" s="15">
        <f t="shared" si="1"/>
        <v>0.87840000000000007</v>
      </c>
      <c r="H21" s="15">
        <f>(HLOOKUP(Deformaciones!C17,'14 a 22'!$C$46:$AE$51,3)*1000/480)/10</f>
        <v>1.2604166666666665</v>
      </c>
      <c r="I21" s="15" t="str">
        <f t="shared" si="2"/>
        <v>OK</v>
      </c>
    </row>
    <row r="22" spans="2:9" x14ac:dyDescent="0.25">
      <c r="B22" s="6">
        <v>19</v>
      </c>
      <c r="C22" s="64" t="s">
        <v>335</v>
      </c>
      <c r="D22" s="231">
        <v>-0.74419999999999997</v>
      </c>
      <c r="E22" s="231">
        <v>-0.4501</v>
      </c>
      <c r="F22" s="15">
        <f t="shared" si="0"/>
        <v>0.29409999999999997</v>
      </c>
      <c r="G22" s="15">
        <f t="shared" si="1"/>
        <v>0.88229999999999986</v>
      </c>
      <c r="H22" s="15">
        <f>(HLOOKUP(Deformaciones!C17,'14 a 22'!$C$46:$AE$51,3)*1000/480)/10</f>
        <v>1.2604166666666665</v>
      </c>
      <c r="I22" s="15" t="str">
        <f t="shared" si="2"/>
        <v>OK</v>
      </c>
    </row>
    <row r="23" spans="2:9" x14ac:dyDescent="0.25">
      <c r="B23" s="6">
        <v>20</v>
      </c>
      <c r="C23" s="64" t="s">
        <v>336</v>
      </c>
      <c r="D23" s="231">
        <v>-0.75370000000000004</v>
      </c>
      <c r="E23" s="231">
        <v>-0.45850000000000002</v>
      </c>
      <c r="F23" s="15">
        <f t="shared" si="0"/>
        <v>0.29520000000000002</v>
      </c>
      <c r="G23" s="15">
        <f t="shared" si="1"/>
        <v>0.88560000000000005</v>
      </c>
      <c r="H23" s="15">
        <f>(HLOOKUP(Deformaciones!C17,'14 a 22'!$C$46:$AE$51,3)*1000/480)/10</f>
        <v>1.2604166666666665</v>
      </c>
      <c r="I23" s="15" t="str">
        <f t="shared" si="2"/>
        <v>OK</v>
      </c>
    </row>
    <row r="24" spans="2:9" x14ac:dyDescent="0.25">
      <c r="B24" s="6">
        <v>21</v>
      </c>
      <c r="C24" s="64" t="s">
        <v>337</v>
      </c>
      <c r="D24" s="231">
        <v>-0.76049999999999995</v>
      </c>
      <c r="E24" s="231">
        <v>-0.4647</v>
      </c>
      <c r="F24" s="15">
        <f t="shared" si="0"/>
        <v>0.29579999999999995</v>
      </c>
      <c r="G24" s="15">
        <f t="shared" si="1"/>
        <v>0.88739999999999986</v>
      </c>
      <c r="H24" s="15">
        <f>(HLOOKUP(Deformaciones!C17,'14 a 22'!$C$46:$AE$51,3)*1000/480)/10</f>
        <v>1.2604166666666665</v>
      </c>
      <c r="I24" s="15" t="str">
        <f t="shared" si="2"/>
        <v>OK</v>
      </c>
    </row>
    <row r="25" spans="2:9" x14ac:dyDescent="0.25">
      <c r="B25" s="6">
        <v>22</v>
      </c>
      <c r="C25" s="64" t="s">
        <v>338</v>
      </c>
      <c r="D25" s="231">
        <v>-0.76429999999999998</v>
      </c>
      <c r="E25" s="231">
        <v>-0.46800000000000003</v>
      </c>
      <c r="F25" s="15">
        <f t="shared" si="0"/>
        <v>0.29629999999999995</v>
      </c>
      <c r="G25" s="15">
        <f t="shared" si="1"/>
        <v>0.8888999999999998</v>
      </c>
      <c r="H25" s="15">
        <f>(HLOOKUP(Deformaciones!C17,'14 a 22'!$C$46:$AE$51,3)*1000/480)/10</f>
        <v>1.2604166666666665</v>
      </c>
      <c r="I25" s="15" t="str">
        <f t="shared" si="2"/>
        <v>OK</v>
      </c>
    </row>
    <row r="26" spans="2:9" x14ac:dyDescent="0.25">
      <c r="B26" s="6">
        <v>23</v>
      </c>
      <c r="C26" s="64" t="s">
        <v>225</v>
      </c>
      <c r="D26" s="231">
        <v>-0.76980000000000004</v>
      </c>
      <c r="E26" s="231">
        <v>-0.63690000000000002</v>
      </c>
      <c r="F26" s="15">
        <f t="shared" si="0"/>
        <v>0.13290000000000002</v>
      </c>
      <c r="G26" s="15">
        <f t="shared" si="1"/>
        <v>0.39870000000000005</v>
      </c>
      <c r="H26" s="15">
        <f>(HLOOKUP(Deformaciones!C26,'23'!$C$46:$AE$51,3)*1000/180)/10</f>
        <v>0.83888888888888891</v>
      </c>
      <c r="I26" s="15" t="str">
        <f t="shared" si="2"/>
        <v>OK</v>
      </c>
    </row>
    <row r="27" spans="2:9" x14ac:dyDescent="0.25">
      <c r="B27" s="6">
        <v>24</v>
      </c>
      <c r="C27" s="64" t="s">
        <v>339</v>
      </c>
      <c r="D27" s="231">
        <v>-0.50749999999999995</v>
      </c>
      <c r="E27" s="231">
        <v>-0.45369999999999999</v>
      </c>
      <c r="F27" s="15">
        <f t="shared" si="0"/>
        <v>5.3799999999999959E-2</v>
      </c>
      <c r="G27" s="15">
        <f t="shared" si="1"/>
        <v>0.16139999999999988</v>
      </c>
      <c r="H27" s="15">
        <f>(HLOOKUP(Deformaciones!C27,'24'!$C$46:$AE$51,3)*1000/180)/10</f>
        <v>1.6111111111111112</v>
      </c>
      <c r="I27" s="15" t="str">
        <f t="shared" si="2"/>
        <v>OK</v>
      </c>
    </row>
    <row r="28" spans="2:9" ht="15.75" thickBot="1" x14ac:dyDescent="0.3">
      <c r="B28" s="9" t="s">
        <v>238</v>
      </c>
      <c r="C28" s="67" t="s">
        <v>340</v>
      </c>
      <c r="D28" s="232">
        <v>-0.4778</v>
      </c>
      <c r="E28" s="232">
        <v>-0.436</v>
      </c>
      <c r="F28" s="16">
        <f t="shared" si="0"/>
        <v>4.1800000000000004E-2</v>
      </c>
      <c r="G28" s="16">
        <f t="shared" si="1"/>
        <v>0.12540000000000001</v>
      </c>
      <c r="H28" s="16">
        <f>(HLOOKUP(Deformaciones!C28,Cubierta!C18:C23,3)*1000/180)/10</f>
        <v>1.2222222222222221</v>
      </c>
      <c r="I28" s="16" t="str">
        <f t="shared" si="2"/>
        <v>OK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07B1-B062-4618-98DA-7E7D42BE2ED5}">
  <dimension ref="B2:AM134"/>
  <sheetViews>
    <sheetView showGridLines="0" zoomScale="70" zoomScaleNormal="70" workbookViewId="0">
      <selection activeCell="B54" sqref="B54"/>
    </sheetView>
  </sheetViews>
  <sheetFormatPr defaultColWidth="11.42578125" defaultRowHeight="15" x14ac:dyDescent="0.25"/>
  <cols>
    <col min="1" max="1" width="2.85546875" customWidth="1"/>
    <col min="2" max="2" width="18.140625" customWidth="1"/>
    <col min="3" max="15" width="17.140625" customWidth="1"/>
    <col min="16" max="16" width="17.140625" style="40" customWidth="1"/>
    <col min="17" max="19" width="17.140625" customWidth="1"/>
    <col min="20" max="20" width="17.140625" style="40" customWidth="1"/>
    <col min="21" max="21" width="17.140625" style="41" customWidth="1"/>
    <col min="22" max="31" width="17.140625" customWidth="1"/>
    <col min="35" max="35" width="20" bestFit="1" customWidth="1"/>
    <col min="36" max="36" width="7.7109375" bestFit="1" customWidth="1"/>
    <col min="37" max="37" width="4.85546875" customWidth="1"/>
    <col min="38" max="38" width="21.85546875" bestFit="1" customWidth="1"/>
    <col min="39" max="39" width="15.28515625" bestFit="1" customWidth="1"/>
  </cols>
  <sheetData>
    <row r="2" spans="2:14" ht="18.75" x14ac:dyDescent="0.3">
      <c r="B2" s="52" t="s">
        <v>18</v>
      </c>
    </row>
    <row r="3" spans="2:14" ht="15.75" thickBot="1" x14ac:dyDescent="0.3"/>
    <row r="4" spans="2:14" ht="15.75" thickBot="1" x14ac:dyDescent="0.3">
      <c r="B4" s="114" t="s">
        <v>19</v>
      </c>
      <c r="C4" s="113">
        <v>17</v>
      </c>
      <c r="E4" s="217" t="s">
        <v>29</v>
      </c>
      <c r="F4" s="218"/>
      <c r="H4" s="217" t="s">
        <v>30</v>
      </c>
      <c r="I4" s="218"/>
      <c r="K4" s="217" t="s">
        <v>39</v>
      </c>
      <c r="L4" s="218"/>
    </row>
    <row r="5" spans="2:14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41</v>
      </c>
    </row>
    <row r="6" spans="2:14" x14ac:dyDescent="0.25">
      <c r="B6" s="46" t="s">
        <v>21</v>
      </c>
      <c r="C6" s="36">
        <f>1.6*$C$4</f>
        <v>27.200000000000003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3.57</v>
      </c>
    </row>
    <row r="7" spans="2:14" ht="15.75" thickBot="1" x14ac:dyDescent="0.3">
      <c r="B7" s="46" t="s">
        <v>22</v>
      </c>
      <c r="C7" s="36">
        <f>$C$4-$C$5</f>
        <v>15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</row>
    <row r="8" spans="2:14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</row>
    <row r="9" spans="2:14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</row>
    <row r="10" spans="2:14" x14ac:dyDescent="0.25">
      <c r="B10" s="46" t="s">
        <v>33</v>
      </c>
      <c r="C10" s="36">
        <v>5</v>
      </c>
    </row>
    <row r="11" spans="2:14" ht="15.75" thickBot="1" x14ac:dyDescent="0.3">
      <c r="B11" s="48" t="s">
        <v>35</v>
      </c>
      <c r="C11" s="37">
        <v>20</v>
      </c>
    </row>
    <row r="12" spans="2:14" ht="15.75" thickBot="1" x14ac:dyDescent="0.3">
      <c r="B12" s="49" t="s">
        <v>288</v>
      </c>
      <c r="C12" s="43">
        <f>C4*0.18</f>
        <v>3.06</v>
      </c>
    </row>
    <row r="13" spans="2:14" ht="15.75" thickBot="1" x14ac:dyDescent="0.3">
      <c r="B13" s="49" t="s">
        <v>99</v>
      </c>
      <c r="C13" s="59" t="str">
        <f>"$\phi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&amp;"$"</f>
        <v>$\phi8@16$</v>
      </c>
    </row>
    <row r="14" spans="2:14" hidden="1" x14ac:dyDescent="0.25">
      <c r="B14" s="51"/>
      <c r="C14" s="62"/>
    </row>
    <row r="15" spans="2:14" ht="15.75" hidden="1" thickBot="1" x14ac:dyDescent="0.3">
      <c r="B15" s="68" t="s">
        <v>43</v>
      </c>
      <c r="C15" s="34" t="s">
        <v>44</v>
      </c>
      <c r="D15" s="34" t="s">
        <v>45</v>
      </c>
      <c r="E15" s="34" t="s">
        <v>46</v>
      </c>
      <c r="F15" s="69" t="s">
        <v>0</v>
      </c>
      <c r="G15" s="70" t="s">
        <v>47</v>
      </c>
      <c r="H15" s="55" t="s">
        <v>48</v>
      </c>
      <c r="J15" s="197" t="s">
        <v>43</v>
      </c>
      <c r="K15" s="197"/>
      <c r="L15" s="180"/>
      <c r="M15" s="198" t="s">
        <v>49</v>
      </c>
      <c r="N15" s="198"/>
    </row>
    <row r="16" spans="2:14" ht="15.75" hidden="1" thickBot="1" x14ac:dyDescent="0.3">
      <c r="B16" s="63" t="s">
        <v>49</v>
      </c>
      <c r="C16" s="6">
        <v>5</v>
      </c>
      <c r="D16" s="6">
        <v>5.33</v>
      </c>
      <c r="E16" s="6">
        <v>17</v>
      </c>
      <c r="F16" s="64">
        <v>6</v>
      </c>
      <c r="G16" s="17">
        <v>500</v>
      </c>
      <c r="H16" s="7" t="s">
        <v>41</v>
      </c>
      <c r="J16" s="196" t="s">
        <v>95</v>
      </c>
      <c r="K16" s="196"/>
      <c r="L16" s="183"/>
      <c r="M16" s="196" t="s">
        <v>96</v>
      </c>
      <c r="N16" s="196"/>
    </row>
    <row r="17" spans="2:39" hidden="1" x14ac:dyDescent="0.25">
      <c r="B17" s="63" t="s">
        <v>50</v>
      </c>
      <c r="C17" s="6">
        <v>5</v>
      </c>
      <c r="D17" s="6">
        <v>7.2</v>
      </c>
      <c r="E17" s="6">
        <v>17</v>
      </c>
      <c r="F17" s="64">
        <v>6</v>
      </c>
      <c r="G17" s="17">
        <v>500</v>
      </c>
      <c r="H17" s="7" t="s">
        <v>41</v>
      </c>
      <c r="J17" s="184" t="s">
        <v>291</v>
      </c>
      <c r="K17" s="170">
        <v>5</v>
      </c>
      <c r="L17" s="183"/>
      <c r="M17" s="184" t="s">
        <v>296</v>
      </c>
      <c r="N17" s="176">
        <v>532.67147435897436</v>
      </c>
    </row>
    <row r="18" spans="2:39" hidden="1" x14ac:dyDescent="0.25">
      <c r="B18" s="63" t="s">
        <v>51</v>
      </c>
      <c r="C18" s="6">
        <v>5</v>
      </c>
      <c r="D18" s="6">
        <v>7.2</v>
      </c>
      <c r="E18" s="6">
        <v>17</v>
      </c>
      <c r="F18" s="64">
        <v>6</v>
      </c>
      <c r="G18" s="17">
        <v>500</v>
      </c>
      <c r="H18" s="7" t="s">
        <v>41</v>
      </c>
      <c r="J18" s="133" t="s">
        <v>290</v>
      </c>
      <c r="K18" s="171">
        <v>5.33</v>
      </c>
      <c r="L18" s="183"/>
      <c r="M18" s="133" t="s">
        <v>280</v>
      </c>
      <c r="N18" s="177">
        <v>1.0243288226586944</v>
      </c>
    </row>
    <row r="19" spans="2:39" hidden="1" x14ac:dyDescent="0.25">
      <c r="B19" s="63" t="s">
        <v>52</v>
      </c>
      <c r="C19" s="6">
        <v>5</v>
      </c>
      <c r="D19" s="6">
        <v>7.89</v>
      </c>
      <c r="E19" s="6">
        <v>17</v>
      </c>
      <c r="F19" s="64">
        <v>6</v>
      </c>
      <c r="G19" s="17">
        <v>500</v>
      </c>
      <c r="H19" s="7" t="s">
        <v>41</v>
      </c>
      <c r="J19" s="185" t="s">
        <v>289</v>
      </c>
      <c r="K19" s="171">
        <v>10</v>
      </c>
      <c r="L19" s="183"/>
      <c r="M19" s="133" t="s">
        <v>98</v>
      </c>
      <c r="N19" s="178">
        <v>1.4447610350895411E-2</v>
      </c>
    </row>
    <row r="20" spans="2:39" ht="15.75" hidden="1" thickBot="1" x14ac:dyDescent="0.3">
      <c r="B20" s="63" t="s">
        <v>53</v>
      </c>
      <c r="C20" s="6">
        <v>4.45</v>
      </c>
      <c r="D20" s="6">
        <v>5</v>
      </c>
      <c r="E20" s="6">
        <v>17</v>
      </c>
      <c r="F20" s="64">
        <v>6</v>
      </c>
      <c r="G20" s="17">
        <v>500</v>
      </c>
      <c r="H20" s="7" t="s">
        <v>41</v>
      </c>
      <c r="J20" s="133" t="s">
        <v>302</v>
      </c>
      <c r="K20" s="191">
        <v>6</v>
      </c>
      <c r="L20" s="183"/>
      <c r="M20" s="186" t="s">
        <v>280</v>
      </c>
      <c r="N20" s="172">
        <v>0.93</v>
      </c>
    </row>
    <row r="21" spans="2:39" ht="16.5" hidden="1" thickBot="1" x14ac:dyDescent="0.3">
      <c r="B21" s="63" t="s">
        <v>54</v>
      </c>
      <c r="C21" s="6">
        <v>3.6</v>
      </c>
      <c r="D21" s="6">
        <v>5</v>
      </c>
      <c r="E21" s="6">
        <v>17</v>
      </c>
      <c r="F21" s="64">
        <v>6</v>
      </c>
      <c r="G21" s="17">
        <v>500</v>
      </c>
      <c r="H21" s="7" t="s">
        <v>41</v>
      </c>
      <c r="J21" s="133"/>
      <c r="K21" s="191"/>
      <c r="L21" s="171"/>
      <c r="M21" s="187" t="s">
        <v>100</v>
      </c>
      <c r="N21" s="179" t="s">
        <v>293</v>
      </c>
    </row>
    <row r="22" spans="2:39" ht="16.5" hidden="1" thickBot="1" x14ac:dyDescent="0.3">
      <c r="B22" s="63" t="s">
        <v>55</v>
      </c>
      <c r="C22" s="6">
        <v>5.33</v>
      </c>
      <c r="D22" s="6">
        <v>5.54</v>
      </c>
      <c r="E22" s="6">
        <v>17</v>
      </c>
      <c r="F22" s="64">
        <v>6</v>
      </c>
      <c r="G22" s="17">
        <v>500</v>
      </c>
      <c r="H22" s="7" t="s">
        <v>41</v>
      </c>
      <c r="J22" s="197" t="s">
        <v>94</v>
      </c>
      <c r="K22" s="197"/>
      <c r="L22" s="183"/>
      <c r="M22" s="192"/>
      <c r="N22" s="193"/>
    </row>
    <row r="23" spans="2:39" hidden="1" x14ac:dyDescent="0.25">
      <c r="B23" s="63" t="s">
        <v>56</v>
      </c>
      <c r="C23" s="6">
        <v>5.54</v>
      </c>
      <c r="D23" s="6">
        <v>7.2</v>
      </c>
      <c r="E23" s="6">
        <v>17</v>
      </c>
      <c r="F23" s="64">
        <v>6</v>
      </c>
      <c r="G23" s="17">
        <v>500</v>
      </c>
      <c r="H23" s="7" t="s">
        <v>41</v>
      </c>
      <c r="J23" s="188" t="s">
        <v>309</v>
      </c>
      <c r="K23" s="170">
        <v>1.1000000000000001</v>
      </c>
      <c r="L23" s="183"/>
      <c r="M23" s="133" t="s">
        <v>297</v>
      </c>
      <c r="N23" s="174">
        <v>407.3370098039216</v>
      </c>
    </row>
    <row r="24" spans="2:39" hidden="1" x14ac:dyDescent="0.25">
      <c r="B24" s="63" t="s">
        <v>57</v>
      </c>
      <c r="C24" s="6">
        <v>5.54</v>
      </c>
      <c r="D24" s="6">
        <v>7.2</v>
      </c>
      <c r="E24" s="6">
        <v>17</v>
      </c>
      <c r="F24" s="64">
        <v>6</v>
      </c>
      <c r="G24" s="17">
        <v>500</v>
      </c>
      <c r="H24" s="7" t="s">
        <v>41</v>
      </c>
      <c r="J24" s="185" t="s">
        <v>11</v>
      </c>
      <c r="K24" s="171">
        <v>0.55000000000000004</v>
      </c>
      <c r="L24" s="183"/>
      <c r="M24" s="133" t="s">
        <v>280</v>
      </c>
      <c r="N24" s="177">
        <v>0.78331027615076632</v>
      </c>
    </row>
    <row r="25" spans="2:39" hidden="1" x14ac:dyDescent="0.25">
      <c r="B25" s="63" t="s">
        <v>58</v>
      </c>
      <c r="C25" s="6">
        <v>5.54</v>
      </c>
      <c r="D25" s="6">
        <v>12.34</v>
      </c>
      <c r="E25" s="6">
        <v>17</v>
      </c>
      <c r="F25" s="64">
        <v>6</v>
      </c>
      <c r="G25" s="17">
        <v>500</v>
      </c>
      <c r="H25" s="7" t="s">
        <v>41</v>
      </c>
      <c r="J25" s="185" t="s">
        <v>310</v>
      </c>
      <c r="K25" s="171">
        <v>35</v>
      </c>
      <c r="L25" s="183"/>
      <c r="M25" s="133" t="s">
        <v>98</v>
      </c>
      <c r="N25" s="178">
        <v>1.104817262127296E-2</v>
      </c>
    </row>
    <row r="26" spans="2:39" ht="15.75" hidden="1" thickBot="1" x14ac:dyDescent="0.3">
      <c r="B26" s="63" t="s">
        <v>59</v>
      </c>
      <c r="C26" s="6">
        <v>3.6</v>
      </c>
      <c r="D26" s="6">
        <v>5.54</v>
      </c>
      <c r="E26" s="6">
        <v>17</v>
      </c>
      <c r="F26" s="64">
        <v>6</v>
      </c>
      <c r="G26" s="17">
        <v>500</v>
      </c>
      <c r="H26" s="7" t="s">
        <v>41</v>
      </c>
      <c r="J26" s="133" t="s">
        <v>4</v>
      </c>
      <c r="K26" s="171">
        <v>50.7</v>
      </c>
      <c r="L26" s="183"/>
      <c r="M26" s="186" t="s">
        <v>280</v>
      </c>
      <c r="N26" s="172">
        <v>0.71</v>
      </c>
    </row>
    <row r="27" spans="2:39" ht="16.5" hidden="1" thickBot="1" x14ac:dyDescent="0.3">
      <c r="B27" s="63" t="s">
        <v>60</v>
      </c>
      <c r="C27" s="6">
        <v>6.05</v>
      </c>
      <c r="D27" s="6">
        <v>9.34</v>
      </c>
      <c r="E27" s="6">
        <v>17</v>
      </c>
      <c r="F27" s="64">
        <v>6</v>
      </c>
      <c r="G27" s="17">
        <v>400</v>
      </c>
      <c r="H27" s="7" t="s">
        <v>41</v>
      </c>
      <c r="J27" s="133" t="s">
        <v>5</v>
      </c>
      <c r="K27" s="171">
        <v>66.3</v>
      </c>
      <c r="L27" s="183"/>
      <c r="M27" s="187" t="s">
        <v>101</v>
      </c>
      <c r="N27" s="179" t="s">
        <v>293</v>
      </c>
    </row>
    <row r="28" spans="2:39" ht="15.75" hidden="1" x14ac:dyDescent="0.25">
      <c r="B28" s="63" t="s">
        <v>61</v>
      </c>
      <c r="C28" s="6">
        <v>4.6500000000000004</v>
      </c>
      <c r="D28" s="6">
        <v>5.6</v>
      </c>
      <c r="E28" s="6">
        <v>17</v>
      </c>
      <c r="F28" s="64">
        <v>6</v>
      </c>
      <c r="G28" s="17">
        <v>400</v>
      </c>
      <c r="H28" s="7" t="s">
        <v>41</v>
      </c>
      <c r="J28" s="133" t="s">
        <v>6</v>
      </c>
      <c r="K28" s="171">
        <v>18.8</v>
      </c>
      <c r="L28" s="183"/>
      <c r="M28" s="192"/>
      <c r="N28" s="193"/>
    </row>
    <row r="29" spans="2:39" hidden="1" x14ac:dyDescent="0.25">
      <c r="B29" s="63" t="s">
        <v>62</v>
      </c>
      <c r="C29" s="6">
        <v>4.6500000000000004</v>
      </c>
      <c r="D29" s="6">
        <v>5.6</v>
      </c>
      <c r="E29" s="6">
        <v>17</v>
      </c>
      <c r="F29" s="64">
        <v>6</v>
      </c>
      <c r="G29" s="17">
        <v>500</v>
      </c>
      <c r="H29" s="7" t="s">
        <v>41</v>
      </c>
      <c r="J29" s="133" t="s">
        <v>7</v>
      </c>
      <c r="K29" s="171">
        <v>20.3</v>
      </c>
      <c r="L29" s="183"/>
      <c r="M29" s="133" t="s">
        <v>298</v>
      </c>
      <c r="N29" s="174">
        <v>2239.7340425531916</v>
      </c>
      <c r="AL29" s="183"/>
      <c r="AM29" s="183"/>
    </row>
    <row r="30" spans="2:39" hidden="1" x14ac:dyDescent="0.25">
      <c r="B30" s="63" t="s">
        <v>63</v>
      </c>
      <c r="C30" s="6">
        <v>6.05</v>
      </c>
      <c r="D30" s="6">
        <v>9.49</v>
      </c>
      <c r="E30" s="6">
        <v>17</v>
      </c>
      <c r="F30" s="64">
        <v>6</v>
      </c>
      <c r="G30" s="17">
        <v>500</v>
      </c>
      <c r="H30" s="7" t="s">
        <v>41</v>
      </c>
      <c r="J30" s="185" t="s">
        <v>307</v>
      </c>
      <c r="K30" s="171">
        <v>1.05</v>
      </c>
      <c r="L30" s="183"/>
      <c r="M30" s="133" t="s">
        <v>280</v>
      </c>
      <c r="N30" s="177">
        <v>4.3070151966331895</v>
      </c>
    </row>
    <row r="31" spans="2:39" hidden="1" x14ac:dyDescent="0.25">
      <c r="B31" s="63" t="s">
        <v>64</v>
      </c>
      <c r="C31" s="6">
        <v>4.45</v>
      </c>
      <c r="D31" s="6">
        <v>10.5</v>
      </c>
      <c r="E31" s="6">
        <v>17</v>
      </c>
      <c r="F31" s="64">
        <v>6</v>
      </c>
      <c r="G31" s="17">
        <v>500</v>
      </c>
      <c r="H31" s="7" t="s">
        <v>41</v>
      </c>
      <c r="J31" s="133" t="s">
        <v>308</v>
      </c>
      <c r="K31" s="171">
        <v>1.05</v>
      </c>
      <c r="L31" s="183"/>
      <c r="M31" s="133" t="s">
        <v>98</v>
      </c>
      <c r="N31" s="178">
        <v>6.0748146454407813E-2</v>
      </c>
    </row>
    <row r="32" spans="2:39" ht="15.75" hidden="1" thickBot="1" x14ac:dyDescent="0.3">
      <c r="B32" s="63" t="s">
        <v>65</v>
      </c>
      <c r="C32" s="6">
        <v>3.6</v>
      </c>
      <c r="D32" s="6">
        <v>10.5</v>
      </c>
      <c r="E32" s="6">
        <v>17</v>
      </c>
      <c r="F32" s="64">
        <v>6</v>
      </c>
      <c r="G32" s="17">
        <v>500</v>
      </c>
      <c r="H32" s="7" t="s">
        <v>41</v>
      </c>
      <c r="J32" s="133"/>
      <c r="K32" s="171"/>
      <c r="L32" s="183"/>
      <c r="M32" s="186" t="s">
        <v>280</v>
      </c>
      <c r="N32" s="172">
        <v>3.8899999999999997</v>
      </c>
    </row>
    <row r="33" spans="2:31" ht="16.5" hidden="1" thickBot="1" x14ac:dyDescent="0.3">
      <c r="B33" s="63" t="s">
        <v>66</v>
      </c>
      <c r="C33" s="6">
        <v>7.16</v>
      </c>
      <c r="D33" s="6">
        <v>11.34</v>
      </c>
      <c r="E33" s="6">
        <v>17</v>
      </c>
      <c r="F33" s="64">
        <v>6</v>
      </c>
      <c r="G33" s="17">
        <v>400</v>
      </c>
      <c r="H33" s="7" t="s">
        <v>41</v>
      </c>
      <c r="J33" s="197" t="s">
        <v>87</v>
      </c>
      <c r="K33" s="197"/>
      <c r="L33" s="183"/>
      <c r="M33" s="187" t="s">
        <v>105</v>
      </c>
      <c r="N33" s="179" t="s">
        <v>294</v>
      </c>
    </row>
    <row r="34" spans="2:31" ht="15.75" hidden="1" x14ac:dyDescent="0.25">
      <c r="B34" s="63" t="s">
        <v>67</v>
      </c>
      <c r="C34" s="6">
        <v>1.4</v>
      </c>
      <c r="D34" s="6">
        <v>11.2</v>
      </c>
      <c r="E34" s="6">
        <v>17</v>
      </c>
      <c r="F34" s="64">
        <v>6</v>
      </c>
      <c r="G34" s="17">
        <v>400</v>
      </c>
      <c r="H34" s="7" t="s">
        <v>41</v>
      </c>
      <c r="J34" s="184" t="s">
        <v>301</v>
      </c>
      <c r="K34" s="173">
        <v>500</v>
      </c>
      <c r="L34" s="183"/>
      <c r="M34" s="192"/>
      <c r="N34" s="193"/>
    </row>
    <row r="35" spans="2:31" hidden="1" x14ac:dyDescent="0.25">
      <c r="B35" s="63" t="s">
        <v>68</v>
      </c>
      <c r="C35" s="6">
        <v>2.1</v>
      </c>
      <c r="D35" s="6">
        <v>4.04</v>
      </c>
      <c r="E35" s="6">
        <v>17</v>
      </c>
      <c r="F35" s="65" t="s">
        <v>10</v>
      </c>
      <c r="G35" s="17">
        <v>400</v>
      </c>
      <c r="H35" s="7" t="s">
        <v>41</v>
      </c>
      <c r="J35" s="133" t="s">
        <v>303</v>
      </c>
      <c r="K35" s="171">
        <v>425.00000000000006</v>
      </c>
      <c r="L35" s="183"/>
      <c r="M35" s="133" t="s">
        <v>299</v>
      </c>
      <c r="N35" s="174">
        <v>2074.2364532019706</v>
      </c>
    </row>
    <row r="36" spans="2:31" hidden="1" x14ac:dyDescent="0.25">
      <c r="B36" s="63" t="s">
        <v>69</v>
      </c>
      <c r="C36" s="6">
        <v>2.9</v>
      </c>
      <c r="D36" s="6">
        <v>6.36</v>
      </c>
      <c r="E36" s="6">
        <v>17</v>
      </c>
      <c r="F36" s="64">
        <v>6</v>
      </c>
      <c r="G36" s="17">
        <v>400</v>
      </c>
      <c r="H36" s="7" t="s">
        <v>41</v>
      </c>
      <c r="J36" s="133" t="s">
        <v>304</v>
      </c>
      <c r="K36" s="171">
        <v>650</v>
      </c>
      <c r="L36" s="183"/>
      <c r="M36" s="133" t="s">
        <v>280</v>
      </c>
      <c r="N36" s="177">
        <v>3.9887628422021657</v>
      </c>
    </row>
    <row r="37" spans="2:31" hidden="1" x14ac:dyDescent="0.25">
      <c r="B37" s="63" t="s">
        <v>70</v>
      </c>
      <c r="C37" s="6">
        <v>4.25</v>
      </c>
      <c r="D37" s="6">
        <v>6.36</v>
      </c>
      <c r="E37" s="6">
        <v>17</v>
      </c>
      <c r="F37" s="64">
        <v>6</v>
      </c>
      <c r="G37" s="17">
        <v>500</v>
      </c>
      <c r="H37" s="7" t="s">
        <v>41</v>
      </c>
      <c r="J37" s="133" t="s">
        <v>305</v>
      </c>
      <c r="K37" s="171">
        <v>1580</v>
      </c>
      <c r="L37" s="183"/>
      <c r="M37" s="133" t="s">
        <v>98</v>
      </c>
      <c r="N37" s="178">
        <v>5.6259367159747137E-2</v>
      </c>
    </row>
    <row r="38" spans="2:31" ht="15.75" hidden="1" thickBot="1" x14ac:dyDescent="0.3">
      <c r="B38" s="63" t="s">
        <v>71</v>
      </c>
      <c r="C38" s="6">
        <v>6.49</v>
      </c>
      <c r="D38" s="6">
        <v>7.16</v>
      </c>
      <c r="E38" s="6">
        <v>17</v>
      </c>
      <c r="F38" s="64">
        <v>6</v>
      </c>
      <c r="G38" s="17">
        <v>500</v>
      </c>
      <c r="H38" s="7" t="s">
        <v>41</v>
      </c>
      <c r="J38" s="189" t="s">
        <v>300</v>
      </c>
      <c r="K38" s="174">
        <v>42107</v>
      </c>
      <c r="L38" s="181"/>
      <c r="M38" s="186" t="s">
        <v>280</v>
      </c>
      <c r="N38" s="171">
        <v>3.5999999999999996</v>
      </c>
    </row>
    <row r="39" spans="2:31" ht="16.5" hidden="1" thickBot="1" x14ac:dyDescent="0.3">
      <c r="B39" s="63" t="s">
        <v>72</v>
      </c>
      <c r="C39" s="6">
        <v>8.24</v>
      </c>
      <c r="D39" s="6">
        <v>18.54</v>
      </c>
      <c r="E39" s="6">
        <v>17</v>
      </c>
      <c r="F39" s="64">
        <v>6</v>
      </c>
      <c r="G39" s="17">
        <v>500</v>
      </c>
      <c r="H39" s="7" t="s">
        <v>41</v>
      </c>
      <c r="J39" s="190" t="s">
        <v>306</v>
      </c>
      <c r="K39" s="175">
        <v>0.15822784810126583</v>
      </c>
      <c r="L39" s="159"/>
      <c r="M39" s="187" t="s">
        <v>106</v>
      </c>
      <c r="N39" s="179" t="s">
        <v>295</v>
      </c>
    </row>
    <row r="40" spans="2:31" hidden="1" x14ac:dyDescent="0.25">
      <c r="B40" s="63" t="s">
        <v>73</v>
      </c>
      <c r="C40" s="6">
        <v>5</v>
      </c>
      <c r="D40" s="6">
        <v>8.24</v>
      </c>
      <c r="E40" s="6">
        <v>17</v>
      </c>
      <c r="F40" s="64">
        <v>6</v>
      </c>
      <c r="G40" s="17">
        <v>500</v>
      </c>
      <c r="H40" s="7" t="s">
        <v>41</v>
      </c>
    </row>
    <row r="41" spans="2:31" hidden="1" x14ac:dyDescent="0.25">
      <c r="B41" s="63" t="s">
        <v>74</v>
      </c>
      <c r="C41" s="6">
        <v>5.52</v>
      </c>
      <c r="D41" s="6">
        <v>8.24</v>
      </c>
      <c r="E41" s="6">
        <v>17</v>
      </c>
      <c r="F41" s="64">
        <v>6</v>
      </c>
      <c r="G41" s="17">
        <v>500</v>
      </c>
      <c r="H41" s="7" t="s">
        <v>41</v>
      </c>
    </row>
    <row r="42" spans="2:31" hidden="1" x14ac:dyDescent="0.25">
      <c r="B42" s="63" t="s">
        <v>75</v>
      </c>
      <c r="C42" s="6">
        <v>7.09</v>
      </c>
      <c r="D42" s="6">
        <v>10.15</v>
      </c>
      <c r="E42" s="6">
        <v>17</v>
      </c>
      <c r="F42" s="64">
        <v>6</v>
      </c>
      <c r="G42" s="17">
        <v>500</v>
      </c>
      <c r="H42" s="7" t="s">
        <v>41</v>
      </c>
    </row>
    <row r="43" spans="2:31" hidden="1" x14ac:dyDescent="0.25">
      <c r="B43" s="63" t="s">
        <v>76</v>
      </c>
      <c r="C43" s="6">
        <v>3.6</v>
      </c>
      <c r="D43" s="6">
        <v>10.15</v>
      </c>
      <c r="E43" s="6">
        <v>17</v>
      </c>
      <c r="F43" s="64">
        <v>6</v>
      </c>
      <c r="G43" s="17">
        <v>500</v>
      </c>
      <c r="H43" s="7" t="s">
        <v>41</v>
      </c>
    </row>
    <row r="44" spans="2:31" ht="15.75" hidden="1" thickBot="1" x14ac:dyDescent="0.3">
      <c r="B44" s="66" t="s">
        <v>77</v>
      </c>
      <c r="C44" s="9">
        <v>2.3199999999999998</v>
      </c>
      <c r="D44" s="9">
        <v>4.3</v>
      </c>
      <c r="E44" s="9">
        <v>17</v>
      </c>
      <c r="F44" s="67">
        <v>6</v>
      </c>
      <c r="G44" s="18">
        <v>400</v>
      </c>
      <c r="H44" s="10" t="s">
        <v>78</v>
      </c>
    </row>
    <row r="45" spans="2:31" ht="15.75" thickBot="1" x14ac:dyDescent="0.3">
      <c r="B45" s="51"/>
      <c r="C45" s="62"/>
    </row>
    <row r="46" spans="2:31" ht="15.75" thickBot="1" x14ac:dyDescent="0.3">
      <c r="B46" s="73" t="s">
        <v>43</v>
      </c>
      <c r="C46" s="74" t="s">
        <v>49</v>
      </c>
      <c r="D46" s="75" t="s">
        <v>50</v>
      </c>
      <c r="E46" s="75" t="s">
        <v>51</v>
      </c>
      <c r="F46" s="75" t="s">
        <v>52</v>
      </c>
      <c r="G46" s="75" t="s">
        <v>53</v>
      </c>
      <c r="H46" s="75" t="s">
        <v>54</v>
      </c>
      <c r="I46" s="75" t="s">
        <v>55</v>
      </c>
      <c r="J46" s="75" t="s">
        <v>56</v>
      </c>
      <c r="K46" s="75" t="s">
        <v>57</v>
      </c>
      <c r="L46" s="75" t="s">
        <v>58</v>
      </c>
      <c r="M46" s="75" t="s">
        <v>59</v>
      </c>
      <c r="N46" s="75" t="s">
        <v>60</v>
      </c>
      <c r="O46" s="75" t="s">
        <v>61</v>
      </c>
      <c r="P46" s="75" t="s">
        <v>62</v>
      </c>
      <c r="Q46" s="75" t="s">
        <v>63</v>
      </c>
      <c r="R46" s="75" t="s">
        <v>64</v>
      </c>
      <c r="S46" s="75" t="s">
        <v>65</v>
      </c>
      <c r="T46" s="75" t="s">
        <v>66</v>
      </c>
      <c r="U46" s="75" t="s">
        <v>67</v>
      </c>
      <c r="V46" s="75" t="s">
        <v>68</v>
      </c>
      <c r="W46" s="75" t="s">
        <v>69</v>
      </c>
      <c r="X46" s="75" t="s">
        <v>70</v>
      </c>
      <c r="Y46" s="75" t="s">
        <v>71</v>
      </c>
      <c r="Z46" s="75" t="s">
        <v>72</v>
      </c>
      <c r="AA46" s="75" t="s">
        <v>73</v>
      </c>
      <c r="AB46" s="75" t="s">
        <v>74</v>
      </c>
      <c r="AC46" s="75" t="s">
        <v>75</v>
      </c>
      <c r="AD46" s="75" t="s">
        <v>76</v>
      </c>
      <c r="AE46" s="75" t="s">
        <v>77</v>
      </c>
    </row>
    <row r="47" spans="2:31" ht="15.75" thickBot="1" x14ac:dyDescent="0.3">
      <c r="B47" s="71" t="s">
        <v>95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72"/>
    </row>
    <row r="48" spans="2:31" x14ac:dyDescent="0.25">
      <c r="B48" s="97" t="s">
        <v>291</v>
      </c>
      <c r="C48" s="76">
        <f t="shared" ref="C48:R48" si="0">VLOOKUP(C$46,$B$16:$H$44,2)</f>
        <v>5</v>
      </c>
      <c r="D48" s="77">
        <f t="shared" si="0"/>
        <v>5</v>
      </c>
      <c r="E48" s="77">
        <f t="shared" si="0"/>
        <v>5</v>
      </c>
      <c r="F48" s="77">
        <f t="shared" si="0"/>
        <v>5</v>
      </c>
      <c r="G48" s="77">
        <f t="shared" si="0"/>
        <v>4.45</v>
      </c>
      <c r="H48" s="77">
        <f t="shared" si="0"/>
        <v>3.6</v>
      </c>
      <c r="I48" s="77">
        <f t="shared" si="0"/>
        <v>5.33</v>
      </c>
      <c r="J48" s="132">
        <f t="shared" si="0"/>
        <v>5.54</v>
      </c>
      <c r="K48" s="132">
        <f t="shared" si="0"/>
        <v>5.54</v>
      </c>
      <c r="L48" s="77">
        <f t="shared" si="0"/>
        <v>5.54</v>
      </c>
      <c r="M48" s="77">
        <f t="shared" si="0"/>
        <v>3.6</v>
      </c>
      <c r="N48" s="77">
        <f t="shared" si="0"/>
        <v>6.05</v>
      </c>
      <c r="O48" s="77">
        <f t="shared" si="0"/>
        <v>4.6500000000000004</v>
      </c>
      <c r="P48" s="77">
        <f t="shared" si="0"/>
        <v>4.6500000000000004</v>
      </c>
      <c r="Q48" s="77">
        <f t="shared" si="0"/>
        <v>6.05</v>
      </c>
      <c r="R48" s="77">
        <f t="shared" si="0"/>
        <v>4.45</v>
      </c>
      <c r="S48" s="77">
        <f t="shared" ref="S48:AE48" si="1">VLOOKUP(S$46,$B$16:$H$44,2)</f>
        <v>3.6</v>
      </c>
      <c r="T48" s="77">
        <f t="shared" si="1"/>
        <v>7.16</v>
      </c>
      <c r="U48" s="77">
        <f t="shared" si="1"/>
        <v>1.4</v>
      </c>
      <c r="V48" s="77">
        <f t="shared" si="1"/>
        <v>2.1</v>
      </c>
      <c r="W48" s="77">
        <f t="shared" si="1"/>
        <v>2.9</v>
      </c>
      <c r="X48" s="77">
        <f t="shared" si="1"/>
        <v>4.25</v>
      </c>
      <c r="Y48" s="77">
        <f t="shared" si="1"/>
        <v>6.49</v>
      </c>
      <c r="Z48" s="77">
        <f t="shared" si="1"/>
        <v>8.24</v>
      </c>
      <c r="AA48" s="77">
        <f t="shared" si="1"/>
        <v>5</v>
      </c>
      <c r="AB48" s="77">
        <f t="shared" si="1"/>
        <v>5.52</v>
      </c>
      <c r="AC48" s="77">
        <f>VLOOKUP(AC$46,$B$16:$H$44,2)</f>
        <v>7.09</v>
      </c>
      <c r="AD48" s="77">
        <f t="shared" si="1"/>
        <v>3.6</v>
      </c>
      <c r="AE48" s="77">
        <f t="shared" si="1"/>
        <v>2.3199999999999998</v>
      </c>
    </row>
    <row r="49" spans="2:31" x14ac:dyDescent="0.25">
      <c r="B49" s="97" t="s">
        <v>290</v>
      </c>
      <c r="C49" s="76">
        <f t="shared" ref="C49:R49" si="2">VLOOKUP(C$46,$B$16:$H$44,3)</f>
        <v>5.33</v>
      </c>
      <c r="D49" s="77">
        <f t="shared" si="2"/>
        <v>7.2</v>
      </c>
      <c r="E49" s="77">
        <f t="shared" si="2"/>
        <v>7.2</v>
      </c>
      <c r="F49" s="77">
        <f t="shared" si="2"/>
        <v>7.89</v>
      </c>
      <c r="G49" s="77">
        <f t="shared" si="2"/>
        <v>5</v>
      </c>
      <c r="H49" s="77">
        <f t="shared" si="2"/>
        <v>5</v>
      </c>
      <c r="I49" s="77">
        <f t="shared" si="2"/>
        <v>5.54</v>
      </c>
      <c r="J49" s="132">
        <f t="shared" si="2"/>
        <v>7.2</v>
      </c>
      <c r="K49" s="132">
        <f t="shared" si="2"/>
        <v>7.2</v>
      </c>
      <c r="L49" s="77">
        <f t="shared" si="2"/>
        <v>12.34</v>
      </c>
      <c r="M49" s="77">
        <f t="shared" si="2"/>
        <v>5.54</v>
      </c>
      <c r="N49" s="77">
        <f t="shared" si="2"/>
        <v>9.34</v>
      </c>
      <c r="O49" s="77">
        <f t="shared" si="2"/>
        <v>5.6</v>
      </c>
      <c r="P49" s="77">
        <f t="shared" si="2"/>
        <v>5.6</v>
      </c>
      <c r="Q49" s="77">
        <f t="shared" si="2"/>
        <v>9.49</v>
      </c>
      <c r="R49" s="77">
        <f t="shared" si="2"/>
        <v>10.5</v>
      </c>
      <c r="S49" s="77">
        <f t="shared" ref="S49:AE49" si="3">VLOOKUP(S$46,$B$16:$H$44,3)</f>
        <v>10.5</v>
      </c>
      <c r="T49" s="77">
        <f t="shared" si="3"/>
        <v>11.34</v>
      </c>
      <c r="U49" s="77">
        <f t="shared" si="3"/>
        <v>11.2</v>
      </c>
      <c r="V49" s="77">
        <f t="shared" si="3"/>
        <v>4.04</v>
      </c>
      <c r="W49" s="77">
        <f t="shared" si="3"/>
        <v>6.36</v>
      </c>
      <c r="X49" s="77">
        <f t="shared" si="3"/>
        <v>6.36</v>
      </c>
      <c r="Y49" s="77">
        <f t="shared" si="3"/>
        <v>7.16</v>
      </c>
      <c r="Z49" s="77">
        <f t="shared" si="3"/>
        <v>18.54</v>
      </c>
      <c r="AA49" s="77">
        <f t="shared" si="3"/>
        <v>8.24</v>
      </c>
      <c r="AB49" s="77">
        <f t="shared" si="3"/>
        <v>8.24</v>
      </c>
      <c r="AC49" s="77">
        <f>VLOOKUP(AC$46,$B$16:$H$44,3)</f>
        <v>10.15</v>
      </c>
      <c r="AD49" s="77">
        <f t="shared" si="3"/>
        <v>10.15</v>
      </c>
      <c r="AE49" s="77">
        <f t="shared" si="3"/>
        <v>4.3</v>
      </c>
    </row>
    <row r="50" spans="2:31" x14ac:dyDescent="0.25">
      <c r="B50" s="100" t="s">
        <v>289</v>
      </c>
      <c r="C50" s="76">
        <f>ROUNDUP((C54*C48*100)/C55+$C$5,0)</f>
        <v>10</v>
      </c>
      <c r="D50" s="77">
        <f>ROUNDUP((D54*D48*100)/D55+$C$5,0)</f>
        <v>11</v>
      </c>
      <c r="E50" s="77">
        <f t="shared" ref="E50:R50" si="4">ROUNDUP((E54*E48*100)/E55+$C$5,0)</f>
        <v>11</v>
      </c>
      <c r="F50" s="77">
        <f t="shared" si="4"/>
        <v>10</v>
      </c>
      <c r="G50" s="77">
        <f t="shared" si="4"/>
        <v>9</v>
      </c>
      <c r="H50" s="77">
        <f t="shared" si="4"/>
        <v>8</v>
      </c>
      <c r="I50" s="77">
        <f t="shared" si="4"/>
        <v>10</v>
      </c>
      <c r="J50" s="132">
        <f t="shared" ref="J50:K50" si="5">ROUNDUP((J54*J48*100)/J55+$C$5,0)</f>
        <v>10</v>
      </c>
      <c r="K50" s="132">
        <f t="shared" si="5"/>
        <v>10</v>
      </c>
      <c r="L50" s="77">
        <f t="shared" si="4"/>
        <v>10</v>
      </c>
      <c r="M50" s="77">
        <f t="shared" si="4"/>
        <v>7</v>
      </c>
      <c r="N50" s="77">
        <f t="shared" si="4"/>
        <v>10</v>
      </c>
      <c r="O50" s="77">
        <f t="shared" si="4"/>
        <v>8</v>
      </c>
      <c r="P50" s="77">
        <f t="shared" si="4"/>
        <v>8</v>
      </c>
      <c r="Q50" s="77">
        <f t="shared" si="4"/>
        <v>10</v>
      </c>
      <c r="R50" s="77">
        <f t="shared" si="4"/>
        <v>8</v>
      </c>
      <c r="S50" s="77">
        <f t="shared" ref="S50:AC50" si="6">ROUNDUP((S54*S48*100)/S55+$C$5,0)</f>
        <v>7</v>
      </c>
      <c r="T50" s="77">
        <f t="shared" si="6"/>
        <v>11</v>
      </c>
      <c r="U50" s="77">
        <f t="shared" si="6"/>
        <v>4</v>
      </c>
      <c r="V50" s="77">
        <f t="shared" si="6"/>
        <v>5</v>
      </c>
      <c r="W50" s="77">
        <f t="shared" si="6"/>
        <v>6</v>
      </c>
      <c r="X50" s="77">
        <f t="shared" si="6"/>
        <v>7</v>
      </c>
      <c r="Y50" s="77">
        <f t="shared" si="6"/>
        <v>9</v>
      </c>
      <c r="Z50" s="77">
        <f t="shared" si="6"/>
        <v>11</v>
      </c>
      <c r="AA50" s="77">
        <f t="shared" si="6"/>
        <v>7</v>
      </c>
      <c r="AB50" s="77">
        <f t="shared" si="6"/>
        <v>8</v>
      </c>
      <c r="AC50" s="77">
        <f t="shared" si="6"/>
        <v>9</v>
      </c>
      <c r="AD50" s="77">
        <f t="shared" ref="AD50:AE50" si="7">ROUNDUP((AD54*AD48*100)/AD55+$C$5,0)</f>
        <v>6</v>
      </c>
      <c r="AE50" s="77">
        <f t="shared" si="7"/>
        <v>5</v>
      </c>
    </row>
    <row r="51" spans="2:31" ht="15.75" thickBot="1" x14ac:dyDescent="0.3">
      <c r="B51" s="101" t="s">
        <v>292</v>
      </c>
      <c r="C51" s="78">
        <f>VLOOKUP($C$46,$B$16:$H$44,5)</f>
        <v>6</v>
      </c>
      <c r="D51" s="79">
        <f t="shared" ref="D51:R51" si="8">VLOOKUP(D$46,$B$16:$H$44,5,TRUE)</f>
        <v>6</v>
      </c>
      <c r="E51" s="79">
        <f t="shared" si="8"/>
        <v>6</v>
      </c>
      <c r="F51" s="79">
        <f t="shared" si="8"/>
        <v>6</v>
      </c>
      <c r="G51" s="79">
        <f t="shared" si="8"/>
        <v>6</v>
      </c>
      <c r="H51" s="79">
        <f t="shared" si="8"/>
        <v>6</v>
      </c>
      <c r="I51" s="79">
        <f t="shared" si="8"/>
        <v>6</v>
      </c>
      <c r="J51" s="79">
        <f t="shared" si="8"/>
        <v>6</v>
      </c>
      <c r="K51" s="79">
        <f t="shared" si="8"/>
        <v>6</v>
      </c>
      <c r="L51" s="79">
        <f t="shared" si="8"/>
        <v>6</v>
      </c>
      <c r="M51" s="79">
        <f t="shared" si="8"/>
        <v>6</v>
      </c>
      <c r="N51" s="79">
        <f t="shared" si="8"/>
        <v>6</v>
      </c>
      <c r="O51" s="79">
        <f t="shared" si="8"/>
        <v>6</v>
      </c>
      <c r="P51" s="79">
        <f t="shared" si="8"/>
        <v>6</v>
      </c>
      <c r="Q51" s="79">
        <f t="shared" si="8"/>
        <v>6</v>
      </c>
      <c r="R51" s="79">
        <f t="shared" si="8"/>
        <v>6</v>
      </c>
      <c r="S51" s="79">
        <f t="shared" ref="S51:AE51" si="9">VLOOKUP(S$46,$B$16:$H$44,5,TRUE)</f>
        <v>6</v>
      </c>
      <c r="T51" s="79">
        <f t="shared" si="9"/>
        <v>6</v>
      </c>
      <c r="U51" s="79">
        <f t="shared" si="9"/>
        <v>6</v>
      </c>
      <c r="V51" s="79" t="str">
        <f t="shared" si="9"/>
        <v>5b</v>
      </c>
      <c r="W51" s="79">
        <f t="shared" si="9"/>
        <v>6</v>
      </c>
      <c r="X51" s="79">
        <f t="shared" si="9"/>
        <v>6</v>
      </c>
      <c r="Y51" s="79">
        <f t="shared" si="9"/>
        <v>6</v>
      </c>
      <c r="Z51" s="79">
        <f t="shared" si="9"/>
        <v>6</v>
      </c>
      <c r="AA51" s="79">
        <f t="shared" si="9"/>
        <v>6</v>
      </c>
      <c r="AB51" s="79">
        <f t="shared" si="9"/>
        <v>6</v>
      </c>
      <c r="AC51" s="79">
        <f>VLOOKUP(AC$46,$B$16:$H$44,5,TRUE)</f>
        <v>6</v>
      </c>
      <c r="AD51" s="79">
        <f t="shared" si="9"/>
        <v>6</v>
      </c>
      <c r="AE51" s="79">
        <f t="shared" si="9"/>
        <v>6</v>
      </c>
    </row>
    <row r="52" spans="2:31" ht="15.75" thickBot="1" x14ac:dyDescent="0.3">
      <c r="B52" s="71" t="s">
        <v>94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72"/>
    </row>
    <row r="53" spans="2:31" x14ac:dyDescent="0.25">
      <c r="B53" s="100" t="s">
        <v>84</v>
      </c>
      <c r="C53" s="80">
        <f>ROUNDUP(C49/C48,1)</f>
        <v>1.1000000000000001</v>
      </c>
      <c r="D53" s="81">
        <f>ROUNDUP(D49/D48,1)</f>
        <v>1.5</v>
      </c>
      <c r="E53" s="81">
        <f t="shared" ref="E53:R53" si="10">ROUNDUP(E49/E48,1)</f>
        <v>1.5</v>
      </c>
      <c r="F53" s="81">
        <f t="shared" si="10"/>
        <v>1.6</v>
      </c>
      <c r="G53" s="81">
        <f t="shared" si="10"/>
        <v>1.2000000000000002</v>
      </c>
      <c r="H53" s="81">
        <f t="shared" si="10"/>
        <v>1.4000000000000001</v>
      </c>
      <c r="I53" s="81">
        <f t="shared" si="10"/>
        <v>1.1000000000000001</v>
      </c>
      <c r="J53" s="81">
        <f t="shared" si="10"/>
        <v>1.3</v>
      </c>
      <c r="K53" s="81">
        <f t="shared" si="10"/>
        <v>1.3</v>
      </c>
      <c r="L53" s="81">
        <f t="shared" si="10"/>
        <v>2.3000000000000003</v>
      </c>
      <c r="M53" s="81">
        <f t="shared" si="10"/>
        <v>1.6</v>
      </c>
      <c r="N53" s="81">
        <f t="shared" si="10"/>
        <v>1.6</v>
      </c>
      <c r="O53" s="81">
        <f t="shared" si="10"/>
        <v>1.3</v>
      </c>
      <c r="P53" s="81">
        <f t="shared" si="10"/>
        <v>1.3</v>
      </c>
      <c r="Q53" s="81">
        <f t="shared" si="10"/>
        <v>1.6</v>
      </c>
      <c r="R53" s="81">
        <f t="shared" si="10"/>
        <v>2.4</v>
      </c>
      <c r="S53" s="81">
        <f t="shared" ref="S53:AC53" si="11">ROUNDUP(S49/S48,1)</f>
        <v>3</v>
      </c>
      <c r="T53" s="81">
        <f t="shared" si="11"/>
        <v>1.6</v>
      </c>
      <c r="U53" s="81">
        <f t="shared" si="11"/>
        <v>8</v>
      </c>
      <c r="V53" s="81">
        <f t="shared" si="11"/>
        <v>2</v>
      </c>
      <c r="W53" s="81">
        <f t="shared" si="11"/>
        <v>2.2000000000000002</v>
      </c>
      <c r="X53" s="81">
        <f t="shared" si="11"/>
        <v>1.5</v>
      </c>
      <c r="Y53" s="81">
        <f t="shared" si="11"/>
        <v>1.2000000000000002</v>
      </c>
      <c r="Z53" s="81">
        <f t="shared" si="11"/>
        <v>2.3000000000000003</v>
      </c>
      <c r="AA53" s="81">
        <f t="shared" si="11"/>
        <v>1.7000000000000002</v>
      </c>
      <c r="AB53" s="81">
        <f t="shared" si="11"/>
        <v>1.5</v>
      </c>
      <c r="AC53" s="81">
        <f t="shared" si="11"/>
        <v>1.5</v>
      </c>
      <c r="AD53" s="81">
        <f t="shared" ref="AD53:AE53" si="12">ROUNDUP(AD49/AD48,1)</f>
        <v>2.9</v>
      </c>
      <c r="AE53" s="81">
        <f t="shared" si="12"/>
        <v>1.9000000000000001</v>
      </c>
    </row>
    <row r="54" spans="2:31" x14ac:dyDescent="0.25">
      <c r="B54" s="100" t="s">
        <v>11</v>
      </c>
      <c r="C54" s="76">
        <f>IF(C53&gt;1.5,VLOOKUP(C51&amp;1.5,tablas!$L$3:$O$56,4,FALSE),VLOOKUP(C51&amp;C53,tablas!$L$3:$O$56,4,FALSE))</f>
        <v>0.55000000000000004</v>
      </c>
      <c r="D54" s="77">
        <f>IF(D53&gt;1.5,VLOOKUP(D51&amp;1.5,tablas!$L$3:$O$56,4,FALSE),VLOOKUP(D51&amp;D53,tablas!$L$3:$O$56,4,FALSE))</f>
        <v>0.57999999999999996</v>
      </c>
      <c r="E54" s="77">
        <f>IF(E53&gt;1.5,VLOOKUP(E51&amp;1.5,tablas!$L$3:$O$56,4,FALSE),VLOOKUP(E51&amp;E53,tablas!$L$3:$O$56,4,FALSE))</f>
        <v>0.57999999999999996</v>
      </c>
      <c r="F54" s="77">
        <f>IF(F53&gt;1.5,VLOOKUP(F51&amp;1.5,tablas!$L$3:$O$56,4,FALSE),VLOOKUP(F51&amp;F53,tablas!$L$3:$O$56,4,FALSE))</f>
        <v>0.57999999999999996</v>
      </c>
      <c r="G54" s="77">
        <f>IF(G53&gt;1.5,VLOOKUP(G51&amp;1.5,tablas!$L$3:$O$56,4,FALSE),VLOOKUP(G51&amp;G53,tablas!$L$3:$O$56,4,FALSE))</f>
        <v>0.56000000000000005</v>
      </c>
      <c r="H54" s="77">
        <f>IF(H53&gt;1.5,VLOOKUP(H51&amp;1.5,tablas!$L$3:$O$56,4,FALSE),VLOOKUP(H51&amp;H53,tablas!$L$3:$O$56,4,FALSE))</f>
        <v>0.56999999999999995</v>
      </c>
      <c r="I54" s="77">
        <f>IF(I53&gt;1.5,VLOOKUP(I51&amp;1.5,tablas!$L$3:$O$56,4,FALSE),VLOOKUP(I51&amp;I53,tablas!$L$3:$O$56,4,FALSE))</f>
        <v>0.55000000000000004</v>
      </c>
      <c r="J54" s="132">
        <f>IF(J53&gt;1.5,VLOOKUP(J51&amp;1.5,tablas!$L$3:$O$56,4,FALSE),VLOOKUP(J51&amp;J53,tablas!$L$3:$O$56,4,FALSE))</f>
        <v>0.56000000000000005</v>
      </c>
      <c r="K54" s="132">
        <f>IF(K53&gt;1.5,VLOOKUP(K51&amp;1.5,tablas!$L$3:$O$56,4,FALSE),VLOOKUP(K51&amp;K53,tablas!$L$3:$O$56,4,FALSE))</f>
        <v>0.56000000000000005</v>
      </c>
      <c r="L54" s="77">
        <f>IF(L53&gt;1.5,VLOOKUP(L51&amp;1.5,tablas!$L$3:$O$56,4,FALSE),VLOOKUP(L51&amp;L53,tablas!$L$3:$O$56,4,FALSE))</f>
        <v>0.57999999999999996</v>
      </c>
      <c r="M54" s="77">
        <f>IF(M53&gt;1.5,VLOOKUP(M51&amp;1.5,tablas!$L$3:$O$56,4,FALSE),VLOOKUP(M51&amp;M53,tablas!$L$3:$O$56,4,FALSE))</f>
        <v>0.57999999999999996</v>
      </c>
      <c r="N54" s="77">
        <f>IF(N53&gt;1.5,VLOOKUP(N51&amp;1.5,tablas!$L$3:$O$56,4,FALSE),VLOOKUP(N51&amp;N53,tablas!$L$3:$O$56,4,FALSE))</f>
        <v>0.57999999999999996</v>
      </c>
      <c r="O54" s="77">
        <f>IF(O53&gt;1.5,VLOOKUP(O51&amp;1.5,tablas!$L$3:$O$56,4,FALSE),VLOOKUP(O51&amp;O53,tablas!$L$3:$O$56,4,FALSE))</f>
        <v>0.56000000000000005</v>
      </c>
      <c r="P54" s="77">
        <f>IF(P53&gt;1.5,VLOOKUP(P51&amp;1.5,tablas!$L$3:$O$56,4,FALSE),VLOOKUP(P51&amp;P53,tablas!$L$3:$O$56,4,FALSE))</f>
        <v>0.56000000000000005</v>
      </c>
      <c r="Q54" s="77">
        <f>IF(Q53&gt;1.5,VLOOKUP(Q51&amp;1.5,tablas!$L$3:$O$56,4,FALSE),VLOOKUP(Q51&amp;Q53,tablas!$L$3:$O$56,4,FALSE))</f>
        <v>0.57999999999999996</v>
      </c>
      <c r="R54" s="77">
        <f>IF(R53&gt;1.5,VLOOKUP(R51&amp;1.5,tablas!$L$3:$O$56,4,FALSE),VLOOKUP(R51&amp;R53,tablas!$L$3:$O$56,4,FALSE))</f>
        <v>0.57999999999999996</v>
      </c>
      <c r="S54" s="77">
        <f>IF(S53&gt;1.5,VLOOKUP(S51&amp;1.5,tablas!$L$3:$O$56,4,FALSE),VLOOKUP(S51&amp;S53,tablas!$L$3:$O$56,4,FALSE))</f>
        <v>0.57999999999999996</v>
      </c>
      <c r="T54" s="77">
        <f>IF(T53&gt;1.5,VLOOKUP(T51&amp;1.5,tablas!$L$3:$O$56,4,FALSE),VLOOKUP(T51&amp;T53,tablas!$L$3:$O$56,4,FALSE))</f>
        <v>0.57999999999999996</v>
      </c>
      <c r="U54" s="77">
        <f>IF(U53&gt;1.5,VLOOKUP(U51&amp;1.5,tablas!$L$3:$O$56,4,FALSE),VLOOKUP(U51&amp;U53,tablas!$L$3:$O$56,4,FALSE))</f>
        <v>0.57999999999999996</v>
      </c>
      <c r="V54" s="77">
        <f>IF(V53&gt;1.5,VLOOKUP(V51&amp;1.5,tablas!$L$3:$O$56,4,FALSE),VLOOKUP(V51&amp;V53,tablas!$L$3:$O$56,4,FALSE))</f>
        <v>0.75</v>
      </c>
      <c r="W54" s="77">
        <f>IF(W53&gt;1.5,VLOOKUP(W51&amp;1.5,tablas!$L$3:$O$56,4,FALSE),VLOOKUP(W51&amp;W53,tablas!$L$3:$O$56,4,FALSE))</f>
        <v>0.57999999999999996</v>
      </c>
      <c r="X54" s="77">
        <f>IF(X53&gt;1.5,VLOOKUP(X51&amp;1.5,tablas!$L$3:$O$56,4,FALSE),VLOOKUP(X51&amp;X53,tablas!$L$3:$O$56,4,FALSE))</f>
        <v>0.57999999999999996</v>
      </c>
      <c r="Y54" s="77">
        <f>IF(Y53&gt;1.5,VLOOKUP(Y51&amp;1.5,tablas!$L$3:$O$56,4,FALSE),VLOOKUP(Y51&amp;Y53,tablas!$L$3:$O$56,4,FALSE))</f>
        <v>0.56000000000000005</v>
      </c>
      <c r="Z54" s="77">
        <f>IF(Z53&gt;1.5,VLOOKUP(Z51&amp;1.5,tablas!$L$3:$O$56,4,FALSE),VLOOKUP(Z51&amp;Z53,tablas!$L$3:$O$56,4,FALSE))</f>
        <v>0.57999999999999996</v>
      </c>
      <c r="AA54" s="77">
        <f>IF(AA53&gt;1.5,VLOOKUP(AA51&amp;1.5,tablas!$L$3:$O$56,4,FALSE),VLOOKUP(AA51&amp;AA53,tablas!$L$3:$O$56,4,FALSE))</f>
        <v>0.57999999999999996</v>
      </c>
      <c r="AB54" s="77">
        <f>IF(AB53&gt;1.5,VLOOKUP(AB51&amp;1.5,tablas!$L$3:$O$56,4,FALSE),VLOOKUP(AB51&amp;AB53,tablas!$L$3:$O$56,4,FALSE))</f>
        <v>0.57999999999999996</v>
      </c>
      <c r="AC54" s="77">
        <f>IF(AC53&gt;1.5,VLOOKUP(AC51&amp;1.5,tablas!$L$3:$O$56,4,FALSE),VLOOKUP(AC51&amp;AC53,tablas!$L$3:$O$56,4,FALSE))</f>
        <v>0.57999999999999996</v>
      </c>
      <c r="AD54" s="77">
        <f>IF(AD53&gt;1.5,VLOOKUP(AD51&amp;1.5,tablas!$L$3:$O$56,4,FALSE),VLOOKUP(AD51&amp;AD53,tablas!$L$3:$O$56,4,FALSE))</f>
        <v>0.57999999999999996</v>
      </c>
      <c r="AE54" s="77">
        <f>IF(AE53&gt;1.5,VLOOKUP(AE51&amp;1.5,tablas!$L$3:$O$56,4,FALSE),VLOOKUP(AE51&amp;AE53,tablas!$L$3:$O$56,4,FALSE))</f>
        <v>0.57999999999999996</v>
      </c>
    </row>
    <row r="55" spans="2:31" x14ac:dyDescent="0.25">
      <c r="B55" s="100" t="s">
        <v>85</v>
      </c>
      <c r="C55" s="76">
        <v>35</v>
      </c>
      <c r="D55" s="77">
        <v>35</v>
      </c>
      <c r="E55" s="77">
        <v>36</v>
      </c>
      <c r="F55" s="77">
        <v>37</v>
      </c>
      <c r="G55" s="77">
        <v>38</v>
      </c>
      <c r="H55" s="77">
        <v>39</v>
      </c>
      <c r="I55" s="77">
        <v>40</v>
      </c>
      <c r="J55" s="132">
        <v>41</v>
      </c>
      <c r="K55" s="132">
        <v>42</v>
      </c>
      <c r="L55" s="77">
        <v>43</v>
      </c>
      <c r="M55" s="77">
        <v>44</v>
      </c>
      <c r="N55" s="77">
        <v>45</v>
      </c>
      <c r="O55" s="77">
        <v>46</v>
      </c>
      <c r="P55" s="77">
        <v>47</v>
      </c>
      <c r="Q55" s="77">
        <v>48</v>
      </c>
      <c r="R55" s="77">
        <v>49</v>
      </c>
      <c r="S55" s="77">
        <v>50</v>
      </c>
      <c r="T55" s="77">
        <v>51</v>
      </c>
      <c r="U55" s="77">
        <v>52</v>
      </c>
      <c r="V55" s="77">
        <v>53</v>
      </c>
      <c r="W55" s="77">
        <v>54</v>
      </c>
      <c r="X55" s="77">
        <v>55</v>
      </c>
      <c r="Y55" s="77">
        <v>56</v>
      </c>
      <c r="Z55" s="77">
        <v>57</v>
      </c>
      <c r="AA55" s="77">
        <v>58</v>
      </c>
      <c r="AB55" s="77">
        <v>59</v>
      </c>
      <c r="AC55" s="77">
        <v>60</v>
      </c>
      <c r="AD55" s="77">
        <v>61</v>
      </c>
      <c r="AE55" s="77">
        <v>62</v>
      </c>
    </row>
    <row r="56" spans="2:31" x14ac:dyDescent="0.25">
      <c r="B56" s="97" t="s">
        <v>4</v>
      </c>
      <c r="C56" s="76">
        <f>IF(C53&lt;2,VLOOKUP(C51&amp;C53,tablas!$B$3:$J$92,6,FALSE),"Franja de losa")</f>
        <v>50.7</v>
      </c>
      <c r="D56" s="77">
        <f>IF(D53&lt;2,VLOOKUP(D51&amp;D53,tablas!$B$3:$J$92,6,FALSE),"Franja de losa")</f>
        <v>44.4</v>
      </c>
      <c r="E56" s="77">
        <f>IF(E53&lt;2,VLOOKUP(E51&amp;E53,tablas!$B$3:$J$92,6,FALSE),"Franja de losa")</f>
        <v>44.4</v>
      </c>
      <c r="F56" s="77">
        <f>IF(F53&lt;2,VLOOKUP(F51&amp;F53,tablas!$B$3:$J$92,6,FALSE),"Franja de losa")</f>
        <v>46.1</v>
      </c>
      <c r="G56" s="77">
        <f>IF(G53&lt;2,VLOOKUP(G51&amp;G53,tablas!$B$3:$J$92,6,FALSE),"Franja de losa")</f>
        <v>47.2</v>
      </c>
      <c r="H56" s="77">
        <f>IF(H53&lt;2,VLOOKUP(H51&amp;H53,tablas!$B$3:$J$92,6,FALSE),"Franja de losa")</f>
        <v>44.6</v>
      </c>
      <c r="I56" s="77">
        <f>IF(I53&lt;2,VLOOKUP(I51&amp;I53,tablas!$B$3:$J$92,6,FALSE),"Franja de losa")</f>
        <v>50.7</v>
      </c>
      <c r="J56" s="132">
        <f>IF(J53&lt;2,VLOOKUP(J51&amp;J53,tablas!$B$3:$J$92,6,FALSE),"Franja de losa")</f>
        <v>45.2</v>
      </c>
      <c r="K56" s="132">
        <f>IF(K53&lt;2,VLOOKUP(K51&amp;K53,tablas!$B$3:$J$92,6,FALSE),"Franja de losa")</f>
        <v>45.2</v>
      </c>
      <c r="L56" s="77" t="str">
        <f>IF(L53&lt;=2,VLOOKUP(L51&amp;L53,tablas!$B$3:$J$92,6,FALSE),"Franja de losa")</f>
        <v>Franja de losa</v>
      </c>
      <c r="M56" s="77">
        <f>IF(M53&lt;=2,VLOOKUP(M51&amp;M53,tablas!$B$3:$J$92,6,FALSE),"Franja de losa")</f>
        <v>46.1</v>
      </c>
      <c r="N56" s="77">
        <f>IF(N53&lt;=2,VLOOKUP(N51&amp;N53,tablas!$B$3:$J$92,6,FALSE),"Franja de losa")</f>
        <v>46.1</v>
      </c>
      <c r="O56" s="77">
        <f>IF(O53&lt;=2,VLOOKUP(O51&amp;O53,tablas!$B$3:$J$92,6,FALSE),"Franja de losa")</f>
        <v>45.2</v>
      </c>
      <c r="P56" s="77">
        <f>IF(P53&lt;=2,VLOOKUP(P51&amp;P53,tablas!$B$3:$J$92,6,FALSE),"Franja de losa")</f>
        <v>45.2</v>
      </c>
      <c r="Q56" s="77">
        <f>IF(Q53&lt;=2,VLOOKUP(Q51&amp;Q53,tablas!$B$3:$J$92,6,FALSE),"Franja de losa")</f>
        <v>46.1</v>
      </c>
      <c r="R56" s="77" t="str">
        <f>IF(R53&lt;=2,VLOOKUP(R51&amp;R53,tablas!$B$3:$J$92,6,FALSE),"Franja de losa")</f>
        <v>Franja de losa</v>
      </c>
      <c r="S56" s="77" t="str">
        <f>IF(S53&lt;=2,VLOOKUP(S51&amp;S53,tablas!$B$3:$J$92,6,FALSE),"Franja de losa")</f>
        <v>Franja de losa</v>
      </c>
      <c r="T56" s="77">
        <f>IF(T53&lt;=2,VLOOKUP(T51&amp;T53,tablas!$B$3:$J$92,6,FALSE),"Franja de losa")</f>
        <v>46.1</v>
      </c>
      <c r="U56" s="77" t="str">
        <f>IF(U53&lt;=2,VLOOKUP(U51&amp;U53,tablas!$B$3:$J$92,6,FALSE),"Franja de losa")</f>
        <v>Franja de losa</v>
      </c>
      <c r="V56" s="77">
        <f>IF(V53&lt;=2,VLOOKUP(V51&amp;V53,tablas!$B$3:$J$92,6,FALSE),"Franja de losa")</f>
        <v>37.5</v>
      </c>
      <c r="W56" s="77" t="str">
        <f>IF(W53&lt;=2,VLOOKUP(W51&amp;W53,tablas!$B$3:$J$92,6,FALSE),"Franja de losa")</f>
        <v>Franja de losa</v>
      </c>
      <c r="X56" s="77">
        <f>IF(X53&lt;=2,VLOOKUP(X51&amp;X53,tablas!$B$3:$J$92,6,FALSE),"Franja de losa")</f>
        <v>44.4</v>
      </c>
      <c r="Y56" s="77">
        <f>IF(Y53&lt;=2,VLOOKUP(Y51&amp;Y53,tablas!$B$3:$J$92,6,FALSE),"Franja de losa")</f>
        <v>47.2</v>
      </c>
      <c r="Z56" s="77" t="str">
        <f>IF(Z53&lt;=2,VLOOKUP(Z51&amp;Z53,tablas!$B$3:$J$92,6,FALSE),"Franja de losa")</f>
        <v>Franja de losa</v>
      </c>
      <c r="AA56" s="77">
        <f>IF(AA53&lt;=2,VLOOKUP(AA51&amp;AA53-0.1,tablas!$B$3:$J$92,6,FALSE),"Franja de losa")</f>
        <v>46.1</v>
      </c>
      <c r="AB56" s="77">
        <f>IF(AB53&lt;=2,VLOOKUP(AB51&amp;AB53,tablas!$B$3:$J$92,6,FALSE),"Franja de losa")</f>
        <v>44.4</v>
      </c>
      <c r="AC56" s="77">
        <f>IF(AC53&lt;=2,VLOOKUP(AC51&amp;AC53,tablas!$B$3:$J$92,6,FALSE),"Franja de losa")</f>
        <v>44.4</v>
      </c>
      <c r="AD56" s="77" t="str">
        <f>IF(AD53&lt;=2,VLOOKUP(AD51&amp;AD53,tablas!$B$3:$J$92,6,FALSE),"Franja de losa")</f>
        <v>Franja de losa</v>
      </c>
      <c r="AE56" s="77">
        <f>IF(AE53&lt;=2,VLOOKUP(AE51&amp;AE53-0.1,tablas!$B$3:$J$92,6,FALSE),"Franja de losa")</f>
        <v>48.8</v>
      </c>
    </row>
    <row r="57" spans="2:31" x14ac:dyDescent="0.25">
      <c r="B57" s="97" t="s">
        <v>5</v>
      </c>
      <c r="C57" s="76">
        <f>IF(C53&lt;2,VLOOKUP(C51&amp;C53,tablas!$B$3:$J$92,7,FALSE),"Franja de losa")</f>
        <v>66.3</v>
      </c>
      <c r="D57" s="77">
        <f>IF(D53&lt;2,VLOOKUP(D51&amp;D53,tablas!$B$3:$J$92,7,FALSE),"Franja de losa")</f>
        <v>140.5</v>
      </c>
      <c r="E57" s="77">
        <f>IF(E53&lt;2,VLOOKUP(E51&amp;E53,tablas!$B$3:$J$92,7,FALSE),"Franja de losa")</f>
        <v>140.5</v>
      </c>
      <c r="F57" s="77">
        <f>IF(F53&lt;2,VLOOKUP(F51&amp;F53,tablas!$B$3:$J$92,7,FALSE),"Franja de losa")</f>
        <v>163</v>
      </c>
      <c r="G57" s="77">
        <f>IF(G53&lt;2,VLOOKUP(G51&amp;G53,tablas!$B$3:$J$92,7,FALSE),"Franja de losa")</f>
        <v>78.900000000000006</v>
      </c>
      <c r="H57" s="77">
        <f>IF(H53&lt;2,VLOOKUP(H51&amp;H53,tablas!$B$3:$J$92,7,FALSE),"Franja de losa")</f>
        <v>116.6</v>
      </c>
      <c r="I57" s="77">
        <f>IF(I53&lt;2,VLOOKUP(I51&amp;I53,tablas!$B$3:$J$92,7,FALSE),"Franja de losa")</f>
        <v>66.3</v>
      </c>
      <c r="J57" s="77">
        <f>IF(J53&lt;2,VLOOKUP(J51&amp;J53,tablas!$B$3:$J$92,7,FALSE),"Franja de losa")</f>
        <v>95.6</v>
      </c>
      <c r="K57" s="77">
        <f>IF(K53&lt;2,VLOOKUP(K51&amp;K53,tablas!$B$3:$J$92,7,FALSE),"Franja de losa")</f>
        <v>95.6</v>
      </c>
      <c r="L57" s="77" t="str">
        <f>IF(L53&lt;=2,VLOOKUP(L51&amp;L53,tablas!$B$3:$J$92,7,FALSE),"Franja de losa")</f>
        <v>Franja de losa</v>
      </c>
      <c r="M57" s="77">
        <f>IF(M53&lt;=2,VLOOKUP(M51&amp;M53,tablas!$B$3:$J$92,7,FALSE),"Franja de losa")</f>
        <v>163</v>
      </c>
      <c r="N57" s="77">
        <f>IF(N53&lt;=2,VLOOKUP(N51&amp;N53,tablas!$B$3:$J$92,7,FALSE),"Franja de losa")</f>
        <v>163</v>
      </c>
      <c r="O57" s="77">
        <f>IF(O53&lt;=2,VLOOKUP(O51&amp;O53,tablas!$B$3:$J$92,7,FALSE),"Franja de losa")</f>
        <v>95.6</v>
      </c>
      <c r="P57" s="77">
        <f>IF(P53&lt;=2,VLOOKUP(P51&amp;P53,tablas!$B$3:$J$92,7,FALSE),"Franja de losa")</f>
        <v>95.6</v>
      </c>
      <c r="Q57" s="77">
        <f>IF(Q53&lt;=2,VLOOKUP(Q51&amp;Q53,tablas!$B$3:$J$92,7,FALSE),"Franja de losa")</f>
        <v>163</v>
      </c>
      <c r="R57" s="77" t="str">
        <f>IF(R53&lt;=2,VLOOKUP(R51&amp;R53,tablas!$B$3:$J$92,7,FALSE),"Franja de losa")</f>
        <v>Franja de losa</v>
      </c>
      <c r="S57" s="77" t="str">
        <f>IF(S53&lt;=2,VLOOKUP(S51&amp;S53,tablas!$B$3:$J$92,7,FALSE),"Franja de losa")</f>
        <v>Franja de losa</v>
      </c>
      <c r="T57" s="77">
        <f>IF(T53&lt;=2,VLOOKUP(T51&amp;T53,tablas!$B$3:$J$92,7,FALSE),"Franja de losa")</f>
        <v>163</v>
      </c>
      <c r="U57" s="77" t="str">
        <f>IF(U53&lt;=2,VLOOKUP(U51&amp;U53,tablas!$B$3:$J$92,7,FALSE),"Franja de losa")</f>
        <v>Franja de losa</v>
      </c>
      <c r="V57" s="77">
        <f>IF(V53&lt;=2,VLOOKUP(V51&amp;V53,tablas!$B$3:$J$92,7,FALSE),"Franja de losa")</f>
        <v>202</v>
      </c>
      <c r="W57" s="77" t="str">
        <f>IF(W53&lt;=2,VLOOKUP(W51&amp;W53,tablas!$B$3:$J$92,7,FALSE),"Franja de losa")</f>
        <v>Franja de losa</v>
      </c>
      <c r="X57" s="77">
        <f>IF(X53&lt;=2,VLOOKUP(X51&amp;X53,tablas!$B$3:$J$92,7,FALSE),"Franja de losa")</f>
        <v>140.5</v>
      </c>
      <c r="Y57" s="77">
        <f>IF(Y53&lt;=2,VLOOKUP(Y51&amp;Y53,tablas!$B$3:$J$92,7,FALSE),"Franja de losa")</f>
        <v>78.900000000000006</v>
      </c>
      <c r="Z57" s="77" t="str">
        <f>IF(Z53&lt;=2,VLOOKUP(Z51&amp;Z53,tablas!$B$3:$J$92,7,FALSE),"Franja de losa")</f>
        <v>Franja de losa</v>
      </c>
      <c r="AA57" s="77">
        <f>IF(AA53&lt;=2,VLOOKUP(AA51&amp;AA53-0.1,tablas!$B$3:$J$92,7,FALSE),"Franja de losa")</f>
        <v>163</v>
      </c>
      <c r="AB57" s="77">
        <f>IF(AB53&lt;=2,VLOOKUP(AB51&amp;AB53,tablas!$B$3:$J$92,7,FALSE),"Franja de losa")</f>
        <v>140.5</v>
      </c>
      <c r="AC57" s="77">
        <f>IF(AC53&lt;=2,VLOOKUP(AC51&amp;AC53,tablas!$B$3:$J$92,7,FALSE),"Franja de losa")</f>
        <v>140.5</v>
      </c>
      <c r="AD57" s="77" t="str">
        <f>IF(AD53&lt;=2,VLOOKUP(AD51&amp;AD53,tablas!$B$3:$J$92,7,FALSE),"Franja de losa")</f>
        <v>Franja de losa</v>
      </c>
      <c r="AE57" s="77">
        <f>IF(AE53&lt;=2,VLOOKUP(AE51&amp;AE53-0.1,tablas!$B$3:$J$92,7,FALSE),"Franja de losa")</f>
        <v>190</v>
      </c>
    </row>
    <row r="58" spans="2:31" x14ac:dyDescent="0.25">
      <c r="B58" s="97" t="s">
        <v>6</v>
      </c>
      <c r="C58" s="76">
        <f>IF(C53&lt;2,VLOOKUP(C51&amp;C53,tablas!$B$3:$J$92,8,FALSE),"Franja de losa")</f>
        <v>18.8</v>
      </c>
      <c r="D58" s="77">
        <f>IF(D53&lt;2,VLOOKUP(D51&amp;D53,tablas!$B$3:$J$92,8,FALSE),"Franja de losa")</f>
        <v>19.8</v>
      </c>
      <c r="E58" s="77">
        <f>IF(E53&lt;2,VLOOKUP(E51&amp;E53,tablas!$B$3:$J$92,8,FALSE),"Franja de losa")</f>
        <v>19.8</v>
      </c>
      <c r="F58" s="77">
        <f>IF(F53&lt;2,VLOOKUP(F51&amp;F53,tablas!$B$3:$J$92,8,FALSE),"Franja de losa")</f>
        <v>20.5</v>
      </c>
      <c r="G58" s="77">
        <f>IF(G53&lt;2,VLOOKUP(G51&amp;G53,tablas!$B$3:$J$92,8,FALSE),"Franja de losa")</f>
        <v>18.600000000000001</v>
      </c>
      <c r="H58" s="77">
        <f>IF(H53&lt;2,VLOOKUP(H51&amp;H53,tablas!$B$3:$J$92,8,FALSE),"Franja de losa")</f>
        <v>19.2</v>
      </c>
      <c r="I58" s="77">
        <f>IF(I53&lt;2,VLOOKUP(I51&amp;I53,tablas!$B$3:$J$92,8,FALSE),"Franja de losa")</f>
        <v>18.8</v>
      </c>
      <c r="J58" s="77">
        <f>IF(J53&lt;2,VLOOKUP(J51&amp;J53,tablas!$B$3:$J$92,8,FALSE),"Franja de losa")</f>
        <v>18.8</v>
      </c>
      <c r="K58" s="77">
        <f>IF(K53&lt;2,VLOOKUP(K51&amp;K53,tablas!$B$3:$J$92,8,FALSE),"Franja de losa")</f>
        <v>18.8</v>
      </c>
      <c r="L58" s="77" t="str">
        <f>IF(L53&lt;=2,VLOOKUP(L51&amp;L53,tablas!$B$3:$J$92,8,FALSE),"Franja de losa")</f>
        <v>Franja de losa</v>
      </c>
      <c r="M58" s="77">
        <f>IF(M53&lt;=2,VLOOKUP(M51&amp;M53,tablas!$B$3:$J$92,8,FALSE),"Franja de losa")</f>
        <v>20.5</v>
      </c>
      <c r="N58" s="77">
        <f>IF(N53&lt;=2,VLOOKUP(N51&amp;N53,tablas!$B$3:$J$92,8,FALSE),"Franja de losa")</f>
        <v>20.5</v>
      </c>
      <c r="O58" s="77">
        <f>IF(O53&lt;=2,VLOOKUP(O51&amp;O53,tablas!$B$3:$J$92,8,FALSE),"Franja de losa")</f>
        <v>18.8</v>
      </c>
      <c r="P58" s="77">
        <f>IF(P53&lt;=2,VLOOKUP(P51&amp;P53,tablas!$B$3:$J$92,8,FALSE),"Franja de losa")</f>
        <v>18.8</v>
      </c>
      <c r="Q58" s="77">
        <f>IF(Q53&lt;=2,VLOOKUP(Q51&amp;Q53,tablas!$B$3:$J$92,8,FALSE),"Franja de losa")</f>
        <v>20.5</v>
      </c>
      <c r="R58" s="77" t="str">
        <f>IF(R53&lt;=2,VLOOKUP(R51&amp;R53,tablas!$B$3:$J$92,8,FALSE),"Franja de losa")</f>
        <v>Franja de losa</v>
      </c>
      <c r="S58" s="77" t="str">
        <f>IF(S53&lt;=2,VLOOKUP(S51&amp;S53,tablas!$B$3:$J$92,8,FALSE),"Franja de losa")</f>
        <v>Franja de losa</v>
      </c>
      <c r="T58" s="77">
        <f>IF(T53&lt;=2,VLOOKUP(T51&amp;T53,tablas!$B$3:$J$92,8,FALSE),"Franja de losa")</f>
        <v>20.5</v>
      </c>
      <c r="U58" s="77" t="str">
        <f>IF(U53&lt;=2,VLOOKUP(U51&amp;U53,tablas!$B$3:$J$92,8,FALSE),"Franja de losa")</f>
        <v>Franja de losa</v>
      </c>
      <c r="V58" s="77">
        <f>IF(V53&lt;=2,VLOOKUP(V51&amp;V53,tablas!$B$3:$J$92,8,FALSE),"Franja de losa")</f>
        <v>17.600000000000001</v>
      </c>
      <c r="W58" s="77" t="str">
        <f>IF(W53&lt;=2,VLOOKUP(W51&amp;W53,tablas!$B$3:$J$92,8,FALSE),"Franja de losa")</f>
        <v>Franja de losa</v>
      </c>
      <c r="X58" s="77">
        <f>IF(X53&lt;=2,VLOOKUP(X51&amp;X53,tablas!$B$3:$J$92,8,FALSE),"Franja de losa")</f>
        <v>19.8</v>
      </c>
      <c r="Y58" s="77">
        <f>IF(Y53&lt;=2,VLOOKUP(Y51&amp;Y53,tablas!$B$3:$J$92,8,FALSE),"Franja de losa")</f>
        <v>18.600000000000001</v>
      </c>
      <c r="Z58" s="77" t="str">
        <f>IF(Z53&lt;=2,VLOOKUP(Z51&amp;Z53,tablas!$B$3:$J$92,8,FALSE),"Franja de losa")</f>
        <v>Franja de losa</v>
      </c>
      <c r="AA58" s="77">
        <f>IF(AA53&lt;=2,VLOOKUP(AA51&amp;AA53-0.1,tablas!$B$3:$J$92,8,FALSE),"Franja de losa")</f>
        <v>20.5</v>
      </c>
      <c r="AB58" s="77">
        <f>IF(AB53&lt;=2,VLOOKUP(AB51&amp;AB53,tablas!$B$3:$J$92,8,FALSE),"Franja de losa")</f>
        <v>19.8</v>
      </c>
      <c r="AC58" s="77">
        <f>IF(AC53&lt;=2,VLOOKUP(AC51&amp;AC53,tablas!$B$3:$J$92,8,FALSE),"Franja de losa")</f>
        <v>19.8</v>
      </c>
      <c r="AD58" s="77" t="str">
        <f>IF(AD53&lt;=2,VLOOKUP(AD51&amp;AD53,tablas!$B$3:$J$92,8,FALSE),"Franja de losa")</f>
        <v>Franja de losa</v>
      </c>
      <c r="AE58" s="77">
        <f>IF(AE53&lt;=2,VLOOKUP(AE51&amp;AE53-0.1,tablas!$B$3:$J$92,8,FALSE),"Franja de losa")</f>
        <v>22</v>
      </c>
    </row>
    <row r="59" spans="2:31" x14ac:dyDescent="0.25">
      <c r="B59" s="97" t="s">
        <v>7</v>
      </c>
      <c r="C59" s="76">
        <f>IF(C53&lt;2,VLOOKUP(C51&amp;C53,tablas!$B$3:$J$92,9,FALSE),"Franja de losa")</f>
        <v>20.3</v>
      </c>
      <c r="D59" s="77">
        <f>IF(D53&lt;2,VLOOKUP(D51&amp;D53,tablas!$B$3:$J$92,9,FALSE),"Franja de losa")</f>
        <v>26.2</v>
      </c>
      <c r="E59" s="77">
        <f>IF(E53&lt;2,VLOOKUP(E51&amp;E53,tablas!$B$3:$J$92,9,FALSE),"Franja de losa")</f>
        <v>26.2</v>
      </c>
      <c r="F59" s="77">
        <f>IF(F53&lt;2,VLOOKUP(F51&amp;F53,tablas!$B$3:$J$92,9,FALSE),"Franja de losa")</f>
        <v>27.9</v>
      </c>
      <c r="G59" s="77">
        <f>IF(G53&lt;2,VLOOKUP(G51&amp;G53,tablas!$B$3:$J$92,9,FALSE),"Franja de losa")</f>
        <v>21.5</v>
      </c>
      <c r="H59" s="77">
        <f>IF(H53&lt;2,VLOOKUP(H51&amp;H53,tablas!$B$3:$J$92,9,FALSE),"Franja de losa")</f>
        <v>24.5</v>
      </c>
      <c r="I59" s="77">
        <f>IF(I53&lt;2,VLOOKUP(I51&amp;I53,tablas!$B$3:$J$92,9,FALSE),"Franja de losa")</f>
        <v>20.3</v>
      </c>
      <c r="J59" s="77">
        <f>IF(J53&lt;2,VLOOKUP(J51&amp;J53,tablas!$B$3:$J$92,9,FALSE),"Franja de losa")</f>
        <v>22.9</v>
      </c>
      <c r="K59" s="77">
        <f>IF(K53&lt;2,VLOOKUP(K51&amp;K53,tablas!$B$3:$J$92,9,FALSE),"Franja de losa")</f>
        <v>22.9</v>
      </c>
      <c r="L59" s="77" t="str">
        <f>IF(L53&lt;=2,VLOOKUP(L51&amp;L53,tablas!$B$3:$J$92,9,FALSE),"Franja de losa")</f>
        <v>Franja de losa</v>
      </c>
      <c r="M59" s="77">
        <f>IF(M53&lt;=2,VLOOKUP(M51&amp;M53,tablas!$B$3:$J$92,9,FALSE),"Franja de losa")</f>
        <v>27.9</v>
      </c>
      <c r="N59" s="77">
        <f>IF(N53&lt;=2,VLOOKUP(N51&amp;N53,tablas!$B$3:$J$92,9,FALSE),"Franja de losa")</f>
        <v>27.9</v>
      </c>
      <c r="O59" s="77">
        <f>IF(O53&lt;=2,VLOOKUP(O51&amp;O53,tablas!$B$3:$J$92,9,FALSE),"Franja de losa")</f>
        <v>22.9</v>
      </c>
      <c r="P59" s="77">
        <f>IF(P53&lt;=2,VLOOKUP(P51&amp;P53,tablas!$B$3:$J$92,9,FALSE),"Franja de losa")</f>
        <v>22.9</v>
      </c>
      <c r="Q59" s="77">
        <f>IF(Q53&lt;=2,VLOOKUP(Q51&amp;Q53,tablas!$B$3:$J$92,9,FALSE),"Franja de losa")</f>
        <v>27.9</v>
      </c>
      <c r="R59" s="77" t="str">
        <f>IF(R53&lt;=2,VLOOKUP(R51&amp;R53,tablas!$B$3:$J$92,9,FALSE),"Franja de losa")</f>
        <v>Franja de losa</v>
      </c>
      <c r="S59" s="77" t="str">
        <f>IF(S53&lt;=2,VLOOKUP(S51&amp;S53,tablas!$B$3:$J$92,9,FALSE),"Franja de losa")</f>
        <v>Franja de losa</v>
      </c>
      <c r="T59" s="77">
        <f>IF(T53&lt;=2,VLOOKUP(T51&amp;T53,tablas!$B$3:$J$92,9,FALSE),"Franja de losa")</f>
        <v>27.9</v>
      </c>
      <c r="U59" s="77" t="str">
        <f>IF(U53&lt;=2,VLOOKUP(U51&amp;U53,tablas!$B$3:$J$92,9,FALSE),"Franja de losa")</f>
        <v>Franja de losa</v>
      </c>
      <c r="V59" s="77">
        <f>IF(V53&lt;=2,VLOOKUP(V51&amp;V53,tablas!$B$3:$J$92,9,FALSE),"Franja de losa")</f>
        <v>24.6</v>
      </c>
      <c r="W59" s="77" t="str">
        <f>IF(W53&lt;=2,VLOOKUP(W51&amp;W53,tablas!$B$3:$J$92,9,FALSE),"Franja de losa")</f>
        <v>Franja de losa</v>
      </c>
      <c r="X59" s="77">
        <f>IF(X53&lt;=2,VLOOKUP(X51&amp;X53,tablas!$B$3:$J$92,9,FALSE),"Franja de losa")</f>
        <v>26.2</v>
      </c>
      <c r="Y59" s="77">
        <f>IF(Y53&lt;=2,VLOOKUP(Y51&amp;Y53,tablas!$B$3:$J$92,9,FALSE),"Franja de losa")</f>
        <v>21.5</v>
      </c>
      <c r="Z59" s="77" t="str">
        <f>IF(Z53&lt;=2,VLOOKUP(Z51&amp;Z53,tablas!$B$3:$J$92,9,FALSE),"Franja de losa")</f>
        <v>Franja de losa</v>
      </c>
      <c r="AA59" s="77">
        <f>IF(AA53&lt;=2,VLOOKUP(AA51&amp;AA53-0.1,tablas!$B$3:$J$92,9,FALSE),"Franja de losa")</f>
        <v>27.9</v>
      </c>
      <c r="AB59" s="77">
        <f>IF(AB53&lt;=2,VLOOKUP(AB51&amp;AB53,tablas!$B$3:$J$92,9,FALSE),"Franja de losa")</f>
        <v>26.2</v>
      </c>
      <c r="AC59" s="77">
        <f>IF(AC53&lt;=2,VLOOKUP(AC51&amp;AC53,tablas!$B$3:$J$92,9,FALSE),"Franja de losa")</f>
        <v>26.2</v>
      </c>
      <c r="AD59" s="77" t="str">
        <f>IF(AD53&lt;=2,VLOOKUP(AD51&amp;AD53,tablas!$B$3:$J$92,9,FALSE),"Franja de losa")</f>
        <v>Franja de losa</v>
      </c>
      <c r="AE59" s="77">
        <f>IF(AE53&lt;=2,VLOOKUP(AE51&amp;AE53-0.1,tablas!$B$3:$J$92,9,FALSE),"Franja de losa")</f>
        <v>31.4</v>
      </c>
    </row>
    <row r="60" spans="2:31" x14ac:dyDescent="0.25">
      <c r="B60" s="100" t="s">
        <v>2</v>
      </c>
      <c r="C60" s="76">
        <f>IF(C53&lt;2,VLOOKUP(C51&amp;C53,tablas!$B$3:$J$92,4,FALSE),"Franja de losa")</f>
        <v>1.05</v>
      </c>
      <c r="D60" s="77">
        <f>IF(D53&lt;2,VLOOKUP(D51&amp;D53,tablas!$B$3:$J$92,4,FALSE),"Franja de losa")</f>
        <v>1.31</v>
      </c>
      <c r="E60" s="77">
        <f>IF(E53&lt;2,VLOOKUP(E51&amp;E53,tablas!$B$3:$J$92,4,FALSE),"Franja de losa")</f>
        <v>1.31</v>
      </c>
      <c r="F60" s="77">
        <f>IF(F53&lt;2,VLOOKUP(F51&amp;F53,tablas!$B$3:$J$92,4,FALSE),"Franja de losa")</f>
        <v>1.39</v>
      </c>
      <c r="G60" s="77">
        <f>IF(G53&lt;2,VLOOKUP(G51&amp;G53,tablas!$B$3:$J$92,4,FALSE),"Franja de losa")</f>
        <v>1.1000000000000001</v>
      </c>
      <c r="H60" s="77">
        <f>IF(H53&lt;2,VLOOKUP(H51&amp;H53,tablas!$B$3:$J$92,4,FALSE),"Franja de losa")</f>
        <v>1.24</v>
      </c>
      <c r="I60" s="77">
        <f>IF(I53&lt;2,VLOOKUP(I51&amp;I53,tablas!$B$3:$J$92,4,FALSE),"Franja de losa")</f>
        <v>1.05</v>
      </c>
      <c r="J60" s="77">
        <f>IF(J53&lt;2,VLOOKUP(J51&amp;J53,tablas!$B$3:$J$92,4,FALSE),"Franja de losa")</f>
        <v>1.17</v>
      </c>
      <c r="K60" s="77">
        <f>IF(K53&lt;2,VLOOKUP(K51&amp;K53,tablas!$B$3:$J$92,4,FALSE),"Franja de losa")</f>
        <v>1.17</v>
      </c>
      <c r="L60" s="77" t="str">
        <f>IF(L53&lt;=2,VLOOKUP(L51&amp;L53,tablas!$B$3:$J$92,4,FALSE),"Franja de losa")</f>
        <v>Franja de losa</v>
      </c>
      <c r="M60" s="77">
        <f>IF(M53&lt;=2,VLOOKUP(M51&amp;M53,tablas!$B$3:$J$92,4,FALSE),"Franja de losa")</f>
        <v>1.39</v>
      </c>
      <c r="N60" s="77">
        <f>IF(N53&lt;=2,VLOOKUP(N51&amp;N53,tablas!$B$3:$J$92,4,FALSE),"Franja de losa")</f>
        <v>1.39</v>
      </c>
      <c r="O60" s="77">
        <f>IF(O53&lt;=2,VLOOKUP(O51&amp;O53,tablas!$B$3:$J$92,4,FALSE),"Franja de losa")</f>
        <v>1.17</v>
      </c>
      <c r="P60" s="77">
        <f>IF(P53&lt;=2,VLOOKUP(P51&amp;P53,tablas!$B$3:$J$92,4,FALSE),"Franja de losa")</f>
        <v>1.17</v>
      </c>
      <c r="Q60" s="77">
        <f>IF(Q53&lt;=2,VLOOKUP(Q51&amp;Q53,tablas!$B$3:$J$92,4,FALSE),"Franja de losa")</f>
        <v>1.39</v>
      </c>
      <c r="R60" s="77" t="str">
        <f>IF(R53&lt;=2,VLOOKUP(R51&amp;R53,tablas!$B$3:$J$92,4,FALSE),"Franja de losa")</f>
        <v>Franja de losa</v>
      </c>
      <c r="S60" s="77" t="str">
        <f>IF(S53&lt;=2,VLOOKUP(S51&amp;S53,tablas!$B$3:$J$92,4,FALSE),"Franja de losa")</f>
        <v>Franja de losa</v>
      </c>
      <c r="T60" s="77">
        <f>IF(T53&lt;=2,VLOOKUP(T51&amp;T53,tablas!$B$3:$J$92,4,FALSE),"Franja de losa")</f>
        <v>1.39</v>
      </c>
      <c r="U60" s="77" t="str">
        <f>IF(U53&lt;=2,VLOOKUP(U51&amp;U53,tablas!$B$3:$J$92,4,FALSE),"Franja de losa")</f>
        <v>Franja de losa</v>
      </c>
      <c r="V60" s="77">
        <f>IF(V53&lt;=2,VLOOKUP(V51&amp;V53,tablas!$B$3:$J$92,4,FALSE),"Franja de losa")</f>
        <v>0.68</v>
      </c>
      <c r="W60" s="77" t="str">
        <f>IF(W53&lt;=2,VLOOKUP(W51&amp;W53,tablas!$B$3:$J$92,4,FALSE),"Franja de losa")</f>
        <v>Franja de losa</v>
      </c>
      <c r="X60" s="77">
        <f>IF(X53&lt;=2,VLOOKUP(X51&amp;X53,tablas!$B$3:$J$92,4,FALSE),"Franja de losa")</f>
        <v>1.31</v>
      </c>
      <c r="Y60" s="77">
        <f>IF(Y53&lt;=2,VLOOKUP(Y51&amp;Y53,tablas!$B$3:$J$92,4,FALSE),"Franja de losa")</f>
        <v>1.1000000000000001</v>
      </c>
      <c r="Z60" s="77" t="str">
        <f>IF(Z53&lt;=2,VLOOKUP(Z51&amp;Z53,tablas!$B$3:$J$92,4,FALSE),"Franja de losa")</f>
        <v>Franja de losa</v>
      </c>
      <c r="AA60" s="77">
        <f>IF(AA53&lt;=2,VLOOKUP(AA51&amp;AA53-0.1,tablas!$B$3:$J$92,4,FALSE),"Franja de losa")</f>
        <v>1.39</v>
      </c>
      <c r="AB60" s="77">
        <f>IF(AB53&lt;=2,VLOOKUP(AB51&amp;AB53,tablas!$B$3:$J$92,4,FALSE),"Franja de losa")</f>
        <v>1.31</v>
      </c>
      <c r="AC60" s="77">
        <f>IF(AC53&lt;=2,VLOOKUP(AC51&amp;AC53,tablas!$B$3:$J$92,4,FALSE),"Franja de losa")</f>
        <v>1.31</v>
      </c>
      <c r="AD60" s="77" t="str">
        <f>IF(AD53&lt;=2,VLOOKUP(AD51&amp;AD53,tablas!$B$3:$J$92,4,FALSE),"Franja de losa")</f>
        <v>Franja de losa</v>
      </c>
      <c r="AE60" s="77">
        <f>IF(AE53&lt;=2,VLOOKUP(AE51&amp;AE53-0.1,tablas!$B$3:$J$92,4,FALSE),"Franja de losa")</f>
        <v>1.39</v>
      </c>
    </row>
    <row r="61" spans="2:31" ht="15.75" thickBot="1" x14ac:dyDescent="0.3">
      <c r="B61" s="101" t="s">
        <v>3</v>
      </c>
      <c r="C61" s="82">
        <f>IF(C53&lt;2,VLOOKUP(C51&amp;C53,tablas!$B$3:$J$92,5,FALSE),"Franja de losa")</f>
        <v>1.05</v>
      </c>
      <c r="D61" s="83">
        <f>IF(D53&lt;2,VLOOKUP(D51&amp;D53,tablas!$B$3:$J$92,5,FALSE),"Franja de losa")</f>
        <v>1.31</v>
      </c>
      <c r="E61" s="83">
        <f>IF(E53&lt;2,VLOOKUP(E51&amp;E53,tablas!$B$3:$J$92,5,FALSE),"Franja de losa")</f>
        <v>1.31</v>
      </c>
      <c r="F61" s="83">
        <f>IF(F53&lt;2,VLOOKUP(F51&amp;F53,tablas!$B$3:$J$92,5,FALSE),"Franja de losa")</f>
        <v>1.39</v>
      </c>
      <c r="G61" s="83">
        <f>IF(G53&lt;2,VLOOKUP(G51&amp;G53,tablas!$B$3:$J$92,5,FALSE),"Franja de losa")</f>
        <v>1.1000000000000001</v>
      </c>
      <c r="H61" s="83">
        <f>IF(H53&lt;2,VLOOKUP(H51&amp;H53,tablas!$B$3:$J$92,5,FALSE),"Franja de losa")</f>
        <v>1.24</v>
      </c>
      <c r="I61" s="83">
        <f>IF(I53&lt;2,VLOOKUP(I51&amp;I53,tablas!$B$3:$J$92,5,FALSE),"Franja de losa")</f>
        <v>1.05</v>
      </c>
      <c r="J61" s="83">
        <f>IF(J53&lt;2,VLOOKUP(J51&amp;J53,tablas!$B$3:$J$92,5,FALSE),"Franja de losa")</f>
        <v>1.17</v>
      </c>
      <c r="K61" s="83">
        <f>IF(K53&lt;2,VLOOKUP(K51&amp;K53,tablas!$B$3:$J$92,5,FALSE),"Franja de losa")</f>
        <v>1.17</v>
      </c>
      <c r="L61" s="83" t="str">
        <f>IF(L53&lt;=2,VLOOKUP(L51&amp;L53,tablas!$B$3:$J$92,5,FALSE),"Franja de losa")</f>
        <v>Franja de losa</v>
      </c>
      <c r="M61" s="83">
        <f>IF(M53&lt;=2,VLOOKUP(M51&amp;M53,tablas!$B$3:$J$92,5,FALSE),"Franja de losa")</f>
        <v>1.39</v>
      </c>
      <c r="N61" s="83">
        <f>IF(N53&lt;=2,VLOOKUP(N51&amp;N53,tablas!$B$3:$J$92,5,FALSE),"Franja de losa")</f>
        <v>1.39</v>
      </c>
      <c r="O61" s="83">
        <f>IF(O53&lt;=2,VLOOKUP(O51&amp;O53,tablas!$B$3:$J$92,5,FALSE),"Franja de losa")</f>
        <v>1.17</v>
      </c>
      <c r="P61" s="83">
        <f>IF(P53&lt;=2,VLOOKUP(P51&amp;P53,tablas!$B$3:$J$92,5,FALSE),"Franja de losa")</f>
        <v>1.17</v>
      </c>
      <c r="Q61" s="83">
        <f>IF(Q53&lt;=2,VLOOKUP(Q51&amp;Q53,tablas!$B$3:$J$92,5,FALSE),"Franja de losa")</f>
        <v>1.39</v>
      </c>
      <c r="R61" s="83" t="str">
        <f>IF(R53&lt;=2,VLOOKUP(R51&amp;R53,tablas!$B$3:$J$92,5,FALSE),"Franja de losa")</f>
        <v>Franja de losa</v>
      </c>
      <c r="S61" s="83" t="str">
        <f>IF(S53&lt;=2,VLOOKUP(S51&amp;S53,tablas!$B$3:$J$92,5,FALSE),"Franja de losa")</f>
        <v>Franja de losa</v>
      </c>
      <c r="T61" s="83">
        <f>IF(T53&lt;=2,VLOOKUP(T51&amp;T53,tablas!$B$3:$J$92,5,FALSE),"Franja de losa")</f>
        <v>1.39</v>
      </c>
      <c r="U61" s="83" t="str">
        <f>IF(U53&lt;=2,VLOOKUP(U51&amp;U53,tablas!$B$3:$J$92,5,FALSE),"Franja de losa")</f>
        <v>Franja de losa</v>
      </c>
      <c r="V61" s="83">
        <f>IF(V53&lt;=2,VLOOKUP(V51&amp;V53,tablas!$B$3:$J$92,5,FALSE),"Franja de losa")</f>
        <v>0.46</v>
      </c>
      <c r="W61" s="83" t="str">
        <f>IF(W53&lt;=2,VLOOKUP(W51&amp;W53,tablas!$B$3:$J$92,5,FALSE),"Franja de losa")</f>
        <v>Franja de losa</v>
      </c>
      <c r="X61" s="83">
        <f>IF(X53&lt;=2,VLOOKUP(X51&amp;X53,tablas!$B$3:$J$92,5,FALSE),"Franja de losa")</f>
        <v>1.31</v>
      </c>
      <c r="Y61" s="83">
        <f>IF(Y53&lt;=2,VLOOKUP(Y51&amp;Y53,tablas!$B$3:$J$92,5,FALSE),"Franja de losa")</f>
        <v>1.1000000000000001</v>
      </c>
      <c r="Z61" s="83" t="str">
        <f>IF(Z53&lt;=2,VLOOKUP(Z51&amp;Z53,tablas!$B$3:$J$92,5,FALSE),"Franja de losa")</f>
        <v>Franja de losa</v>
      </c>
      <c r="AA61" s="83">
        <f>IF(AA53&lt;=2,VLOOKUP(AA51&amp;AA53-0.1,tablas!$B$3:$J$92,5,FALSE),"Franja de losa")</f>
        <v>1.39</v>
      </c>
      <c r="AB61" s="83">
        <f>IF(AB53&lt;=2,VLOOKUP(AB51&amp;AB53,tablas!$B$3:$J$92,5,FALSE),"Franja de losa")</f>
        <v>1.31</v>
      </c>
      <c r="AC61" s="83">
        <f>IF(AC53&lt;=2,VLOOKUP(AC51&amp;AC53,tablas!$B$3:$J$92,5,FALSE),"Franja de losa")</f>
        <v>1.31</v>
      </c>
      <c r="AD61" s="83" t="str">
        <f>IF(AD53&lt;=2,VLOOKUP(AD51&amp;AD53,tablas!$B$3:$J$92,5,FALSE),"Franja de losa")</f>
        <v>Franja de losa</v>
      </c>
      <c r="AE61" s="83">
        <f>IF(AE53&lt;=2,VLOOKUP(AE51&amp;AE53-0.1,tablas!$B$3:$J$92,5,FALSE),"Franja de losa")</f>
        <v>1.39</v>
      </c>
    </row>
    <row r="62" spans="2:31" ht="15.75" thickBot="1" x14ac:dyDescent="0.3">
      <c r="B62" s="71" t="s">
        <v>87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72"/>
    </row>
    <row r="63" spans="2:31" x14ac:dyDescent="0.25">
      <c r="B63" s="97" t="s">
        <v>83</v>
      </c>
      <c r="C63" s="84">
        <f>VLOOKUP(C$46,$B$16:$H$44,6)</f>
        <v>500</v>
      </c>
      <c r="D63" s="84">
        <f t="shared" ref="D63:AE63" si="13">VLOOKUP(D$46,$B$16:$H$44,6)</f>
        <v>500</v>
      </c>
      <c r="E63" s="84">
        <f t="shared" si="13"/>
        <v>500</v>
      </c>
      <c r="F63" s="84">
        <f t="shared" si="13"/>
        <v>500</v>
      </c>
      <c r="G63" s="84">
        <f t="shared" si="13"/>
        <v>500</v>
      </c>
      <c r="H63" s="84">
        <f t="shared" si="13"/>
        <v>500</v>
      </c>
      <c r="I63" s="84">
        <f t="shared" si="13"/>
        <v>500</v>
      </c>
      <c r="J63" s="84">
        <f t="shared" si="13"/>
        <v>500</v>
      </c>
      <c r="K63" s="84">
        <f t="shared" si="13"/>
        <v>500</v>
      </c>
      <c r="L63" s="84">
        <f t="shared" si="13"/>
        <v>500</v>
      </c>
      <c r="M63" s="84">
        <f t="shared" si="13"/>
        <v>500</v>
      </c>
      <c r="N63" s="84">
        <f t="shared" si="13"/>
        <v>400</v>
      </c>
      <c r="O63" s="84">
        <f t="shared" si="13"/>
        <v>400</v>
      </c>
      <c r="P63" s="84">
        <f t="shared" si="13"/>
        <v>500</v>
      </c>
      <c r="Q63" s="84">
        <f t="shared" si="13"/>
        <v>500</v>
      </c>
      <c r="R63" s="84">
        <f t="shared" si="13"/>
        <v>500</v>
      </c>
      <c r="S63" s="84">
        <f t="shared" si="13"/>
        <v>500</v>
      </c>
      <c r="T63" s="84">
        <f t="shared" si="13"/>
        <v>400</v>
      </c>
      <c r="U63" s="84">
        <f t="shared" si="13"/>
        <v>400</v>
      </c>
      <c r="V63" s="84">
        <f t="shared" si="13"/>
        <v>400</v>
      </c>
      <c r="W63" s="84">
        <f t="shared" si="13"/>
        <v>400</v>
      </c>
      <c r="X63" s="84">
        <f t="shared" si="13"/>
        <v>500</v>
      </c>
      <c r="Y63" s="84">
        <f t="shared" si="13"/>
        <v>500</v>
      </c>
      <c r="Z63" s="84">
        <f t="shared" si="13"/>
        <v>500</v>
      </c>
      <c r="AA63" s="84">
        <f t="shared" si="13"/>
        <v>500</v>
      </c>
      <c r="AB63" s="84">
        <f t="shared" si="13"/>
        <v>500</v>
      </c>
      <c r="AC63" s="84">
        <f t="shared" si="13"/>
        <v>500</v>
      </c>
      <c r="AD63" s="84">
        <f t="shared" si="13"/>
        <v>500</v>
      </c>
      <c r="AE63" s="84">
        <f t="shared" si="13"/>
        <v>400</v>
      </c>
    </row>
    <row r="64" spans="2:31" x14ac:dyDescent="0.25">
      <c r="B64" s="97" t="s">
        <v>89</v>
      </c>
      <c r="C64" s="76">
        <f>$L$7*($C$4/100)</f>
        <v>425.00000000000006</v>
      </c>
      <c r="D64" s="77">
        <f>$L$7*($C$4/100)</f>
        <v>425.00000000000006</v>
      </c>
      <c r="E64" s="77">
        <f t="shared" ref="E64:AE64" si="14">$L$7*($C$4/100)</f>
        <v>425.00000000000006</v>
      </c>
      <c r="F64" s="77">
        <f t="shared" si="14"/>
        <v>425.00000000000006</v>
      </c>
      <c r="G64" s="77">
        <f t="shared" si="14"/>
        <v>425.00000000000006</v>
      </c>
      <c r="H64" s="77">
        <f t="shared" si="14"/>
        <v>425.00000000000006</v>
      </c>
      <c r="I64" s="77">
        <f t="shared" si="14"/>
        <v>425.00000000000006</v>
      </c>
      <c r="J64" s="77">
        <f t="shared" si="14"/>
        <v>425.00000000000006</v>
      </c>
      <c r="K64" s="77">
        <f t="shared" si="14"/>
        <v>425.00000000000006</v>
      </c>
      <c r="L64" s="77">
        <f t="shared" si="14"/>
        <v>425.00000000000006</v>
      </c>
      <c r="M64" s="77">
        <f t="shared" si="14"/>
        <v>425.00000000000006</v>
      </c>
      <c r="N64" s="77">
        <f t="shared" si="14"/>
        <v>425.00000000000006</v>
      </c>
      <c r="O64" s="77">
        <f t="shared" si="14"/>
        <v>425.00000000000006</v>
      </c>
      <c r="P64" s="77">
        <f t="shared" si="14"/>
        <v>425.00000000000006</v>
      </c>
      <c r="Q64" s="77">
        <f t="shared" si="14"/>
        <v>425.00000000000006</v>
      </c>
      <c r="R64" s="77">
        <f t="shared" si="14"/>
        <v>425.00000000000006</v>
      </c>
      <c r="S64" s="77">
        <f t="shared" si="14"/>
        <v>425.00000000000006</v>
      </c>
      <c r="T64" s="77">
        <f t="shared" si="14"/>
        <v>425.00000000000006</v>
      </c>
      <c r="U64" s="77">
        <f t="shared" si="14"/>
        <v>425.00000000000006</v>
      </c>
      <c r="V64" s="77">
        <f t="shared" si="14"/>
        <v>425.00000000000006</v>
      </c>
      <c r="W64" s="77">
        <f t="shared" si="14"/>
        <v>425.00000000000006</v>
      </c>
      <c r="X64" s="77">
        <f t="shared" si="14"/>
        <v>425.00000000000006</v>
      </c>
      <c r="Y64" s="77">
        <f t="shared" si="14"/>
        <v>425.00000000000006</v>
      </c>
      <c r="Z64" s="77">
        <f t="shared" si="14"/>
        <v>425.00000000000006</v>
      </c>
      <c r="AA64" s="77">
        <f t="shared" si="14"/>
        <v>425.00000000000006</v>
      </c>
      <c r="AB64" s="77">
        <f t="shared" si="14"/>
        <v>425.00000000000006</v>
      </c>
      <c r="AC64" s="77">
        <f t="shared" si="14"/>
        <v>425.00000000000006</v>
      </c>
      <c r="AD64" s="77">
        <f t="shared" si="14"/>
        <v>425.00000000000006</v>
      </c>
      <c r="AE64" s="77">
        <f t="shared" si="14"/>
        <v>425.00000000000006</v>
      </c>
    </row>
    <row r="65" spans="2:39" x14ac:dyDescent="0.25">
      <c r="B65" s="97" t="s">
        <v>90</v>
      </c>
      <c r="C65" s="76">
        <f>C64+$I$8</f>
        <v>650</v>
      </c>
      <c r="D65" s="77">
        <f>D64+$I$8</f>
        <v>650</v>
      </c>
      <c r="E65" s="77">
        <f t="shared" ref="E65:R65" si="15">E64+$I$8</f>
        <v>650</v>
      </c>
      <c r="F65" s="77">
        <f t="shared" si="15"/>
        <v>650</v>
      </c>
      <c r="G65" s="77">
        <f t="shared" si="15"/>
        <v>650</v>
      </c>
      <c r="H65" s="77">
        <f t="shared" si="15"/>
        <v>650</v>
      </c>
      <c r="I65" s="77">
        <f t="shared" si="15"/>
        <v>650</v>
      </c>
      <c r="J65" s="77">
        <f t="shared" si="15"/>
        <v>650</v>
      </c>
      <c r="K65" s="77">
        <f t="shared" si="15"/>
        <v>650</v>
      </c>
      <c r="L65" s="77">
        <f t="shared" si="15"/>
        <v>650</v>
      </c>
      <c r="M65" s="77">
        <f t="shared" si="15"/>
        <v>650</v>
      </c>
      <c r="N65" s="77">
        <f t="shared" si="15"/>
        <v>650</v>
      </c>
      <c r="O65" s="77">
        <f t="shared" si="15"/>
        <v>650</v>
      </c>
      <c r="P65" s="77">
        <f t="shared" si="15"/>
        <v>650</v>
      </c>
      <c r="Q65" s="77">
        <f t="shared" si="15"/>
        <v>650</v>
      </c>
      <c r="R65" s="77">
        <f t="shared" si="15"/>
        <v>650</v>
      </c>
      <c r="S65" s="77">
        <f t="shared" ref="S65" si="16">S64+$I$8</f>
        <v>650</v>
      </c>
      <c r="T65" s="77">
        <f t="shared" ref="T65" si="17">T64+$I$8</f>
        <v>650</v>
      </c>
      <c r="U65" s="77">
        <f t="shared" ref="U65" si="18">U64+$I$8</f>
        <v>650</v>
      </c>
      <c r="V65" s="77">
        <f t="shared" ref="V65" si="19">V64+$I$8</f>
        <v>650</v>
      </c>
      <c r="W65" s="77">
        <f t="shared" ref="W65" si="20">W64+$I$8</f>
        <v>650</v>
      </c>
      <c r="X65" s="77">
        <f t="shared" ref="X65" si="21">X64+$I$8</f>
        <v>650</v>
      </c>
      <c r="Y65" s="77">
        <f t="shared" ref="Y65" si="22">Y64+$I$8</f>
        <v>650</v>
      </c>
      <c r="Z65" s="77">
        <f t="shared" ref="Z65" si="23">Z64+$I$8</f>
        <v>650</v>
      </c>
      <c r="AA65" s="77">
        <f t="shared" ref="AA65" si="24">AA64+$I$8</f>
        <v>650</v>
      </c>
      <c r="AB65" s="77">
        <f t="shared" ref="AB65" si="25">AB64+$I$8</f>
        <v>650</v>
      </c>
      <c r="AC65" s="77">
        <f t="shared" ref="AC65" si="26">AC64+$I$8</f>
        <v>650</v>
      </c>
      <c r="AD65" s="77">
        <f t="shared" ref="AD65" si="27">AD64+$I$8</f>
        <v>650</v>
      </c>
      <c r="AE65" s="77">
        <f t="shared" ref="AE65" si="28">AE64+$I$8</f>
        <v>650</v>
      </c>
    </row>
    <row r="66" spans="2:39" x14ac:dyDescent="0.25">
      <c r="B66" s="97" t="s">
        <v>91</v>
      </c>
      <c r="C66" s="76">
        <f>1.2*C65+1.6*C63</f>
        <v>1580</v>
      </c>
      <c r="D66" s="77">
        <f>1.2*D65+1.6*D63</f>
        <v>1580</v>
      </c>
      <c r="E66" s="77">
        <f t="shared" ref="E66:R66" si="29">1.2*E65+1.6*E63</f>
        <v>1580</v>
      </c>
      <c r="F66" s="77">
        <f t="shared" si="29"/>
        <v>1580</v>
      </c>
      <c r="G66" s="77">
        <f t="shared" si="29"/>
        <v>1580</v>
      </c>
      <c r="H66" s="77">
        <f t="shared" si="29"/>
        <v>1580</v>
      </c>
      <c r="I66" s="77">
        <f t="shared" si="29"/>
        <v>1580</v>
      </c>
      <c r="J66" s="77">
        <f t="shared" si="29"/>
        <v>1580</v>
      </c>
      <c r="K66" s="77">
        <f t="shared" si="29"/>
        <v>1580</v>
      </c>
      <c r="L66" s="77">
        <f t="shared" si="29"/>
        <v>1580</v>
      </c>
      <c r="M66" s="77">
        <f t="shared" si="29"/>
        <v>1580</v>
      </c>
      <c r="N66" s="77">
        <f t="shared" si="29"/>
        <v>1420</v>
      </c>
      <c r="O66" s="77">
        <f t="shared" si="29"/>
        <v>1420</v>
      </c>
      <c r="P66" s="77">
        <f t="shared" si="29"/>
        <v>1580</v>
      </c>
      <c r="Q66" s="77">
        <f t="shared" si="29"/>
        <v>1580</v>
      </c>
      <c r="R66" s="77">
        <f t="shared" si="29"/>
        <v>1580</v>
      </c>
      <c r="S66" s="77">
        <f t="shared" ref="S66" si="30">1.2*S65+1.6*S63</f>
        <v>1580</v>
      </c>
      <c r="T66" s="77">
        <f t="shared" ref="T66" si="31">1.2*T65+1.6*T63</f>
        <v>1420</v>
      </c>
      <c r="U66" s="77">
        <f t="shared" ref="U66" si="32">1.2*U65+1.6*U63</f>
        <v>1420</v>
      </c>
      <c r="V66" s="77">
        <f t="shared" ref="V66" si="33">1.2*V65+1.6*V63</f>
        <v>1420</v>
      </c>
      <c r="W66" s="77">
        <f t="shared" ref="W66" si="34">1.2*W65+1.6*W63</f>
        <v>1420</v>
      </c>
      <c r="X66" s="77">
        <f t="shared" ref="X66" si="35">1.2*X65+1.6*X63</f>
        <v>1580</v>
      </c>
      <c r="Y66" s="77">
        <f t="shared" ref="Y66" si="36">1.2*Y65+1.6*Y63</f>
        <v>1580</v>
      </c>
      <c r="Z66" s="77">
        <f t="shared" ref="Z66" si="37">1.2*Z65+1.6*Z63</f>
        <v>1580</v>
      </c>
      <c r="AA66" s="77">
        <f t="shared" ref="AA66" si="38">1.2*AA65+1.6*AA63</f>
        <v>1580</v>
      </c>
      <c r="AB66" s="77">
        <f t="shared" ref="AB66" si="39">1.2*AB65+1.6*AB63</f>
        <v>1580</v>
      </c>
      <c r="AC66" s="77">
        <f t="shared" ref="AC66" si="40">1.2*AC65+1.6*AC63</f>
        <v>1580</v>
      </c>
      <c r="AD66" s="77">
        <f t="shared" ref="AD66" si="41">1.2*AD65+1.6*AD63</f>
        <v>1580</v>
      </c>
      <c r="AE66" s="77">
        <f t="shared" ref="AE66" si="42">1.2*AE65+1.6*AE63</f>
        <v>1420</v>
      </c>
    </row>
    <row r="67" spans="2:39" s="60" customFormat="1" x14ac:dyDescent="0.25">
      <c r="B67" s="98" t="s">
        <v>92</v>
      </c>
      <c r="C67" s="85">
        <f>C66*C48*C49</f>
        <v>42107</v>
      </c>
      <c r="D67" s="86">
        <f>D66*D48*D49</f>
        <v>56880</v>
      </c>
      <c r="E67" s="86">
        <f t="shared" ref="E67:R67" si="43">E66*E48*E49</f>
        <v>56880</v>
      </c>
      <c r="F67" s="86">
        <f t="shared" si="43"/>
        <v>62331</v>
      </c>
      <c r="G67" s="86">
        <f t="shared" si="43"/>
        <v>35155</v>
      </c>
      <c r="H67" s="86">
        <f t="shared" si="43"/>
        <v>28440</v>
      </c>
      <c r="I67" s="86">
        <f t="shared" si="43"/>
        <v>46654.555999999997</v>
      </c>
      <c r="J67" s="86">
        <f t="shared" si="43"/>
        <v>63023.040000000008</v>
      </c>
      <c r="K67" s="86">
        <f t="shared" si="43"/>
        <v>63023.040000000008</v>
      </c>
      <c r="L67" s="86">
        <f>L66*L48*L49</f>
        <v>108014.48800000001</v>
      </c>
      <c r="M67" s="86">
        <f t="shared" si="43"/>
        <v>31511.52</v>
      </c>
      <c r="N67" s="86">
        <f t="shared" si="43"/>
        <v>80239.94</v>
      </c>
      <c r="O67" s="86">
        <f t="shared" si="43"/>
        <v>36976.800000000003</v>
      </c>
      <c r="P67" s="86">
        <f t="shared" si="43"/>
        <v>41143.200000000004</v>
      </c>
      <c r="Q67" s="86">
        <f t="shared" si="43"/>
        <v>90714.91</v>
      </c>
      <c r="R67" s="86">
        <f t="shared" si="43"/>
        <v>73825.5</v>
      </c>
      <c r="S67" s="86">
        <f t="shared" ref="S67" si="44">S66*S48*S49</f>
        <v>59724</v>
      </c>
      <c r="T67" s="86">
        <f t="shared" ref="T67" si="45">T66*T48*T49</f>
        <v>115296.04800000001</v>
      </c>
      <c r="U67" s="86">
        <f t="shared" ref="U67" si="46">U66*U48*U49</f>
        <v>22265.599999999995</v>
      </c>
      <c r="V67" s="86">
        <f t="shared" ref="V67" si="47">V66*V48*V49</f>
        <v>12047.28</v>
      </c>
      <c r="W67" s="86">
        <f t="shared" ref="W67" si="48">W66*W48*W49</f>
        <v>26190.48</v>
      </c>
      <c r="X67" s="86">
        <f t="shared" ref="X67" si="49">X66*X48*X49</f>
        <v>42707.4</v>
      </c>
      <c r="Y67" s="86">
        <f t="shared" ref="Y67" si="50">Y66*Y48*Y49</f>
        <v>73420.072</v>
      </c>
      <c r="Z67" s="86">
        <f t="shared" ref="Z67" si="51">Z66*Z48*Z49</f>
        <v>241375.96799999999</v>
      </c>
      <c r="AA67" s="86">
        <f t="shared" ref="AA67" si="52">AA66*AA48*AA49</f>
        <v>65096</v>
      </c>
      <c r="AB67" s="86">
        <f t="shared" ref="AB67" si="53">AB66*AB48*AB49</f>
        <v>71865.983999999997</v>
      </c>
      <c r="AC67" s="86">
        <f t="shared" ref="AC67" si="54">AC66*AC48*AC49</f>
        <v>113702.32999999999</v>
      </c>
      <c r="AD67" s="86">
        <f t="shared" ref="AD67" si="55">AD66*AD48*AD49</f>
        <v>57733.200000000004</v>
      </c>
      <c r="AE67" s="86">
        <f t="shared" ref="AE67" si="56">AE66*AE48*AE49</f>
        <v>14165.919999999998</v>
      </c>
      <c r="AI67"/>
      <c r="AJ67"/>
      <c r="AL67"/>
      <c r="AM67"/>
    </row>
    <row r="68" spans="2:39" ht="15.75" thickBot="1" x14ac:dyDescent="0.3">
      <c r="B68" s="99" t="s">
        <v>93</v>
      </c>
      <c r="C68" s="87">
        <f>C63/(2*C66)</f>
        <v>0.15822784810126583</v>
      </c>
      <c r="D68" s="88">
        <f>D63/(2*D66)</f>
        <v>0.15822784810126583</v>
      </c>
      <c r="E68" s="88">
        <f t="shared" ref="E68:R68" si="57">E63/(2*E66)</f>
        <v>0.15822784810126583</v>
      </c>
      <c r="F68" s="88">
        <f t="shared" si="57"/>
        <v>0.15822784810126583</v>
      </c>
      <c r="G68" s="88">
        <f t="shared" si="57"/>
        <v>0.15822784810126583</v>
      </c>
      <c r="H68" s="88">
        <f t="shared" si="57"/>
        <v>0.15822784810126583</v>
      </c>
      <c r="I68" s="88">
        <f t="shared" si="57"/>
        <v>0.15822784810126583</v>
      </c>
      <c r="J68" s="88">
        <f t="shared" si="57"/>
        <v>0.15822784810126583</v>
      </c>
      <c r="K68" s="88">
        <f t="shared" si="57"/>
        <v>0.15822784810126583</v>
      </c>
      <c r="L68" s="88">
        <f t="shared" si="57"/>
        <v>0.15822784810126583</v>
      </c>
      <c r="M68" s="88">
        <f t="shared" si="57"/>
        <v>0.15822784810126583</v>
      </c>
      <c r="N68" s="88">
        <f t="shared" si="57"/>
        <v>0.14084507042253522</v>
      </c>
      <c r="O68" s="88">
        <f t="shared" si="57"/>
        <v>0.14084507042253522</v>
      </c>
      <c r="P68" s="88">
        <f t="shared" si="57"/>
        <v>0.15822784810126583</v>
      </c>
      <c r="Q68" s="88">
        <f t="shared" si="57"/>
        <v>0.15822784810126583</v>
      </c>
      <c r="R68" s="88">
        <f t="shared" si="57"/>
        <v>0.15822784810126583</v>
      </c>
      <c r="S68" s="88">
        <f t="shared" ref="S68:AC68" si="58">S63/(2*S66)</f>
        <v>0.15822784810126583</v>
      </c>
      <c r="T68" s="88">
        <f t="shared" si="58"/>
        <v>0.14084507042253522</v>
      </c>
      <c r="U68" s="88">
        <f t="shared" si="58"/>
        <v>0.14084507042253522</v>
      </c>
      <c r="V68" s="88">
        <f t="shared" si="58"/>
        <v>0.14084507042253522</v>
      </c>
      <c r="W68" s="88">
        <f t="shared" si="58"/>
        <v>0.14084507042253522</v>
      </c>
      <c r="X68" s="88">
        <f t="shared" si="58"/>
        <v>0.15822784810126583</v>
      </c>
      <c r="Y68" s="88">
        <f t="shared" si="58"/>
        <v>0.15822784810126583</v>
      </c>
      <c r="Z68" s="88">
        <f t="shared" si="58"/>
        <v>0.15822784810126583</v>
      </c>
      <c r="AA68" s="88">
        <f t="shared" si="58"/>
        <v>0.15822784810126583</v>
      </c>
      <c r="AB68" s="88">
        <f t="shared" si="58"/>
        <v>0.15822784810126583</v>
      </c>
      <c r="AC68" s="88">
        <f t="shared" si="58"/>
        <v>0.15822784810126583</v>
      </c>
      <c r="AD68" s="88">
        <f t="shared" ref="AD68:AE68" si="59">AD63/(2*AD66)</f>
        <v>0.15822784810126583</v>
      </c>
      <c r="AE68" s="88">
        <f t="shared" si="59"/>
        <v>0.14084507042253522</v>
      </c>
    </row>
    <row r="69" spans="2:39" ht="15.75" thickBot="1" x14ac:dyDescent="0.3">
      <c r="B69" s="71" t="s">
        <v>96</v>
      </c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72"/>
      <c r="AI69" s="60"/>
      <c r="AJ69" s="60"/>
    </row>
    <row r="70" spans="2:39" x14ac:dyDescent="0.25">
      <c r="B70" s="96" t="s">
        <v>97</v>
      </c>
      <c r="C70" s="89">
        <f t="shared" ref="C70:U70" si="60">IF(C53&lt;=2,C67/C56*(1+C68*C60)*C54,IF(OR(C51=6,C51="5a",C51="3a"),C66*C48^2/17,(IF(OR(C51="2a",C51=4,C51="5b"),C66*C48^2/12,IF(OR(C51=1,C51="2b",C51="3b"),C66*C48^2/8)))))</f>
        <v>532.67147435897436</v>
      </c>
      <c r="D70" s="89">
        <f t="shared" si="60"/>
        <v>897.04054054054052</v>
      </c>
      <c r="E70" s="89">
        <f t="shared" si="60"/>
        <v>897.04054054054052</v>
      </c>
      <c r="F70" s="89">
        <f t="shared" si="60"/>
        <v>956.68389370932744</v>
      </c>
      <c r="G70" s="89">
        <f t="shared" si="60"/>
        <v>489.68855932203394</v>
      </c>
      <c r="H70" s="89">
        <f t="shared" si="60"/>
        <v>434.78475336322867</v>
      </c>
      <c r="I70" s="89">
        <f t="shared" si="60"/>
        <v>590.19999358974349</v>
      </c>
      <c r="J70" s="89">
        <f t="shared" si="60"/>
        <v>925.36630088495588</v>
      </c>
      <c r="K70" s="89">
        <f t="shared" si="60"/>
        <v>925.36630088495588</v>
      </c>
      <c r="L70" s="89">
        <f t="shared" si="60"/>
        <v>2852.5134117647062</v>
      </c>
      <c r="M70" s="89">
        <f t="shared" si="60"/>
        <v>483.65281561822127</v>
      </c>
      <c r="N70" s="89">
        <f t="shared" si="60"/>
        <v>1207.1660277657265</v>
      </c>
      <c r="O70" s="89">
        <f t="shared" si="60"/>
        <v>533.61260176991152</v>
      </c>
      <c r="P70" s="89">
        <f t="shared" si="60"/>
        <v>604.1049557522125</v>
      </c>
      <c r="Q70" s="89">
        <f t="shared" si="60"/>
        <v>1392.332760845987</v>
      </c>
      <c r="R70" s="89">
        <f t="shared" si="60"/>
        <v>1840.4676470588238</v>
      </c>
      <c r="S70" s="89">
        <f t="shared" si="60"/>
        <v>1204.5176470588237</v>
      </c>
      <c r="T70" s="89">
        <f t="shared" si="60"/>
        <v>1734.5660064208241</v>
      </c>
      <c r="U70" s="89">
        <f t="shared" si="60"/>
        <v>163.71764705882353</v>
      </c>
      <c r="V70" s="89">
        <f>IF(V53&lt;=2,V67/V56*(1+V68*V60)*V54,IF(OR(V51=6,V51="5a",V51="3a"),V66*V48^2/17,(IF(OR(V51="2a",V51=4,V51="5b"),V66*V48^2/12,IF(OR(V51=1,V51="2b",V51="3b"),V66*V48^2/8)))))</f>
        <v>264.02208000000002</v>
      </c>
      <c r="W70" s="89">
        <f t="shared" ref="W70:AE70" si="61">IF(W53&lt;=2,W67/W56*(1+W68*W60)*W54,IF(OR(W51=6,W51="5a",W51="3a"),W66*W48^2/17,(IF(OR(W51="2a",W51=4,W51="5b"),W66*W48^2/12,IF(OR(W51=1,W51="2b",W51="3b"),W66*W48^2/8)))))</f>
        <v>702.48235294117649</v>
      </c>
      <c r="X70" s="89">
        <f t="shared" si="61"/>
        <v>673.52793918918928</v>
      </c>
      <c r="Y70" s="89">
        <f t="shared" si="61"/>
        <v>1022.6986000000001</v>
      </c>
      <c r="Z70" s="89">
        <f t="shared" si="61"/>
        <v>6310.4828235294117</v>
      </c>
      <c r="AA70" s="89">
        <f t="shared" si="61"/>
        <v>999.1223427331887</v>
      </c>
      <c r="AB70" s="89">
        <f t="shared" si="61"/>
        <v>1133.3808216216214</v>
      </c>
      <c r="AC70" s="89">
        <f t="shared" si="61"/>
        <v>1793.1715816441438</v>
      </c>
      <c r="AD70" s="89">
        <f t="shared" si="61"/>
        <v>1204.5176470588237</v>
      </c>
      <c r="AE70" s="89">
        <f t="shared" si="61"/>
        <v>201.32712786885241</v>
      </c>
      <c r="AL70" s="60"/>
      <c r="AM70" s="60"/>
    </row>
    <row r="71" spans="2:39" x14ac:dyDescent="0.25">
      <c r="B71" s="97" t="s">
        <v>15</v>
      </c>
      <c r="C71" s="90">
        <f>C70/(0.9*(0.9*($C$7/100))*($L$9*1000))</f>
        <v>1.0243288226586944</v>
      </c>
      <c r="D71" s="91">
        <f>D70/(0.9*(0.9*($C$7/100))*($L$9*1000))</f>
        <v>1.7250116159773476</v>
      </c>
      <c r="E71" s="91">
        <f t="shared" ref="E71:R71" si="62">E70/(0.9*(0.9*($C$7/100))*($L$9*1000))</f>
        <v>1.7250116159773476</v>
      </c>
      <c r="F71" s="91">
        <f t="shared" si="62"/>
        <v>1.839705960750216</v>
      </c>
      <c r="G71" s="91">
        <f t="shared" si="62"/>
        <v>0.94167254975199766</v>
      </c>
      <c r="H71" s="91">
        <f t="shared" si="62"/>
        <v>0.83609236829973577</v>
      </c>
      <c r="I71" s="91">
        <f t="shared" si="62"/>
        <v>1.1349563355058332</v>
      </c>
      <c r="J71" s="91">
        <f t="shared" si="62"/>
        <v>1.7794821370042608</v>
      </c>
      <c r="K71" s="91">
        <f t="shared" si="62"/>
        <v>1.7794821370042608</v>
      </c>
      <c r="L71" s="91">
        <f t="shared" si="62"/>
        <v>5.4853917383268058</v>
      </c>
      <c r="M71" s="91">
        <f t="shared" si="62"/>
        <v>0.93006579673516632</v>
      </c>
      <c r="N71" s="91">
        <f t="shared" si="62"/>
        <v>2.3213838463246153</v>
      </c>
      <c r="O71" s="91">
        <f t="shared" si="62"/>
        <v>1.0261386134570043</v>
      </c>
      <c r="P71" s="91">
        <f t="shared" si="62"/>
        <v>1.1616956189227576</v>
      </c>
      <c r="Q71" s="91">
        <f t="shared" si="62"/>
        <v>2.6774600223952669</v>
      </c>
      <c r="R71" s="91">
        <f t="shared" si="62"/>
        <v>3.5392247357002105</v>
      </c>
      <c r="S71" s="91">
        <f t="shared" ref="S71" si="63">S70/(0.9*(0.9*($C$7/100))*($L$9*1000))</f>
        <v>2.3162910023822612</v>
      </c>
      <c r="T71" s="91">
        <f t="shared" ref="T71" si="64">T70/(0.9*(0.9*($C$7/100))*($L$9*1000))</f>
        <v>3.3355755671336174</v>
      </c>
      <c r="U71" s="91">
        <f t="shared" ref="U71" si="65">U70/(0.9*(0.9*($C$7/100))*($L$9*1000))</f>
        <v>0.31482952013157861</v>
      </c>
      <c r="V71" s="91">
        <f t="shared" ref="V71" si="66">V70/(0.9*(0.9*($C$7/100))*($L$9*1000))</f>
        <v>0.5077152417214722</v>
      </c>
      <c r="W71" s="91">
        <f t="shared" ref="W71" si="67">W70/(0.9*(0.9*($C$7/100))*($L$9*1000))</f>
        <v>1.3508756450543755</v>
      </c>
      <c r="X71" s="91">
        <f t="shared" ref="X71" si="68">X70/(0.9*(0.9*($C$7/100))*($L$9*1000))</f>
        <v>1.2951962216629922</v>
      </c>
      <c r="Y71" s="91">
        <f t="shared" ref="Y71" si="69">Y70/(0.9*(0.9*($C$7/100))*($L$9*1000))</f>
        <v>1.966652436444752</v>
      </c>
      <c r="Z71" s="91">
        <f t="shared" ref="Z71" si="70">Z70/(0.9*(0.9*($C$7/100))*($L$9*1000))</f>
        <v>12.135077157665879</v>
      </c>
      <c r="AA71" s="91">
        <f t="shared" ref="AA71" si="71">AA70/(0.9*(0.9*($C$7/100))*($L$9*1000))</f>
        <v>1.9213152239013662</v>
      </c>
      <c r="AB71" s="91">
        <f t="shared" ref="AB71" si="72">AB70/(0.9*(0.9*($C$7/100))*($L$9*1000))</f>
        <v>2.179494676400179</v>
      </c>
      <c r="AC71" s="91">
        <f t="shared" ref="AC71" si="73">AC70/(0.9*(0.9*($C$7/100))*($L$9*1000))</f>
        <v>3.4482742618440509</v>
      </c>
      <c r="AD71" s="91">
        <f t="shared" ref="AD71" si="74">AD70/(0.9*(0.9*($C$7/100))*($L$9*1000))</f>
        <v>2.3162910023822612</v>
      </c>
      <c r="AE71" s="91">
        <f t="shared" ref="AE71" si="75">AE70/(0.9*(0.9*($C$7/100))*($L$9*1000))</f>
        <v>0.38715266310690433</v>
      </c>
    </row>
    <row r="72" spans="2:39" x14ac:dyDescent="0.25">
      <c r="B72" s="97" t="s">
        <v>98</v>
      </c>
      <c r="C72" s="92">
        <f>(C71*($L$9))/(0.85*$L$6*100)</f>
        <v>1.4447610350895411E-2</v>
      </c>
      <c r="D72" s="93">
        <f>(D71*($L$9))/(0.85*$L$6*100)</f>
        <v>2.4330366506452625E-2</v>
      </c>
      <c r="E72" s="93">
        <f t="shared" ref="E72:R72" si="76">(E71*($L$9))/(0.85*$L$6*100)</f>
        <v>2.4330366506452625E-2</v>
      </c>
      <c r="F72" s="93">
        <f t="shared" si="76"/>
        <v>2.5948068914189899E-2</v>
      </c>
      <c r="G72" s="93">
        <f t="shared" si="76"/>
        <v>1.3281787816571263E-2</v>
      </c>
      <c r="H72" s="93">
        <f t="shared" si="76"/>
        <v>1.179263580926963E-2</v>
      </c>
      <c r="I72" s="93">
        <f t="shared" si="76"/>
        <v>1.6007952268792112E-2</v>
      </c>
      <c r="J72" s="93">
        <f t="shared" si="76"/>
        <v>2.5098644080996005E-2</v>
      </c>
      <c r="K72" s="93">
        <f t="shared" si="76"/>
        <v>2.5098644080996005E-2</v>
      </c>
      <c r="L72" s="93">
        <f t="shared" si="76"/>
        <v>7.7368517515369023E-2</v>
      </c>
      <c r="M72" s="93">
        <f t="shared" si="76"/>
        <v>1.3118080771219351E-2</v>
      </c>
      <c r="N72" s="93">
        <f t="shared" si="76"/>
        <v>3.2741877944535688E-2</v>
      </c>
      <c r="O72" s="93">
        <f t="shared" si="76"/>
        <v>1.4473136482438552E-2</v>
      </c>
      <c r="P72" s="93">
        <f t="shared" si="76"/>
        <v>1.6385095564308463E-2</v>
      </c>
      <c r="Q72" s="93">
        <f t="shared" si="76"/>
        <v>3.7764142019613589E-2</v>
      </c>
      <c r="R72" s="93">
        <f t="shared" si="76"/>
        <v>4.9918872528577699E-2</v>
      </c>
      <c r="S72" s="93">
        <f t="shared" ref="S72" si="77">(S71*($L$9))/(0.85*$L$6*100)</f>
        <v>3.2670046103793308E-2</v>
      </c>
      <c r="T72" s="93">
        <f t="shared" ref="T72" si="78">(T71*($L$9))/(0.85*$L$6*100)</f>
        <v>4.704650989399204E-2</v>
      </c>
      <c r="U72" s="93">
        <f t="shared" ref="U72" si="79">(U71*($L$9))/(0.85*$L$6*100)</f>
        <v>4.4405020470033169E-3</v>
      </c>
      <c r="V72" s="93">
        <f t="shared" ref="V72" si="80">(V71*($L$9))/(0.85*$L$6*100)</f>
        <v>7.1610520170304866E-3</v>
      </c>
      <c r="W72" s="93">
        <f t="shared" ref="W72" si="81">(W71*($L$9))/(0.85*$L$6*100)</f>
        <v>1.9053378681274435E-2</v>
      </c>
      <c r="X72" s="93">
        <f t="shared" ref="X72" si="82">(X71*($L$9))/(0.85*$L$6*100)</f>
        <v>1.8268050185261515E-2</v>
      </c>
      <c r="Y72" s="93">
        <f t="shared" ref="Y72" si="83">(Y71*($L$9))/(0.85*$L$6*100)</f>
        <v>2.7738581077553268E-2</v>
      </c>
      <c r="Z72" s="93">
        <f t="shared" ref="Z72" si="84">(Z71*($L$9))/(0.85*$L$6*100)</f>
        <v>0.17115877487167563</v>
      </c>
      <c r="AA72" s="93">
        <f t="shared" ref="AA72" si="85">(AA71*($L$9))/(0.85*$L$6*100)</f>
        <v>2.7099123935731908E-2</v>
      </c>
      <c r="AB72" s="93">
        <f t="shared" ref="AB72" si="86">(AB71*($L$9))/(0.85*$L$6*100)</f>
        <v>3.0740607068686001E-2</v>
      </c>
      <c r="AC72" s="93">
        <f t="shared" ref="AC72" si="87">(AC71*($L$9))/(0.85*$L$6*100)</f>
        <v>4.8636064724641749E-2</v>
      </c>
      <c r="AD72" s="93">
        <f t="shared" ref="AD72" si="88">(AD71*($L$9))/(0.85*$L$6*100)</f>
        <v>3.2670046103793308E-2</v>
      </c>
      <c r="AE72" s="93">
        <f t="shared" ref="AE72" si="89">(AE71*($L$9))/(0.85*$L$6*100)</f>
        <v>5.4605813086094929E-3</v>
      </c>
    </row>
    <row r="73" spans="2:39" ht="15.75" thickBot="1" x14ac:dyDescent="0.3">
      <c r="B73" s="97" t="s">
        <v>15</v>
      </c>
      <c r="C73" s="76">
        <f>ROUNDUP(C70/(0.9*(($C$7-C72/2)/100)*($L$9*1000)),2)</f>
        <v>0.93</v>
      </c>
      <c r="D73" s="77">
        <f>ROUNDUP(D70/(0.9*(($C$7-D72/2)/100)*($L$9*1000)),2)</f>
        <v>1.56</v>
      </c>
      <c r="E73" s="77">
        <f t="shared" ref="E73:R73" si="90">ROUNDUP(E70/(0.9*(($C$7-E72/2)/100)*($L$9*1000)),2)</f>
        <v>1.56</v>
      </c>
      <c r="F73" s="77">
        <f t="shared" si="90"/>
        <v>1.66</v>
      </c>
      <c r="G73" s="77">
        <f t="shared" si="90"/>
        <v>0.85</v>
      </c>
      <c r="H73" s="77">
        <f t="shared" si="90"/>
        <v>0.76</v>
      </c>
      <c r="I73" s="77">
        <f t="shared" si="90"/>
        <v>1.03</v>
      </c>
      <c r="J73" s="77">
        <f t="shared" si="90"/>
        <v>1.61</v>
      </c>
      <c r="K73" s="77">
        <f t="shared" si="90"/>
        <v>1.61</v>
      </c>
      <c r="L73" s="77">
        <f t="shared" si="90"/>
        <v>4.95</v>
      </c>
      <c r="M73" s="77">
        <f t="shared" si="90"/>
        <v>0.84</v>
      </c>
      <c r="N73" s="77">
        <f t="shared" si="90"/>
        <v>2.0999999999999996</v>
      </c>
      <c r="O73" s="77">
        <f t="shared" si="90"/>
        <v>0.93</v>
      </c>
      <c r="P73" s="77">
        <f t="shared" si="90"/>
        <v>1.05</v>
      </c>
      <c r="Q73" s="77">
        <f t="shared" si="90"/>
        <v>2.42</v>
      </c>
      <c r="R73" s="77">
        <f t="shared" si="90"/>
        <v>3.1999999999999997</v>
      </c>
      <c r="S73" s="77">
        <f t="shared" ref="S73" si="91">ROUNDUP(S70/(0.9*(($C$7-S72/2)/100)*($L$9*1000)),2)</f>
        <v>2.09</v>
      </c>
      <c r="T73" s="77">
        <f t="shared" ref="T73" si="92">ROUNDUP(T70/(0.9*(($C$7-T72/2)/100)*($L$9*1000)),2)</f>
        <v>3.01</v>
      </c>
      <c r="U73" s="77">
        <f t="shared" ref="U73" si="93">ROUNDUP(U70/(0.9*(($C$7-U72/2)/100)*($L$9*1000)),2)</f>
        <v>0.29000000000000004</v>
      </c>
      <c r="V73" s="77">
        <f t="shared" ref="V73" si="94">ROUNDUP(V70/(0.9*(($C$7-V72/2)/100)*($L$9*1000)),2)</f>
        <v>0.46</v>
      </c>
      <c r="W73" s="77">
        <f t="shared" ref="W73" si="95">ROUNDUP(W70/(0.9*(($C$7-W72/2)/100)*($L$9*1000)),2)</f>
        <v>1.22</v>
      </c>
      <c r="X73" s="77">
        <f t="shared" ref="X73" si="96">ROUNDUP(X70/(0.9*(($C$7-X72/2)/100)*($L$9*1000)),2)</f>
        <v>1.17</v>
      </c>
      <c r="Y73" s="77">
        <f t="shared" ref="Y73" si="97">ROUNDUP(Y70/(0.9*(($C$7-Y72/2)/100)*($L$9*1000)),2)</f>
        <v>1.78</v>
      </c>
      <c r="Z73" s="77">
        <f t="shared" ref="Z73" si="98">ROUNDUP(Z70/(0.9*(($C$7-Z72/2)/100)*($L$9*1000)),2)</f>
        <v>10.99</v>
      </c>
      <c r="AA73" s="77">
        <f t="shared" ref="AA73" si="99">ROUNDUP(AA70/(0.9*(($C$7-AA72/2)/100)*($L$9*1000)),2)</f>
        <v>1.74</v>
      </c>
      <c r="AB73" s="77">
        <f t="shared" ref="AB73" si="100">ROUNDUP(AB70/(0.9*(($C$7-AB72/2)/100)*($L$9*1000)),2)</f>
        <v>1.97</v>
      </c>
      <c r="AC73" s="77">
        <f t="shared" ref="AC73" si="101">ROUNDUP(AC70/(0.9*(($C$7-AC72/2)/100)*($L$9*1000)),2)</f>
        <v>3.11</v>
      </c>
      <c r="AD73" s="77">
        <f t="shared" ref="AD73" si="102">ROUNDUP(AD70/(0.9*(($C$7-AD72/2)/100)*($L$9*1000)),2)</f>
        <v>2.09</v>
      </c>
      <c r="AE73" s="77">
        <f t="shared" ref="AE73" si="103">ROUNDUP(AE70/(0.9*(($C$7-AE72/2)/100)*($L$9*1000)),2)</f>
        <v>0.35000000000000003</v>
      </c>
    </row>
    <row r="74" spans="2:39" ht="16.5" thickBot="1" x14ac:dyDescent="0.3">
      <c r="B74" s="61" t="s">
        <v>100</v>
      </c>
      <c r="C74" s="134" t="str">
        <f>IF(C73&gt;$C$12,"$\phi"&amp;IF(VLOOKUP(VLOOKUP(C73,tablas!$R$3:$T$66,2,TRUE)&amp;VLOOKUP(C73,tablas!$R$3:$T$66,3,TRUE),tablas!$Q$3:$R$66,2,FALSE)&lt;C73,VLOOKUP(C73+0.1,tablas!$R$3:$T$66,2,TRUE),VLOOKUP(C73,tablas!$R$3:$T$66,2,TRUE))&amp;"@"&amp;IF(VLOOKUP(VLOOKUP(C73,tablas!$R$3:$T$66,2,TRUE)&amp;VLOOKUP(C73,tablas!$R$3:$T$66,3,TRUE),tablas!$Q$3:$R$66,2,FALSE)&lt;C73,VLOOKUP(C73+0.1,tablas!$R$3:$T$66,3,TRUE),VLOOKUP(C73,tablas!$R$3:$T$66,3,TRUE))&amp;"$",$C$13)</f>
        <v>$\phi8@16$</v>
      </c>
      <c r="D74" s="134" t="str">
        <f>IF(D73&gt;$C$12,"$\phi"&amp;IF(VLOOKUP(VLOOKUP(D73,tablas!$R$3:$T$66,2,TRUE)&amp;VLOOKUP(D73,tablas!$R$3:$T$66,3,TRUE),tablas!$Q$3:$R$66,2,FALSE)&lt;D73,VLOOKUP(D73+0.1,tablas!$R$3:$T$66,2,TRUE),VLOOKUP(D73,tablas!$R$3:$T$66,2,TRUE))&amp;"@"&amp;IF(VLOOKUP(VLOOKUP(D73,tablas!$R$3:$T$66,2,TRUE)&amp;VLOOKUP(D73,tablas!$R$3:$T$66,3,TRUE),tablas!$Q$3:$R$66,2,FALSE)&lt;D73,VLOOKUP(D73+0.1,tablas!$R$3:$T$66,3,TRUE),VLOOKUP(D73,tablas!$R$3:$T$66,3,TRUE))&amp;"$",$C$13)</f>
        <v>$\phi8@16$</v>
      </c>
      <c r="E74" s="134" t="str">
        <f>IF(E73&gt;$C$12,"$\phi"&amp;IF(VLOOKUP(VLOOKUP(E73,tablas!$R$3:$T$66,2,TRUE)&amp;VLOOKUP(E73,tablas!$R$3:$T$66,3,TRUE),tablas!$Q$3:$R$66,2,FALSE)&lt;E73,VLOOKUP(E73+0.1,tablas!$R$3:$T$66,2,TRUE),VLOOKUP(E73,tablas!$R$3:$T$66,2,TRUE))&amp;"@"&amp;IF(VLOOKUP(VLOOKUP(E73,tablas!$R$3:$T$66,2,TRUE)&amp;VLOOKUP(E73,tablas!$R$3:$T$66,3,TRUE),tablas!$Q$3:$R$66,2,FALSE)&lt;E73,VLOOKUP(E73+0.1,tablas!$R$3:$T$66,3,TRUE),VLOOKUP(E73,tablas!$R$3:$T$66,3,TRUE))&amp;"$",$C$13)</f>
        <v>$\phi8@16$</v>
      </c>
      <c r="F74" s="134" t="str">
        <f>IF(F73&gt;$C$12,"$\phi"&amp;IF(VLOOKUP(VLOOKUP(F73,tablas!$R$3:$T$66,2,TRUE)&amp;VLOOKUP(F73,tablas!$R$3:$T$66,3,TRUE),tablas!$Q$3:$R$66,2,FALSE)&lt;F73,VLOOKUP(F73+0.1,tablas!$R$3:$T$66,2,TRUE),VLOOKUP(F73,tablas!$R$3:$T$66,2,TRUE))&amp;"@"&amp;IF(VLOOKUP(VLOOKUP(F73,tablas!$R$3:$T$66,2,TRUE)&amp;VLOOKUP(F73,tablas!$R$3:$T$66,3,TRUE),tablas!$Q$3:$R$66,2,FALSE)&lt;F73,VLOOKUP(F73+0.1,tablas!$R$3:$T$66,3,TRUE),VLOOKUP(F73,tablas!$R$3:$T$66,3,TRUE))&amp;"$",$C$13)</f>
        <v>$\phi8@16$</v>
      </c>
      <c r="G74" s="134" t="str">
        <f>IF(G73&gt;$C$12,"$\phi"&amp;IF(VLOOKUP(VLOOKUP(G73,tablas!$R$3:$T$66,2,TRUE)&amp;VLOOKUP(G73,tablas!$R$3:$T$66,3,TRUE),tablas!$Q$3:$R$66,2,FALSE)&lt;G73,VLOOKUP(G73+0.1,tablas!$R$3:$T$66,2,TRUE),VLOOKUP(G73,tablas!$R$3:$T$66,2,TRUE))&amp;"@"&amp;IF(VLOOKUP(VLOOKUP(G73,tablas!$R$3:$T$66,2,TRUE)&amp;VLOOKUP(G73,tablas!$R$3:$T$66,3,TRUE),tablas!$Q$3:$R$66,2,FALSE)&lt;G73,VLOOKUP(G73+0.1,tablas!$R$3:$T$66,3,TRUE),VLOOKUP(G73,tablas!$R$3:$T$66,3,TRUE))&amp;"$",$C$13)</f>
        <v>$\phi8@16$</v>
      </c>
      <c r="H74" s="134" t="str">
        <f>IF(H73&gt;$C$12,"$\phi"&amp;IF(VLOOKUP(VLOOKUP(H73,tablas!$R$3:$T$66,2,TRUE)&amp;VLOOKUP(H73,tablas!$R$3:$T$66,3,TRUE),tablas!$Q$3:$R$66,2,FALSE)&lt;H73,VLOOKUP(H73+0.1,tablas!$R$3:$T$66,2,TRUE),VLOOKUP(H73,tablas!$R$3:$T$66,2,TRUE))&amp;"@"&amp;IF(VLOOKUP(VLOOKUP(H73,tablas!$R$3:$T$66,2,TRUE)&amp;VLOOKUP(H73,tablas!$R$3:$T$66,3,TRUE),tablas!$Q$3:$R$66,2,FALSE)&lt;H73,VLOOKUP(H73+0.1,tablas!$R$3:$T$66,3,TRUE),VLOOKUP(H73,tablas!$R$3:$T$66,3,TRUE))&amp;"$",$C$13)</f>
        <v>$\phi8@16$</v>
      </c>
      <c r="I74" s="134" t="str">
        <f>IF(I73&gt;$C$12,"$\phi"&amp;IF(VLOOKUP(VLOOKUP(I73,tablas!$R$3:$T$66,2,TRUE)&amp;VLOOKUP(I73,tablas!$R$3:$T$66,3,TRUE),tablas!$Q$3:$R$66,2,FALSE)&lt;I73,VLOOKUP(I73+0.1,tablas!$R$3:$T$66,2,TRUE),VLOOKUP(I73,tablas!$R$3:$T$66,2,TRUE))&amp;"@"&amp;IF(VLOOKUP(VLOOKUP(I73,tablas!$R$3:$T$66,2,TRUE)&amp;VLOOKUP(I73,tablas!$R$3:$T$66,3,TRUE),tablas!$Q$3:$R$66,2,FALSE)&lt;I73,VLOOKUP(I73+0.1,tablas!$R$3:$T$66,3,TRUE),VLOOKUP(I73,tablas!$R$3:$T$66,3,TRUE))&amp;"$",$C$13)</f>
        <v>$\phi8@16$</v>
      </c>
      <c r="J74" s="134" t="str">
        <f>IF(J73&gt;$C$12,"$\phi"&amp;IF(VLOOKUP(VLOOKUP(J73,tablas!$R$3:$T$66,2,TRUE)&amp;VLOOKUP(J73,tablas!$R$3:$T$66,3,TRUE),tablas!$Q$3:$R$66,2,FALSE)&lt;J73,VLOOKUP(J73+0.1,tablas!$R$3:$T$66,2,TRUE),VLOOKUP(J73,tablas!$R$3:$T$66,2,TRUE))&amp;"@"&amp;IF(VLOOKUP(VLOOKUP(J73,tablas!$R$3:$T$66,2,TRUE)&amp;VLOOKUP(J73,tablas!$R$3:$T$66,3,TRUE),tablas!$Q$3:$R$66,2,FALSE)&lt;J73,VLOOKUP(J73+0.1,tablas!$R$3:$T$66,3,TRUE),VLOOKUP(J73,tablas!$R$3:$T$66,3,TRUE))&amp;"$",$C$13)</f>
        <v>$\phi8@16$</v>
      </c>
      <c r="K74" s="134" t="str">
        <f>IF(K73&gt;$C$12,"$\phi"&amp;IF(VLOOKUP(VLOOKUP(K73,tablas!$R$3:$T$66,2,TRUE)&amp;VLOOKUP(K73,tablas!$R$3:$T$66,3,TRUE),tablas!$Q$3:$R$66,2,FALSE)&lt;K73,VLOOKUP(K73+0.1,tablas!$R$3:$T$66,2,TRUE),VLOOKUP(K73,tablas!$R$3:$T$66,2,TRUE))&amp;"@"&amp;IF(VLOOKUP(VLOOKUP(K73,tablas!$R$3:$T$66,2,TRUE)&amp;VLOOKUP(K73,tablas!$R$3:$T$66,3,TRUE),tablas!$Q$3:$R$66,2,FALSE)&lt;K73,VLOOKUP(K73+0.1,tablas!$R$3:$T$66,3,TRUE),VLOOKUP(K73,tablas!$R$3:$T$66,3,TRUE))&amp;"$",$C$13)</f>
        <v>$\phi8@16$</v>
      </c>
      <c r="L74" s="134" t="str">
        <f>IF(L73&gt;$C$12,"$\phi"&amp;IF(VLOOKUP(VLOOKUP(L73,tablas!$R$3:$T$66,2,TRUE)&amp;VLOOKUP(L73,tablas!$R$3:$T$66,3,TRUE),tablas!$Q$3:$R$66,2,FALSE)&lt;L73,VLOOKUP(L73+0.1,tablas!$R$3:$T$66,2,TRUE),VLOOKUP(L73,tablas!$R$3:$T$66,2,TRUE))&amp;"@"&amp;IF(VLOOKUP(VLOOKUP(L73,tablas!$R$3:$T$66,2,TRUE)&amp;VLOOKUP(L73,tablas!$R$3:$T$66,3,TRUE),tablas!$Q$3:$R$66,2,FALSE)&lt;L73,VLOOKUP(L73+0.1,tablas!$R$3:$T$66,3,TRUE),VLOOKUP(L73,tablas!$R$3:$T$66,3,TRUE))&amp;"$",$C$13)</f>
        <v>$\phi8@10$</v>
      </c>
      <c r="M74" s="134" t="str">
        <f>IF(M73&gt;$C$12,"$\phi"&amp;IF(VLOOKUP(VLOOKUP(M73,tablas!$R$3:$T$66,2,TRUE)&amp;VLOOKUP(M73,tablas!$R$3:$T$66,3,TRUE),tablas!$Q$3:$R$66,2,FALSE)&lt;M73,VLOOKUP(M73+0.1,tablas!$R$3:$T$66,2,TRUE),VLOOKUP(M73,tablas!$R$3:$T$66,2,TRUE))&amp;"@"&amp;IF(VLOOKUP(VLOOKUP(M73,tablas!$R$3:$T$66,2,TRUE)&amp;VLOOKUP(M73,tablas!$R$3:$T$66,3,TRUE),tablas!$Q$3:$R$66,2,FALSE)&lt;M73,VLOOKUP(M73+0.1,tablas!$R$3:$T$66,3,TRUE),VLOOKUP(M73,tablas!$R$3:$T$66,3,TRUE))&amp;"$",$C$13)</f>
        <v>$\phi8@16$</v>
      </c>
      <c r="N74" s="134" t="str">
        <f>IF(N73&gt;$C$12,"$\phi"&amp;IF(VLOOKUP(VLOOKUP(N73,tablas!$R$3:$T$66,2,TRUE)&amp;VLOOKUP(N73,tablas!$R$3:$T$66,3,TRUE),tablas!$Q$3:$R$66,2,FALSE)&lt;N73,VLOOKUP(N73+0.1,tablas!$R$3:$T$66,2,TRUE),VLOOKUP(N73,tablas!$R$3:$T$66,2,TRUE))&amp;"@"&amp;IF(VLOOKUP(VLOOKUP(N73,tablas!$R$3:$T$66,2,TRUE)&amp;VLOOKUP(N73,tablas!$R$3:$T$66,3,TRUE),tablas!$Q$3:$R$66,2,FALSE)&lt;N73,VLOOKUP(N73+0.1,tablas!$R$3:$T$66,3,TRUE),VLOOKUP(N73,tablas!$R$3:$T$66,3,TRUE))&amp;"$",$C$13)</f>
        <v>$\phi8@16$</v>
      </c>
      <c r="O74" s="134" t="str">
        <f>IF(O73&gt;$C$12,"$\phi"&amp;IF(VLOOKUP(VLOOKUP(O73,tablas!$R$3:$T$66,2,TRUE)&amp;VLOOKUP(O73,tablas!$R$3:$T$66,3,TRUE),tablas!$Q$3:$R$66,2,FALSE)&lt;O73,VLOOKUP(O73+0.1,tablas!$R$3:$T$66,2,TRUE),VLOOKUP(O73,tablas!$R$3:$T$66,2,TRUE))&amp;"@"&amp;IF(VLOOKUP(VLOOKUP(O73,tablas!$R$3:$T$66,2,TRUE)&amp;VLOOKUP(O73,tablas!$R$3:$T$66,3,TRUE),tablas!$Q$3:$R$66,2,FALSE)&lt;O73,VLOOKUP(O73+0.1,tablas!$R$3:$T$66,3,TRUE),VLOOKUP(O73,tablas!$R$3:$T$66,3,TRUE))&amp;"$",$C$13)</f>
        <v>$\phi8@16$</v>
      </c>
      <c r="P74" s="134" t="str">
        <f>IF(P73&gt;$C$12,"$\phi"&amp;IF(VLOOKUP(VLOOKUP(P73,tablas!$R$3:$T$66,2,TRUE)&amp;VLOOKUP(P73,tablas!$R$3:$T$66,3,TRUE),tablas!$Q$3:$R$66,2,FALSE)&lt;P73,VLOOKUP(P73+0.1,tablas!$R$3:$T$66,2,TRUE),VLOOKUP(P73,tablas!$R$3:$T$66,2,TRUE))&amp;"@"&amp;IF(VLOOKUP(VLOOKUP(P73,tablas!$R$3:$T$66,2,TRUE)&amp;VLOOKUP(P73,tablas!$R$3:$T$66,3,TRUE),tablas!$Q$3:$R$66,2,FALSE)&lt;P73,VLOOKUP(P73+0.1,tablas!$R$3:$T$66,3,TRUE),VLOOKUP(P73,tablas!$R$3:$T$66,3,TRUE))&amp;"$",$C$13)</f>
        <v>$\phi8@16$</v>
      </c>
      <c r="Q74" s="134" t="str">
        <f>IF(Q73&gt;$C$12,"$\phi"&amp;IF(VLOOKUP(VLOOKUP(Q73,tablas!$R$3:$T$66,2,TRUE)&amp;VLOOKUP(Q73,tablas!$R$3:$T$66,3,TRUE),tablas!$Q$3:$R$66,2,FALSE)&lt;Q73,VLOOKUP(Q73+0.1,tablas!$R$3:$T$66,2,TRUE),VLOOKUP(Q73,tablas!$R$3:$T$66,2,TRUE))&amp;"@"&amp;IF(VLOOKUP(VLOOKUP(Q73,tablas!$R$3:$T$66,2,TRUE)&amp;VLOOKUP(Q73,tablas!$R$3:$T$66,3,TRUE),tablas!$Q$3:$R$66,2,FALSE)&lt;Q73,VLOOKUP(Q73+0.1,tablas!$R$3:$T$66,3,TRUE),VLOOKUP(Q73,tablas!$R$3:$T$66,3,TRUE))&amp;"$",$C$13)</f>
        <v>$\phi8@16$</v>
      </c>
      <c r="R74" s="134" t="str">
        <f>IF(R73&gt;$C$12,"$\phi"&amp;IF(VLOOKUP(VLOOKUP(R73,tablas!$R$3:$T$66,2,TRUE)&amp;VLOOKUP(R73,tablas!$R$3:$T$66,3,TRUE),tablas!$Q$3:$R$66,2,FALSE)&lt;R73,VLOOKUP(R73+0.1,tablas!$R$3:$T$66,2,TRUE),VLOOKUP(R73,tablas!$R$3:$T$66,2,TRUE))&amp;"@"&amp;IF(VLOOKUP(VLOOKUP(R73,tablas!$R$3:$T$66,2,TRUE)&amp;VLOOKUP(R73,tablas!$R$3:$T$66,3,TRUE),tablas!$Q$3:$R$66,2,FALSE)&lt;R73,VLOOKUP(R73+0.1,tablas!$R$3:$T$66,3,TRUE),VLOOKUP(R73,tablas!$R$3:$T$66,3,TRUE))&amp;"$",$C$13)</f>
        <v>$\phi10@24$</v>
      </c>
      <c r="S74" s="134" t="str">
        <f>IF(S73&gt;$C$12,"$\phi"&amp;IF(VLOOKUP(VLOOKUP(S73,tablas!$R$3:$T$66,2,TRUE)&amp;VLOOKUP(S73,tablas!$R$3:$T$66,3,TRUE),tablas!$Q$3:$R$66,2,FALSE)&lt;S73,VLOOKUP(S73+0.1,tablas!$R$3:$T$66,2,TRUE),VLOOKUP(S73,tablas!$R$3:$T$66,2,TRUE))&amp;"@"&amp;IF(VLOOKUP(VLOOKUP(S73,tablas!$R$3:$T$66,2,TRUE)&amp;VLOOKUP(S73,tablas!$R$3:$T$66,3,TRUE),tablas!$Q$3:$R$66,2,FALSE)&lt;S73,VLOOKUP(S73+0.1,tablas!$R$3:$T$66,3,TRUE),VLOOKUP(S73,tablas!$R$3:$T$66,3,TRUE))&amp;"$",$C$13)</f>
        <v>$\phi8@16$</v>
      </c>
      <c r="T74" s="134" t="str">
        <f>IF(T73&gt;$C$12,"$\phi"&amp;IF(VLOOKUP(VLOOKUP(T73,tablas!$R$3:$T$66,2,TRUE)&amp;VLOOKUP(T73,tablas!$R$3:$T$66,3,TRUE),tablas!$Q$3:$R$66,2,FALSE)&lt;T73,VLOOKUP(T73+0.1,tablas!$R$3:$T$66,2,TRUE),VLOOKUP(T73,tablas!$R$3:$T$66,2,TRUE))&amp;"@"&amp;IF(VLOOKUP(VLOOKUP(T73,tablas!$R$3:$T$66,2,TRUE)&amp;VLOOKUP(T73,tablas!$R$3:$T$66,3,TRUE),tablas!$Q$3:$R$66,2,FALSE)&lt;T73,VLOOKUP(T73+0.1,tablas!$R$3:$T$66,3,TRUE),VLOOKUP(T73,tablas!$R$3:$T$66,3,TRUE))&amp;"$",$C$13)</f>
        <v>$\phi8@16$</v>
      </c>
      <c r="U74" s="134" t="str">
        <f>IF(U73&gt;$C$12,"$\phi"&amp;IF(VLOOKUP(VLOOKUP(U73,tablas!$R$3:$T$66,2,TRUE)&amp;VLOOKUP(U73,tablas!$R$3:$T$66,3,TRUE),tablas!$Q$3:$R$66,2,FALSE)&lt;U73,VLOOKUP(U73+0.1,tablas!$R$3:$T$66,2,TRUE),VLOOKUP(U73,tablas!$R$3:$T$66,2,TRUE))&amp;"@"&amp;IF(VLOOKUP(VLOOKUP(U73,tablas!$R$3:$T$66,2,TRUE)&amp;VLOOKUP(U73,tablas!$R$3:$T$66,3,TRUE),tablas!$Q$3:$R$66,2,FALSE)&lt;U73,VLOOKUP(U73+0.1,tablas!$R$3:$T$66,3,TRUE),VLOOKUP(U73,tablas!$R$3:$T$66,3,TRUE))&amp;"$",$C$13)</f>
        <v>$\phi8@16$</v>
      </c>
      <c r="V74" s="134" t="str">
        <f>IF(V73&gt;$C$12,"$\phi"&amp;IF(VLOOKUP(VLOOKUP(V73,tablas!$R$3:$T$66,2,TRUE)&amp;VLOOKUP(V73,tablas!$R$3:$T$66,3,TRUE),tablas!$Q$3:$R$66,2,FALSE)&lt;V73,VLOOKUP(V73+0.1,tablas!$R$3:$T$66,2,TRUE),VLOOKUP(V73,tablas!$R$3:$T$66,2,TRUE))&amp;"@"&amp;IF(VLOOKUP(VLOOKUP(V73,tablas!$R$3:$T$66,2,TRUE)&amp;VLOOKUP(V73,tablas!$R$3:$T$66,3,TRUE),tablas!$Q$3:$R$66,2,FALSE)&lt;V73,VLOOKUP(V73+0.1,tablas!$R$3:$T$66,3,TRUE),VLOOKUP(V73,tablas!$R$3:$T$66,3,TRUE))&amp;"$",$C$13)</f>
        <v>$\phi8@16$</v>
      </c>
      <c r="W74" s="134" t="str">
        <f>IF(W73&gt;$C$12,"$\phi"&amp;IF(VLOOKUP(VLOOKUP(W73,tablas!$R$3:$T$66,2,TRUE)&amp;VLOOKUP(W73,tablas!$R$3:$T$66,3,TRUE),tablas!$Q$3:$R$66,2,FALSE)&lt;W73,VLOOKUP(W73+0.1,tablas!$R$3:$T$66,2,TRUE),VLOOKUP(W73,tablas!$R$3:$T$66,2,TRUE))&amp;"@"&amp;IF(VLOOKUP(VLOOKUP(W73,tablas!$R$3:$T$66,2,TRUE)&amp;VLOOKUP(W73,tablas!$R$3:$T$66,3,TRUE),tablas!$Q$3:$R$66,2,FALSE)&lt;W73,VLOOKUP(W73+0.1,tablas!$R$3:$T$66,3,TRUE),VLOOKUP(W73,tablas!$R$3:$T$66,3,TRUE))&amp;"$",$C$13)</f>
        <v>$\phi8@16$</v>
      </c>
      <c r="X74" s="134" t="str">
        <f>IF(X73&gt;$C$12,"$\phi"&amp;IF(VLOOKUP(VLOOKUP(X73,tablas!$R$3:$T$66,2,TRUE)&amp;VLOOKUP(X73,tablas!$R$3:$T$66,3,TRUE),tablas!$Q$3:$R$66,2,FALSE)&lt;X73,VLOOKUP(X73+0.1,tablas!$R$3:$T$66,2,TRUE),VLOOKUP(X73,tablas!$R$3:$T$66,2,TRUE))&amp;"@"&amp;IF(VLOOKUP(VLOOKUP(X73,tablas!$R$3:$T$66,2,TRUE)&amp;VLOOKUP(X73,tablas!$R$3:$T$66,3,TRUE),tablas!$Q$3:$R$66,2,FALSE)&lt;X73,VLOOKUP(X73+0.1,tablas!$R$3:$T$66,3,TRUE),VLOOKUP(X73,tablas!$R$3:$T$66,3,TRUE))&amp;"$",$C$13)</f>
        <v>$\phi8@16$</v>
      </c>
      <c r="Y74" s="134" t="str">
        <f>IF(Y73&gt;$C$12,"$\phi"&amp;IF(VLOOKUP(VLOOKUP(Y73,tablas!$R$3:$T$66,2,TRUE)&amp;VLOOKUP(Y73,tablas!$R$3:$T$66,3,TRUE),tablas!$Q$3:$R$66,2,FALSE)&lt;Y73,VLOOKUP(Y73+0.1,tablas!$R$3:$T$66,2,TRUE),VLOOKUP(Y73,tablas!$R$3:$T$66,2,TRUE))&amp;"@"&amp;IF(VLOOKUP(VLOOKUP(Y73,tablas!$R$3:$T$66,2,TRUE)&amp;VLOOKUP(Y73,tablas!$R$3:$T$66,3,TRUE),tablas!$Q$3:$R$66,2,FALSE)&lt;Y73,VLOOKUP(Y73+0.1,tablas!$R$3:$T$66,3,TRUE),VLOOKUP(Y73,tablas!$R$3:$T$66,3,TRUE))&amp;"$",$C$13)</f>
        <v>$\phi8@16$</v>
      </c>
      <c r="Z74" s="134" t="str">
        <f>IF(Z73&gt;$C$12,"$\phi"&amp;IF(VLOOKUP(VLOOKUP(Z73,tablas!$R$3:$T$66,2,TRUE)&amp;VLOOKUP(Z73,tablas!$R$3:$T$66,3,TRUE),tablas!$Q$3:$R$66,2,FALSE)&lt;Z73,VLOOKUP(Z73+0.1,tablas!$R$3:$T$66,2,TRUE),VLOOKUP(Z73,tablas!$R$3:$T$66,2,TRUE))&amp;"@"&amp;IF(VLOOKUP(VLOOKUP(Z73,tablas!$R$3:$T$66,2,TRUE)&amp;VLOOKUP(Z73,tablas!$R$3:$T$66,3,TRUE),tablas!$Q$3:$R$66,2,FALSE)&lt;Z73,VLOOKUP(Z73+0.1,tablas!$R$3:$T$66,3,TRUE),VLOOKUP(Z73,tablas!$R$3:$T$66,3,TRUE))&amp;"$",$C$13)</f>
        <v>$\phi16@19$</v>
      </c>
      <c r="AA74" s="134" t="str">
        <f>IF(AA73&gt;$C$12,"$\phi"&amp;IF(VLOOKUP(VLOOKUP(AA73,tablas!$R$3:$T$66,2,TRUE)&amp;VLOOKUP(AA73,tablas!$R$3:$T$66,3,TRUE),tablas!$Q$3:$R$66,2,FALSE)&lt;AA73,VLOOKUP(AA73+0.1,tablas!$R$3:$T$66,2,TRUE),VLOOKUP(AA73,tablas!$R$3:$T$66,2,TRUE))&amp;"@"&amp;IF(VLOOKUP(VLOOKUP(AA73,tablas!$R$3:$T$66,2,TRUE)&amp;VLOOKUP(AA73,tablas!$R$3:$T$66,3,TRUE),tablas!$Q$3:$R$66,2,FALSE)&lt;AA73,VLOOKUP(AA73+0.1,tablas!$R$3:$T$66,3,TRUE),VLOOKUP(AA73,tablas!$R$3:$T$66,3,TRUE))&amp;"$",$C$13)</f>
        <v>$\phi8@16$</v>
      </c>
      <c r="AB74" s="134" t="str">
        <f>IF(AB73&gt;$C$12,"$\phi"&amp;IF(VLOOKUP(VLOOKUP(AB73,tablas!$R$3:$T$66,2,TRUE)&amp;VLOOKUP(AB73,tablas!$R$3:$T$66,3,TRUE),tablas!$Q$3:$R$66,2,FALSE)&lt;AB73,VLOOKUP(AB73+0.1,tablas!$R$3:$T$66,2,TRUE),VLOOKUP(AB73,tablas!$R$3:$T$66,2,TRUE))&amp;"@"&amp;IF(VLOOKUP(VLOOKUP(AB73,tablas!$R$3:$T$66,2,TRUE)&amp;VLOOKUP(AB73,tablas!$R$3:$T$66,3,TRUE),tablas!$Q$3:$R$66,2,FALSE)&lt;AB73,VLOOKUP(AB73+0.1,tablas!$R$3:$T$66,3,TRUE),VLOOKUP(AB73,tablas!$R$3:$T$66,3,TRUE))&amp;"$",$C$13)</f>
        <v>$\phi8@16$</v>
      </c>
      <c r="AC74" s="134" t="str">
        <f>IF(AC73&gt;$C$12,"$\phi"&amp;IF(VLOOKUP(VLOOKUP(AC73,tablas!$R$3:$T$66,2,TRUE)&amp;VLOOKUP(AC73,tablas!$R$3:$T$66,3,TRUE),tablas!$Q$3:$R$66,2,FALSE)&lt;AC73,VLOOKUP(AC73+0.1,tablas!$R$3:$T$66,2,TRUE),VLOOKUP(AC73,tablas!$R$3:$T$66,2,TRUE))&amp;"@"&amp;IF(VLOOKUP(VLOOKUP(AC73,tablas!$R$3:$T$66,2,TRUE)&amp;VLOOKUP(AC73,tablas!$R$3:$T$66,3,TRUE),tablas!$Q$3:$R$66,2,FALSE)&lt;AC73,VLOOKUP(AC73+0.1,tablas!$R$3:$T$66,3,TRUE),VLOOKUP(AC73,tablas!$R$3:$T$66,3,TRUE))&amp;"$",$C$13)</f>
        <v>$\phi10@25$</v>
      </c>
      <c r="AD74" s="134" t="str">
        <f>IF(AD73&gt;$C$12,"$\phi"&amp;IF(VLOOKUP(VLOOKUP(AD73,tablas!$R$3:$T$66,2,TRUE)&amp;VLOOKUP(AD73,tablas!$R$3:$T$66,3,TRUE),tablas!$Q$3:$R$66,2,FALSE)&lt;AD73,VLOOKUP(AD73+0.1,tablas!$R$3:$T$66,2,TRUE),VLOOKUP(AD73,tablas!$R$3:$T$66,2,TRUE))&amp;"@"&amp;IF(VLOOKUP(VLOOKUP(AD73,tablas!$R$3:$T$66,2,TRUE)&amp;VLOOKUP(AD73,tablas!$R$3:$T$66,3,TRUE),tablas!$Q$3:$R$66,2,FALSE)&lt;AD73,VLOOKUP(AD73+0.1,tablas!$R$3:$T$66,3,TRUE),VLOOKUP(AD73,tablas!$R$3:$T$66,3,TRUE))&amp;"$",$C$13)</f>
        <v>$\phi8@16$</v>
      </c>
      <c r="AE74" s="134" t="str">
        <f>IF(AE73&gt;$C$12,"$\phi"&amp;IF(VLOOKUP(VLOOKUP(AE73,tablas!$R$3:$T$66,2,TRUE)&amp;VLOOKUP(AE73,tablas!$R$3:$T$66,3,TRUE),tablas!$Q$3:$R$66,2,FALSE)&lt;AE73,VLOOKUP(AE73+0.1,tablas!$R$3:$T$66,2,TRUE),VLOOKUP(AE73,tablas!$R$3:$T$66,2,TRUE))&amp;"@"&amp;IF(VLOOKUP(VLOOKUP(AE73,tablas!$R$3:$T$66,2,TRUE)&amp;VLOOKUP(AE73,tablas!$R$3:$T$66,3,TRUE),tablas!$Q$3:$R$66,2,FALSE)&lt;AE73,VLOOKUP(AE73+0.1,tablas!$R$3:$T$66,3,TRUE),VLOOKUP(AE73,tablas!$R$3:$T$66,3,TRUE))&amp;"$",$C$13)</f>
        <v>$\phi8@16$</v>
      </c>
    </row>
    <row r="75" spans="2:39" x14ac:dyDescent="0.25">
      <c r="B75" s="96" t="s">
        <v>102</v>
      </c>
      <c r="C75" s="89">
        <f>IF(C53&lt;=2,C67/C57*(1+C68*C61)*C54,"0")</f>
        <v>407.3370098039216</v>
      </c>
      <c r="D75" s="89">
        <f>IF(D53&lt;=2,D67/D57*(1+D68*D61)*D54,"0")</f>
        <v>283.47758007117437</v>
      </c>
      <c r="E75" s="89">
        <f>IF(E53&lt;=2,E67/E57*(1+E68*E61)*E54,"0")</f>
        <v>283.47758007117437</v>
      </c>
      <c r="F75" s="89">
        <f>IF(F53&lt;=2,F67/F57*(1+F68*F61)*F54,"0")</f>
        <v>270.57133435582818</v>
      </c>
      <c r="G75" s="89">
        <f>IF(G53&lt;=2,G67/G57*(1+G68*G61)*G54,"0")</f>
        <v>292.94423320659064</v>
      </c>
      <c r="H75" s="89">
        <f>IF(H53&lt;=2,H67/H57*(1+H68*H61)*H54,"0")</f>
        <v>166.30703259005142</v>
      </c>
      <c r="I75" s="89">
        <f>IF(I53&lt;=2,I67/I57*(1+I68*I61)*I54,"0")</f>
        <v>451.32940686274509</v>
      </c>
      <c r="J75" s="89">
        <f>IF(J53&lt;=2,J67/J57*(1+J68*J61)*J54,"0")</f>
        <v>437.51628451882851</v>
      </c>
      <c r="K75" s="89">
        <f>IF(K53&lt;=2,K67/K57*(1+K68*K61)*K54,"0")</f>
        <v>437.51628451882851</v>
      </c>
      <c r="L75" s="89" t="str">
        <f>IF(L53&lt;=2,L67/L57*(1+L68*L61)*L54,"0")</f>
        <v>0</v>
      </c>
      <c r="M75" s="89">
        <f>IF(M53&lt;=2,M67/M57*(1+M68*M61)*M54,"0")</f>
        <v>136.7876981595092</v>
      </c>
      <c r="N75" s="89">
        <f>IF(N53&lt;=2,N67/N57*(1+N68*N61)*N54,"0")</f>
        <v>341.41321398773005</v>
      </c>
      <c r="O75" s="89">
        <f>IF(O53&lt;=2,O67/O57*(1+O68*O61)*O54,"0")</f>
        <v>252.29382426778247</v>
      </c>
      <c r="P75" s="89">
        <f>IF(P53&lt;=2,P67/P57*(1+P68*P61)*P54,"0")</f>
        <v>285.62284518828454</v>
      </c>
      <c r="Q75" s="89">
        <f>IF(Q53&lt;=2,Q67/Q57*(1+Q68*Q61)*Q54,"0")</f>
        <v>393.78245567484663</v>
      </c>
      <c r="R75" s="89" t="str">
        <f>IF(R53&lt;=2,R67/R57*(1+R68*R61)*R54,"0")</f>
        <v>0</v>
      </c>
      <c r="S75" s="89" t="str">
        <f>IF(S53&lt;=2,S67/S57*(1+S68*S61)*S54,"0")</f>
        <v>0</v>
      </c>
      <c r="T75" s="89">
        <f>IF(T53&lt;=2,T67/T57*(1+T68*T61)*T54,"0")</f>
        <v>490.57357604907975</v>
      </c>
      <c r="U75" s="89" t="str">
        <f>IF(U53&lt;=2,U67/U57*(1+U68*U61)*U54,"0")</f>
        <v>0</v>
      </c>
      <c r="V75" s="89">
        <f>IF(V53&lt;=2,V67/V57*(1+V68*V61)*V54,"0")</f>
        <v>47.628</v>
      </c>
      <c r="W75" s="89" t="str">
        <f>IF(W53&lt;=2,W67/W57*(1+W68*W61)*W54,"0")</f>
        <v>0</v>
      </c>
      <c r="X75" s="89">
        <f>IF(X53&lt;=2,X67/X57*(1+X68*X61)*X54,"0")</f>
        <v>212.84441637010673</v>
      </c>
      <c r="Y75" s="89">
        <f>IF(Y53&lt;=2,Y67/Y57*(1+Y68*Y61)*Y54,"0")</f>
        <v>611.80448567807355</v>
      </c>
      <c r="Z75" s="89" t="str">
        <f>IF(Z53&lt;=2,Z67/Z57*(1+Z68*Z61)*Z54,"0")</f>
        <v>0</v>
      </c>
      <c r="AA75" s="89">
        <f>IF(AA53&lt;=2,AA67/AA57*(1+AA68*AA61)*AA54,"0")</f>
        <v>282.57386503067482</v>
      </c>
      <c r="AB75" s="89">
        <f>IF(AB53&lt;=2,AB67/AB57*(1+AB68*AB61)*AB54,"0")</f>
        <v>358.16447316725976</v>
      </c>
      <c r="AC75" s="89">
        <f>IF(AC53&lt;=2,AC67/AC57*(1+AC68*AC61)*AC54,"0")</f>
        <v>566.66774537366541</v>
      </c>
      <c r="AD75" s="89" t="str">
        <f>IF(AD53&lt;=2,AD67/AD57*(1+AD68*AD61)*AD54,"0")</f>
        <v>0</v>
      </c>
      <c r="AE75" s="89">
        <f>IF(AE53&lt;=2,AE67/AE57*(1+AE68*AE61)*AE54,"0")</f>
        <v>51.70928336842104</v>
      </c>
    </row>
    <row r="76" spans="2:39" x14ac:dyDescent="0.25">
      <c r="B76" s="97" t="s">
        <v>15</v>
      </c>
      <c r="C76" s="85">
        <f>C75/(0.9*(0.9*($C$7/100))*($L$9*1000))</f>
        <v>0.78331027615076632</v>
      </c>
      <c r="D76" s="85">
        <f>D75/(0.9*(0.9*($C$7/100))*($L$9*1000))</f>
        <v>0.54512822597433619</v>
      </c>
      <c r="E76" s="85">
        <f>E75/(0.9*(0.9*($C$7/100))*($L$9*1000))</f>
        <v>0.54512822597433619</v>
      </c>
      <c r="F76" s="85">
        <f>F75/(0.9*(0.9*($C$7/100))*($L$9*1000))</f>
        <v>0.52030947724285248</v>
      </c>
      <c r="G76" s="85">
        <f>G75/(0.9*(0.9*($C$7/100))*($L$9*1000))</f>
        <v>0.5633326279885208</v>
      </c>
      <c r="H76" s="85">
        <f>H75/(0.9*(0.9*($C$7/100))*($L$9*1000))</f>
        <v>0.31980891617639973</v>
      </c>
      <c r="I76" s="85">
        <f>I75/(0.9*(0.9*($C$7/100))*($L$9*1000))</f>
        <v>0.86790778597504903</v>
      </c>
      <c r="J76" s="85">
        <f>J75/(0.9*(0.9*($C$7/100))*($L$9*1000))</f>
        <v>0.84134511080117769</v>
      </c>
      <c r="K76" s="85">
        <f>K75/(0.9*(0.9*($C$7/100))*($L$9*1000))</f>
        <v>0.84134511080117769</v>
      </c>
      <c r="L76" s="85">
        <f>L75/(0.9*(0.9*($C$7/100))*($L$9*1000))</f>
        <v>0</v>
      </c>
      <c r="M76" s="85">
        <f>M75/(0.9*(0.9*($C$7/100))*($L$9*1000))</f>
        <v>0.26304314864718509</v>
      </c>
      <c r="N76" s="85">
        <f>N75/(0.9*(0.9*($C$7/100))*($L$9*1000))</f>
        <v>0.65653862156788201</v>
      </c>
      <c r="O76" s="85">
        <f>O75/(0.9*(0.9*($C$7/100))*($L$9*1000))</f>
        <v>0.48516177121607329</v>
      </c>
      <c r="P76" s="85">
        <f>P75/(0.9*(0.9*($C$7/100))*($L$9*1000))</f>
        <v>0.54925357714757983</v>
      </c>
      <c r="Q76" s="85">
        <f>Q75/(0.9*(0.9*($C$7/100))*($L$9*1000))</f>
        <v>0.7572448284197657</v>
      </c>
      <c r="R76" s="85">
        <f>R75/(0.9*(0.9*($C$7/100))*($L$9*1000))</f>
        <v>0</v>
      </c>
      <c r="S76" s="85">
        <f>S75/(0.9*(0.9*($C$7/100))*($L$9*1000))</f>
        <v>0</v>
      </c>
      <c r="T76" s="85">
        <f>T75/(0.9*(0.9*($C$7/100))*($L$9*1000))</f>
        <v>0.94337443953901712</v>
      </c>
      <c r="U76" s="85">
        <f>U75/(0.9*(0.9*($C$7/100))*($L$9*1000))</f>
        <v>0</v>
      </c>
      <c r="V76" s="85">
        <f>V75/(0.9*(0.9*($C$7/100))*($L$9*1000))</f>
        <v>9.158878504672896E-2</v>
      </c>
      <c r="W76" s="85">
        <f>W75/(0.9*(0.9*($C$7/100))*($L$9*1000))</f>
        <v>0</v>
      </c>
      <c r="X76" s="85">
        <f>X75/(0.9*(0.9*($C$7/100))*($L$9*1000))</f>
        <v>0.40930044300239737</v>
      </c>
      <c r="Y76" s="85">
        <f>Y75/(0.9*(0.9*($C$7/100))*($L$9*1000))</f>
        <v>1.1765018377717653</v>
      </c>
      <c r="Z76" s="85">
        <f>Z75/(0.9*(0.9*($C$7/100))*($L$9*1000))</f>
        <v>0</v>
      </c>
      <c r="AA76" s="85">
        <f>AA75/(0.9*(0.9*($C$7/100))*($L$9*1000))</f>
        <v>0.54339037927517164</v>
      </c>
      <c r="AB76" s="85">
        <f>AB75/(0.9*(0.9*($C$7/100))*($L$9*1000))</f>
        <v>0.68875134257770798</v>
      </c>
      <c r="AC76" s="85">
        <f>AC75/(0.9*(0.9*($C$7/100))*($L$9*1000))</f>
        <v>1.0897037524973372</v>
      </c>
      <c r="AD76" s="85">
        <f>AD75/(0.9*(0.9*($C$7/100))*($L$9*1000))</f>
        <v>0</v>
      </c>
      <c r="AE76" s="85">
        <f>AE75/(0.9*(0.9*($C$7/100))*($L$9*1000))</f>
        <v>9.9437105050615426E-2</v>
      </c>
    </row>
    <row r="77" spans="2:39" x14ac:dyDescent="0.25">
      <c r="B77" s="97" t="s">
        <v>98</v>
      </c>
      <c r="C77" s="85">
        <f>(C76*($L$9))/(0.85*$L$6*100)</f>
        <v>1.104817262127296E-2</v>
      </c>
      <c r="D77" s="85">
        <f>(D76*($L$9))/(0.85*$L$6*100)</f>
        <v>7.6887421557757761E-3</v>
      </c>
      <c r="E77" s="85">
        <f>(E76*($L$9))/(0.85*$L$6*100)</f>
        <v>7.6887421557757761E-3</v>
      </c>
      <c r="F77" s="85">
        <f>(F76*($L$9))/(0.85*$L$6*100)</f>
        <v>7.3386869751175116E-3</v>
      </c>
      <c r="G77" s="85">
        <f>(G76*($L$9))/(0.85*$L$6*100)</f>
        <v>7.9455055125749532E-3</v>
      </c>
      <c r="H77" s="85">
        <f>(H76*($L$9))/(0.85*$L$6*100)</f>
        <v>4.5107337658098238E-3</v>
      </c>
      <c r="I77" s="85">
        <f>(I76*($L$9))/(0.85*$L$6*100)</f>
        <v>1.2241375264370441E-2</v>
      </c>
      <c r="J77" s="85">
        <f>(J76*($L$9))/(0.85*$L$6*100)</f>
        <v>1.1866722933692671E-2</v>
      </c>
      <c r="K77" s="85">
        <f>(K76*($L$9))/(0.85*$L$6*100)</f>
        <v>1.1866722933692671E-2</v>
      </c>
      <c r="L77" s="85">
        <f>(L76*($L$9))/(0.85*$L$6*100)</f>
        <v>0</v>
      </c>
      <c r="M77" s="85">
        <f>(M76*($L$9))/(0.85*$L$6*100)</f>
        <v>3.7100829665841235E-3</v>
      </c>
      <c r="N77" s="85">
        <f>(N76*($L$9))/(0.85*$L$6*100)</f>
        <v>9.2601262162153083E-3</v>
      </c>
      <c r="O77" s="85">
        <f>(O76*($L$9))/(0.85*$L$6*100)</f>
        <v>6.842947374542079E-3</v>
      </c>
      <c r="P77" s="85">
        <f>(P76*($L$9))/(0.85*$L$6*100)</f>
        <v>7.7469280283132052E-3</v>
      </c>
      <c r="Q77" s="85">
        <f>(Q76*($L$9))/(0.85*$L$6*100)</f>
        <v>1.0680533417817094E-2</v>
      </c>
      <c r="R77" s="85">
        <f>(R76*($L$9))/(0.85*$L$6*100)</f>
        <v>0</v>
      </c>
      <c r="S77" s="85">
        <f>(S76*($L$9))/(0.85*$L$6*100)</f>
        <v>0</v>
      </c>
      <c r="T77" s="85">
        <f>(T76*($L$9))/(0.85*$L$6*100)</f>
        <v>1.3305792062043149E-2</v>
      </c>
      <c r="U77" s="85">
        <f>(U76*($L$9))/(0.85*$L$6*100)</f>
        <v>0</v>
      </c>
      <c r="V77" s="85">
        <f>(V76*($L$9))/(0.85*$L$6*100)</f>
        <v>1.2918108419838522E-3</v>
      </c>
      <c r="W77" s="85">
        <f>(W76*($L$9))/(0.85*$L$6*100)</f>
        <v>0</v>
      </c>
      <c r="X77" s="85">
        <f>(X76*($L$9))/(0.85*$L$6*100)</f>
        <v>5.7729639019616441E-3</v>
      </c>
      <c r="Y77" s="85">
        <f>(Y76*($L$9))/(0.85*$L$6*100)</f>
        <v>1.6593929364518555E-2</v>
      </c>
      <c r="Z77" s="85">
        <f>(Z76*($L$9))/(0.85*$L$6*100)</f>
        <v>0</v>
      </c>
      <c r="AA77" s="85">
        <f>(AA76*($L$9))/(0.85*$L$6*100)</f>
        <v>7.6642307572836873E-3</v>
      </c>
      <c r="AB77" s="85">
        <f>(AB76*($L$9))/(0.85*$L$6*100)</f>
        <v>9.7144694224175002E-3</v>
      </c>
      <c r="AC77" s="85">
        <f>(AC76*($L$9))/(0.85*$L$6*100)</f>
        <v>1.5369688781310278E-2</v>
      </c>
      <c r="AD77" s="85">
        <f>(AD76*($L$9))/(0.85*$L$6*100)</f>
        <v>0</v>
      </c>
      <c r="AE77" s="85">
        <f>(AE76*($L$9))/(0.85*$L$6*100)</f>
        <v>1.4025071992639119E-3</v>
      </c>
    </row>
    <row r="78" spans="2:39" ht="15.75" thickBot="1" x14ac:dyDescent="0.3">
      <c r="B78" s="97" t="s">
        <v>15</v>
      </c>
      <c r="C78" s="76">
        <f>ROUNDUP(C75/(0.9*(($C$7-C77/2)/100)*($L$9*1000)),2)</f>
        <v>0.71</v>
      </c>
      <c r="D78" s="76">
        <f>ROUNDUP(D75/(0.9*(($C$7-D77/2)/100)*($L$9*1000)),2)</f>
        <v>0.5</v>
      </c>
      <c r="E78" s="76">
        <f>ROUNDUP(E75/(0.9*(($C$7-E77/2)/100)*($L$9*1000)),2)</f>
        <v>0.5</v>
      </c>
      <c r="F78" s="76">
        <f>ROUNDUP(F75/(0.9*(($C$7-F77/2)/100)*($L$9*1000)),2)</f>
        <v>0.47000000000000003</v>
      </c>
      <c r="G78" s="76">
        <f>ROUNDUP(G75/(0.9*(($C$7-G77/2)/100)*($L$9*1000)),2)</f>
        <v>0.51</v>
      </c>
      <c r="H78" s="76">
        <f>ROUNDUP(H75/(0.9*(($C$7-H77/2)/100)*($L$9*1000)),2)</f>
        <v>0.29000000000000004</v>
      </c>
      <c r="I78" s="76">
        <f>ROUNDUP(I75/(0.9*(($C$7-I77/2)/100)*($L$9*1000)),2)</f>
        <v>0.79</v>
      </c>
      <c r="J78" s="76">
        <f>ROUNDUP(J75/(0.9*(($C$7-J77/2)/100)*($L$9*1000)),2)</f>
        <v>0.76</v>
      </c>
      <c r="K78" s="76">
        <f>ROUNDUP(K75/(0.9*(($C$7-K77/2)/100)*($L$9*1000)),2)</f>
        <v>0.76</v>
      </c>
      <c r="L78" s="76">
        <f>ROUNDUP(L75/(0.9*(($C$7-L77/2)/100)*($L$9*1000)),2)</f>
        <v>0</v>
      </c>
      <c r="M78" s="76">
        <f>ROUNDUP(M75/(0.9*(($C$7-M77/2)/100)*($L$9*1000)),2)</f>
        <v>0.24000000000000002</v>
      </c>
      <c r="N78" s="76">
        <f>ROUNDUP(N75/(0.9*(($C$7-N77/2)/100)*($L$9*1000)),2)</f>
        <v>0.6</v>
      </c>
      <c r="O78" s="76">
        <f>ROUNDUP(O75/(0.9*(($C$7-O77/2)/100)*($L$9*1000)),2)</f>
        <v>0.44</v>
      </c>
      <c r="P78" s="76">
        <f>ROUNDUP(P75/(0.9*(($C$7-P77/2)/100)*($L$9*1000)),2)</f>
        <v>0.5</v>
      </c>
      <c r="Q78" s="76">
        <f>ROUNDUP(Q75/(0.9*(($C$7-Q77/2)/100)*($L$9*1000)),2)</f>
        <v>0.69000000000000006</v>
      </c>
      <c r="R78" s="76">
        <f>ROUNDUP(R75/(0.9*(($C$7-R77/2)/100)*($L$9*1000)),2)</f>
        <v>0</v>
      </c>
      <c r="S78" s="76">
        <f>ROUNDUP(S75/(0.9*(($C$7-S77/2)/100)*($L$9*1000)),2)</f>
        <v>0</v>
      </c>
      <c r="T78" s="76">
        <f>ROUNDUP(T75/(0.9*(($C$7-T77/2)/100)*($L$9*1000)),2)</f>
        <v>0.85</v>
      </c>
      <c r="U78" s="76">
        <f>ROUNDUP(U75/(0.9*(($C$7-U77/2)/100)*($L$9*1000)),2)</f>
        <v>0</v>
      </c>
      <c r="V78" s="76">
        <f>ROUNDUP(V75/(0.9*(($C$7-V77/2)/100)*($L$9*1000)),2)</f>
        <v>0.09</v>
      </c>
      <c r="W78" s="76">
        <f>ROUNDUP(W75/(0.9*(($C$7-W77/2)/100)*($L$9*1000)),2)</f>
        <v>0</v>
      </c>
      <c r="X78" s="76">
        <f>ROUNDUP(X75/(0.9*(($C$7-X77/2)/100)*($L$9*1000)),2)</f>
        <v>0.37</v>
      </c>
      <c r="Y78" s="76">
        <f>ROUNDUP(Y75/(0.9*(($C$7-Y77/2)/100)*($L$9*1000)),2)</f>
        <v>1.06</v>
      </c>
      <c r="Z78" s="76">
        <f>ROUNDUP(Z75/(0.9*(($C$7-Z77/2)/100)*($L$9*1000)),2)</f>
        <v>0</v>
      </c>
      <c r="AA78" s="76">
        <f>ROUNDUP(AA75/(0.9*(($C$7-AA77/2)/100)*($L$9*1000)),2)</f>
        <v>0.49</v>
      </c>
      <c r="AB78" s="76">
        <f>ROUNDUP(AB75/(0.9*(($C$7-AB77/2)/100)*($L$9*1000)),2)</f>
        <v>0.63</v>
      </c>
      <c r="AC78" s="76">
        <f>ROUNDUP(AC75/(0.9*(($C$7-AC77/2)/100)*($L$9*1000)),2)</f>
        <v>0.99</v>
      </c>
      <c r="AD78" s="76">
        <f>ROUNDUP(AD75/(0.9*(($C$7-AD77/2)/100)*($L$9*1000)),2)</f>
        <v>0</v>
      </c>
      <c r="AE78" s="76">
        <f>ROUNDUP(AE75/(0.9*(($C$7-AE77/2)/100)*($L$9*1000)),2)</f>
        <v>0.09</v>
      </c>
    </row>
    <row r="79" spans="2:39" ht="16.5" thickBot="1" x14ac:dyDescent="0.3">
      <c r="B79" s="61" t="s">
        <v>101</v>
      </c>
      <c r="C79" s="134" t="str">
        <f>IF(C78&gt;$C$12,"$\phi"&amp;IF(VLOOKUP(VLOOKUP(C78,tablas!$R$3:$T$66,2,TRUE)&amp;VLOOKUP(C78,tablas!$R$3:$T$66,3,TRUE),tablas!$Q$3:$R$66,2,FALSE)&lt;C78,VLOOKUP(C78+0.1,tablas!$R$3:$T$66,2,TRUE),VLOOKUP(C78,tablas!$R$3:$T$66,2,TRUE))&amp;"@"&amp;IF(VLOOKUP(VLOOKUP(C78,tablas!$R$3:$T$66,2,TRUE)&amp;VLOOKUP(C78,tablas!$R$3:$T$66,3,TRUE),tablas!$Q$3:$R$66,2,FALSE)&lt;C78,VLOOKUP(C78+0.1,tablas!$R$3:$T$66,3,TRUE),VLOOKUP(C78,tablas!$R$3:$T$66,3,TRUE))&amp;"$",$C$13)</f>
        <v>$\phi8@16$</v>
      </c>
      <c r="D79" s="134" t="str">
        <f>IF(D78&gt;$C$12,"$\phi"&amp;IF(VLOOKUP(VLOOKUP(D78,tablas!$R$3:$T$66,2,TRUE)&amp;VLOOKUP(D78,tablas!$R$3:$T$66,3,TRUE),tablas!$Q$3:$R$66,2,FALSE)&lt;D78,VLOOKUP(D78+0.1,tablas!$R$3:$T$66,2,TRUE),VLOOKUP(D78,tablas!$R$3:$T$66,2,TRUE))&amp;"@"&amp;IF(VLOOKUP(VLOOKUP(D78,tablas!$R$3:$T$66,2,TRUE)&amp;VLOOKUP(D78,tablas!$R$3:$T$66,3,TRUE),tablas!$Q$3:$R$66,2,FALSE)&lt;D78,VLOOKUP(D78+0.1,tablas!$R$3:$T$66,3,TRUE),VLOOKUP(D78,tablas!$R$3:$T$66,3,TRUE))&amp;"$",$C$13)</f>
        <v>$\phi8@16$</v>
      </c>
      <c r="E79" s="134" t="str">
        <f>IF(E78&gt;$C$12,"$\phi"&amp;IF(VLOOKUP(VLOOKUP(E78,tablas!$R$3:$T$66,2,TRUE)&amp;VLOOKUP(E78,tablas!$R$3:$T$66,3,TRUE),tablas!$Q$3:$R$66,2,FALSE)&lt;E78,VLOOKUP(E78+0.1,tablas!$R$3:$T$66,2,TRUE),VLOOKUP(E78,tablas!$R$3:$T$66,2,TRUE))&amp;"@"&amp;IF(VLOOKUP(VLOOKUP(E78,tablas!$R$3:$T$66,2,TRUE)&amp;VLOOKUP(E78,tablas!$R$3:$T$66,3,TRUE),tablas!$Q$3:$R$66,2,FALSE)&lt;E78,VLOOKUP(E78+0.1,tablas!$R$3:$T$66,3,TRUE),VLOOKUP(E78,tablas!$R$3:$T$66,3,TRUE))&amp;"$",$C$13)</f>
        <v>$\phi8@16$</v>
      </c>
      <c r="F79" s="134" t="str">
        <f>IF(F78&gt;$C$12,"$\phi"&amp;IF(VLOOKUP(VLOOKUP(F78,tablas!$R$3:$T$66,2,TRUE)&amp;VLOOKUP(F78,tablas!$R$3:$T$66,3,TRUE),tablas!$Q$3:$R$66,2,FALSE)&lt;F78,VLOOKUP(F78+0.1,tablas!$R$3:$T$66,2,TRUE),VLOOKUP(F78,tablas!$R$3:$T$66,2,TRUE))&amp;"@"&amp;IF(VLOOKUP(VLOOKUP(F78,tablas!$R$3:$T$66,2,TRUE)&amp;VLOOKUP(F78,tablas!$R$3:$T$66,3,TRUE),tablas!$Q$3:$R$66,2,FALSE)&lt;F78,VLOOKUP(F78+0.1,tablas!$R$3:$T$66,3,TRUE),VLOOKUP(F78,tablas!$R$3:$T$66,3,TRUE))&amp;"$",$C$13)</f>
        <v>$\phi8@16$</v>
      </c>
      <c r="G79" s="134" t="str">
        <f>IF(G78&gt;$C$12,"$\phi"&amp;IF(VLOOKUP(VLOOKUP(G78,tablas!$R$3:$T$66,2,TRUE)&amp;VLOOKUP(G78,tablas!$R$3:$T$66,3,TRUE),tablas!$Q$3:$R$66,2,FALSE)&lt;G78,VLOOKUP(G78+0.1,tablas!$R$3:$T$66,2,TRUE),VLOOKUP(G78,tablas!$R$3:$T$66,2,TRUE))&amp;"@"&amp;IF(VLOOKUP(VLOOKUP(G78,tablas!$R$3:$T$66,2,TRUE)&amp;VLOOKUP(G78,tablas!$R$3:$T$66,3,TRUE),tablas!$Q$3:$R$66,2,FALSE)&lt;G78,VLOOKUP(G78+0.1,tablas!$R$3:$T$66,3,TRUE),VLOOKUP(G78,tablas!$R$3:$T$66,3,TRUE))&amp;"$",$C$13)</f>
        <v>$\phi8@16$</v>
      </c>
      <c r="H79" s="134" t="str">
        <f>IF(H78&gt;$C$12,"$\phi"&amp;IF(VLOOKUP(VLOOKUP(H78,tablas!$R$3:$T$66,2,TRUE)&amp;VLOOKUP(H78,tablas!$R$3:$T$66,3,TRUE),tablas!$Q$3:$R$66,2,FALSE)&lt;H78,VLOOKUP(H78+0.1,tablas!$R$3:$T$66,2,TRUE),VLOOKUP(H78,tablas!$R$3:$T$66,2,TRUE))&amp;"@"&amp;IF(VLOOKUP(VLOOKUP(H78,tablas!$R$3:$T$66,2,TRUE)&amp;VLOOKUP(H78,tablas!$R$3:$T$66,3,TRUE),tablas!$Q$3:$R$66,2,FALSE)&lt;H78,VLOOKUP(H78+0.1,tablas!$R$3:$T$66,3,TRUE),VLOOKUP(H78,tablas!$R$3:$T$66,3,TRUE))&amp;"$",$C$13)</f>
        <v>$\phi8@16$</v>
      </c>
      <c r="I79" s="134" t="str">
        <f>IF(I78&gt;$C$12,"$\phi"&amp;IF(VLOOKUP(VLOOKUP(I78,tablas!$R$3:$T$66,2,TRUE)&amp;VLOOKUP(I78,tablas!$R$3:$T$66,3,TRUE),tablas!$Q$3:$R$66,2,FALSE)&lt;I78,VLOOKUP(I78+0.1,tablas!$R$3:$T$66,2,TRUE),VLOOKUP(I78,tablas!$R$3:$T$66,2,TRUE))&amp;"@"&amp;IF(VLOOKUP(VLOOKUP(I78,tablas!$R$3:$T$66,2,TRUE)&amp;VLOOKUP(I78,tablas!$R$3:$T$66,3,TRUE),tablas!$Q$3:$R$66,2,FALSE)&lt;I78,VLOOKUP(I78+0.1,tablas!$R$3:$T$66,3,TRUE),VLOOKUP(I78,tablas!$R$3:$T$66,3,TRUE))&amp;"$",$C$13)</f>
        <v>$\phi8@16$</v>
      </c>
      <c r="J79" s="134" t="str">
        <f>IF(J78&gt;$C$12,"$\phi"&amp;IF(VLOOKUP(VLOOKUP(J78,tablas!$R$3:$T$66,2,TRUE)&amp;VLOOKUP(J78,tablas!$R$3:$T$66,3,TRUE),tablas!$Q$3:$R$66,2,FALSE)&lt;J78,VLOOKUP(J78+0.1,tablas!$R$3:$T$66,2,TRUE),VLOOKUP(J78,tablas!$R$3:$T$66,2,TRUE))&amp;"@"&amp;IF(VLOOKUP(VLOOKUP(J78,tablas!$R$3:$T$66,2,TRUE)&amp;VLOOKUP(J78,tablas!$R$3:$T$66,3,TRUE),tablas!$Q$3:$R$66,2,FALSE)&lt;J78,VLOOKUP(J78+0.1,tablas!$R$3:$T$66,3,TRUE),VLOOKUP(J78,tablas!$R$3:$T$66,3,TRUE))&amp;"$",$C$13)</f>
        <v>$\phi8@16$</v>
      </c>
      <c r="K79" s="134" t="str">
        <f>IF(K78&gt;$C$12,"$\phi"&amp;IF(VLOOKUP(VLOOKUP(K78,tablas!$R$3:$T$66,2,TRUE)&amp;VLOOKUP(K78,tablas!$R$3:$T$66,3,TRUE),tablas!$Q$3:$R$66,2,FALSE)&lt;K78,VLOOKUP(K78+0.1,tablas!$R$3:$T$66,2,TRUE),VLOOKUP(K78,tablas!$R$3:$T$66,2,TRUE))&amp;"@"&amp;IF(VLOOKUP(VLOOKUP(K78,tablas!$R$3:$T$66,2,TRUE)&amp;VLOOKUP(K78,tablas!$R$3:$T$66,3,TRUE),tablas!$Q$3:$R$66,2,FALSE)&lt;K78,VLOOKUP(K78+0.1,tablas!$R$3:$T$66,3,TRUE),VLOOKUP(K78,tablas!$R$3:$T$66,3,TRUE))&amp;"$",$C$13)</f>
        <v>$\phi8@16$</v>
      </c>
      <c r="L79" s="134" t="str">
        <f>IF(L78&gt;$C$12,"$\phi"&amp;IF(VLOOKUP(VLOOKUP(L78,tablas!$R$3:$T$66,2,TRUE)&amp;VLOOKUP(L78,tablas!$R$3:$T$66,3,TRUE),tablas!$Q$3:$R$66,2,FALSE)&lt;L78,VLOOKUP(L78+0.1,tablas!$R$3:$T$66,2,TRUE),VLOOKUP(L78,tablas!$R$3:$T$66,2,TRUE))&amp;"@"&amp;IF(VLOOKUP(VLOOKUP(L78,tablas!$R$3:$T$66,2,TRUE)&amp;VLOOKUP(L78,tablas!$R$3:$T$66,3,TRUE),tablas!$Q$3:$R$66,2,FALSE)&lt;L78,VLOOKUP(L78+0.1,tablas!$R$3:$T$66,3,TRUE),VLOOKUP(L78,tablas!$R$3:$T$66,3,TRUE))&amp;"$",$C$13)</f>
        <v>$\phi8@16$</v>
      </c>
      <c r="M79" s="134" t="str">
        <f>IF(M78&gt;$C$12,"$\phi"&amp;IF(VLOOKUP(VLOOKUP(M78,tablas!$R$3:$T$66,2,TRUE)&amp;VLOOKUP(M78,tablas!$R$3:$T$66,3,TRUE),tablas!$Q$3:$R$66,2,FALSE)&lt;M78,VLOOKUP(M78+0.1,tablas!$R$3:$T$66,2,TRUE),VLOOKUP(M78,tablas!$R$3:$T$66,2,TRUE))&amp;"@"&amp;IF(VLOOKUP(VLOOKUP(M78,tablas!$R$3:$T$66,2,TRUE)&amp;VLOOKUP(M78,tablas!$R$3:$T$66,3,TRUE),tablas!$Q$3:$R$66,2,FALSE)&lt;M78,VLOOKUP(M78+0.1,tablas!$R$3:$T$66,3,TRUE),VLOOKUP(M78,tablas!$R$3:$T$66,3,TRUE))&amp;"$",$C$13)</f>
        <v>$\phi8@16$</v>
      </c>
      <c r="N79" s="134" t="str">
        <f>IF(N78&gt;$C$12,"$\phi"&amp;IF(VLOOKUP(VLOOKUP(N78,tablas!$R$3:$T$66,2,TRUE)&amp;VLOOKUP(N78,tablas!$R$3:$T$66,3,TRUE),tablas!$Q$3:$R$66,2,FALSE)&lt;N78,VLOOKUP(N78+0.1,tablas!$R$3:$T$66,2,TRUE),VLOOKUP(N78,tablas!$R$3:$T$66,2,TRUE))&amp;"@"&amp;IF(VLOOKUP(VLOOKUP(N78,tablas!$R$3:$T$66,2,TRUE)&amp;VLOOKUP(N78,tablas!$R$3:$T$66,3,TRUE),tablas!$Q$3:$R$66,2,FALSE)&lt;N78,VLOOKUP(N78+0.1,tablas!$R$3:$T$66,3,TRUE),VLOOKUP(N78,tablas!$R$3:$T$66,3,TRUE))&amp;"$",$C$13)</f>
        <v>$\phi8@16$</v>
      </c>
      <c r="O79" s="134" t="str">
        <f>IF(O78&gt;$C$12,"$\phi"&amp;IF(VLOOKUP(VLOOKUP(O78,tablas!$R$3:$T$66,2,TRUE)&amp;VLOOKUP(O78,tablas!$R$3:$T$66,3,TRUE),tablas!$Q$3:$R$66,2,FALSE)&lt;O78,VLOOKUP(O78+0.1,tablas!$R$3:$T$66,2,TRUE),VLOOKUP(O78,tablas!$R$3:$T$66,2,TRUE))&amp;"@"&amp;IF(VLOOKUP(VLOOKUP(O78,tablas!$R$3:$T$66,2,TRUE)&amp;VLOOKUP(O78,tablas!$R$3:$T$66,3,TRUE),tablas!$Q$3:$R$66,2,FALSE)&lt;O78,VLOOKUP(O78+0.1,tablas!$R$3:$T$66,3,TRUE),VLOOKUP(O78,tablas!$R$3:$T$66,3,TRUE))&amp;"$",$C$13)</f>
        <v>$\phi8@16$</v>
      </c>
      <c r="P79" s="134" t="str">
        <f>IF(P78&gt;$C$12,"$\phi"&amp;IF(VLOOKUP(VLOOKUP(P78,tablas!$R$3:$T$66,2,TRUE)&amp;VLOOKUP(P78,tablas!$R$3:$T$66,3,TRUE),tablas!$Q$3:$R$66,2,FALSE)&lt;P78,VLOOKUP(P78+0.1,tablas!$R$3:$T$66,2,TRUE),VLOOKUP(P78,tablas!$R$3:$T$66,2,TRUE))&amp;"@"&amp;IF(VLOOKUP(VLOOKUP(P78,tablas!$R$3:$T$66,2,TRUE)&amp;VLOOKUP(P78,tablas!$R$3:$T$66,3,TRUE),tablas!$Q$3:$R$66,2,FALSE)&lt;P78,VLOOKUP(P78+0.1,tablas!$R$3:$T$66,3,TRUE),VLOOKUP(P78,tablas!$R$3:$T$66,3,TRUE))&amp;"$",$C$13)</f>
        <v>$\phi8@16$</v>
      </c>
      <c r="Q79" s="134" t="str">
        <f>IF(Q78&gt;$C$12,"$\phi"&amp;IF(VLOOKUP(VLOOKUP(Q78,tablas!$R$3:$T$66,2,TRUE)&amp;VLOOKUP(Q78,tablas!$R$3:$T$66,3,TRUE),tablas!$Q$3:$R$66,2,FALSE)&lt;Q78,VLOOKUP(Q78+0.1,tablas!$R$3:$T$66,2,TRUE),VLOOKUP(Q78,tablas!$R$3:$T$66,2,TRUE))&amp;"@"&amp;IF(VLOOKUP(VLOOKUP(Q78,tablas!$R$3:$T$66,2,TRUE)&amp;VLOOKUP(Q78,tablas!$R$3:$T$66,3,TRUE),tablas!$Q$3:$R$66,2,FALSE)&lt;Q78,VLOOKUP(Q78+0.1,tablas!$R$3:$T$66,3,TRUE),VLOOKUP(Q78,tablas!$R$3:$T$66,3,TRUE))&amp;"$",$C$13)</f>
        <v>$\phi8@16$</v>
      </c>
      <c r="R79" s="134" t="str">
        <f>IF(R78&gt;$C$12,"$\phi"&amp;IF(VLOOKUP(VLOOKUP(R78,tablas!$R$3:$T$66,2,TRUE)&amp;VLOOKUP(R78,tablas!$R$3:$T$66,3,TRUE),tablas!$Q$3:$R$66,2,FALSE)&lt;R78,VLOOKUP(R78+0.1,tablas!$R$3:$T$66,2,TRUE),VLOOKUP(R78,tablas!$R$3:$T$66,2,TRUE))&amp;"@"&amp;IF(VLOOKUP(VLOOKUP(R78,tablas!$R$3:$T$66,2,TRUE)&amp;VLOOKUP(R78,tablas!$R$3:$T$66,3,TRUE),tablas!$Q$3:$R$66,2,FALSE)&lt;R78,VLOOKUP(R78+0.1,tablas!$R$3:$T$66,3,TRUE),VLOOKUP(R78,tablas!$R$3:$T$66,3,TRUE))&amp;"$",$C$13)</f>
        <v>$\phi8@16$</v>
      </c>
      <c r="S79" s="134" t="str">
        <f>IF(S78&gt;$C$12,"$\phi"&amp;IF(VLOOKUP(VLOOKUP(S78,tablas!$R$3:$T$66,2,TRUE)&amp;VLOOKUP(S78,tablas!$R$3:$T$66,3,TRUE),tablas!$Q$3:$R$66,2,FALSE)&lt;S78,VLOOKUP(S78+0.1,tablas!$R$3:$T$66,2,TRUE),VLOOKUP(S78,tablas!$R$3:$T$66,2,TRUE))&amp;"@"&amp;IF(VLOOKUP(VLOOKUP(S78,tablas!$R$3:$T$66,2,TRUE)&amp;VLOOKUP(S78,tablas!$R$3:$T$66,3,TRUE),tablas!$Q$3:$R$66,2,FALSE)&lt;S78,VLOOKUP(S78+0.1,tablas!$R$3:$T$66,3,TRUE),VLOOKUP(S78,tablas!$R$3:$T$66,3,TRUE))&amp;"$",$C$13)</f>
        <v>$\phi8@16$</v>
      </c>
      <c r="T79" s="134" t="str">
        <f>IF(T78&gt;$C$12,"$\phi"&amp;IF(VLOOKUP(VLOOKUP(T78,tablas!$R$3:$T$66,2,TRUE)&amp;VLOOKUP(T78,tablas!$R$3:$T$66,3,TRUE),tablas!$Q$3:$R$66,2,FALSE)&lt;T78,VLOOKUP(T78+0.1,tablas!$R$3:$T$66,2,TRUE),VLOOKUP(T78,tablas!$R$3:$T$66,2,TRUE))&amp;"@"&amp;IF(VLOOKUP(VLOOKUP(T78,tablas!$R$3:$T$66,2,TRUE)&amp;VLOOKUP(T78,tablas!$R$3:$T$66,3,TRUE),tablas!$Q$3:$R$66,2,FALSE)&lt;T78,VLOOKUP(T78+0.1,tablas!$R$3:$T$66,3,TRUE),VLOOKUP(T78,tablas!$R$3:$T$66,3,TRUE))&amp;"$",$C$13)</f>
        <v>$\phi8@16$</v>
      </c>
      <c r="U79" s="134" t="str">
        <f>IF(U78&gt;$C$12,"$\phi"&amp;IF(VLOOKUP(VLOOKUP(U78,tablas!$R$3:$T$66,2,TRUE)&amp;VLOOKUP(U78,tablas!$R$3:$T$66,3,TRUE),tablas!$Q$3:$R$66,2,FALSE)&lt;U78,VLOOKUP(U78+0.1,tablas!$R$3:$T$66,2,TRUE),VLOOKUP(U78,tablas!$R$3:$T$66,2,TRUE))&amp;"@"&amp;IF(VLOOKUP(VLOOKUP(U78,tablas!$R$3:$T$66,2,TRUE)&amp;VLOOKUP(U78,tablas!$R$3:$T$66,3,TRUE),tablas!$Q$3:$R$66,2,FALSE)&lt;U78,VLOOKUP(U78+0.1,tablas!$R$3:$T$66,3,TRUE),VLOOKUP(U78,tablas!$R$3:$T$66,3,TRUE))&amp;"$",$C$13)</f>
        <v>$\phi8@16$</v>
      </c>
      <c r="V79" s="134" t="str">
        <f>IF(V78&gt;$C$12,"$\phi"&amp;IF(VLOOKUP(VLOOKUP(V78,tablas!$R$3:$T$66,2,TRUE)&amp;VLOOKUP(V78,tablas!$R$3:$T$66,3,TRUE),tablas!$Q$3:$R$66,2,FALSE)&lt;V78,VLOOKUP(V78+0.1,tablas!$R$3:$T$66,2,TRUE),VLOOKUP(V78,tablas!$R$3:$T$66,2,TRUE))&amp;"@"&amp;IF(VLOOKUP(VLOOKUP(V78,tablas!$R$3:$T$66,2,TRUE)&amp;VLOOKUP(V78,tablas!$R$3:$T$66,3,TRUE),tablas!$Q$3:$R$66,2,FALSE)&lt;V78,VLOOKUP(V78+0.1,tablas!$R$3:$T$66,3,TRUE),VLOOKUP(V78,tablas!$R$3:$T$66,3,TRUE))&amp;"$",$C$13)</f>
        <v>$\phi8@16$</v>
      </c>
      <c r="W79" s="134" t="str">
        <f>IF(W78&gt;$C$12,"$\phi"&amp;IF(VLOOKUP(VLOOKUP(W78,tablas!$R$3:$T$66,2,TRUE)&amp;VLOOKUP(W78,tablas!$R$3:$T$66,3,TRUE),tablas!$Q$3:$R$66,2,FALSE)&lt;W78,VLOOKUP(W78+0.1,tablas!$R$3:$T$66,2,TRUE),VLOOKUP(W78,tablas!$R$3:$T$66,2,TRUE))&amp;"@"&amp;IF(VLOOKUP(VLOOKUP(W78,tablas!$R$3:$T$66,2,TRUE)&amp;VLOOKUP(W78,tablas!$R$3:$T$66,3,TRUE),tablas!$Q$3:$R$66,2,FALSE)&lt;W78,VLOOKUP(W78+0.1,tablas!$R$3:$T$66,3,TRUE),VLOOKUP(W78,tablas!$R$3:$T$66,3,TRUE))&amp;"$",$C$13)</f>
        <v>$\phi8@16$</v>
      </c>
      <c r="X79" s="134" t="str">
        <f>IF(X78&gt;$C$12,"$\phi"&amp;IF(VLOOKUP(VLOOKUP(X78,tablas!$R$3:$T$66,2,TRUE)&amp;VLOOKUP(X78,tablas!$R$3:$T$66,3,TRUE),tablas!$Q$3:$R$66,2,FALSE)&lt;X78,VLOOKUP(X78+0.1,tablas!$R$3:$T$66,2,TRUE),VLOOKUP(X78,tablas!$R$3:$T$66,2,TRUE))&amp;"@"&amp;IF(VLOOKUP(VLOOKUP(X78,tablas!$R$3:$T$66,2,TRUE)&amp;VLOOKUP(X78,tablas!$R$3:$T$66,3,TRUE),tablas!$Q$3:$R$66,2,FALSE)&lt;X78,VLOOKUP(X78+0.1,tablas!$R$3:$T$66,3,TRUE),VLOOKUP(X78,tablas!$R$3:$T$66,3,TRUE))&amp;"$",$C$13)</f>
        <v>$\phi8@16$</v>
      </c>
      <c r="Y79" s="134" t="str">
        <f>IF(Y78&gt;$C$12,"$\phi"&amp;IF(VLOOKUP(VLOOKUP(Y78,tablas!$R$3:$T$66,2,TRUE)&amp;VLOOKUP(Y78,tablas!$R$3:$T$66,3,TRUE),tablas!$Q$3:$R$66,2,FALSE)&lt;Y78,VLOOKUP(Y78+0.1,tablas!$R$3:$T$66,2,TRUE),VLOOKUP(Y78,tablas!$R$3:$T$66,2,TRUE))&amp;"@"&amp;IF(VLOOKUP(VLOOKUP(Y78,tablas!$R$3:$T$66,2,TRUE)&amp;VLOOKUP(Y78,tablas!$R$3:$T$66,3,TRUE),tablas!$Q$3:$R$66,2,FALSE)&lt;Y78,VLOOKUP(Y78+0.1,tablas!$R$3:$T$66,3,TRUE),VLOOKUP(Y78,tablas!$R$3:$T$66,3,TRUE))&amp;"$",$C$13)</f>
        <v>$\phi8@16$</v>
      </c>
      <c r="Z79" s="134" t="str">
        <f>IF(Z78&gt;$C$12,"$\phi"&amp;IF(VLOOKUP(VLOOKUP(Z78,tablas!$R$3:$T$66,2,TRUE)&amp;VLOOKUP(Z78,tablas!$R$3:$T$66,3,TRUE),tablas!$Q$3:$R$66,2,FALSE)&lt;Z78,VLOOKUP(Z78+0.1,tablas!$R$3:$T$66,2,TRUE),VLOOKUP(Z78,tablas!$R$3:$T$66,2,TRUE))&amp;"@"&amp;IF(VLOOKUP(VLOOKUP(Z78,tablas!$R$3:$T$66,2,TRUE)&amp;VLOOKUP(Z78,tablas!$R$3:$T$66,3,TRUE),tablas!$Q$3:$R$66,2,FALSE)&lt;Z78,VLOOKUP(Z78+0.1,tablas!$R$3:$T$66,3,TRUE),VLOOKUP(Z78,tablas!$R$3:$T$66,3,TRUE))&amp;"$",$C$13)</f>
        <v>$\phi8@16$</v>
      </c>
      <c r="AA79" s="134" t="str">
        <f>IF(AA78&gt;$C$12,"$\phi"&amp;IF(VLOOKUP(VLOOKUP(AA78,tablas!$R$3:$T$66,2,TRUE)&amp;VLOOKUP(AA78,tablas!$R$3:$T$66,3,TRUE),tablas!$Q$3:$R$66,2,FALSE)&lt;AA78,VLOOKUP(AA78+0.1,tablas!$R$3:$T$66,2,TRUE),VLOOKUP(AA78,tablas!$R$3:$T$66,2,TRUE))&amp;"@"&amp;IF(VLOOKUP(VLOOKUP(AA78,tablas!$R$3:$T$66,2,TRUE)&amp;VLOOKUP(AA78,tablas!$R$3:$T$66,3,TRUE),tablas!$Q$3:$R$66,2,FALSE)&lt;AA78,VLOOKUP(AA78+0.1,tablas!$R$3:$T$66,3,TRUE),VLOOKUP(AA78,tablas!$R$3:$T$66,3,TRUE))&amp;"$",$C$13)</f>
        <v>$\phi8@16$</v>
      </c>
      <c r="AB79" s="134" t="str">
        <f>IF(AB78&gt;$C$12,"$\phi"&amp;IF(VLOOKUP(VLOOKUP(AB78,tablas!$R$3:$T$66,2,TRUE)&amp;VLOOKUP(AB78,tablas!$R$3:$T$66,3,TRUE),tablas!$Q$3:$R$66,2,FALSE)&lt;AB78,VLOOKUP(AB78+0.1,tablas!$R$3:$T$66,2,TRUE),VLOOKUP(AB78,tablas!$R$3:$T$66,2,TRUE))&amp;"@"&amp;IF(VLOOKUP(VLOOKUP(AB78,tablas!$R$3:$T$66,2,TRUE)&amp;VLOOKUP(AB78,tablas!$R$3:$T$66,3,TRUE),tablas!$Q$3:$R$66,2,FALSE)&lt;AB78,VLOOKUP(AB78+0.1,tablas!$R$3:$T$66,3,TRUE),VLOOKUP(AB78,tablas!$R$3:$T$66,3,TRUE))&amp;"$",$C$13)</f>
        <v>$\phi8@16$</v>
      </c>
      <c r="AC79" s="134" t="str">
        <f>IF(AC78&gt;$C$12,"$\phi"&amp;IF(VLOOKUP(VLOOKUP(AC78,tablas!$R$3:$T$66,2,TRUE)&amp;VLOOKUP(AC78,tablas!$R$3:$T$66,3,TRUE),tablas!$Q$3:$R$66,2,FALSE)&lt;AC78,VLOOKUP(AC78+0.1,tablas!$R$3:$T$66,2,TRUE),VLOOKUP(AC78,tablas!$R$3:$T$66,2,TRUE))&amp;"@"&amp;IF(VLOOKUP(VLOOKUP(AC78,tablas!$R$3:$T$66,2,TRUE)&amp;VLOOKUP(AC78,tablas!$R$3:$T$66,3,TRUE),tablas!$Q$3:$R$66,2,FALSE)&lt;AC78,VLOOKUP(AC78+0.1,tablas!$R$3:$T$66,3,TRUE),VLOOKUP(AC78,tablas!$R$3:$T$66,3,TRUE))&amp;"$",$C$13)</f>
        <v>$\phi8@16$</v>
      </c>
      <c r="AD79" s="134" t="str">
        <f>IF(AD78&gt;$C$12,"$\phi"&amp;IF(VLOOKUP(VLOOKUP(AD78,tablas!$R$3:$T$66,2,TRUE)&amp;VLOOKUP(AD78,tablas!$R$3:$T$66,3,TRUE),tablas!$Q$3:$R$66,2,FALSE)&lt;AD78,VLOOKUP(AD78+0.1,tablas!$R$3:$T$66,2,TRUE),VLOOKUP(AD78,tablas!$R$3:$T$66,2,TRUE))&amp;"@"&amp;IF(VLOOKUP(VLOOKUP(AD78,tablas!$R$3:$T$66,2,TRUE)&amp;VLOOKUP(AD78,tablas!$R$3:$T$66,3,TRUE),tablas!$Q$3:$R$66,2,FALSE)&lt;AD78,VLOOKUP(AD78+0.1,tablas!$R$3:$T$66,3,TRUE),VLOOKUP(AD78,tablas!$R$3:$T$66,3,TRUE))&amp;"$",$C$13)</f>
        <v>$\phi8@16$</v>
      </c>
      <c r="AE79" s="134" t="str">
        <f>IF(AE78&gt;$C$12,"$\phi"&amp;IF(VLOOKUP(VLOOKUP(AE78,tablas!$R$3:$T$66,2,TRUE)&amp;VLOOKUP(AE78,tablas!$R$3:$T$66,3,TRUE),tablas!$Q$3:$R$66,2,FALSE)&lt;AE78,VLOOKUP(AE78+0.1,tablas!$R$3:$T$66,2,TRUE),VLOOKUP(AE78,tablas!$R$3:$T$66,2,TRUE))&amp;"@"&amp;IF(VLOOKUP(VLOOKUP(AE78,tablas!$R$3:$T$66,2,TRUE)&amp;VLOOKUP(AE78,tablas!$R$3:$T$66,3,TRUE),tablas!$Q$3:$R$66,2,FALSE)&lt;AE78,VLOOKUP(AE78+0.1,tablas!$R$3:$T$66,3,TRUE),VLOOKUP(AE78,tablas!$R$3:$T$66,3,TRUE))&amp;"$",$C$13)</f>
        <v>$\phi8@16$</v>
      </c>
    </row>
    <row r="80" spans="2:39" x14ac:dyDescent="0.25">
      <c r="B80" s="96" t="s">
        <v>103</v>
      </c>
      <c r="C80" s="89">
        <f>IF(C53&lt;=2,C67/C58,IF(OR(C51=6,C51="5a",C51="3a"),C66*C48^2/12,(IF(OR(C51="2a",C51=4,C51="5b"),C66*C48^2/8,"-"))))</f>
        <v>2239.7340425531916</v>
      </c>
      <c r="D80" s="89">
        <f t="shared" ref="D80:AE80" si="104">IF(D53&lt;=2,D67/D58,IF(OR(D51=6,D51="5a",D51="3a"),D66*D48^2/12,(IF(OR(D51="2a",D51=4,D51="5b"),D66*D48^2/8,"-"))))</f>
        <v>2872.7272727272725</v>
      </c>
      <c r="E80" s="89">
        <f t="shared" si="104"/>
        <v>2872.7272727272725</v>
      </c>
      <c r="F80" s="89">
        <f t="shared" si="104"/>
        <v>3040.5365853658536</v>
      </c>
      <c r="G80" s="89">
        <f t="shared" si="104"/>
        <v>1890.0537634408602</v>
      </c>
      <c r="H80" s="89">
        <f t="shared" si="104"/>
        <v>1481.25</v>
      </c>
      <c r="I80" s="89">
        <f t="shared" si="104"/>
        <v>2481.6253191489359</v>
      </c>
      <c r="J80" s="89">
        <f t="shared" si="104"/>
        <v>3352.2893617021282</v>
      </c>
      <c r="K80" s="89">
        <f t="shared" si="104"/>
        <v>3352.2893617021282</v>
      </c>
      <c r="L80" s="89">
        <f t="shared" si="104"/>
        <v>4041.0606666666667</v>
      </c>
      <c r="M80" s="89">
        <f t="shared" si="104"/>
        <v>1537.1473170731708</v>
      </c>
      <c r="N80" s="89">
        <f t="shared" si="104"/>
        <v>3914.1434146341467</v>
      </c>
      <c r="O80" s="89">
        <f t="shared" si="104"/>
        <v>1966.8510638297873</v>
      </c>
      <c r="P80" s="89">
        <f t="shared" si="104"/>
        <v>2188.4680851063831</v>
      </c>
      <c r="Q80" s="89">
        <f t="shared" si="104"/>
        <v>4425.1175609756101</v>
      </c>
      <c r="R80" s="89">
        <f t="shared" si="104"/>
        <v>2607.3291666666669</v>
      </c>
      <c r="S80" s="89">
        <f t="shared" si="104"/>
        <v>1706.4000000000003</v>
      </c>
      <c r="T80" s="89">
        <f t="shared" si="104"/>
        <v>5624.1974634146345</v>
      </c>
      <c r="U80" s="89">
        <f t="shared" si="104"/>
        <v>231.93333333333331</v>
      </c>
      <c r="V80" s="89">
        <f t="shared" si="104"/>
        <v>684.50454545454545</v>
      </c>
      <c r="W80" s="89">
        <f t="shared" si="104"/>
        <v>995.18333333333339</v>
      </c>
      <c r="X80" s="89">
        <f t="shared" si="104"/>
        <v>2156.939393939394</v>
      </c>
      <c r="Y80" s="89">
        <f t="shared" si="104"/>
        <v>3947.3156989247309</v>
      </c>
      <c r="Z80" s="89">
        <f t="shared" si="104"/>
        <v>8939.8506666666672</v>
      </c>
      <c r="AA80" s="89">
        <f t="shared" si="104"/>
        <v>3175.4146341463415</v>
      </c>
      <c r="AB80" s="89">
        <f t="shared" si="104"/>
        <v>3629.5951515151514</v>
      </c>
      <c r="AC80" s="89">
        <f t="shared" si="104"/>
        <v>5742.5419191919182</v>
      </c>
      <c r="AD80" s="89">
        <f t="shared" si="104"/>
        <v>1706.4000000000003</v>
      </c>
      <c r="AE80" s="89">
        <f t="shared" si="104"/>
        <v>643.90545454545452</v>
      </c>
    </row>
    <row r="81" spans="2:32" x14ac:dyDescent="0.25">
      <c r="B81" s="97" t="s">
        <v>15</v>
      </c>
      <c r="C81" s="90">
        <f>C80/(0.9*(0.9*($C$7/100))*($L$9*1000))</f>
        <v>4.3070151966331895</v>
      </c>
      <c r="D81" s="91">
        <f>D80/(0.9*(0.9*($C$7/100))*($L$9*1000))</f>
        <v>5.524263052819645</v>
      </c>
      <c r="E81" s="91">
        <f t="shared" ref="E81:R81" si="105">E80/(0.9*(0.9*($C$7/100))*($L$9*1000))</f>
        <v>5.524263052819645</v>
      </c>
      <c r="F81" s="91">
        <f t="shared" si="105"/>
        <v>5.8469608579782566</v>
      </c>
      <c r="G81" s="91">
        <f t="shared" si="105"/>
        <v>3.6345789843484093</v>
      </c>
      <c r="H81" s="91">
        <f t="shared" si="105"/>
        <v>2.8484481366101297</v>
      </c>
      <c r="I81" s="91">
        <f t="shared" si="105"/>
        <v>4.7721728378695731</v>
      </c>
      <c r="J81" s="91">
        <f t="shared" si="105"/>
        <v>6.446462370105241</v>
      </c>
      <c r="K81" s="91">
        <f t="shared" si="105"/>
        <v>6.446462370105241</v>
      </c>
      <c r="L81" s="91">
        <f t="shared" si="105"/>
        <v>7.7709716292963078</v>
      </c>
      <c r="M81" s="91">
        <f t="shared" si="105"/>
        <v>2.9559388428775248</v>
      </c>
      <c r="N81" s="91">
        <f t="shared" si="105"/>
        <v>7.5269093777819043</v>
      </c>
      <c r="O81" s="91">
        <f t="shared" si="105"/>
        <v>3.782260420425728</v>
      </c>
      <c r="P81" s="91">
        <f t="shared" si="105"/>
        <v>4.2084306086427112</v>
      </c>
      <c r="Q81" s="91">
        <f t="shared" si="105"/>
        <v>8.5095141744079257</v>
      </c>
      <c r="R81" s="91">
        <f t="shared" si="105"/>
        <v>5.0139017089086311</v>
      </c>
      <c r="S81" s="91">
        <f t="shared" ref="S81" si="106">S80/(0.9*(0.9*($C$7/100))*($L$9*1000))</f>
        <v>3.2814122533748704</v>
      </c>
      <c r="T81" s="91">
        <f t="shared" ref="T81" si="107">T80/(0.9*(0.9*($C$7/100))*($L$9*1000))</f>
        <v>10.815348377782842</v>
      </c>
      <c r="U81" s="91">
        <f t="shared" ref="U81" si="108">U80/(0.9*(0.9*($C$7/100))*($L$9*1000))</f>
        <v>0.4460084868530696</v>
      </c>
      <c r="V81" s="91">
        <f t="shared" ref="V81" si="109">V80/(0.9*(0.9*($C$7/100))*($L$9*1000))</f>
        <v>1.3163042680176633</v>
      </c>
      <c r="W81" s="91">
        <f t="shared" ref="W81" si="110">W80/(0.9*(0.9*($C$7/100))*($L$9*1000))</f>
        <v>1.9137404971603653</v>
      </c>
      <c r="X81" s="91">
        <f t="shared" ref="X81" si="111">X80/(0.9*(0.9*($C$7/100))*($L$9*1000))</f>
        <v>4.1478008421587509</v>
      </c>
      <c r="Y81" s="91">
        <f t="shared" ref="Y81" si="112">Y80/(0.9*(0.9*($C$7/100))*($L$9*1000))</f>
        <v>7.5906997787099151</v>
      </c>
      <c r="Z81" s="91">
        <f t="shared" ref="Z81" si="113">Z80/(0.9*(0.9*($C$7/100))*($L$9*1000))</f>
        <v>17.191359306693329</v>
      </c>
      <c r="AA81" s="91">
        <f t="shared" ref="AA81" si="114">AA80/(0.9*(0.9*($C$7/100))*($L$9*1000))</f>
        <v>6.1063317452143009</v>
      </c>
      <c r="AB81" s="91">
        <f t="shared" ref="AB81" si="115">AB80/(0.9*(0.9*($C$7/100))*($L$9*1000))</f>
        <v>6.9797222251358617</v>
      </c>
      <c r="AC81" s="91">
        <f t="shared" ref="AC81" si="116">AC80/(0.9*(0.9*($C$7/100))*($L$9*1000))</f>
        <v>11.042925116710736</v>
      </c>
      <c r="AD81" s="91">
        <f t="shared" ref="AD81" si="117">AD80/(0.9*(0.9*($C$7/100))*($L$9*1000))</f>
        <v>3.2814122533748704</v>
      </c>
      <c r="AE81" s="91">
        <f t="shared" ref="AE81" si="118">AE80/(0.9*(0.9*($C$7/100))*($L$9*1000))</f>
        <v>1.2382320959683366</v>
      </c>
    </row>
    <row r="82" spans="2:32" x14ac:dyDescent="0.25">
      <c r="B82" s="97" t="s">
        <v>98</v>
      </c>
      <c r="C82" s="92">
        <f>(C81*($L$9))/(0.85*$L$6*100)</f>
        <v>6.0748146454407813E-2</v>
      </c>
      <c r="D82" s="93">
        <f>(D81*($L$9))/(0.85*$L$6*100)</f>
        <v>7.791677662240265E-2</v>
      </c>
      <c r="E82" s="93">
        <f t="shared" ref="E82:R82" si="119">(E81*($L$9))/(0.85*$L$6*100)</f>
        <v>7.791677662240265E-2</v>
      </c>
      <c r="F82" s="93">
        <f t="shared" si="119"/>
        <v>8.2468256622662522E-2</v>
      </c>
      <c r="G82" s="93">
        <f t="shared" si="119"/>
        <v>5.1263793221325404E-2</v>
      </c>
      <c r="H82" s="93">
        <f t="shared" si="119"/>
        <v>4.0175837945926371E-2</v>
      </c>
      <c r="I82" s="93">
        <f t="shared" si="119"/>
        <v>6.7308946271483858E-2</v>
      </c>
      <c r="J82" s="93">
        <f t="shared" si="119"/>
        <v>9.0923904907070141E-2</v>
      </c>
      <c r="K82" s="93">
        <f t="shared" si="119"/>
        <v>9.0923904907070141E-2</v>
      </c>
      <c r="L82" s="93">
        <f t="shared" si="119"/>
        <v>0.10960539981343945</v>
      </c>
      <c r="M82" s="93">
        <f t="shared" si="119"/>
        <v>4.1691936884217524E-2</v>
      </c>
      <c r="N82" s="93">
        <f t="shared" si="119"/>
        <v>0.10616303225212244</v>
      </c>
      <c r="O82" s="93">
        <f t="shared" si="119"/>
        <v>5.3346760914226778E-2</v>
      </c>
      <c r="P82" s="93">
        <f t="shared" si="119"/>
        <v>5.9357663552449522E-2</v>
      </c>
      <c r="Q82" s="93">
        <f t="shared" si="119"/>
        <v>0.12002214752501542</v>
      </c>
      <c r="R82" s="93">
        <f t="shared" si="119"/>
        <v>7.0718402748818396E-2</v>
      </c>
      <c r="S82" s="93">
        <f t="shared" ref="S82" si="120">(S81*($L$9))/(0.85*$L$6*100)</f>
        <v>4.628256531370719E-2</v>
      </c>
      <c r="T82" s="93">
        <f t="shared" ref="T82" si="121">(T81*($L$9))/(0.85*$L$6*100)</f>
        <v>0.15254470606989806</v>
      </c>
      <c r="U82" s="93">
        <f t="shared" ref="U82" si="122">(U81*($L$9))/(0.85*$L$6*100)</f>
        <v>6.2907112332546977E-3</v>
      </c>
      <c r="V82" s="93">
        <f t="shared" ref="V82" si="123">(V81*($L$9))/(0.85*$L$6*100)</f>
        <v>1.8565767892949742E-2</v>
      </c>
      <c r="W82" s="93">
        <f t="shared" ref="W82" si="124">(W81*($L$9))/(0.85*$L$6*100)</f>
        <v>2.6992286465138782E-2</v>
      </c>
      <c r="X82" s="93">
        <f t="shared" ref="X82" si="125">(X81*($L$9))/(0.85*$L$6*100)</f>
        <v>5.8502513113987333E-2</v>
      </c>
      <c r="Y82" s="93">
        <f t="shared" ref="Y82" si="126">(Y81*($L$9))/(0.85*$L$6*100)</f>
        <v>0.10706276174947582</v>
      </c>
      <c r="Z82" s="93">
        <f t="shared" ref="Z82" si="127">(Z81*($L$9))/(0.85*$L$6*100)</f>
        <v>0.24247493106820714</v>
      </c>
      <c r="AA82" s="93">
        <f t="shared" ref="AA82" si="128">(AA81*($L$9))/(0.85*$L$6*100)</f>
        <v>8.6126544305543618E-2</v>
      </c>
      <c r="AB82" s="93">
        <f t="shared" ref="AB82" si="129">(AB81*($L$9))/(0.85*$L$6*100)</f>
        <v>9.8445250036518342E-2</v>
      </c>
      <c r="AC82" s="93">
        <f t="shared" ref="AC82" si="130">(AC81*($L$9))/(0.85*$L$6*100)</f>
        <v>0.15575455429072979</v>
      </c>
      <c r="AD82" s="93">
        <f t="shared" ref="AD82" si="131">(AD81*($L$9))/(0.85*$L$6*100)</f>
        <v>4.628256531370719E-2</v>
      </c>
      <c r="AE82" s="93">
        <f t="shared" ref="AE82" si="132">(AE81*($L$9))/(0.85*$L$6*100)</f>
        <v>1.7464601650171302E-2</v>
      </c>
    </row>
    <row r="83" spans="2:32" ht="15.75" thickBot="1" x14ac:dyDescent="0.3">
      <c r="B83" s="97" t="s">
        <v>15</v>
      </c>
      <c r="C83" s="76">
        <f>ROUNDUP(C80/(0.9*(($C$7-C82/2)/100)*($L$9*1000)),2)</f>
        <v>3.8899999999999997</v>
      </c>
      <c r="D83" s="77">
        <f>ROUNDUP(D80/(0.9*(($C$7-D82/2)/100)*($L$9*1000)),2)</f>
        <v>4.99</v>
      </c>
      <c r="E83" s="77">
        <f t="shared" ref="E83:R83" si="133">ROUNDUP(E80/(0.9*(($C$7-E82/2)/100)*($L$9*1000)),2)</f>
        <v>4.99</v>
      </c>
      <c r="F83" s="77">
        <f t="shared" si="133"/>
        <v>5.2799999999999994</v>
      </c>
      <c r="G83" s="77">
        <f t="shared" si="133"/>
        <v>3.28</v>
      </c>
      <c r="H83" s="77">
        <f t="shared" si="133"/>
        <v>2.57</v>
      </c>
      <c r="I83" s="77">
        <f t="shared" si="133"/>
        <v>4.3099999999999996</v>
      </c>
      <c r="J83" s="77">
        <f t="shared" si="133"/>
        <v>5.8199999999999994</v>
      </c>
      <c r="K83" s="77">
        <f t="shared" si="133"/>
        <v>5.8199999999999994</v>
      </c>
      <c r="L83" s="77">
        <f t="shared" si="133"/>
        <v>7.02</v>
      </c>
      <c r="M83" s="77">
        <f t="shared" si="133"/>
        <v>2.67</v>
      </c>
      <c r="N83" s="77">
        <f t="shared" si="133"/>
        <v>6.8</v>
      </c>
      <c r="O83" s="77">
        <f t="shared" si="133"/>
        <v>3.42</v>
      </c>
      <c r="P83" s="77">
        <f t="shared" si="133"/>
        <v>3.8</v>
      </c>
      <c r="Q83" s="77">
        <f t="shared" si="133"/>
        <v>7.6899999999999995</v>
      </c>
      <c r="R83" s="77">
        <f t="shared" si="133"/>
        <v>4.5299999999999994</v>
      </c>
      <c r="S83" s="77">
        <f t="shared" ref="S83" si="134">ROUNDUP(S80/(0.9*(($C$7-S82/2)/100)*($L$9*1000)),2)</f>
        <v>2.96</v>
      </c>
      <c r="T83" s="77">
        <f t="shared" ref="T83" si="135">ROUNDUP(T80/(0.9*(($C$7-T82/2)/100)*($L$9*1000)),2)</f>
        <v>9.7899999999999991</v>
      </c>
      <c r="U83" s="77">
        <f t="shared" ref="U83" si="136">ROUNDUP(U80/(0.9*(($C$7-U82/2)/100)*($L$9*1000)),2)</f>
        <v>0.41000000000000003</v>
      </c>
      <c r="V83" s="77">
        <f t="shared" ref="V83" si="137">ROUNDUP(V80/(0.9*(($C$7-V82/2)/100)*($L$9*1000)),2)</f>
        <v>1.19</v>
      </c>
      <c r="W83" s="77">
        <f t="shared" ref="W83" si="138">ROUNDUP(W80/(0.9*(($C$7-W82/2)/100)*($L$9*1000)),2)</f>
        <v>1.73</v>
      </c>
      <c r="X83" s="77">
        <f t="shared" ref="X83" si="139">ROUNDUP(X80/(0.9*(($C$7-X82/2)/100)*($L$9*1000)),2)</f>
        <v>3.75</v>
      </c>
      <c r="Y83" s="77">
        <f t="shared" ref="Y83" si="140">ROUNDUP(Y80/(0.9*(($C$7-Y82/2)/100)*($L$9*1000)),2)</f>
        <v>6.8599999999999994</v>
      </c>
      <c r="Z83" s="77">
        <f t="shared" ref="Z83" si="141">ROUNDUP(Z80/(0.9*(($C$7-Z82/2)/100)*($L$9*1000)),2)</f>
        <v>15.6</v>
      </c>
      <c r="AA83" s="77">
        <f t="shared" ref="AA83" si="142">ROUNDUP(AA80/(0.9*(($C$7-AA82/2)/100)*($L$9*1000)),2)</f>
        <v>5.52</v>
      </c>
      <c r="AB83" s="77">
        <f t="shared" ref="AB83" si="143">ROUNDUP(AB80/(0.9*(($C$7-AB82/2)/100)*($L$9*1000)),2)</f>
        <v>6.31</v>
      </c>
      <c r="AC83" s="77">
        <f t="shared" ref="AC83" si="144">ROUNDUP(AC80/(0.9*(($C$7-AC82/2)/100)*($L$9*1000)),2)</f>
        <v>10</v>
      </c>
      <c r="AD83" s="77">
        <f t="shared" ref="AD83" si="145">ROUNDUP(AD80/(0.9*(($C$7-AD82/2)/100)*($L$9*1000)),2)</f>
        <v>2.96</v>
      </c>
      <c r="AE83" s="77">
        <f t="shared" ref="AE83" si="146">ROUNDUP(AE80/(0.9*(($C$7-AE82/2)/100)*($L$9*1000)),2)</f>
        <v>1.1200000000000001</v>
      </c>
    </row>
    <row r="84" spans="2:32" ht="16.5" thickBot="1" x14ac:dyDescent="0.3">
      <c r="B84" s="61" t="s">
        <v>105</v>
      </c>
      <c r="C84" s="134" t="str">
        <f>IF(C83&gt;$C$12,"$\phi"&amp;IF(VLOOKUP(VLOOKUP(C83,tablas!$R$3:$T$66,2,TRUE)&amp;VLOOKUP(C83,tablas!$R$3:$T$66,3,TRUE),tablas!$Q$3:$R$66,2,FALSE)&lt;C83,VLOOKUP(C83+0.1,tablas!$R$3:$T$66,2,TRUE),VLOOKUP(C83,tablas!$R$3:$T$66,2,TRUE))&amp;"@"&amp;IF(VLOOKUP(VLOOKUP(C83,tablas!$R$3:$T$66,2,TRUE)&amp;VLOOKUP(C83,tablas!$R$3:$T$66,3,TRUE),tablas!$Q$3:$R$66,2,FALSE)&lt;C83,VLOOKUP(C83+0.1,tablas!$R$3:$T$66,3,TRUE),VLOOKUP(C83,tablas!$R$3:$T$66,3,TRUE))&amp;"$",$C$13)</f>
        <v>$\phi10@20$</v>
      </c>
      <c r="D84" s="134" t="str">
        <f>IF(D83&gt;$C$12,"$\phi"&amp;IF(VLOOKUP(VLOOKUP(D83,tablas!$R$3:$T$66,2,TRUE)&amp;VLOOKUP(D83,tablas!$R$3:$T$66,3,TRUE),tablas!$Q$3:$R$66,2,FALSE)&lt;D83,VLOOKUP(D83+0.1,tablas!$R$3:$T$66,2,TRUE),VLOOKUP(D83,tablas!$R$3:$T$66,2,TRUE))&amp;"@"&amp;IF(VLOOKUP(VLOOKUP(D83,tablas!$R$3:$T$66,2,TRUE)&amp;VLOOKUP(D83,tablas!$R$3:$T$66,3,TRUE),tablas!$Q$3:$R$66,2,FALSE)&lt;D83,VLOOKUP(D83+0.1,tablas!$R$3:$T$66,3,TRUE),VLOOKUP(D83,tablas!$R$3:$T$66,3,TRUE))&amp;"$",$C$13)</f>
        <v>$\phi8@10$</v>
      </c>
      <c r="E84" s="134" t="str">
        <f>IF(E83&gt;$C$12,"$\phi"&amp;IF(VLOOKUP(VLOOKUP(E83,tablas!$R$3:$T$66,2,TRUE)&amp;VLOOKUP(E83,tablas!$R$3:$T$66,3,TRUE),tablas!$Q$3:$R$66,2,FALSE)&lt;E83,VLOOKUP(E83+0.1,tablas!$R$3:$T$66,2,TRUE),VLOOKUP(E83,tablas!$R$3:$T$66,2,TRUE))&amp;"@"&amp;IF(VLOOKUP(VLOOKUP(E83,tablas!$R$3:$T$66,2,TRUE)&amp;VLOOKUP(E83,tablas!$R$3:$T$66,3,TRUE),tablas!$Q$3:$R$66,2,FALSE)&lt;E83,VLOOKUP(E83+0.1,tablas!$R$3:$T$66,3,TRUE),VLOOKUP(E83,tablas!$R$3:$T$66,3,TRUE))&amp;"$",$C$13)</f>
        <v>$\phi8@10$</v>
      </c>
      <c r="F84" s="134" t="str">
        <f>IF(F83&gt;$C$12,"$\phi"&amp;IF(VLOOKUP(VLOOKUP(F83,tablas!$R$3:$T$66,2,TRUE)&amp;VLOOKUP(F83,tablas!$R$3:$T$66,3,TRUE),tablas!$Q$3:$R$66,2,FALSE)&lt;F83,VLOOKUP(F83+0.1,tablas!$R$3:$T$66,2,TRUE),VLOOKUP(F83,tablas!$R$3:$T$66,2,TRUE))&amp;"@"&amp;IF(VLOOKUP(VLOOKUP(F83,tablas!$R$3:$T$66,2,TRUE)&amp;VLOOKUP(F83,tablas!$R$3:$T$66,3,TRUE),tablas!$Q$3:$R$66,2,FALSE)&lt;F83,VLOOKUP(F83+0.1,tablas!$R$3:$T$66,3,TRUE),VLOOKUP(F83,tablas!$R$3:$T$66,3,TRUE))&amp;"$",$C$13)</f>
        <v>$\phi10@15$</v>
      </c>
      <c r="G84" s="134" t="str">
        <f>IF(G83&gt;$C$12,"$\phi"&amp;IF(VLOOKUP(VLOOKUP(G83,tablas!$R$3:$T$66,2,TRUE)&amp;VLOOKUP(G83,tablas!$R$3:$T$66,3,TRUE),tablas!$Q$3:$R$66,2,FALSE)&lt;G83,VLOOKUP(G83+0.1,tablas!$R$3:$T$66,2,TRUE),VLOOKUP(G83,tablas!$R$3:$T$66,2,TRUE))&amp;"@"&amp;IF(VLOOKUP(VLOOKUP(G83,tablas!$R$3:$T$66,2,TRUE)&amp;VLOOKUP(G83,tablas!$R$3:$T$66,3,TRUE),tablas!$Q$3:$R$66,2,FALSE)&lt;G83,VLOOKUP(G83+0.1,tablas!$R$3:$T$66,3,TRUE),VLOOKUP(G83,tablas!$R$3:$T$66,3,TRUE))&amp;"$",$C$13)</f>
        <v>$\phi8@15$</v>
      </c>
      <c r="H84" s="134" t="str">
        <f>IF(H83&gt;$C$12,"$\phi"&amp;IF(VLOOKUP(VLOOKUP(H83,tablas!$R$3:$T$66,2,TRUE)&amp;VLOOKUP(H83,tablas!$R$3:$T$66,3,TRUE),tablas!$Q$3:$R$66,2,FALSE)&lt;H83,VLOOKUP(H83+0.1,tablas!$R$3:$T$66,2,TRUE),VLOOKUP(H83,tablas!$R$3:$T$66,2,TRUE))&amp;"@"&amp;IF(VLOOKUP(VLOOKUP(H83,tablas!$R$3:$T$66,2,TRUE)&amp;VLOOKUP(H83,tablas!$R$3:$T$66,3,TRUE),tablas!$Q$3:$R$66,2,FALSE)&lt;H83,VLOOKUP(H83+0.1,tablas!$R$3:$T$66,3,TRUE),VLOOKUP(H83,tablas!$R$3:$T$66,3,TRUE))&amp;"$",$C$13)</f>
        <v>$\phi8@16$</v>
      </c>
      <c r="I84" s="134" t="str">
        <f>IF(I83&gt;$C$12,"$\phi"&amp;IF(VLOOKUP(VLOOKUP(I83,tablas!$R$3:$T$66,2,TRUE)&amp;VLOOKUP(I83,tablas!$R$3:$T$66,3,TRUE),tablas!$Q$3:$R$66,2,FALSE)&lt;I83,VLOOKUP(I83+0.1,tablas!$R$3:$T$66,2,TRUE),VLOOKUP(I83,tablas!$R$3:$T$66,2,TRUE))&amp;"@"&amp;IF(VLOOKUP(VLOOKUP(I83,tablas!$R$3:$T$66,2,TRUE)&amp;VLOOKUP(I83,tablas!$R$3:$T$66,3,TRUE),tablas!$Q$3:$R$66,2,FALSE)&lt;I83,VLOOKUP(I83+0.1,tablas!$R$3:$T$66,3,TRUE),VLOOKUP(I83,tablas!$R$3:$T$66,3,TRUE))&amp;"$",$C$13)</f>
        <v>$\phi10@18$</v>
      </c>
      <c r="J84" s="134" t="str">
        <f>IF(J83&gt;$C$12,"$\phi"&amp;IF(VLOOKUP(VLOOKUP(J83,tablas!$R$3:$T$66,2,TRUE)&amp;VLOOKUP(J83,tablas!$R$3:$T$66,3,TRUE),tablas!$Q$3:$R$66,2,FALSE)&lt;J83,VLOOKUP(J83+0.1,tablas!$R$3:$T$66,2,TRUE),VLOOKUP(J83,tablas!$R$3:$T$66,2,TRUE))&amp;"@"&amp;IF(VLOOKUP(VLOOKUP(J83,tablas!$R$3:$T$66,2,TRUE)&amp;VLOOKUP(J83,tablas!$R$3:$T$66,3,TRUE),tablas!$Q$3:$R$66,2,FALSE)&lt;J83,VLOOKUP(J83+0.1,tablas!$R$3:$T$66,3,TRUE),VLOOKUP(J83,tablas!$R$3:$T$66,3,TRUE))&amp;"$",$C$13)</f>
        <v>$\phi12@20$</v>
      </c>
      <c r="K84" s="134" t="str">
        <f>IF(K83&gt;$C$12,"$\phi"&amp;IF(VLOOKUP(VLOOKUP(K83,tablas!$R$3:$T$66,2,TRUE)&amp;VLOOKUP(K83,tablas!$R$3:$T$66,3,TRUE),tablas!$Q$3:$R$66,2,FALSE)&lt;K83,VLOOKUP(K83+0.1,tablas!$R$3:$T$66,2,TRUE),VLOOKUP(K83,tablas!$R$3:$T$66,2,TRUE))&amp;"@"&amp;IF(VLOOKUP(VLOOKUP(K83,tablas!$R$3:$T$66,2,TRUE)&amp;VLOOKUP(K83,tablas!$R$3:$T$66,3,TRUE),tablas!$Q$3:$R$66,2,FALSE)&lt;K83,VLOOKUP(K83+0.1,tablas!$R$3:$T$66,3,TRUE),VLOOKUP(K83,tablas!$R$3:$T$66,3,TRUE))&amp;"$",$C$13)</f>
        <v>$\phi12@20$</v>
      </c>
      <c r="L84" s="134" t="str">
        <f>IF(L83&gt;$C$12,"$\phi"&amp;IF(VLOOKUP(VLOOKUP(L83,tablas!$R$3:$T$66,2,TRUE)&amp;VLOOKUP(L83,tablas!$R$3:$T$66,3,TRUE),tablas!$Q$3:$R$66,2,FALSE)&lt;L83,VLOOKUP(L83+0.1,tablas!$R$3:$T$66,2,TRUE),VLOOKUP(L83,tablas!$R$3:$T$66,2,TRUE))&amp;"@"&amp;IF(VLOOKUP(VLOOKUP(L83,tablas!$R$3:$T$66,2,TRUE)&amp;VLOOKUP(L83,tablas!$R$3:$T$66,3,TRUE),tablas!$Q$3:$R$66,2,FALSE)&lt;L83,VLOOKUP(L83+0.1,tablas!$R$3:$T$66,3,TRUE),VLOOKUP(L83,tablas!$R$3:$T$66,3,TRUE))&amp;"$",$C$13)</f>
        <v>$\phi12@16$</v>
      </c>
      <c r="M84" s="134" t="str">
        <f>IF(M83&gt;$C$12,"$\phi"&amp;IF(VLOOKUP(VLOOKUP(M83,tablas!$R$3:$T$66,2,TRUE)&amp;VLOOKUP(M83,tablas!$R$3:$T$66,3,TRUE),tablas!$Q$3:$R$66,2,FALSE)&lt;M83,VLOOKUP(M83+0.1,tablas!$R$3:$T$66,2,TRUE),VLOOKUP(M83,tablas!$R$3:$T$66,2,TRUE))&amp;"@"&amp;IF(VLOOKUP(VLOOKUP(M83,tablas!$R$3:$T$66,2,TRUE)&amp;VLOOKUP(M83,tablas!$R$3:$T$66,3,TRUE),tablas!$Q$3:$R$66,2,FALSE)&lt;M83,VLOOKUP(M83+0.1,tablas!$R$3:$T$66,3,TRUE),VLOOKUP(M83,tablas!$R$3:$T$66,3,TRUE))&amp;"$",$C$13)</f>
        <v>$\phi8@16$</v>
      </c>
      <c r="N84" s="134" t="str">
        <f>IF(N83&gt;$C$12,"$\phi"&amp;IF(VLOOKUP(VLOOKUP(N83,tablas!$R$3:$T$66,2,TRUE)&amp;VLOOKUP(N83,tablas!$R$3:$T$66,3,TRUE),tablas!$Q$3:$R$66,2,FALSE)&lt;N83,VLOOKUP(N83+0.1,tablas!$R$3:$T$66,2,TRUE),VLOOKUP(N83,tablas!$R$3:$T$66,2,TRUE))&amp;"@"&amp;IF(VLOOKUP(VLOOKUP(N83,tablas!$R$3:$T$66,2,TRUE)&amp;VLOOKUP(N83,tablas!$R$3:$T$66,3,TRUE),tablas!$Q$3:$R$66,2,FALSE)&lt;N83,VLOOKUP(N83+0.1,tablas!$R$3:$T$66,3,TRUE),VLOOKUP(N83,tablas!$R$3:$T$66,3,TRUE))&amp;"$",$C$13)</f>
        <v>$\phi12@17$</v>
      </c>
      <c r="O84" s="134" t="str">
        <f>IF(O83&gt;$C$12,"$\phi"&amp;IF(VLOOKUP(VLOOKUP(O83,tablas!$R$3:$T$66,2,TRUE)&amp;VLOOKUP(O83,tablas!$R$3:$T$66,3,TRUE),tablas!$Q$3:$R$66,2,FALSE)&lt;O83,VLOOKUP(O83+0.1,tablas!$R$3:$T$66,2,TRUE),VLOOKUP(O83,tablas!$R$3:$T$66,2,TRUE))&amp;"@"&amp;IF(VLOOKUP(VLOOKUP(O83,tablas!$R$3:$T$66,2,TRUE)&amp;VLOOKUP(O83,tablas!$R$3:$T$66,3,TRUE),tablas!$Q$3:$R$66,2,FALSE)&lt;O83,VLOOKUP(O83+0.1,tablas!$R$3:$T$66,3,TRUE),VLOOKUP(O83,tablas!$R$3:$T$66,3,TRUE))&amp;"$",$C$13)</f>
        <v>$\phi10@23$</v>
      </c>
      <c r="P84" s="134" t="str">
        <f>IF(P83&gt;$C$12,"$\phi"&amp;IF(VLOOKUP(VLOOKUP(P83,tablas!$R$3:$T$66,2,TRUE)&amp;VLOOKUP(P83,tablas!$R$3:$T$66,3,TRUE),tablas!$Q$3:$R$66,2,FALSE)&lt;P83,VLOOKUP(P83+0.1,tablas!$R$3:$T$66,2,TRUE),VLOOKUP(P83,tablas!$R$3:$T$66,2,TRUE))&amp;"@"&amp;IF(VLOOKUP(VLOOKUP(P83,tablas!$R$3:$T$66,2,TRUE)&amp;VLOOKUP(P83,tablas!$R$3:$T$66,3,TRUE),tablas!$Q$3:$R$66,2,FALSE)&lt;P83,VLOOKUP(P83+0.1,tablas!$R$3:$T$66,3,TRUE),VLOOKUP(P83,tablas!$R$3:$T$66,3,TRUE))&amp;"$",$C$13)</f>
        <v>$\phi8@13$</v>
      </c>
      <c r="Q84" s="134" t="str">
        <f>IF(Q83&gt;$C$12,"$\phi"&amp;IF(VLOOKUP(VLOOKUP(Q83,tablas!$R$3:$T$66,2,TRUE)&amp;VLOOKUP(Q83,tablas!$R$3:$T$66,3,TRUE),tablas!$Q$3:$R$66,2,FALSE)&lt;Q83,VLOOKUP(Q83+0.1,tablas!$R$3:$T$66,2,TRUE),VLOOKUP(Q83,tablas!$R$3:$T$66,2,TRUE))&amp;"@"&amp;IF(VLOOKUP(VLOOKUP(Q83,tablas!$R$3:$T$66,2,TRUE)&amp;VLOOKUP(Q83,tablas!$R$3:$T$66,3,TRUE),tablas!$Q$3:$R$66,2,FALSE)&lt;Q83,VLOOKUP(Q83+0.1,tablas!$R$3:$T$66,3,TRUE),VLOOKUP(Q83,tablas!$R$3:$T$66,3,TRUE))&amp;"$",$C$13)</f>
        <v>$\phi12@15$</v>
      </c>
      <c r="R84" s="134" t="str">
        <f>IF(R83&gt;$C$12,"$\phi"&amp;IF(VLOOKUP(VLOOKUP(R83,tablas!$R$3:$T$66,2,TRUE)&amp;VLOOKUP(R83,tablas!$R$3:$T$66,3,TRUE),tablas!$Q$3:$R$66,2,FALSE)&lt;R83,VLOOKUP(R83+0.1,tablas!$R$3:$T$66,2,TRUE),VLOOKUP(R83,tablas!$R$3:$T$66,2,TRUE))&amp;"@"&amp;IF(VLOOKUP(VLOOKUP(R83,tablas!$R$3:$T$66,2,TRUE)&amp;VLOOKUP(R83,tablas!$R$3:$T$66,3,TRUE),tablas!$Q$3:$R$66,2,FALSE)&lt;R83,VLOOKUP(R83+0.1,tablas!$R$3:$T$66,3,TRUE),VLOOKUP(R83,tablas!$R$3:$T$66,3,TRUE))&amp;"$",$C$13)</f>
        <v>$\phi10@17$</v>
      </c>
      <c r="S84" s="134" t="str">
        <f>IF(S83&gt;$C$12,"$\phi"&amp;IF(VLOOKUP(VLOOKUP(S83,tablas!$R$3:$T$66,2,TRUE)&amp;VLOOKUP(S83,tablas!$R$3:$T$66,3,TRUE),tablas!$Q$3:$R$66,2,FALSE)&lt;S83,VLOOKUP(S83+0.1,tablas!$R$3:$T$66,2,TRUE),VLOOKUP(S83,tablas!$R$3:$T$66,2,TRUE))&amp;"@"&amp;IF(VLOOKUP(VLOOKUP(S83,tablas!$R$3:$T$66,2,TRUE)&amp;VLOOKUP(S83,tablas!$R$3:$T$66,3,TRUE),tablas!$Q$3:$R$66,2,FALSE)&lt;S83,VLOOKUP(S83+0.1,tablas!$R$3:$T$66,3,TRUE),VLOOKUP(S83,tablas!$R$3:$T$66,3,TRUE))&amp;"$",$C$13)</f>
        <v>$\phi8@16$</v>
      </c>
      <c r="T84" s="134" t="str">
        <f>IF(T83&gt;$C$12,"$\phi"&amp;IF(VLOOKUP(VLOOKUP(T83,tablas!$R$3:$T$66,2,TRUE)&amp;VLOOKUP(T83,tablas!$R$3:$T$66,3,TRUE),tablas!$Q$3:$R$66,2,FALSE)&lt;T83,VLOOKUP(T83+0.1,tablas!$R$3:$T$66,2,TRUE),VLOOKUP(T83,tablas!$R$3:$T$66,2,TRUE))&amp;"@"&amp;IF(VLOOKUP(VLOOKUP(T83,tablas!$R$3:$T$66,2,TRUE)&amp;VLOOKUP(T83,tablas!$R$3:$T$66,3,TRUE),tablas!$Q$3:$R$66,2,FALSE)&lt;T83,VLOOKUP(T83+0.1,tablas!$R$3:$T$66,3,TRUE),VLOOKUP(T83,tablas!$R$3:$T$66,3,TRUE))&amp;"$",$C$13)</f>
        <v>$\phi16@21$</v>
      </c>
      <c r="U84" s="134" t="str">
        <f>IF(U83&gt;$C$12,"$\phi"&amp;IF(VLOOKUP(VLOOKUP(U83,tablas!$R$3:$T$66,2,TRUE)&amp;VLOOKUP(U83,tablas!$R$3:$T$66,3,TRUE),tablas!$Q$3:$R$66,2,FALSE)&lt;U83,VLOOKUP(U83+0.1,tablas!$R$3:$T$66,2,TRUE),VLOOKUP(U83,tablas!$R$3:$T$66,2,TRUE))&amp;"@"&amp;IF(VLOOKUP(VLOOKUP(U83,tablas!$R$3:$T$66,2,TRUE)&amp;VLOOKUP(U83,tablas!$R$3:$T$66,3,TRUE),tablas!$Q$3:$R$66,2,FALSE)&lt;U83,VLOOKUP(U83+0.1,tablas!$R$3:$T$66,3,TRUE),VLOOKUP(U83,tablas!$R$3:$T$66,3,TRUE))&amp;"$",$C$13)</f>
        <v>$\phi8@16$</v>
      </c>
      <c r="V84" s="134" t="str">
        <f>IF(V83&gt;$C$12,"$\phi"&amp;IF(VLOOKUP(VLOOKUP(V83,tablas!$R$3:$T$66,2,TRUE)&amp;VLOOKUP(V83,tablas!$R$3:$T$66,3,TRUE),tablas!$Q$3:$R$66,2,FALSE)&lt;V83,VLOOKUP(V83+0.1,tablas!$R$3:$T$66,2,TRUE),VLOOKUP(V83,tablas!$R$3:$T$66,2,TRUE))&amp;"@"&amp;IF(VLOOKUP(VLOOKUP(V83,tablas!$R$3:$T$66,2,TRUE)&amp;VLOOKUP(V83,tablas!$R$3:$T$66,3,TRUE),tablas!$Q$3:$R$66,2,FALSE)&lt;V83,VLOOKUP(V83+0.1,tablas!$R$3:$T$66,3,TRUE),VLOOKUP(V83,tablas!$R$3:$T$66,3,TRUE))&amp;"$",$C$13)</f>
        <v>$\phi8@16$</v>
      </c>
      <c r="W84" s="134" t="str">
        <f>IF(W83&gt;$C$12,"$\phi"&amp;IF(VLOOKUP(VLOOKUP(W83,tablas!$R$3:$T$66,2,TRUE)&amp;VLOOKUP(W83,tablas!$R$3:$T$66,3,TRUE),tablas!$Q$3:$R$66,2,FALSE)&lt;W83,VLOOKUP(W83+0.1,tablas!$R$3:$T$66,2,TRUE),VLOOKUP(W83,tablas!$R$3:$T$66,2,TRUE))&amp;"@"&amp;IF(VLOOKUP(VLOOKUP(W83,tablas!$R$3:$T$66,2,TRUE)&amp;VLOOKUP(W83,tablas!$R$3:$T$66,3,TRUE),tablas!$Q$3:$R$66,2,FALSE)&lt;W83,VLOOKUP(W83+0.1,tablas!$R$3:$T$66,3,TRUE),VLOOKUP(W83,tablas!$R$3:$T$66,3,TRUE))&amp;"$",$C$13)</f>
        <v>$\phi8@16$</v>
      </c>
      <c r="X84" s="134" t="str">
        <f>IF(X83&gt;$C$12,"$\phi"&amp;IF(VLOOKUP(VLOOKUP(X83,tablas!$R$3:$T$66,2,TRUE)&amp;VLOOKUP(X83,tablas!$R$3:$T$66,3,TRUE),tablas!$Q$3:$R$66,2,FALSE)&lt;X83,VLOOKUP(X83+0.1,tablas!$R$3:$T$66,2,TRUE),VLOOKUP(X83,tablas!$R$3:$T$66,2,TRUE))&amp;"@"&amp;IF(VLOOKUP(VLOOKUP(X83,tablas!$R$3:$T$66,2,TRUE)&amp;VLOOKUP(X83,tablas!$R$3:$T$66,3,TRUE),tablas!$Q$3:$R$66,2,FALSE)&lt;X83,VLOOKUP(X83+0.1,tablas!$R$3:$T$66,3,TRUE),VLOOKUP(X83,tablas!$R$3:$T$66,3,TRUE))&amp;"$",$C$13)</f>
        <v>$\phi10@21$</v>
      </c>
      <c r="Y84" s="134" t="str">
        <f>IF(Y83&gt;$C$12,"$\phi"&amp;IF(VLOOKUP(VLOOKUP(Y83,tablas!$R$3:$T$66,2,TRUE)&amp;VLOOKUP(Y83,tablas!$R$3:$T$66,3,TRUE),tablas!$Q$3:$R$66,2,FALSE)&lt;Y83,VLOOKUP(Y83+0.1,tablas!$R$3:$T$66,2,TRUE),VLOOKUP(Y83,tablas!$R$3:$T$66,2,TRUE))&amp;"@"&amp;IF(VLOOKUP(VLOOKUP(Y83,tablas!$R$3:$T$66,2,TRUE)&amp;VLOOKUP(Y83,tablas!$R$3:$T$66,3,TRUE),tablas!$Q$3:$R$66,2,FALSE)&lt;Y83,VLOOKUP(Y83+0.1,tablas!$R$3:$T$66,3,TRUE),VLOOKUP(Y83,tablas!$R$3:$T$66,3,TRUE))&amp;"$",$C$13)</f>
        <v>$\phi12@17$</v>
      </c>
      <c r="Z84" s="134" t="str">
        <f>IF(Z83&gt;$C$12,"$\phi"&amp;IF(VLOOKUP(VLOOKUP(Z83,tablas!$R$3:$T$66,2,TRUE)&amp;VLOOKUP(Z83,tablas!$R$3:$T$66,3,TRUE),tablas!$Q$3:$R$66,2,FALSE)&lt;Z83,VLOOKUP(Z83+0.1,tablas!$R$3:$T$66,2,TRUE),VLOOKUP(Z83,tablas!$R$3:$T$66,2,TRUE))&amp;"@"&amp;IF(VLOOKUP(VLOOKUP(Z83,tablas!$R$3:$T$66,2,TRUE)&amp;VLOOKUP(Z83,tablas!$R$3:$T$66,3,TRUE),tablas!$Q$3:$R$66,2,FALSE)&lt;Z83,VLOOKUP(Z83+0.1,tablas!$R$3:$T$66,3,TRUE),VLOOKUP(Z83,tablas!$R$3:$T$66,3,TRUE))&amp;"$",$C$13)</f>
        <v>$\phi16@13$</v>
      </c>
      <c r="AA84" s="134" t="str">
        <f>IF(AA83&gt;$C$12,"$\phi"&amp;IF(VLOOKUP(VLOOKUP(AA83,tablas!$R$3:$T$66,2,TRUE)&amp;VLOOKUP(AA83,tablas!$R$3:$T$66,3,TRUE),tablas!$Q$3:$R$66,2,FALSE)&lt;AA83,VLOOKUP(AA83+0.1,tablas!$R$3:$T$66,2,TRUE),VLOOKUP(AA83,tablas!$R$3:$T$66,2,TRUE))&amp;"@"&amp;IF(VLOOKUP(VLOOKUP(AA83,tablas!$R$3:$T$66,2,TRUE)&amp;VLOOKUP(AA83,tablas!$R$3:$T$66,3,TRUE),tablas!$Q$3:$R$66,2,FALSE)&lt;AA83,VLOOKUP(AA83+0.1,tablas!$R$3:$T$66,3,TRUE),VLOOKUP(AA83,tablas!$R$3:$T$66,3,TRUE))&amp;"$",$C$13)</f>
        <v>$\phi10@14$</v>
      </c>
      <c r="AB84" s="134" t="str">
        <f>IF(AB83&gt;$C$12,"$\phi"&amp;IF(VLOOKUP(VLOOKUP(AB83,tablas!$R$3:$T$66,2,TRUE)&amp;VLOOKUP(AB83,tablas!$R$3:$T$66,3,TRUE),tablas!$Q$3:$R$66,2,FALSE)&lt;AB83,VLOOKUP(AB83+0.1,tablas!$R$3:$T$66,2,TRUE),VLOOKUP(AB83,tablas!$R$3:$T$66,2,TRUE))&amp;"@"&amp;IF(VLOOKUP(VLOOKUP(AB83,tablas!$R$3:$T$66,2,TRUE)&amp;VLOOKUP(AB83,tablas!$R$3:$T$66,3,TRUE),tablas!$Q$3:$R$66,2,FALSE)&lt;AB83,VLOOKUP(AB83+0.1,tablas!$R$3:$T$66,3,TRUE),VLOOKUP(AB83,tablas!$R$3:$T$66,3,TRUE))&amp;"$",$C$13)</f>
        <v>$\phi12@18$</v>
      </c>
      <c r="AC84" s="134" t="str">
        <f>IF(AC83&gt;$C$12,"$\phi"&amp;IF(VLOOKUP(VLOOKUP(AC83,tablas!$R$3:$T$66,2,TRUE)&amp;VLOOKUP(AC83,tablas!$R$3:$T$66,3,TRUE),tablas!$Q$3:$R$66,2,FALSE)&lt;AC83,VLOOKUP(AC83+0.1,tablas!$R$3:$T$66,2,TRUE),VLOOKUP(AC83,tablas!$R$3:$T$66,2,TRUE))&amp;"@"&amp;IF(VLOOKUP(VLOOKUP(AC83,tablas!$R$3:$T$66,2,TRUE)&amp;VLOOKUP(AC83,tablas!$R$3:$T$66,3,TRUE),tablas!$Q$3:$R$66,2,FALSE)&lt;AC83,VLOOKUP(AC83+0.1,tablas!$R$3:$T$66,3,TRUE),VLOOKUP(AC83,tablas!$R$3:$T$66,3,TRUE))&amp;"$",$C$13)</f>
        <v>$\phi16@20$</v>
      </c>
      <c r="AD84" s="134" t="str">
        <f>IF(AD83&gt;$C$12,"$\phi"&amp;IF(VLOOKUP(VLOOKUP(AD83,tablas!$R$3:$T$66,2,TRUE)&amp;VLOOKUP(AD83,tablas!$R$3:$T$66,3,TRUE),tablas!$Q$3:$R$66,2,FALSE)&lt;AD83,VLOOKUP(AD83+0.1,tablas!$R$3:$T$66,2,TRUE),VLOOKUP(AD83,tablas!$R$3:$T$66,2,TRUE))&amp;"@"&amp;IF(VLOOKUP(VLOOKUP(AD83,tablas!$R$3:$T$66,2,TRUE)&amp;VLOOKUP(AD83,tablas!$R$3:$T$66,3,TRUE),tablas!$Q$3:$R$66,2,FALSE)&lt;AD83,VLOOKUP(AD83+0.1,tablas!$R$3:$T$66,3,TRUE),VLOOKUP(AD83,tablas!$R$3:$T$66,3,TRUE))&amp;"$",$C$13)</f>
        <v>$\phi8@16$</v>
      </c>
      <c r="AE84" s="134" t="str">
        <f>IF(AE83&gt;$C$12,"$\phi"&amp;IF(VLOOKUP(VLOOKUP(AE83,tablas!$R$3:$T$66,2,TRUE)&amp;VLOOKUP(AE83,tablas!$R$3:$T$66,3,TRUE),tablas!$Q$3:$R$66,2,FALSE)&lt;AE83,VLOOKUP(AE83+0.1,tablas!$R$3:$T$66,2,TRUE),VLOOKUP(AE83,tablas!$R$3:$T$66,2,TRUE))&amp;"@"&amp;IF(VLOOKUP(VLOOKUP(AE83,tablas!$R$3:$T$66,2,TRUE)&amp;VLOOKUP(AE83,tablas!$R$3:$T$66,3,TRUE),tablas!$Q$3:$R$66,2,FALSE)&lt;AE83,VLOOKUP(AE83+0.1,tablas!$R$3:$T$66,3,TRUE),VLOOKUP(AE83,tablas!$R$3:$T$66,3,TRUE))&amp;"$",$C$13)</f>
        <v>$\phi8@16$</v>
      </c>
    </row>
    <row r="85" spans="2:32" x14ac:dyDescent="0.25">
      <c r="B85" s="96" t="s">
        <v>104</v>
      </c>
      <c r="C85" s="89">
        <f>IF(C53&lt;=2,C67/C59,IF(OR(C51=6,C51="5a",C51="3a"),C66*C48^2/17.5,(IF(OR(C51="2a",C51=4,C51="5b"),C66*C48^2/11.25,IF(OR(C51=1,C51="2b",C51="3b"),C66*C48^2/8)))))</f>
        <v>2074.2364532019706</v>
      </c>
      <c r="D85" s="89">
        <f t="shared" ref="D85:AE85" si="147">IF(D53&lt;=2,D67/D59,IF(OR(D51=6,D51="5a",D51="3a"),D66*D48^2/17.5,(IF(OR(D51="2a",D51=4,D51="5b"),D66*D48^2/11.25,IF(OR(D51=1,D51="2b",D51="3b"),D66*D48^2/8)))))</f>
        <v>2170.9923664122139</v>
      </c>
      <c r="E85" s="89">
        <f t="shared" si="147"/>
        <v>2170.9923664122139</v>
      </c>
      <c r="F85" s="89">
        <f t="shared" si="147"/>
        <v>2234.0860215053763</v>
      </c>
      <c r="G85" s="89">
        <f t="shared" si="147"/>
        <v>1635.1162790697674</v>
      </c>
      <c r="H85" s="89">
        <f t="shared" si="147"/>
        <v>1160.8163265306123</v>
      </c>
      <c r="I85" s="89">
        <f t="shared" si="147"/>
        <v>2298.253990147783</v>
      </c>
      <c r="J85" s="89">
        <f t="shared" si="147"/>
        <v>2752.0978165938868</v>
      </c>
      <c r="K85" s="89">
        <f t="shared" si="147"/>
        <v>2752.0978165938868</v>
      </c>
      <c r="L85" s="89">
        <f t="shared" si="147"/>
        <v>2771.0130285714285</v>
      </c>
      <c r="M85" s="89">
        <f t="shared" si="147"/>
        <v>1129.4451612903226</v>
      </c>
      <c r="N85" s="89">
        <f t="shared" si="147"/>
        <v>2875.983512544803</v>
      </c>
      <c r="O85" s="89">
        <f t="shared" si="147"/>
        <v>1614.7074235807863</v>
      </c>
      <c r="P85" s="89">
        <f t="shared" si="147"/>
        <v>1796.6462882096073</v>
      </c>
      <c r="Q85" s="89">
        <f t="shared" si="147"/>
        <v>3251.4304659498212</v>
      </c>
      <c r="R85" s="89">
        <f t="shared" si="147"/>
        <v>1787.8828571428573</v>
      </c>
      <c r="S85" s="89">
        <f t="shared" si="147"/>
        <v>1170.1028571428574</v>
      </c>
      <c r="T85" s="89">
        <f t="shared" si="147"/>
        <v>4132.4748387096779</v>
      </c>
      <c r="U85" s="89">
        <f t="shared" si="147"/>
        <v>159.04</v>
      </c>
      <c r="V85" s="89">
        <f t="shared" si="147"/>
        <v>489.7268292682927</v>
      </c>
      <c r="W85" s="89">
        <f t="shared" si="147"/>
        <v>682.41142857142859</v>
      </c>
      <c r="X85" s="89">
        <f t="shared" si="147"/>
        <v>1630.0534351145038</v>
      </c>
      <c r="Y85" s="89">
        <f t="shared" si="147"/>
        <v>3414.887069767442</v>
      </c>
      <c r="Z85" s="89">
        <f t="shared" si="147"/>
        <v>6130.183314285714</v>
      </c>
      <c r="AA85" s="89">
        <f t="shared" si="147"/>
        <v>2333.1899641577061</v>
      </c>
      <c r="AB85" s="89">
        <f t="shared" si="147"/>
        <v>2742.9764885496184</v>
      </c>
      <c r="AC85" s="89">
        <f t="shared" si="147"/>
        <v>4339.783587786259</v>
      </c>
      <c r="AD85" s="89">
        <f t="shared" si="147"/>
        <v>1170.1028571428574</v>
      </c>
      <c r="AE85" s="89">
        <f t="shared" si="147"/>
        <v>451.14394904458595</v>
      </c>
    </row>
    <row r="86" spans="2:32" x14ac:dyDescent="0.25">
      <c r="B86" s="97" t="s">
        <v>15</v>
      </c>
      <c r="C86" s="90">
        <f>C85/(0.9*(0.9*($C$7/100))*($L$9*1000))</f>
        <v>3.9887628422021657</v>
      </c>
      <c r="D86" s="91">
        <f>D85/(0.9*(0.9*($C$7/100))*($L$9*1000))</f>
        <v>4.1748247498408011</v>
      </c>
      <c r="E86" s="91">
        <f t="shared" ref="E86:R86" si="148">E85/(0.9*(0.9*($C$7/100))*($L$9*1000))</f>
        <v>4.1748247498408011</v>
      </c>
      <c r="F86" s="91">
        <f t="shared" si="148"/>
        <v>4.2961540354320524</v>
      </c>
      <c r="G86" s="91">
        <f t="shared" si="148"/>
        <v>3.1443334469246702</v>
      </c>
      <c r="H86" s="91">
        <f t="shared" si="148"/>
        <v>2.2322532335883469</v>
      </c>
      <c r="I86" s="91">
        <f t="shared" si="148"/>
        <v>4.4195492291599985</v>
      </c>
      <c r="J86" s="91">
        <f t="shared" si="148"/>
        <v>5.2922922514401103</v>
      </c>
      <c r="K86" s="91">
        <f t="shared" si="148"/>
        <v>5.2922922514401103</v>
      </c>
      <c r="L86" s="91">
        <f t="shared" si="148"/>
        <v>5.3286662600888963</v>
      </c>
      <c r="M86" s="91">
        <f t="shared" si="148"/>
        <v>2.1719263899279304</v>
      </c>
      <c r="N86" s="91">
        <f t="shared" si="148"/>
        <v>5.5305248116318655</v>
      </c>
      <c r="O86" s="91">
        <f t="shared" si="148"/>
        <v>3.105087157380074</v>
      </c>
      <c r="P86" s="91">
        <f t="shared" si="148"/>
        <v>3.4549561328595186</v>
      </c>
      <c r="Q86" s="91">
        <f t="shared" si="148"/>
        <v>6.2525104148875439</v>
      </c>
      <c r="R86" s="91">
        <f t="shared" si="148"/>
        <v>3.4381040289659186</v>
      </c>
      <c r="S86" s="91">
        <f t="shared" ref="S86" si="149">S85/(0.9*(0.9*($C$7/100))*($L$9*1000))</f>
        <v>2.250111259457054</v>
      </c>
      <c r="T86" s="91">
        <f t="shared" ref="T86" si="150">T85/(0.9*(0.9*($C$7/100))*($L$9*1000))</f>
        <v>7.9467613528511922</v>
      </c>
      <c r="U86" s="91">
        <f t="shared" ref="U86" si="151">U85/(0.9*(0.9*($C$7/100))*($L$9*1000))</f>
        <v>0.30583439098496207</v>
      </c>
      <c r="V86" s="91">
        <f t="shared" ref="V86" si="152">V85/(0.9*(0.9*($C$7/100))*($L$9*1000))</f>
        <v>0.94174614297198689</v>
      </c>
      <c r="W86" s="91">
        <f t="shared" ref="W86" si="153">W85/(0.9*(0.9*($C$7/100))*($L$9*1000))</f>
        <v>1.3122791980528219</v>
      </c>
      <c r="X86" s="91">
        <f t="shared" ref="X86" si="154">X85/(0.9*(0.9*($C$7/100))*($L$9*1000))</f>
        <v>3.1345975830054682</v>
      </c>
      <c r="Y86" s="91">
        <f t="shared" ref="Y86" si="155">Y85/(0.9*(0.9*($C$7/100))*($L$9*1000))</f>
        <v>6.5668379480932302</v>
      </c>
      <c r="Z86" s="91">
        <f t="shared" ref="Z86" si="156">Z85/(0.9*(0.9*($C$7/100))*($L$9*1000))</f>
        <v>11.788360667446854</v>
      </c>
      <c r="AA86" s="91">
        <f t="shared" ref="AA86" si="157">AA85/(0.9*(0.9*($C$7/100))*($L$9*1000))</f>
        <v>4.4867312106413326</v>
      </c>
      <c r="AB86" s="91">
        <f t="shared" ref="AB86" si="158">AB85/(0.9*(0.9*($C$7/100))*($L$9*1000))</f>
        <v>5.2747519105988578</v>
      </c>
      <c r="AC86" s="91">
        <f t="shared" ref="AC86" si="159">AC85/(0.9*(0.9*($C$7/100))*($L$9*1000))</f>
        <v>8.3454166912546786</v>
      </c>
      <c r="AD86" s="91">
        <f t="shared" ref="AD86" si="160">AD85/(0.9*(0.9*($C$7/100))*($L$9*1000))</f>
        <v>2.250111259457054</v>
      </c>
      <c r="AE86" s="91">
        <f t="shared" ref="AE86" si="161">AE85/(0.9*(0.9*($C$7/100))*($L$9*1000))</f>
        <v>0.86755115004150973</v>
      </c>
    </row>
    <row r="87" spans="2:32" x14ac:dyDescent="0.25">
      <c r="B87" s="97" t="s">
        <v>98</v>
      </c>
      <c r="C87" s="92">
        <f>(C86*($L$9))/(0.85*$L$6*100)</f>
        <v>5.6259367159747137E-2</v>
      </c>
      <c r="D87" s="93">
        <f>(D86*($L$9))/(0.85*$L$6*100)</f>
        <v>5.8883670882579106E-2</v>
      </c>
      <c r="E87" s="93">
        <f t="shared" ref="E87:R87" si="162">(E86*($L$9))/(0.85*$L$6*100)</f>
        <v>5.8883670882579106E-2</v>
      </c>
      <c r="F87" s="93">
        <f t="shared" si="162"/>
        <v>6.0594955582959915E-2</v>
      </c>
      <c r="G87" s="93">
        <f t="shared" si="162"/>
        <v>4.4349142042634994E-2</v>
      </c>
      <c r="H87" s="93">
        <f t="shared" si="162"/>
        <v>3.1484738308644344E-2</v>
      </c>
      <c r="I87" s="93">
        <f t="shared" si="162"/>
        <v>6.2335378812999824E-2</v>
      </c>
      <c r="J87" s="93">
        <f t="shared" si="162"/>
        <v>7.4644952500127454E-2</v>
      </c>
      <c r="K87" s="93">
        <f t="shared" si="162"/>
        <v>7.4644952500127454E-2</v>
      </c>
      <c r="L87" s="93">
        <f t="shared" si="162"/>
        <v>7.5157988443501328E-2</v>
      </c>
      <c r="M87" s="93">
        <f t="shared" si="162"/>
        <v>3.0633860434640114E-2</v>
      </c>
      <c r="N87" s="93">
        <f t="shared" si="162"/>
        <v>7.8005095382383871E-2</v>
      </c>
      <c r="O87" s="93">
        <f t="shared" si="162"/>
        <v>4.379559411298968E-2</v>
      </c>
      <c r="P87" s="93">
        <f t="shared" si="162"/>
        <v>4.8730308942622313E-2</v>
      </c>
      <c r="Q87" s="93">
        <f t="shared" si="162"/>
        <v>8.8188316281821361E-2</v>
      </c>
      <c r="R87" s="93">
        <f t="shared" si="162"/>
        <v>4.849261902776119E-2</v>
      </c>
      <c r="S87" s="93">
        <f t="shared" ref="S87" si="163">(S86*($L$9))/(0.85*$L$6*100)</f>
        <v>3.1736616215113499E-2</v>
      </c>
      <c r="T87" s="93">
        <f t="shared" ref="T87" si="164">(T86*($L$9))/(0.85*$L$6*100)</f>
        <v>0.11208481987214734</v>
      </c>
      <c r="U87" s="93">
        <f t="shared" ref="U87" si="165">(U86*($L$9))/(0.85*$L$6*100)</f>
        <v>4.3136305599460797E-3</v>
      </c>
      <c r="V87" s="93">
        <f t="shared" ref="V87" si="166">(V86*($L$9))/(0.85*$L$6*100)</f>
        <v>1.3282825809590061E-2</v>
      </c>
      <c r="W87" s="93">
        <f t="shared" ref="W87" si="167">(W86*($L$9))/(0.85*$L$6*100)</f>
        <v>1.8508996433238022E-2</v>
      </c>
      <c r="X87" s="93">
        <f t="shared" ref="X87" si="168">(X86*($L$9))/(0.85*$L$6*100)</f>
        <v>4.4211822887669811E-2</v>
      </c>
      <c r="Y87" s="93">
        <f t="shared" ref="Y87" si="169">(Y86*($L$9))/(0.85*$L$6*100)</f>
        <v>9.2621738071639578E-2</v>
      </c>
      <c r="Z87" s="93">
        <f t="shared" ref="Z87" si="170">(Z86*($L$9))/(0.85*$L$6*100)</f>
        <v>0.16626852416105634</v>
      </c>
      <c r="AA87" s="93">
        <f t="shared" ref="AA87" si="171">(AA86*($L$9))/(0.85*$L$6*100)</f>
        <v>6.328294474063241E-2</v>
      </c>
      <c r="AB87" s="93">
        <f t="shared" ref="AB87" si="172">(AB86*($L$9))/(0.85*$L$6*100)</f>
        <v>7.4397555371109286E-2</v>
      </c>
      <c r="AC87" s="93">
        <f t="shared" ref="AC87" si="173">(AC86*($L$9))/(0.85*$L$6*100)</f>
        <v>0.11770764026551336</v>
      </c>
      <c r="AD87" s="93">
        <f t="shared" ref="AD87" si="174">(AD86*($L$9))/(0.85*$L$6*100)</f>
        <v>3.1736616215113499E-2</v>
      </c>
      <c r="AE87" s="93">
        <f t="shared" ref="AE87" si="175">(AE86*($L$9))/(0.85*$L$6*100)</f>
        <v>1.2236345105215561E-2</v>
      </c>
    </row>
    <row r="88" spans="2:32" ht="15.75" thickBot="1" x14ac:dyDescent="0.3">
      <c r="B88" s="97" t="s">
        <v>15</v>
      </c>
      <c r="C88" s="76">
        <f>ROUNDUP(C85/(0.9*(($C$7-C87/2)/100)*($L$9*1000)),2)</f>
        <v>3.5999999999999996</v>
      </c>
      <c r="D88" s="77">
        <f>ROUNDUP(D85/(0.9*(($C$7-D87/2)/100)*($L$9*1000)),2)</f>
        <v>3.7699999999999996</v>
      </c>
      <c r="E88" s="77">
        <f t="shared" ref="E88:R88" si="176">ROUNDUP(E85/(0.9*(($C$7-E87/2)/100)*($L$9*1000)),2)</f>
        <v>3.7699999999999996</v>
      </c>
      <c r="F88" s="77">
        <f t="shared" si="176"/>
        <v>3.88</v>
      </c>
      <c r="G88" s="77">
        <f t="shared" si="176"/>
        <v>2.84</v>
      </c>
      <c r="H88" s="77">
        <f t="shared" si="176"/>
        <v>2.0199999999999996</v>
      </c>
      <c r="I88" s="77">
        <f t="shared" si="176"/>
        <v>3.9899999999999998</v>
      </c>
      <c r="J88" s="77">
        <f t="shared" si="176"/>
        <v>4.7799999999999994</v>
      </c>
      <c r="K88" s="77">
        <f t="shared" si="176"/>
        <v>4.7799999999999994</v>
      </c>
      <c r="L88" s="77">
        <f t="shared" si="176"/>
        <v>4.8099999999999996</v>
      </c>
      <c r="M88" s="77">
        <f t="shared" si="176"/>
        <v>1.96</v>
      </c>
      <c r="N88" s="77">
        <f t="shared" si="176"/>
        <v>5</v>
      </c>
      <c r="O88" s="77">
        <f t="shared" si="176"/>
        <v>2.8</v>
      </c>
      <c r="P88" s="77">
        <f t="shared" si="176"/>
        <v>3.1199999999999997</v>
      </c>
      <c r="Q88" s="77">
        <f t="shared" si="176"/>
        <v>5.6499999999999995</v>
      </c>
      <c r="R88" s="77">
        <f t="shared" si="176"/>
        <v>3.0999999999999996</v>
      </c>
      <c r="S88" s="77">
        <f t="shared" ref="S88" si="177">ROUNDUP(S85/(0.9*(($C$7-S87/2)/100)*($L$9*1000)),2)</f>
        <v>2.0299999999999998</v>
      </c>
      <c r="T88" s="77">
        <f t="shared" ref="T88" si="178">ROUNDUP(T85/(0.9*(($C$7-T87/2)/100)*($L$9*1000)),2)</f>
        <v>7.18</v>
      </c>
      <c r="U88" s="77">
        <f t="shared" ref="U88" si="179">ROUNDUP(U85/(0.9*(($C$7-U87/2)/100)*($L$9*1000)),2)</f>
        <v>0.28000000000000003</v>
      </c>
      <c r="V88" s="77">
        <f t="shared" ref="V88" si="180">ROUNDUP(V85/(0.9*(($C$7-V87/2)/100)*($L$9*1000)),2)</f>
        <v>0.85</v>
      </c>
      <c r="W88" s="77">
        <f t="shared" ref="W88" si="181">ROUNDUP(W85/(0.9*(($C$7-W87/2)/100)*($L$9*1000)),2)</f>
        <v>1.19</v>
      </c>
      <c r="X88" s="77">
        <f t="shared" ref="X88" si="182">ROUNDUP(X85/(0.9*(($C$7-X87/2)/100)*($L$9*1000)),2)</f>
        <v>2.8299999999999996</v>
      </c>
      <c r="Y88" s="77">
        <f t="shared" ref="Y88" si="183">ROUNDUP(Y85/(0.9*(($C$7-Y87/2)/100)*($L$9*1000)),2)</f>
        <v>5.93</v>
      </c>
      <c r="Z88" s="77">
        <f t="shared" ref="Z88" si="184">ROUNDUP(Z85/(0.9*(($C$7-Z87/2)/100)*($L$9*1000)),2)</f>
        <v>10.67</v>
      </c>
      <c r="AA88" s="77">
        <f t="shared" ref="AA88" si="185">ROUNDUP(AA85/(0.9*(($C$7-AA87/2)/100)*($L$9*1000)),2)</f>
        <v>4.05</v>
      </c>
      <c r="AB88" s="77">
        <f t="shared" ref="AB88" si="186">ROUNDUP(AB85/(0.9*(($C$7-AB87/2)/100)*($L$9*1000)),2)</f>
        <v>4.76</v>
      </c>
      <c r="AC88" s="77">
        <f t="shared" ref="AC88" si="187">ROUNDUP(AC85/(0.9*(($C$7-AC87/2)/100)*($L$9*1000)),2)</f>
        <v>7.55</v>
      </c>
      <c r="AD88" s="77">
        <f t="shared" ref="AD88" si="188">ROUNDUP(AD85/(0.9*(($C$7-AD87/2)/100)*($L$9*1000)),2)</f>
        <v>2.0299999999999998</v>
      </c>
      <c r="AE88" s="77">
        <f t="shared" ref="AE88" si="189">ROUNDUP(AE85/(0.9*(($C$7-AE87/2)/100)*($L$9*1000)),2)</f>
        <v>0.79</v>
      </c>
    </row>
    <row r="89" spans="2:32" ht="16.5" thickBot="1" x14ac:dyDescent="0.3">
      <c r="B89" s="61" t="s">
        <v>106</v>
      </c>
      <c r="C89" s="134" t="str">
        <f>IF(C88&gt;$C$12,"$\phi"&amp;IF(VLOOKUP(VLOOKUP(C88,tablas!$R$3:$T$66,2,TRUE)&amp;VLOOKUP(C88,tablas!$R$3:$T$66,3,TRUE),tablas!$Q$3:$R$66,2,FALSE)&lt;C88,VLOOKUP(C88+0.1,tablas!$R$3:$T$66,2,TRUE),VLOOKUP(C88,tablas!$R$3:$T$66,2,TRUE))&amp;"@"&amp;IF(VLOOKUP(VLOOKUP(C88,tablas!$R$3:$T$66,2,TRUE)&amp;VLOOKUP(C88,tablas!$R$3:$T$66,3,TRUE),tablas!$Q$3:$R$66,2,FALSE)&lt;C88,VLOOKUP(C88+0.1,tablas!$R$3:$T$66,3,TRUE),VLOOKUP(C88,tablas!$R$3:$T$66,3,TRUE))&amp;"$",$C$13)</f>
        <v>$\phi8@14$</v>
      </c>
      <c r="D89" s="134" t="str">
        <f>IF(D88&gt;$C$12,"$\phi"&amp;IF(VLOOKUP(VLOOKUP(D88,tablas!$R$3:$T$66,2,TRUE)&amp;VLOOKUP(D88,tablas!$R$3:$T$66,3,TRUE),tablas!$Q$3:$R$66,2,FALSE)&lt;D88,VLOOKUP(D88+0.1,tablas!$R$3:$T$66,2,TRUE),VLOOKUP(D88,tablas!$R$3:$T$66,2,TRUE))&amp;"@"&amp;IF(VLOOKUP(VLOOKUP(D88,tablas!$R$3:$T$66,2,TRUE)&amp;VLOOKUP(D88,tablas!$R$3:$T$66,3,TRUE),tablas!$Q$3:$R$66,2,FALSE)&lt;D88,VLOOKUP(D88+0.1,tablas!$R$3:$T$66,3,TRUE),VLOOKUP(D88,tablas!$R$3:$T$66,3,TRUE))&amp;"$",$C$13)</f>
        <v>$\phi10@21$</v>
      </c>
      <c r="E89" s="134" t="str">
        <f>IF(E88&gt;$C$12,"$\phi"&amp;IF(VLOOKUP(VLOOKUP(E88,tablas!$R$3:$T$66,2,TRUE)&amp;VLOOKUP(E88,tablas!$R$3:$T$66,3,TRUE),tablas!$Q$3:$R$66,2,FALSE)&lt;E88,VLOOKUP(E88+0.1,tablas!$R$3:$T$66,2,TRUE),VLOOKUP(E88,tablas!$R$3:$T$66,2,TRUE))&amp;"@"&amp;IF(VLOOKUP(VLOOKUP(E88,tablas!$R$3:$T$66,2,TRUE)&amp;VLOOKUP(E88,tablas!$R$3:$T$66,3,TRUE),tablas!$Q$3:$R$66,2,FALSE)&lt;E88,VLOOKUP(E88+0.1,tablas!$R$3:$T$66,3,TRUE),VLOOKUP(E88,tablas!$R$3:$T$66,3,TRUE))&amp;"$",$C$13)</f>
        <v>$\phi10@21$</v>
      </c>
      <c r="F89" s="134" t="str">
        <f>IF(F88&gt;$C$12,"$\phi"&amp;IF(VLOOKUP(VLOOKUP(F88,tablas!$R$3:$T$66,2,TRUE)&amp;VLOOKUP(F88,tablas!$R$3:$T$66,3,TRUE),tablas!$Q$3:$R$66,2,FALSE)&lt;F88,VLOOKUP(F88+0.1,tablas!$R$3:$T$66,2,TRUE),VLOOKUP(F88,tablas!$R$3:$T$66,2,TRUE))&amp;"@"&amp;IF(VLOOKUP(VLOOKUP(F88,tablas!$R$3:$T$66,2,TRUE)&amp;VLOOKUP(F88,tablas!$R$3:$T$66,3,TRUE),tablas!$Q$3:$R$66,2,FALSE)&lt;F88,VLOOKUP(F88+0.1,tablas!$R$3:$T$66,3,TRUE),VLOOKUP(F88,tablas!$R$3:$T$66,3,TRUE))&amp;"$",$C$13)</f>
        <v>$\phi10@20$</v>
      </c>
      <c r="G89" s="134" t="str">
        <f>IF(G88&gt;$C$12,"$\phi"&amp;IF(VLOOKUP(VLOOKUP(G88,tablas!$R$3:$T$66,2,TRUE)&amp;VLOOKUP(G88,tablas!$R$3:$T$66,3,TRUE),tablas!$Q$3:$R$66,2,FALSE)&lt;G88,VLOOKUP(G88+0.1,tablas!$R$3:$T$66,2,TRUE),VLOOKUP(G88,tablas!$R$3:$T$66,2,TRUE))&amp;"@"&amp;IF(VLOOKUP(VLOOKUP(G88,tablas!$R$3:$T$66,2,TRUE)&amp;VLOOKUP(G88,tablas!$R$3:$T$66,3,TRUE),tablas!$Q$3:$R$66,2,FALSE)&lt;G88,VLOOKUP(G88+0.1,tablas!$R$3:$T$66,3,TRUE),VLOOKUP(G88,tablas!$R$3:$T$66,3,TRUE))&amp;"$",$C$13)</f>
        <v>$\phi8@16$</v>
      </c>
      <c r="H89" s="134" t="str">
        <f>IF(H88&gt;$C$12,"$\phi"&amp;IF(VLOOKUP(VLOOKUP(H88,tablas!$R$3:$T$66,2,TRUE)&amp;VLOOKUP(H88,tablas!$R$3:$T$66,3,TRUE),tablas!$Q$3:$R$66,2,FALSE)&lt;H88,VLOOKUP(H88+0.1,tablas!$R$3:$T$66,2,TRUE),VLOOKUP(H88,tablas!$R$3:$T$66,2,TRUE))&amp;"@"&amp;IF(VLOOKUP(VLOOKUP(H88,tablas!$R$3:$T$66,2,TRUE)&amp;VLOOKUP(H88,tablas!$R$3:$T$66,3,TRUE),tablas!$Q$3:$R$66,2,FALSE)&lt;H88,VLOOKUP(H88+0.1,tablas!$R$3:$T$66,3,TRUE),VLOOKUP(H88,tablas!$R$3:$T$66,3,TRUE))&amp;"$",$C$13)</f>
        <v>$\phi8@16$</v>
      </c>
      <c r="I89" s="134" t="str">
        <f>IF(I88&gt;$C$12,"$\phi"&amp;IF(VLOOKUP(VLOOKUP(I88,tablas!$R$3:$T$66,2,TRUE)&amp;VLOOKUP(I88,tablas!$R$3:$T$66,3,TRUE),tablas!$Q$3:$R$66,2,FALSE)&lt;I88,VLOOKUP(I88+0.1,tablas!$R$3:$T$66,2,TRUE),VLOOKUP(I88,tablas!$R$3:$T$66,2,TRUE))&amp;"@"&amp;IF(VLOOKUP(VLOOKUP(I88,tablas!$R$3:$T$66,2,TRUE)&amp;VLOOKUP(I88,tablas!$R$3:$T$66,3,TRUE),tablas!$Q$3:$R$66,2,FALSE)&lt;I88,VLOOKUP(I88+0.1,tablas!$R$3:$T$66,3,TRUE),VLOOKUP(I88,tablas!$R$3:$T$66,3,TRUE))&amp;"$",$C$13)</f>
        <v>$\phi10@20$</v>
      </c>
      <c r="J89" s="134" t="str">
        <f>IF(J88&gt;$C$12,"$\phi"&amp;IF(VLOOKUP(VLOOKUP(J88,tablas!$R$3:$T$66,2,TRUE)&amp;VLOOKUP(J88,tablas!$R$3:$T$66,3,TRUE),tablas!$Q$3:$R$66,2,FALSE)&lt;J88,VLOOKUP(J88+0.1,tablas!$R$3:$T$66,2,TRUE),VLOOKUP(J88,tablas!$R$3:$T$66,2,TRUE))&amp;"@"&amp;IF(VLOOKUP(VLOOKUP(J88,tablas!$R$3:$T$66,2,TRUE)&amp;VLOOKUP(J88,tablas!$R$3:$T$66,3,TRUE),tablas!$Q$3:$R$66,2,FALSE)&lt;J88,VLOOKUP(J88+0.1,tablas!$R$3:$T$66,3,TRUE),VLOOKUP(J88,tablas!$R$3:$T$66,3,TRUE))&amp;"$",$C$13)</f>
        <v>$\phi12@24$</v>
      </c>
      <c r="K89" s="134" t="str">
        <f>IF(K88&gt;$C$12,"$\phi"&amp;IF(VLOOKUP(VLOOKUP(K88,tablas!$R$3:$T$66,2,TRUE)&amp;VLOOKUP(K88,tablas!$R$3:$T$66,3,TRUE),tablas!$Q$3:$R$66,2,FALSE)&lt;K88,VLOOKUP(K88+0.1,tablas!$R$3:$T$66,2,TRUE),VLOOKUP(K88,tablas!$R$3:$T$66,2,TRUE))&amp;"@"&amp;IF(VLOOKUP(VLOOKUP(K88,tablas!$R$3:$T$66,2,TRUE)&amp;VLOOKUP(K88,tablas!$R$3:$T$66,3,TRUE),tablas!$Q$3:$R$66,2,FALSE)&lt;K88,VLOOKUP(K88+0.1,tablas!$R$3:$T$66,3,TRUE),VLOOKUP(K88,tablas!$R$3:$T$66,3,TRUE))&amp;"$",$C$13)</f>
        <v>$\phi12@24$</v>
      </c>
      <c r="L89" s="134" t="str">
        <f>IF(L88&gt;$C$12,"$\phi"&amp;IF(VLOOKUP(VLOOKUP(L88,tablas!$R$3:$T$66,2,TRUE)&amp;VLOOKUP(L88,tablas!$R$3:$T$66,3,TRUE),tablas!$Q$3:$R$66,2,FALSE)&lt;L88,VLOOKUP(L88+0.1,tablas!$R$3:$T$66,2,TRUE),VLOOKUP(L88,tablas!$R$3:$T$66,2,TRUE))&amp;"@"&amp;IF(VLOOKUP(VLOOKUP(L88,tablas!$R$3:$T$66,2,TRUE)&amp;VLOOKUP(L88,tablas!$R$3:$T$66,3,TRUE),tablas!$Q$3:$R$66,2,FALSE)&lt;L88,VLOOKUP(L88+0.1,tablas!$R$3:$T$66,3,TRUE),VLOOKUP(L88,tablas!$R$3:$T$66,3,TRUE))&amp;"$",$C$13)</f>
        <v>$\phi12@24$</v>
      </c>
      <c r="M89" s="134" t="str">
        <f>IF(M88&gt;$C$12,"$\phi"&amp;IF(VLOOKUP(VLOOKUP(M88,tablas!$R$3:$T$66,2,TRUE)&amp;VLOOKUP(M88,tablas!$R$3:$T$66,3,TRUE),tablas!$Q$3:$R$66,2,FALSE)&lt;M88,VLOOKUP(M88+0.1,tablas!$R$3:$T$66,2,TRUE),VLOOKUP(M88,tablas!$R$3:$T$66,2,TRUE))&amp;"@"&amp;IF(VLOOKUP(VLOOKUP(M88,tablas!$R$3:$T$66,2,TRUE)&amp;VLOOKUP(M88,tablas!$R$3:$T$66,3,TRUE),tablas!$Q$3:$R$66,2,FALSE)&lt;M88,VLOOKUP(M88+0.1,tablas!$R$3:$T$66,3,TRUE),VLOOKUP(M88,tablas!$R$3:$T$66,3,TRUE))&amp;"$",$C$13)</f>
        <v>$\phi8@16$</v>
      </c>
      <c r="N89" s="134" t="str">
        <f>IF(N88&gt;$C$12,"$\phi"&amp;IF(VLOOKUP(VLOOKUP(N88,tablas!$R$3:$T$66,2,TRUE)&amp;VLOOKUP(N88,tablas!$R$3:$T$66,3,TRUE),tablas!$Q$3:$R$66,2,FALSE)&lt;N88,VLOOKUP(N88+0.1,tablas!$R$3:$T$66,2,TRUE),VLOOKUP(N88,tablas!$R$3:$T$66,2,TRUE))&amp;"@"&amp;IF(VLOOKUP(VLOOKUP(N88,tablas!$R$3:$T$66,2,TRUE)&amp;VLOOKUP(N88,tablas!$R$3:$T$66,3,TRUE),tablas!$Q$3:$R$66,2,FALSE)&lt;N88,VLOOKUP(N88+0.1,tablas!$R$3:$T$66,3,TRUE),VLOOKUP(N88,tablas!$R$3:$T$66,3,TRUE))&amp;"$",$C$13)</f>
        <v>$\phi8@10$</v>
      </c>
      <c r="O89" s="134" t="str">
        <f>IF(O88&gt;$C$12,"$\phi"&amp;IF(VLOOKUP(VLOOKUP(O88,tablas!$R$3:$T$66,2,TRUE)&amp;VLOOKUP(O88,tablas!$R$3:$T$66,3,TRUE),tablas!$Q$3:$R$66,2,FALSE)&lt;O88,VLOOKUP(O88+0.1,tablas!$R$3:$T$66,2,TRUE),VLOOKUP(O88,tablas!$R$3:$T$66,2,TRUE))&amp;"@"&amp;IF(VLOOKUP(VLOOKUP(O88,tablas!$R$3:$T$66,2,TRUE)&amp;VLOOKUP(O88,tablas!$R$3:$T$66,3,TRUE),tablas!$Q$3:$R$66,2,FALSE)&lt;O88,VLOOKUP(O88+0.1,tablas!$R$3:$T$66,3,TRUE),VLOOKUP(O88,tablas!$R$3:$T$66,3,TRUE))&amp;"$",$C$13)</f>
        <v>$\phi8@16$</v>
      </c>
      <c r="P89" s="134" t="str">
        <f>IF(P88&gt;$C$12,"$\phi"&amp;IF(VLOOKUP(VLOOKUP(P88,tablas!$R$3:$T$66,2,TRUE)&amp;VLOOKUP(P88,tablas!$R$3:$T$66,3,TRUE),tablas!$Q$3:$R$66,2,FALSE)&lt;P88,VLOOKUP(P88+0.1,tablas!$R$3:$T$66,2,TRUE),VLOOKUP(P88,tablas!$R$3:$T$66,2,TRUE))&amp;"@"&amp;IF(VLOOKUP(VLOOKUP(P88,tablas!$R$3:$T$66,2,TRUE)&amp;VLOOKUP(P88,tablas!$R$3:$T$66,3,TRUE),tablas!$Q$3:$R$66,2,FALSE)&lt;P88,VLOOKUP(P88+0.1,tablas!$R$3:$T$66,3,TRUE),VLOOKUP(P88,tablas!$R$3:$T$66,3,TRUE))&amp;"$",$C$13)</f>
        <v>$\phi10@25$</v>
      </c>
      <c r="Q89" s="134" t="str">
        <f>IF(Q88&gt;$C$12,"$\phi"&amp;IF(VLOOKUP(VLOOKUP(Q88,tablas!$R$3:$T$66,2,TRUE)&amp;VLOOKUP(Q88,tablas!$R$3:$T$66,3,TRUE),tablas!$Q$3:$R$66,2,FALSE)&lt;Q88,VLOOKUP(Q88+0.1,tablas!$R$3:$T$66,2,TRUE),VLOOKUP(Q88,tablas!$R$3:$T$66,2,TRUE))&amp;"@"&amp;IF(VLOOKUP(VLOOKUP(Q88,tablas!$R$3:$T$66,2,TRUE)&amp;VLOOKUP(Q88,tablas!$R$3:$T$66,3,TRUE),tablas!$Q$3:$R$66,2,FALSE)&lt;Q88,VLOOKUP(Q88+0.1,tablas!$R$3:$T$66,3,TRUE),VLOOKUP(Q88,tablas!$R$3:$T$66,3,TRUE))&amp;"$",$C$13)</f>
        <v>$\phi12@20$</v>
      </c>
      <c r="R89" s="134" t="str">
        <f>IF(R88&gt;$C$12,"$\phi"&amp;IF(VLOOKUP(VLOOKUP(R88,tablas!$R$3:$T$66,2,TRUE)&amp;VLOOKUP(R88,tablas!$R$3:$T$66,3,TRUE),tablas!$Q$3:$R$66,2,FALSE)&lt;R88,VLOOKUP(R88+0.1,tablas!$R$3:$T$66,2,TRUE),VLOOKUP(R88,tablas!$R$3:$T$66,2,TRUE))&amp;"@"&amp;IF(VLOOKUP(VLOOKUP(R88,tablas!$R$3:$T$66,2,TRUE)&amp;VLOOKUP(R88,tablas!$R$3:$T$66,3,TRUE),tablas!$Q$3:$R$66,2,FALSE)&lt;R88,VLOOKUP(R88+0.1,tablas!$R$3:$T$66,3,TRUE),VLOOKUP(R88,tablas!$R$3:$T$66,3,TRUE))&amp;"$",$C$13)</f>
        <v>$\phi10@25$</v>
      </c>
      <c r="S89" s="134" t="str">
        <f>IF(S88&gt;$C$12,"$\phi"&amp;IF(VLOOKUP(VLOOKUP(S88,tablas!$R$3:$T$66,2,TRUE)&amp;VLOOKUP(S88,tablas!$R$3:$T$66,3,TRUE),tablas!$Q$3:$R$66,2,FALSE)&lt;S88,VLOOKUP(S88+0.1,tablas!$R$3:$T$66,2,TRUE),VLOOKUP(S88,tablas!$R$3:$T$66,2,TRUE))&amp;"@"&amp;IF(VLOOKUP(VLOOKUP(S88,tablas!$R$3:$T$66,2,TRUE)&amp;VLOOKUP(S88,tablas!$R$3:$T$66,3,TRUE),tablas!$Q$3:$R$66,2,FALSE)&lt;S88,VLOOKUP(S88+0.1,tablas!$R$3:$T$66,3,TRUE),VLOOKUP(S88,tablas!$R$3:$T$66,3,TRUE))&amp;"$",$C$13)</f>
        <v>$\phi8@16$</v>
      </c>
      <c r="T89" s="134" t="str">
        <f>IF(T88&gt;$C$12,"$\phi"&amp;IF(VLOOKUP(VLOOKUP(T88,tablas!$R$3:$T$66,2,TRUE)&amp;VLOOKUP(T88,tablas!$R$3:$T$66,3,TRUE),tablas!$Q$3:$R$66,2,FALSE)&lt;T88,VLOOKUP(T88+0.1,tablas!$R$3:$T$66,2,TRUE),VLOOKUP(T88,tablas!$R$3:$T$66,2,TRUE))&amp;"@"&amp;IF(VLOOKUP(VLOOKUP(T88,tablas!$R$3:$T$66,2,TRUE)&amp;VLOOKUP(T88,tablas!$R$3:$T$66,3,TRUE),tablas!$Q$3:$R$66,2,FALSE)&lt;T88,VLOOKUP(T88+0.1,tablas!$R$3:$T$66,3,TRUE),VLOOKUP(T88,tablas!$R$3:$T$66,3,TRUE))&amp;"$",$C$13)</f>
        <v>$\phi10@11$</v>
      </c>
      <c r="U89" s="134" t="str">
        <f>IF(U88&gt;$C$12,"$\phi"&amp;IF(VLOOKUP(VLOOKUP(U88,tablas!$R$3:$T$66,2,TRUE)&amp;VLOOKUP(U88,tablas!$R$3:$T$66,3,TRUE),tablas!$Q$3:$R$66,2,FALSE)&lt;U88,VLOOKUP(U88+0.1,tablas!$R$3:$T$66,2,TRUE),VLOOKUP(U88,tablas!$R$3:$T$66,2,TRUE))&amp;"@"&amp;IF(VLOOKUP(VLOOKUP(U88,tablas!$R$3:$T$66,2,TRUE)&amp;VLOOKUP(U88,tablas!$R$3:$T$66,3,TRUE),tablas!$Q$3:$R$66,2,FALSE)&lt;U88,VLOOKUP(U88+0.1,tablas!$R$3:$T$66,3,TRUE),VLOOKUP(U88,tablas!$R$3:$T$66,3,TRUE))&amp;"$",$C$13)</f>
        <v>$\phi8@16$</v>
      </c>
      <c r="V89" s="134" t="str">
        <f>IF(V88&gt;$C$12,"$\phi"&amp;IF(VLOOKUP(VLOOKUP(V88,tablas!$R$3:$T$66,2,TRUE)&amp;VLOOKUP(V88,tablas!$R$3:$T$66,3,TRUE),tablas!$Q$3:$R$66,2,FALSE)&lt;V88,VLOOKUP(V88+0.1,tablas!$R$3:$T$66,2,TRUE),VLOOKUP(V88,tablas!$R$3:$T$66,2,TRUE))&amp;"@"&amp;IF(VLOOKUP(VLOOKUP(V88,tablas!$R$3:$T$66,2,TRUE)&amp;VLOOKUP(V88,tablas!$R$3:$T$66,3,TRUE),tablas!$Q$3:$R$66,2,FALSE)&lt;V88,VLOOKUP(V88+0.1,tablas!$R$3:$T$66,3,TRUE),VLOOKUP(V88,tablas!$R$3:$T$66,3,TRUE))&amp;"$",$C$13)</f>
        <v>$\phi8@16$</v>
      </c>
      <c r="W89" s="134" t="str">
        <f>IF(W88&gt;$C$12,"$\phi"&amp;IF(VLOOKUP(VLOOKUP(W88,tablas!$R$3:$T$66,2,TRUE)&amp;VLOOKUP(W88,tablas!$R$3:$T$66,3,TRUE),tablas!$Q$3:$R$66,2,FALSE)&lt;W88,VLOOKUP(W88+0.1,tablas!$R$3:$T$66,2,TRUE),VLOOKUP(W88,tablas!$R$3:$T$66,2,TRUE))&amp;"@"&amp;IF(VLOOKUP(VLOOKUP(W88,tablas!$R$3:$T$66,2,TRUE)&amp;VLOOKUP(W88,tablas!$R$3:$T$66,3,TRUE),tablas!$Q$3:$R$66,2,FALSE)&lt;W88,VLOOKUP(W88+0.1,tablas!$R$3:$T$66,3,TRUE),VLOOKUP(W88,tablas!$R$3:$T$66,3,TRUE))&amp;"$",$C$13)</f>
        <v>$\phi8@16$</v>
      </c>
      <c r="X89" s="134" t="str">
        <f>IF(X88&gt;$C$12,"$\phi"&amp;IF(VLOOKUP(VLOOKUP(X88,tablas!$R$3:$T$66,2,TRUE)&amp;VLOOKUP(X88,tablas!$R$3:$T$66,3,TRUE),tablas!$Q$3:$R$66,2,FALSE)&lt;X88,VLOOKUP(X88+0.1,tablas!$R$3:$T$66,2,TRUE),VLOOKUP(X88,tablas!$R$3:$T$66,2,TRUE))&amp;"@"&amp;IF(VLOOKUP(VLOOKUP(X88,tablas!$R$3:$T$66,2,TRUE)&amp;VLOOKUP(X88,tablas!$R$3:$T$66,3,TRUE),tablas!$Q$3:$R$66,2,FALSE)&lt;X88,VLOOKUP(X88+0.1,tablas!$R$3:$T$66,3,TRUE),VLOOKUP(X88,tablas!$R$3:$T$66,3,TRUE))&amp;"$",$C$13)</f>
        <v>$\phi8@16$</v>
      </c>
      <c r="Y89" s="134" t="str">
        <f>IF(Y88&gt;$C$12,"$\phi"&amp;IF(VLOOKUP(VLOOKUP(Y88,tablas!$R$3:$T$66,2,TRUE)&amp;VLOOKUP(Y88,tablas!$R$3:$T$66,3,TRUE),tablas!$Q$3:$R$66,2,FALSE)&lt;Y88,VLOOKUP(Y88+0.1,tablas!$R$3:$T$66,2,TRUE),VLOOKUP(Y88,tablas!$R$3:$T$66,2,TRUE))&amp;"@"&amp;IF(VLOOKUP(VLOOKUP(Y88,tablas!$R$3:$T$66,2,TRUE)&amp;VLOOKUP(Y88,tablas!$R$3:$T$66,3,TRUE),tablas!$Q$3:$R$66,2,FALSE)&lt;Y88,VLOOKUP(Y88+0.1,tablas!$R$3:$T$66,3,TRUE),VLOOKUP(Y88,tablas!$R$3:$T$66,3,TRUE))&amp;"$",$C$13)</f>
        <v>$\phi12@19$</v>
      </c>
      <c r="Z89" s="134" t="str">
        <f>IF(Z88&gt;$C$12,"$\phi"&amp;IF(VLOOKUP(VLOOKUP(Z88,tablas!$R$3:$T$66,2,TRUE)&amp;VLOOKUP(Z88,tablas!$R$3:$T$66,3,TRUE),tablas!$Q$3:$R$66,2,FALSE)&lt;Z88,VLOOKUP(Z88+0.1,tablas!$R$3:$T$66,2,TRUE),VLOOKUP(Z88,tablas!$R$3:$T$66,2,TRUE))&amp;"@"&amp;IF(VLOOKUP(VLOOKUP(Z88,tablas!$R$3:$T$66,2,TRUE)&amp;VLOOKUP(Z88,tablas!$R$3:$T$66,3,TRUE),tablas!$Q$3:$R$66,2,FALSE)&lt;Z88,VLOOKUP(Z88+0.1,tablas!$R$3:$T$66,3,TRUE),VLOOKUP(Z88,tablas!$R$3:$T$66,3,TRUE))&amp;"$",$C$13)</f>
        <v>$\phi16@19$</v>
      </c>
      <c r="AA89" s="134" t="str">
        <f>IF(AA88&gt;$C$12,"$\phi"&amp;IF(VLOOKUP(VLOOKUP(AA88,tablas!$R$3:$T$66,2,TRUE)&amp;VLOOKUP(AA88,tablas!$R$3:$T$66,3,TRUE),tablas!$Q$3:$R$66,2,FALSE)&lt;AA88,VLOOKUP(AA88+0.1,tablas!$R$3:$T$66,2,TRUE),VLOOKUP(AA88,tablas!$R$3:$T$66,2,TRUE))&amp;"@"&amp;IF(VLOOKUP(VLOOKUP(AA88,tablas!$R$3:$T$66,2,TRUE)&amp;VLOOKUP(AA88,tablas!$R$3:$T$66,3,TRUE),tablas!$Q$3:$R$66,2,FALSE)&lt;AA88,VLOOKUP(AA88+0.1,tablas!$R$3:$T$66,3,TRUE),VLOOKUP(AA88,tablas!$R$3:$T$66,3,TRUE))&amp;"$",$C$13)</f>
        <v>$\phi10@19$</v>
      </c>
      <c r="AB89" s="134" t="str">
        <f>IF(AB88&gt;$C$12,"$\phi"&amp;IF(VLOOKUP(VLOOKUP(AB88,tablas!$R$3:$T$66,2,TRUE)&amp;VLOOKUP(AB88,tablas!$R$3:$T$66,3,TRUE),tablas!$Q$3:$R$66,2,FALSE)&lt;AB88,VLOOKUP(AB88+0.1,tablas!$R$3:$T$66,2,TRUE),VLOOKUP(AB88,tablas!$R$3:$T$66,2,TRUE))&amp;"@"&amp;IF(VLOOKUP(VLOOKUP(AB88,tablas!$R$3:$T$66,2,TRUE)&amp;VLOOKUP(AB88,tablas!$R$3:$T$66,3,TRUE),tablas!$Q$3:$R$66,2,FALSE)&lt;AB88,VLOOKUP(AB88+0.1,tablas!$R$3:$T$66,3,TRUE),VLOOKUP(AB88,tablas!$R$3:$T$66,3,TRUE))&amp;"$",$C$13)</f>
        <v>$\phi12@24$</v>
      </c>
      <c r="AC89" s="134" t="str">
        <f>IF(AC88&gt;$C$12,"$\phi"&amp;IF(VLOOKUP(VLOOKUP(AC88,tablas!$R$3:$T$66,2,TRUE)&amp;VLOOKUP(AC88,tablas!$R$3:$T$66,3,TRUE),tablas!$Q$3:$R$66,2,FALSE)&lt;AC88,VLOOKUP(AC88+0.1,tablas!$R$3:$T$66,2,TRUE),VLOOKUP(AC88,tablas!$R$3:$T$66,2,TRUE))&amp;"@"&amp;IF(VLOOKUP(VLOOKUP(AC88,tablas!$R$3:$T$66,2,TRUE)&amp;VLOOKUP(AC88,tablas!$R$3:$T$66,3,TRUE),tablas!$Q$3:$R$66,2,FALSE)&lt;AC88,VLOOKUP(AC88+0.1,tablas!$R$3:$T$66,3,TRUE),VLOOKUP(AC88,tablas!$R$3:$T$66,3,TRUE))&amp;"$",$C$13)</f>
        <v>$\phi12@15$</v>
      </c>
      <c r="AD89" s="134" t="str">
        <f>IF(AD88&gt;$C$12,"$\phi"&amp;IF(VLOOKUP(VLOOKUP(AD88,tablas!$R$3:$T$66,2,TRUE)&amp;VLOOKUP(AD88,tablas!$R$3:$T$66,3,TRUE),tablas!$Q$3:$R$66,2,FALSE)&lt;AD88,VLOOKUP(AD88+0.1,tablas!$R$3:$T$66,2,TRUE),VLOOKUP(AD88,tablas!$R$3:$T$66,2,TRUE))&amp;"@"&amp;IF(VLOOKUP(VLOOKUP(AD88,tablas!$R$3:$T$66,2,TRUE)&amp;VLOOKUP(AD88,tablas!$R$3:$T$66,3,TRUE),tablas!$Q$3:$R$66,2,FALSE)&lt;AD88,VLOOKUP(AD88+0.1,tablas!$R$3:$T$66,3,TRUE),VLOOKUP(AD88,tablas!$R$3:$T$66,3,TRUE))&amp;"$",$C$13)</f>
        <v>$\phi8@16$</v>
      </c>
      <c r="AE89" s="134" t="str">
        <f>IF(AE88&gt;$C$12,"$\phi"&amp;IF(VLOOKUP(VLOOKUP(AE88,tablas!$R$3:$T$66,2,TRUE)&amp;VLOOKUP(AE88,tablas!$R$3:$T$66,3,TRUE),tablas!$Q$3:$R$66,2,FALSE)&lt;AE88,VLOOKUP(AE88+0.1,tablas!$R$3:$T$66,2,TRUE),VLOOKUP(AE88,tablas!$R$3:$T$66,2,TRUE))&amp;"@"&amp;IF(VLOOKUP(VLOOKUP(AE88,tablas!$R$3:$T$66,2,TRUE)&amp;VLOOKUP(AE88,tablas!$R$3:$T$66,3,TRUE),tablas!$Q$3:$R$66,2,FALSE)&lt;AE88,VLOOKUP(AE88+0.1,tablas!$R$3:$T$66,3,TRUE),VLOOKUP(AE88,tablas!$R$3:$T$66,3,TRUE))&amp;"$",$C$13)</f>
        <v>$\phi8@16$</v>
      </c>
    </row>
    <row r="91" spans="2:32" ht="15.75" thickBot="1" x14ac:dyDescent="0.3">
      <c r="B91" s="219" t="s">
        <v>107</v>
      </c>
      <c r="C91" s="219"/>
    </row>
    <row r="92" spans="2:32" ht="15.75" thickBot="1" x14ac:dyDescent="0.3">
      <c r="B92" s="73" t="s">
        <v>43</v>
      </c>
      <c r="C92" s="74" t="s">
        <v>49</v>
      </c>
      <c r="D92" s="75" t="s">
        <v>50</v>
      </c>
      <c r="E92" s="74" t="s">
        <v>49</v>
      </c>
      <c r="F92" s="75" t="s">
        <v>55</v>
      </c>
      <c r="G92" s="74" t="s">
        <v>50</v>
      </c>
      <c r="H92" s="75" t="s">
        <v>51</v>
      </c>
      <c r="I92" s="74" t="s">
        <v>50</v>
      </c>
      <c r="J92" s="75" t="s">
        <v>56</v>
      </c>
      <c r="K92" s="74" t="s">
        <v>51</v>
      </c>
      <c r="L92" s="75" t="s">
        <v>52</v>
      </c>
      <c r="M92" s="74" t="s">
        <v>51</v>
      </c>
      <c r="N92" s="75" t="s">
        <v>57</v>
      </c>
      <c r="O92" s="74" t="s">
        <v>52</v>
      </c>
      <c r="P92" s="75" t="s">
        <v>58</v>
      </c>
      <c r="Q92" s="74" t="s">
        <v>52</v>
      </c>
      <c r="R92" s="75" t="s">
        <v>53</v>
      </c>
      <c r="S92" s="74" t="s">
        <v>53</v>
      </c>
      <c r="T92" s="75" t="s">
        <v>54</v>
      </c>
      <c r="U92" s="74" t="s">
        <v>53</v>
      </c>
      <c r="V92" s="75" t="s">
        <v>58</v>
      </c>
      <c r="W92" s="74" t="s">
        <v>54</v>
      </c>
      <c r="X92" s="75" t="s">
        <v>59</v>
      </c>
      <c r="Y92" s="74" t="s">
        <v>55</v>
      </c>
      <c r="Z92" s="75" t="s">
        <v>56</v>
      </c>
      <c r="AA92" s="74" t="s">
        <v>55</v>
      </c>
      <c r="AB92" s="75" t="s">
        <v>60</v>
      </c>
      <c r="AC92" s="74" t="s">
        <v>56</v>
      </c>
      <c r="AD92" s="75" t="s">
        <v>60</v>
      </c>
      <c r="AE92" s="74" t="s">
        <v>56</v>
      </c>
      <c r="AF92" s="75" t="s">
        <v>57</v>
      </c>
    </row>
    <row r="93" spans="2:32" ht="15.75" hidden="1" thickBot="1" x14ac:dyDescent="0.3">
      <c r="B93" s="144"/>
      <c r="C93" s="146" t="str">
        <f>C92&amp;"-"&amp;D92</f>
        <v>0101-0102</v>
      </c>
      <c r="D93" s="146"/>
      <c r="E93" s="146" t="str">
        <f>E92&amp;"-"&amp;F92</f>
        <v>0101-0107</v>
      </c>
      <c r="F93" s="145"/>
      <c r="G93" s="146" t="str">
        <f>G92&amp;"-"&amp;H92</f>
        <v>0102-0103</v>
      </c>
      <c r="H93" s="145"/>
      <c r="I93" s="146" t="str">
        <f>I92&amp;"-"&amp;J92</f>
        <v>0102-0108</v>
      </c>
      <c r="J93" s="145"/>
      <c r="K93" s="146" t="str">
        <f>K92&amp;"-"&amp;L92</f>
        <v>0103-0104</v>
      </c>
      <c r="L93" s="145"/>
      <c r="M93" s="146" t="str">
        <f>M92&amp;"-"&amp;N92</f>
        <v>0103-0109</v>
      </c>
      <c r="N93" s="145"/>
      <c r="O93" s="146" t="str">
        <f>O92&amp;"-"&amp;P92</f>
        <v>0104-0110</v>
      </c>
      <c r="P93" s="145"/>
      <c r="Q93" s="146" t="str">
        <f>Q92&amp;"-"&amp;R92</f>
        <v>0104-0105</v>
      </c>
      <c r="R93" s="145"/>
      <c r="S93" s="146" t="str">
        <f>S92&amp;"-"&amp;T92</f>
        <v>0105-0106</v>
      </c>
      <c r="T93" s="145"/>
      <c r="U93" s="146" t="str">
        <f>U92&amp;"-"&amp;V92</f>
        <v>0105-0110</v>
      </c>
      <c r="V93" s="145"/>
      <c r="W93" s="146" t="str">
        <f>W92&amp;"-"&amp;X92</f>
        <v>0106-0111</v>
      </c>
      <c r="X93" s="145"/>
      <c r="Y93" s="146" t="str">
        <f>Y92&amp;"-"&amp;Z92</f>
        <v>0107-0108</v>
      </c>
      <c r="Z93" s="145"/>
      <c r="AA93" s="146" t="str">
        <f>AA92&amp;"-"&amp;AB92</f>
        <v>0107-0112</v>
      </c>
      <c r="AB93" s="145"/>
      <c r="AC93" s="146" t="str">
        <f>AC92&amp;"-"&amp;AD92</f>
        <v>0108-0112</v>
      </c>
      <c r="AD93" s="145"/>
      <c r="AE93" s="146" t="str">
        <f>AE92&amp;"-"&amp;AF92</f>
        <v>0108-0109</v>
      </c>
      <c r="AF93" s="145"/>
    </row>
    <row r="94" spans="2:32" x14ac:dyDescent="0.25">
      <c r="B94" s="105" t="s">
        <v>114</v>
      </c>
      <c r="C94" s="102" t="s">
        <v>109</v>
      </c>
      <c r="D94" s="103" t="s">
        <v>109</v>
      </c>
      <c r="E94" s="102" t="s">
        <v>108</v>
      </c>
      <c r="F94" s="103" t="s">
        <v>109</v>
      </c>
      <c r="G94" s="102" t="s">
        <v>109</v>
      </c>
      <c r="H94" s="103" t="s">
        <v>109</v>
      </c>
      <c r="I94" s="102" t="s">
        <v>108</v>
      </c>
      <c r="J94" s="103" t="s">
        <v>108</v>
      </c>
      <c r="K94" s="102" t="s">
        <v>109</v>
      </c>
      <c r="L94" s="103" t="s">
        <v>109</v>
      </c>
      <c r="M94" s="102" t="s">
        <v>108</v>
      </c>
      <c r="N94" s="103" t="s">
        <v>108</v>
      </c>
      <c r="O94" s="102" t="s">
        <v>108</v>
      </c>
      <c r="P94" s="103" t="s">
        <v>108</v>
      </c>
      <c r="Q94" s="102" t="s">
        <v>109</v>
      </c>
      <c r="R94" s="103" t="s">
        <v>108</v>
      </c>
      <c r="S94" s="102" t="s">
        <v>108</v>
      </c>
      <c r="T94" s="103" t="s">
        <v>108</v>
      </c>
      <c r="U94" s="102" t="s">
        <v>109</v>
      </c>
      <c r="V94" s="103" t="s">
        <v>108</v>
      </c>
      <c r="W94" s="102" t="s">
        <v>109</v>
      </c>
      <c r="X94" s="103" t="s">
        <v>109</v>
      </c>
      <c r="Y94" s="102" t="s">
        <v>108</v>
      </c>
      <c r="Z94" s="103" t="s">
        <v>109</v>
      </c>
      <c r="AA94" s="102" t="s">
        <v>109</v>
      </c>
      <c r="AB94" s="103" t="s">
        <v>108</v>
      </c>
      <c r="AC94" s="102" t="s">
        <v>108</v>
      </c>
      <c r="AD94" s="103" t="s">
        <v>108</v>
      </c>
      <c r="AE94" s="102" t="s">
        <v>109</v>
      </c>
      <c r="AF94" s="103" t="s">
        <v>109</v>
      </c>
    </row>
    <row r="95" spans="2:32" x14ac:dyDescent="0.25">
      <c r="B95" s="106" t="s">
        <v>110</v>
      </c>
      <c r="C95" s="104">
        <f t="shared" ref="C95:AF95" si="190">HLOOKUP(C92,$B$46:$AE$89,IF(C94="x",35,40),FALSE)</f>
        <v>2074.2364532019706</v>
      </c>
      <c r="D95" s="86">
        <f t="shared" si="190"/>
        <v>2170.9923664122139</v>
      </c>
      <c r="E95" s="104">
        <f t="shared" si="190"/>
        <v>2239.7340425531916</v>
      </c>
      <c r="F95" s="86">
        <f t="shared" si="190"/>
        <v>2298.253990147783</v>
      </c>
      <c r="G95" s="104">
        <f t="shared" si="190"/>
        <v>2170.9923664122139</v>
      </c>
      <c r="H95" s="86">
        <f t="shared" si="190"/>
        <v>2170.9923664122139</v>
      </c>
      <c r="I95" s="104">
        <f t="shared" si="190"/>
        <v>2872.7272727272725</v>
      </c>
      <c r="J95" s="86">
        <f t="shared" si="190"/>
        <v>3352.2893617021282</v>
      </c>
      <c r="K95" s="104">
        <f t="shared" si="190"/>
        <v>2170.9923664122139</v>
      </c>
      <c r="L95" s="86">
        <f t="shared" si="190"/>
        <v>2234.0860215053763</v>
      </c>
      <c r="M95" s="104">
        <f t="shared" si="190"/>
        <v>2872.7272727272725</v>
      </c>
      <c r="N95" s="86">
        <f t="shared" si="190"/>
        <v>3352.2893617021282</v>
      </c>
      <c r="O95" s="104">
        <f t="shared" si="190"/>
        <v>3040.5365853658536</v>
      </c>
      <c r="P95" s="86">
        <f t="shared" si="190"/>
        <v>4041.0606666666667</v>
      </c>
      <c r="Q95" s="104">
        <f t="shared" si="190"/>
        <v>2234.0860215053763</v>
      </c>
      <c r="R95" s="86">
        <f t="shared" si="190"/>
        <v>1890.0537634408602</v>
      </c>
      <c r="S95" s="104">
        <f t="shared" si="190"/>
        <v>1890.0537634408602</v>
      </c>
      <c r="T95" s="86">
        <f t="shared" si="190"/>
        <v>1481.25</v>
      </c>
      <c r="U95" s="104">
        <f t="shared" si="190"/>
        <v>1635.1162790697674</v>
      </c>
      <c r="V95" s="86">
        <f t="shared" si="190"/>
        <v>4041.0606666666667</v>
      </c>
      <c r="W95" s="104">
        <f t="shared" si="190"/>
        <v>1160.8163265306123</v>
      </c>
      <c r="X95" s="86">
        <f t="shared" si="190"/>
        <v>1129.4451612903226</v>
      </c>
      <c r="Y95" s="104">
        <f t="shared" si="190"/>
        <v>2481.6253191489359</v>
      </c>
      <c r="Z95" s="86">
        <f t="shared" si="190"/>
        <v>2752.0978165938868</v>
      </c>
      <c r="AA95" s="104">
        <f t="shared" si="190"/>
        <v>2298.253990147783</v>
      </c>
      <c r="AB95" s="86">
        <f t="shared" si="190"/>
        <v>3914.1434146341467</v>
      </c>
      <c r="AC95" s="104">
        <f t="shared" si="190"/>
        <v>3352.2893617021282</v>
      </c>
      <c r="AD95" s="86">
        <f t="shared" si="190"/>
        <v>3914.1434146341467</v>
      </c>
      <c r="AE95" s="104">
        <f t="shared" si="190"/>
        <v>2752.0978165938868</v>
      </c>
      <c r="AF95" s="86">
        <f t="shared" si="190"/>
        <v>2752.0978165938868</v>
      </c>
    </row>
    <row r="96" spans="2:32" x14ac:dyDescent="0.25">
      <c r="B96" s="106" t="s">
        <v>111</v>
      </c>
      <c r="C96" s="203">
        <f>(MAX(C95:D95)-MIN(C95:D95))/(MAX(C95:D95))</f>
        <v>4.4567597153804053E-2</v>
      </c>
      <c r="D96" s="204"/>
      <c r="E96" s="203">
        <f>(MAX(E95:F95)-MIN(E95:F95))/(MAX(E95:F95))</f>
        <v>2.5462785160150433E-2</v>
      </c>
      <c r="F96" s="204"/>
      <c r="G96" s="203">
        <f>(MAX(G95:H95)-MIN(G95:H95))/(MAX(G95:H95))</f>
        <v>0</v>
      </c>
      <c r="H96" s="204"/>
      <c r="I96" s="203">
        <f>(MAX(I95:J95)-MIN(I95:J95))/(MAX(I95:J95))</f>
        <v>0.14305509973380029</v>
      </c>
      <c r="J96" s="204"/>
      <c r="K96" s="203">
        <f>(MAX(K95:L95)-MIN(K95:L95))/(MAX(K95:L95))</f>
        <v>2.8241372304298518E-2</v>
      </c>
      <c r="L96" s="204"/>
      <c r="M96" s="203">
        <f>(MAX(M95:N95)-MIN(M95:N95))/(MAX(M95:N95))</f>
        <v>0.14305509973380029</v>
      </c>
      <c r="N96" s="204"/>
      <c r="O96" s="203">
        <f>(MAX(O95:P95)-MIN(O95:P95))/(MAX(O95:P95))</f>
        <v>0.24758947311872737</v>
      </c>
      <c r="P96" s="204"/>
      <c r="Q96" s="203">
        <f>(MAX(Q95:R95)-MIN(Q95:R95))/(MAX(Q95:R95))</f>
        <v>0.15399239543726234</v>
      </c>
      <c r="R96" s="204"/>
      <c r="S96" s="203">
        <f>(MAX(S95:T95)-MIN(S95:T95))/(MAX(S95:T95))</f>
        <v>0.21629213483146065</v>
      </c>
      <c r="T96" s="204"/>
      <c r="U96" s="203">
        <f>(MAX(U95:V95)-MIN(U95:V95))/(MAX(U95:V95))</f>
        <v>0.59537447864683524</v>
      </c>
      <c r="V96" s="204"/>
      <c r="W96" s="203">
        <f>(MAX(W95:X95)-MIN(W95:X95))/(MAX(W95:X95))</f>
        <v>2.702508960573476E-2</v>
      </c>
      <c r="X96" s="204"/>
      <c r="Y96" s="203">
        <f>(MAX(Y95:Z95)-MIN(Y95:Z95))/(MAX(Y95:Z95))</f>
        <v>9.8278664302600696E-2</v>
      </c>
      <c r="Z96" s="204"/>
      <c r="AA96" s="203">
        <f>(MAX(AA95:AB95)-MIN(AA95:AB95))/(MAX(AA95:AB95))</f>
        <v>0.41283347422705513</v>
      </c>
      <c r="AB96" s="204"/>
      <c r="AC96" s="203">
        <f>(MAX(AC95:AD95)-MIN(AC95:AD95))/(MAX(AC95:AD95))</f>
        <v>0.14354457499726916</v>
      </c>
      <c r="AD96" s="204"/>
      <c r="AE96" s="211">
        <f>(MAX(AE95:AF95)-MIN(AE95:AF95))/(MAX(AE95:AF95))</f>
        <v>0</v>
      </c>
      <c r="AF96" s="204"/>
    </row>
    <row r="97" spans="2:32" x14ac:dyDescent="0.25">
      <c r="B97" s="106" t="s">
        <v>279</v>
      </c>
      <c r="C97" s="205">
        <f>IF(C96&lt;25%,(C95*0.5+D95*0.5)*0.9,IF(C96&lt;50%,(MAX(C95:D95)*0.6+MIN(C95:D95)*0.4)*0.9,IF(C96&lt;70%,(MAX(C95:D95)*0.65+MIN(C95:D95)*0.35)*0.9,IF(C96&lt;100%,(MAX(C95:D95)*0.7+MIN(C95:D95)*0.3)*0.9,0.7*MAX(C95:D95)))))</f>
        <v>1910.3529688263829</v>
      </c>
      <c r="D97" s="206"/>
      <c r="E97" s="205">
        <f>IF(E96&lt;25%,(E95*0.5+F95*0.5)*0.9,IF(E96&lt;50%,(MAX(E95:F95)*0.6+MIN(E95:F95)*0.4)*0.9,IF(E96&lt;70%,(MAX(E95:F95)*0.65+MIN(E95:F95)*0.35)*0.9,IF(E96&lt;100%,(MAX(E95:F95)*0.7+MIN(E95:F95)*0.3)*0.9,0.7*MAX(E95:F95)))))</f>
        <v>2042.0946147154384</v>
      </c>
      <c r="F97" s="206"/>
      <c r="G97" s="205">
        <f>IF(G96&lt;25%,(G95*0.5+H95*0.5)*0.9,IF(G96&lt;50%,(MAX(G95:H95)*0.6+MIN(G95:H95)*0.4)*0.9,IF(G96&lt;70%,(MAX(G95:H95)*0.65+MIN(G95:H95)*0.35)*0.9,IF(G96&lt;100%,(MAX(G95:H95)*0.7+MIN(G95:H95)*0.3)*0.9,0.7*MAX(G95:H95)))))</f>
        <v>1953.8931297709926</v>
      </c>
      <c r="H97" s="206"/>
      <c r="I97" s="205">
        <f>IF(I96&lt;25%,(I95*0.5+J95*0.5)*0.9,IF(I96&lt;50%,(MAX(I95:J95)*0.6+MIN(I95:J95)*0.4)*0.9,IF(I96&lt;70%,(MAX(I95:J95)*0.65+MIN(I95:J95)*0.35)*0.9,IF(I96&lt;100%,(MAX(I95:J95)*0.7+MIN(I95:J95)*0.3)*0.9,0.7*MAX(I95:J95)))))</f>
        <v>2801.2574854932304</v>
      </c>
      <c r="J97" s="206"/>
      <c r="K97" s="205">
        <f>IF(K96&lt;25%,(K95*0.5+L95*0.5)*0.9,IF(K96&lt;50%,(MAX(K95:L95)*0.6+MIN(K95:L95)*0.4)*0.9,IF(K96&lt;70%,(MAX(K95:L95)*0.65+MIN(K95:L95)*0.35)*0.9,IF(K96&lt;100%,(MAX(K95:L95)*0.7+MIN(K95:L95)*0.3)*0.9,0.7*MAX(K95:L95)))))</f>
        <v>1982.2852745629159</v>
      </c>
      <c r="L97" s="206"/>
      <c r="M97" s="205">
        <f>IF(M96&lt;25%,(M95*0.5+N95*0.5)*0.9,IF(M96&lt;50%,(MAX(M95:N95)*0.6+MIN(M95:N95)*0.4)*0.9,IF(M96&lt;70%,(MAX(M95:N95)*0.65+MIN(M95:N95)*0.35)*0.9,IF(M96&lt;100%,(MAX(M95:N95)*0.7+MIN(M95:N95)*0.3)*0.9,0.7*MAX(M95:N95)))))</f>
        <v>2801.2574854932304</v>
      </c>
      <c r="N97" s="206"/>
      <c r="O97" s="205">
        <f>IF(O96&lt;25%,(O95*0.5+P95*0.5)*0.9,IF(O96&lt;50%,(MAX(O95:P95)*0.6+MIN(O95:P95)*0.4)*0.9,IF(O96&lt;70%,(MAX(O95:P95)*0.65+MIN(O95:P95)*0.35)*0.9,IF(O96&lt;100%,(MAX(O95:P95)*0.7+MIN(O95:P95)*0.3)*0.9,0.7*MAX(O95:P95)))))</f>
        <v>3186.7187634146344</v>
      </c>
      <c r="P97" s="206"/>
      <c r="Q97" s="205">
        <f>IF(Q96&lt;25%,(Q95*0.5+R95*0.5)*0.9,IF(Q96&lt;50%,(MAX(Q95:R95)*0.6+MIN(Q95:R95)*0.4)*0.9,IF(Q96&lt;70%,(MAX(Q95:R95)*0.65+MIN(Q95:R95)*0.35)*0.9,IF(Q96&lt;100%,(MAX(Q95:R95)*0.7+MIN(Q95:R95)*0.3)*0.9,0.7*MAX(Q95:R95)))))</f>
        <v>1855.8629032258063</v>
      </c>
      <c r="R97" s="206"/>
      <c r="S97" s="205">
        <f>IF(S96&lt;25%,(S95*0.5+T95*0.5)*0.9,IF(S96&lt;50%,(MAX(S95:T95)*0.6+MIN(S95:T95)*0.4)*0.9,IF(S96&lt;70%,(MAX(S95:T95)*0.65+MIN(S95:T95)*0.35)*0.9,IF(S96&lt;100%,(MAX(S95:T95)*0.7+MIN(S95:T95)*0.3)*0.9,0.7*MAX(S95:T95)))))</f>
        <v>1517.0866935483871</v>
      </c>
      <c r="T97" s="206"/>
      <c r="U97" s="205">
        <f>IF(U96&lt;25%,(U95*0.5+V95*0.5)*0.9,IF(U96&lt;50%,(MAX(U95:V95)*0.6+MIN(U95:V95)*0.4)*0.9,IF(U96&lt;70%,(MAX(U95:V95)*0.65+MIN(U95:V95)*0.35)*0.9,IF(U96&lt;100%,(MAX(U95:V95)*0.7+MIN(U95:V95)*0.3)*0.9,0.7*MAX(U95:V95)))))</f>
        <v>2879.0821179069767</v>
      </c>
      <c r="V97" s="206"/>
      <c r="W97" s="205">
        <f>IF(W96&lt;25%,(W95*0.5+X95*0.5)*0.9,IF(W96&lt;50%,(MAX(W95:X95)*0.6+MIN(W95:X95)*0.4)*0.9,IF(W96&lt;70%,(MAX(W95:X95)*0.65+MIN(W95:X95)*0.35)*0.9,IF(W96&lt;100%,(MAX(W95:X95)*0.7+MIN(W95:X95)*0.3)*0.9,0.7*MAX(W95:X95)))))</f>
        <v>1030.6176695194208</v>
      </c>
      <c r="X97" s="206"/>
      <c r="Y97" s="205">
        <f>IF(Y96&lt;25%,(Y95*0.5+Z95*0.5)*0.9,IF(Y96&lt;50%,(MAX(Y95:Z95)*0.6+MIN(Y95:Z95)*0.4)*0.9,IF(Y96&lt;70%,(MAX(Y95:Z95)*0.65+MIN(Y95:Z95)*0.35)*0.9,IF(Y96&lt;100%,(MAX(Y95:Z95)*0.7+MIN(Y95:Z95)*0.3)*0.9,0.7*MAX(Y95:Z95)))))</f>
        <v>2355.1754110842703</v>
      </c>
      <c r="Z97" s="206"/>
      <c r="AA97" s="205">
        <f>IF(AA96&lt;25%,(AA95*0.5+AB95*0.5)*0.9,IF(AA96&lt;50%,(MAX(AA95:AB95)*0.6+MIN(AA95:AB95)*0.4)*0.9,IF(AA96&lt;70%,(MAX(AA95:AB95)*0.65+MIN(AA95:AB95)*0.35)*0.9,IF(AA96&lt;100%,(MAX(AA95:AB95)*0.7+MIN(AA95:AB95)*0.3)*0.9,0.7*MAX(AA95:AB95)))))</f>
        <v>2941.0088803556414</v>
      </c>
      <c r="AB97" s="206"/>
      <c r="AC97" s="205">
        <f>IF(AC96&lt;25%,(AC95*0.5+AD95*0.5)*0.9,IF(AC96&lt;50%,(MAX(AC95:AD95)*0.6+MIN(AC95:AD95)*0.4)*0.9,IF(AC96&lt;70%,(MAX(AC95:AD95)*0.65+MIN(AC95:AD95)*0.35)*0.9,IF(AC96&lt;100%,(MAX(AC95:AD95)*0.7+MIN(AC95:AD95)*0.3)*0.9,0.7*MAX(AC95:AD95)))))</f>
        <v>3269.8947493513238</v>
      </c>
      <c r="AD97" s="206"/>
      <c r="AE97" s="212">
        <f>IF(AE96&lt;25%,(AE95*0.5+AF95*0.5)*0.9,IF(AE96&lt;50%,(MAX(AE95:AF95)*0.6+MIN(AE95:AF95)*0.4)*0.9,IF(AE96&lt;70%,(MAX(AE95:AF95)*0.65+MIN(AE95:AF95)*0.35)*0.9,IF(AE96&lt;100%,(MAX(AE95:AF95)*0.7+MIN(AE95:AF95)*0.3)*0.9,0.7*MAX(AE95:AF95)))))</f>
        <v>2476.8880349344981</v>
      </c>
      <c r="AF97" s="206"/>
    </row>
    <row r="98" spans="2:32" x14ac:dyDescent="0.25">
      <c r="B98" s="107" t="s">
        <v>280</v>
      </c>
      <c r="C98" s="207">
        <f>C97/(0.9*(0.9*($C$7/100))*($L$9*1000))</f>
        <v>3.6736144164193352</v>
      </c>
      <c r="D98" s="208"/>
      <c r="E98" s="207">
        <f>E97/(0.9*(0.9*($C$7/100))*($L$9*1000))</f>
        <v>3.9269539916069345</v>
      </c>
      <c r="F98" s="208"/>
      <c r="G98" s="207">
        <f>G97/(0.9*(0.9*($C$7/100))*($L$9*1000))</f>
        <v>3.7573422748567213</v>
      </c>
      <c r="H98" s="208"/>
      <c r="I98" s="207">
        <f>I97/(0.9*(0.9*($C$7/100))*($L$9*1000))</f>
        <v>5.3868264403161996</v>
      </c>
      <c r="J98" s="208"/>
      <c r="K98" s="207">
        <f>K97/(0.9*(0.9*($C$7/100))*($L$9*1000))</f>
        <v>3.811940453372785</v>
      </c>
      <c r="L98" s="208"/>
      <c r="M98" s="207">
        <f>M97/(0.9*(0.9*($C$7/100))*($L$9*1000))</f>
        <v>5.3868264403161996</v>
      </c>
      <c r="N98" s="208"/>
      <c r="O98" s="207">
        <f>O97/(0.9*(0.9*($C$7/100))*($L$9*1000))</f>
        <v>6.1280696192735542</v>
      </c>
      <c r="P98" s="208"/>
      <c r="Q98" s="207">
        <f>Q97/(0.9*(0.9*($C$7/100))*($L$9*1000))</f>
        <v>3.5688298589012075</v>
      </c>
      <c r="R98" s="208"/>
      <c r="S98" s="207">
        <f>S97/(0.9*(0.9*($C$7/100))*($L$9*1000))</f>
        <v>2.9173622044313428</v>
      </c>
      <c r="T98" s="208"/>
      <c r="U98" s="207">
        <f>U97/(0.9*(0.9*($C$7/100))*($L$9*1000))</f>
        <v>5.5364834389196114</v>
      </c>
      <c r="V98" s="208"/>
      <c r="W98" s="207">
        <f>W97/(0.9*(0.9*($C$7/100))*($L$9*1000))</f>
        <v>1.981880830582325</v>
      </c>
      <c r="X98" s="208"/>
      <c r="Y98" s="207">
        <f>Y97/(0.9*(0.9*($C$7/100))*($L$9*1000))</f>
        <v>4.5290092901893582</v>
      </c>
      <c r="Z98" s="208"/>
      <c r="AA98" s="207">
        <f>AA97/(0.9*(0.9*($C$7/100))*($L$9*1000))</f>
        <v>5.6555687864998285</v>
      </c>
      <c r="AB98" s="208"/>
      <c r="AC98" s="207">
        <f>AC97/(0.9*(0.9*($C$7/100))*($L$9*1000))</f>
        <v>6.2880172865492154</v>
      </c>
      <c r="AD98" s="208"/>
      <c r="AE98" s="213">
        <f>AE97/(0.9*(0.9*($C$7/100))*($L$9*1000))</f>
        <v>4.7630630262960993</v>
      </c>
      <c r="AF98" s="208"/>
    </row>
    <row r="99" spans="2:32" x14ac:dyDescent="0.25">
      <c r="B99" s="107" t="s">
        <v>98</v>
      </c>
      <c r="C99" s="209">
        <f>(C98*($L$9))/(0.85*$L$6*100)</f>
        <v>5.1814367119046821E-2</v>
      </c>
      <c r="D99" s="210"/>
      <c r="E99" s="209">
        <f>(E98*($L$9))/(0.85*$L$6*100)</f>
        <v>5.538758637033344E-2</v>
      </c>
      <c r="F99" s="210"/>
      <c r="G99" s="209">
        <f>(G98*($L$9))/(0.85*$L$6*100)</f>
        <v>5.29953037943212E-2</v>
      </c>
      <c r="H99" s="210"/>
      <c r="I99" s="209">
        <f>(I98*($L$9))/(0.85*$L$6*100)</f>
        <v>7.5978306688262762E-2</v>
      </c>
      <c r="J99" s="210"/>
      <c r="K99" s="209">
        <f>(K98*($L$9))/(0.85*$L$6*100)</f>
        <v>5.3765381909492573E-2</v>
      </c>
      <c r="L99" s="210"/>
      <c r="M99" s="209">
        <f>(M98*($L$9))/(0.85*$L$6*100)</f>
        <v>7.5978306688262762E-2</v>
      </c>
      <c r="N99" s="210"/>
      <c r="O99" s="209">
        <f>(O98*($L$9))/(0.85*$L$6*100)</f>
        <v>8.6433145396245886E-2</v>
      </c>
      <c r="P99" s="210"/>
      <c r="Q99" s="209">
        <f>(Q98*($L$9))/(0.85*$L$6*100)</f>
        <v>5.0336436961928389E-2</v>
      </c>
      <c r="R99" s="210"/>
      <c r="S99" s="209">
        <f>(S98*($L$9))/(0.85*$L$6*100)</f>
        <v>4.11478340252633E-2</v>
      </c>
      <c r="T99" s="210"/>
      <c r="U99" s="209">
        <f>(U98*($L$9))/(0.85*$L$6*100)</f>
        <v>7.8089138634292107E-2</v>
      </c>
      <c r="V99" s="210"/>
      <c r="W99" s="209">
        <f>(W98*($L$9))/(0.85*$L$6*100)</f>
        <v>2.7953369434478008E-2</v>
      </c>
      <c r="X99" s="210"/>
      <c r="Y99" s="209">
        <f>(Y98*($L$9))/(0.85*$L$6*100)</f>
        <v>6.3879254447225101E-2</v>
      </c>
      <c r="Z99" s="210"/>
      <c r="AA99" s="209">
        <f>(AA98*($L$9))/(0.85*$L$6*100)</f>
        <v>7.9768773788826061E-2</v>
      </c>
      <c r="AB99" s="210"/>
      <c r="AC99" s="209">
        <f>(AC98*($L$9))/(0.85*$L$6*100)</f>
        <v>8.8689121721636649E-2</v>
      </c>
      <c r="AD99" s="210"/>
      <c r="AE99" s="214">
        <f>(AE98*($L$9))/(0.85*$L$6*100)</f>
        <v>6.7180457250114706E-2</v>
      </c>
      <c r="AF99" s="210"/>
    </row>
    <row r="100" spans="2:32" ht="15.75" thickBot="1" x14ac:dyDescent="0.3">
      <c r="B100" s="107" t="s">
        <v>280</v>
      </c>
      <c r="C100" s="201">
        <f>ROUNDUP(C97/(0.9*(($C$7-C99/2)/100)*($L$9*1000)),2)</f>
        <v>3.32</v>
      </c>
      <c r="D100" s="202"/>
      <c r="E100" s="201">
        <f>ROUNDUP(E97/(0.9*(($C$7-E99/2)/100)*($L$9*1000)),2)</f>
        <v>3.55</v>
      </c>
      <c r="F100" s="202"/>
      <c r="G100" s="201">
        <f>ROUNDUP(G97/(0.9*(($C$7-G99/2)/100)*($L$9*1000)),2)</f>
        <v>3.3899999999999997</v>
      </c>
      <c r="H100" s="202"/>
      <c r="I100" s="201">
        <f>ROUNDUP(I97/(0.9*(($C$7-I99/2)/100)*($L$9*1000)),2)</f>
        <v>4.87</v>
      </c>
      <c r="J100" s="202"/>
      <c r="K100" s="201">
        <f>ROUNDUP(K97/(0.9*(($C$7-K99/2)/100)*($L$9*1000)),2)</f>
        <v>3.44</v>
      </c>
      <c r="L100" s="202"/>
      <c r="M100" s="201">
        <f>ROUNDUP(M97/(0.9*(($C$7-M99/2)/100)*($L$9*1000)),2)</f>
        <v>4.87</v>
      </c>
      <c r="N100" s="202"/>
      <c r="O100" s="201">
        <f>ROUNDUP(O97/(0.9*(($C$7-O99/2)/100)*($L$9*1000)),2)</f>
        <v>5.54</v>
      </c>
      <c r="P100" s="202"/>
      <c r="Q100" s="201">
        <f>ROUNDUP(Q97/(0.9*(($C$7-Q99/2)/100)*($L$9*1000)),2)</f>
        <v>3.2199999999999998</v>
      </c>
      <c r="R100" s="202"/>
      <c r="S100" s="201">
        <f>ROUNDUP(S97/(0.9*(($C$7-S99/2)/100)*($L$9*1000)),2)</f>
        <v>2.63</v>
      </c>
      <c r="T100" s="202"/>
      <c r="U100" s="201">
        <f>ROUNDUP(U97/(0.9*(($C$7-U99/2)/100)*($L$9*1000)),2)</f>
        <v>5</v>
      </c>
      <c r="V100" s="202"/>
      <c r="W100" s="201">
        <f>ROUNDUP(W97/(0.9*(($C$7-W99/2)/100)*($L$9*1000)),2)</f>
        <v>1.79</v>
      </c>
      <c r="X100" s="202"/>
      <c r="Y100" s="201">
        <f>ROUNDUP(Y97/(0.9*(($C$7-Y99/2)/100)*($L$9*1000)),2)</f>
        <v>4.09</v>
      </c>
      <c r="Z100" s="202"/>
      <c r="AA100" s="201">
        <f>ROUNDUP(AA97/(0.9*(($C$7-AA99/2)/100)*($L$9*1000)),2)</f>
        <v>5.1099999999999994</v>
      </c>
      <c r="AB100" s="202"/>
      <c r="AC100" s="201">
        <f>ROUNDUP(AC97/(0.9*(($C$7-AC99/2)/100)*($L$9*1000)),2)</f>
        <v>5.68</v>
      </c>
      <c r="AD100" s="202"/>
      <c r="AE100" s="215">
        <f>ROUNDUP(AE97/(0.9*(($C$7-AE99/2)/100)*($L$9*1000)),2)</f>
        <v>4.3</v>
      </c>
      <c r="AF100" s="216"/>
    </row>
    <row r="101" spans="2:32" ht="16.5" thickBot="1" x14ac:dyDescent="0.3">
      <c r="B101" s="61" t="s">
        <v>113</v>
      </c>
      <c r="C101" s="199" t="str">
        <f>IF(C100&gt;$C$12,"$\phi"&amp;IF(VLOOKUP(VLOOKUP(C100,tablas!$R$3:$T$66,2,TRUE)&amp;VLOOKUP(C100,tablas!$R$3:$T$66,3,TRUE),tablas!$Q$3:$R$66,2,FALSE)&lt;C100,VLOOKUP(C100+0.1,tablas!$R$3:$T$66,2,TRUE),VLOOKUP(C100,tablas!$R$3:$T$66,2,TRUE))&amp;"@"&amp;IF(VLOOKUP(VLOOKUP(C100,tablas!$R$3:$T$66,2,TRUE)&amp;VLOOKUP(C100,tablas!$R$3:$T$66,3,TRUE),tablas!$Q$3:$R$66,2,FALSE)&lt;C100,VLOOKUP(C100+0.1,tablas!$R$3:$T$66,3,TRUE)&amp;"$",VLOOKUP(C100,tablas!$R$3:$T$66,3,TRUE)&amp;"$"),$C$13)</f>
        <v>$\phi10@23$</v>
      </c>
      <c r="D101" s="200"/>
      <c r="E101" s="199" t="str">
        <f>IF(E100&gt;$C$12,"$\phi"&amp;IF(VLOOKUP(VLOOKUP(E100,tablas!$R$3:$T$66,2,TRUE)&amp;VLOOKUP(E100,tablas!$R$3:$T$66,3,TRUE),tablas!$Q$3:$R$66,2,FALSE)&lt;E100,VLOOKUP(E100+0.1,tablas!$R$3:$T$66,2,TRUE),VLOOKUP(E100,tablas!$R$3:$T$66,2,TRUE))&amp;"@"&amp;IF(VLOOKUP(VLOOKUP(E100,tablas!$R$3:$T$66,2,TRUE)&amp;VLOOKUP(E100,tablas!$R$3:$T$66,3,TRUE),tablas!$Q$3:$R$66,2,FALSE)&lt;E100,VLOOKUP(E100+0.1,tablas!$R$3:$T$66,3,TRUE)&amp;"$",VLOOKUP(E100,tablas!$R$3:$T$66,3,TRUE)&amp;"$"),$C$13)</f>
        <v>$\phi8@14$</v>
      </c>
      <c r="F101" s="200"/>
      <c r="G101" s="199" t="str">
        <f>IF(G100&gt;$C$12,"$\phi"&amp;IF(VLOOKUP(VLOOKUP(G100,tablas!$R$3:$T$66,2,TRUE)&amp;VLOOKUP(G100,tablas!$R$3:$T$66,3,TRUE),tablas!$Q$3:$R$66,2,FALSE)&lt;G100,VLOOKUP(G100+0.1,tablas!$R$3:$T$66,2,TRUE),VLOOKUP(G100,tablas!$R$3:$T$66,2,TRUE))&amp;"@"&amp;IF(VLOOKUP(VLOOKUP(G100,tablas!$R$3:$T$66,2,TRUE)&amp;VLOOKUP(G100,tablas!$R$3:$T$66,3,TRUE),tablas!$Q$3:$R$66,2,FALSE)&lt;G100,VLOOKUP(G100+0.1,tablas!$R$3:$T$66,3,TRUE)&amp;"$",VLOOKUP(G100,tablas!$R$3:$T$66,3,TRUE)&amp;"$"),$C$13)</f>
        <v>$\phi10@23$</v>
      </c>
      <c r="H101" s="200"/>
      <c r="I101" s="199" t="str">
        <f>IF(I100&gt;$C$12,"$\phi"&amp;IF(VLOOKUP(VLOOKUP(I100,tablas!$R$3:$T$66,2,TRUE)&amp;VLOOKUP(I100,tablas!$R$3:$T$66,3,TRUE),tablas!$Q$3:$R$66,2,FALSE)&lt;I100,VLOOKUP(I100+0.1,tablas!$R$3:$T$66,2,TRUE),VLOOKUP(I100,tablas!$R$3:$T$66,2,TRUE))&amp;"@"&amp;IF(VLOOKUP(VLOOKUP(I100,tablas!$R$3:$T$66,2,TRUE)&amp;VLOOKUP(I100,tablas!$R$3:$T$66,3,TRUE),tablas!$Q$3:$R$66,2,FALSE)&lt;I100,VLOOKUP(I100+0.1,tablas!$R$3:$T$66,3,TRUE)&amp;"$",VLOOKUP(I100,tablas!$R$3:$T$66,3,TRUE)&amp;"$"),$C$13)</f>
        <v>$\phi12@23$</v>
      </c>
      <c r="J101" s="200"/>
      <c r="K101" s="199" t="str">
        <f>IF(K100&gt;$C$12,"$\phi"&amp;IF(VLOOKUP(VLOOKUP(K100,tablas!$R$3:$T$66,2,TRUE)&amp;VLOOKUP(K100,tablas!$R$3:$T$66,3,TRUE),tablas!$Q$3:$R$66,2,FALSE)&lt;K100,VLOOKUP(K100+0.1,tablas!$R$3:$T$66,2,TRUE),VLOOKUP(K100,tablas!$R$3:$T$66,2,TRUE))&amp;"@"&amp;IF(VLOOKUP(VLOOKUP(K100,tablas!$R$3:$T$66,2,TRUE)&amp;VLOOKUP(K100,tablas!$R$3:$T$66,3,TRUE),tablas!$Q$3:$R$66,2,FALSE)&lt;K100,VLOOKUP(K100+0.1,tablas!$R$3:$T$66,3,TRUE)&amp;"$",VLOOKUP(K100,tablas!$R$3:$T$66,3,TRUE)&amp;"$"),$C$13)</f>
        <v>$\phi10@23$</v>
      </c>
      <c r="L101" s="200"/>
      <c r="M101" s="199" t="str">
        <f>IF(M100&gt;$C$12,"$\phi"&amp;IF(VLOOKUP(VLOOKUP(M100,tablas!$R$3:$T$66,2,TRUE)&amp;VLOOKUP(M100,tablas!$R$3:$T$66,3,TRUE),tablas!$Q$3:$R$66,2,FALSE)&lt;M100,VLOOKUP(M100+0.1,tablas!$R$3:$T$66,2,TRUE),VLOOKUP(M100,tablas!$R$3:$T$66,2,TRUE))&amp;"@"&amp;IF(VLOOKUP(VLOOKUP(M100,tablas!$R$3:$T$66,2,TRUE)&amp;VLOOKUP(M100,tablas!$R$3:$T$66,3,TRUE),tablas!$Q$3:$R$66,2,FALSE)&lt;M100,VLOOKUP(M100+0.1,tablas!$R$3:$T$66,3,TRUE)&amp;"$",VLOOKUP(M100,tablas!$R$3:$T$66,3,TRUE)&amp;"$"),$C$13)</f>
        <v>$\phi12@23$</v>
      </c>
      <c r="N101" s="200"/>
      <c r="O101" s="199" t="str">
        <f>IF(O100&gt;$C$12,"$\phi"&amp;IF(VLOOKUP(VLOOKUP(O100,tablas!$R$3:$T$66,2,TRUE)&amp;VLOOKUP(O100,tablas!$R$3:$T$66,3,TRUE),tablas!$Q$3:$R$66,2,FALSE)&lt;O100,VLOOKUP(O100+0.1,tablas!$R$3:$T$66,2,TRUE),VLOOKUP(O100,tablas!$R$3:$T$66,2,TRUE))&amp;"@"&amp;IF(VLOOKUP(VLOOKUP(O100,tablas!$R$3:$T$66,2,TRUE)&amp;VLOOKUP(O100,tablas!$R$3:$T$66,3,TRUE),tablas!$Q$3:$R$66,2,FALSE)&lt;O100,VLOOKUP(O100+0.1,tablas!$R$3:$T$66,3,TRUE)&amp;"$",VLOOKUP(O100,tablas!$R$3:$T$66,3,TRUE)&amp;"$"),$C$13)</f>
        <v>$\phi10@14$</v>
      </c>
      <c r="P101" s="200"/>
      <c r="Q101" s="199" t="str">
        <f>IF(Q100&gt;$C$12,"$\phi"&amp;IF(VLOOKUP(VLOOKUP(Q100,tablas!$R$3:$T$66,2,TRUE)&amp;VLOOKUP(Q100,tablas!$R$3:$T$66,3,TRUE),tablas!$Q$3:$R$66,2,FALSE)&lt;Q100,VLOOKUP(Q100+0.1,tablas!$R$3:$T$66,2,TRUE),VLOOKUP(Q100,tablas!$R$3:$T$66,2,TRUE))&amp;"@"&amp;IF(VLOOKUP(VLOOKUP(Q100,tablas!$R$3:$T$66,2,TRUE)&amp;VLOOKUP(Q100,tablas!$R$3:$T$66,3,TRUE),tablas!$Q$3:$R$66,2,FALSE)&lt;Q100,VLOOKUP(Q100+0.1,tablas!$R$3:$T$66,3,TRUE)&amp;"$",VLOOKUP(Q100,tablas!$R$3:$T$66,3,TRUE)&amp;"$"),$C$13)</f>
        <v>$\phi10@24$</v>
      </c>
      <c r="R101" s="200"/>
      <c r="S101" s="199" t="str">
        <f>IF(S100&gt;$C$12,"$\phi"&amp;IF(VLOOKUP(VLOOKUP(S100,tablas!$R$3:$T$66,2,TRUE)&amp;VLOOKUP(S100,tablas!$R$3:$T$66,3,TRUE),tablas!$Q$3:$R$66,2,FALSE)&lt;S100,VLOOKUP(S100+0.1,tablas!$R$3:$T$66,2,TRUE),VLOOKUP(S100,tablas!$R$3:$T$66,2,TRUE))&amp;"@"&amp;IF(VLOOKUP(VLOOKUP(S100,tablas!$R$3:$T$66,2,TRUE)&amp;VLOOKUP(S100,tablas!$R$3:$T$66,3,TRUE),tablas!$Q$3:$R$66,2,FALSE)&lt;S100,VLOOKUP(S100+0.1,tablas!$R$3:$T$66,3,TRUE)&amp;"$",VLOOKUP(S100,tablas!$R$3:$T$66,3,TRUE)&amp;"$"),$C$13)</f>
        <v>$\phi8@16$</v>
      </c>
      <c r="T101" s="200"/>
      <c r="U101" s="199" t="str">
        <f>IF(U100&gt;$C$12,"$\phi"&amp;IF(VLOOKUP(VLOOKUP(U100,tablas!$R$3:$T$66,2,TRUE)&amp;VLOOKUP(U100,tablas!$R$3:$T$66,3,TRUE),tablas!$Q$3:$R$66,2,FALSE)&lt;U100,VLOOKUP(U100+0.1,tablas!$R$3:$T$66,2,TRUE),VLOOKUP(U100,tablas!$R$3:$T$66,2,TRUE))&amp;"@"&amp;IF(VLOOKUP(VLOOKUP(U100,tablas!$R$3:$T$66,2,TRUE)&amp;VLOOKUP(U100,tablas!$R$3:$T$66,3,TRUE),tablas!$Q$3:$R$66,2,FALSE)&lt;U100,VLOOKUP(U100+0.1,tablas!$R$3:$T$66,3,TRUE)&amp;"$",VLOOKUP(U100,tablas!$R$3:$T$66,3,TRUE)&amp;"$"),$C$13)</f>
        <v>$\phi8@10$</v>
      </c>
      <c r="V101" s="200"/>
      <c r="W101" s="199" t="str">
        <f>IF(W100&gt;$C$12,"$\phi"&amp;IF(VLOOKUP(VLOOKUP(W100,tablas!$R$3:$T$66,2,TRUE)&amp;VLOOKUP(W100,tablas!$R$3:$T$66,3,TRUE),tablas!$Q$3:$R$66,2,FALSE)&lt;W100,VLOOKUP(W100+0.1,tablas!$R$3:$T$66,2,TRUE),VLOOKUP(W100,tablas!$R$3:$T$66,2,TRUE))&amp;"@"&amp;IF(VLOOKUP(VLOOKUP(W100,tablas!$R$3:$T$66,2,TRUE)&amp;VLOOKUP(W100,tablas!$R$3:$T$66,3,TRUE),tablas!$Q$3:$R$66,2,FALSE)&lt;W100,VLOOKUP(W100+0.1,tablas!$R$3:$T$66,3,TRUE)&amp;"$",VLOOKUP(W100,tablas!$R$3:$T$66,3,TRUE)&amp;"$"),$C$13)</f>
        <v>$\phi8@16$</v>
      </c>
      <c r="X101" s="200"/>
      <c r="Y101" s="199" t="str">
        <f>IF(Y100&gt;$C$12,"$\phi"&amp;IF(VLOOKUP(VLOOKUP(Y100,tablas!$R$3:$T$66,2,TRUE)&amp;VLOOKUP(Y100,tablas!$R$3:$T$66,3,TRUE),tablas!$Q$3:$R$66,2,FALSE)&lt;Y100,VLOOKUP(Y100+0.1,tablas!$R$3:$T$66,2,TRUE),VLOOKUP(Y100,tablas!$R$3:$T$66,2,TRUE))&amp;"@"&amp;IF(VLOOKUP(VLOOKUP(Y100,tablas!$R$3:$T$66,2,TRUE)&amp;VLOOKUP(Y100,tablas!$R$3:$T$66,3,TRUE),tablas!$Q$3:$R$66,2,FALSE)&lt;Y100,VLOOKUP(Y100+0.1,tablas!$R$3:$T$66,3,TRUE)&amp;"$",VLOOKUP(Y100,tablas!$R$3:$T$66,3,TRUE)&amp;"$"),$C$13)</f>
        <v>$\phi10@19$</v>
      </c>
      <c r="Z101" s="200"/>
      <c r="AA101" s="199" t="str">
        <f>IF(AA100&gt;$C$12,"$\phi"&amp;IF(VLOOKUP(VLOOKUP(AA100,tablas!$R$3:$T$66,2,TRUE)&amp;VLOOKUP(AA100,tablas!$R$3:$T$66,3,TRUE),tablas!$Q$3:$R$66,2,FALSE)&lt;AA100,VLOOKUP(AA100+0.1,tablas!$R$3:$T$66,2,TRUE),VLOOKUP(AA100,tablas!$R$3:$T$66,2,TRUE))&amp;"@"&amp;IF(VLOOKUP(VLOOKUP(AA100,tablas!$R$3:$T$66,2,TRUE)&amp;VLOOKUP(AA100,tablas!$R$3:$T$66,3,TRUE),tablas!$Q$3:$R$66,2,FALSE)&lt;AA100,VLOOKUP(AA100+0.1,tablas!$R$3:$T$66,3,TRUE)&amp;"$",VLOOKUP(AA100,tablas!$R$3:$T$66,3,TRUE)&amp;"$"),$C$13)</f>
        <v>$\phi12@22$</v>
      </c>
      <c r="AB101" s="200"/>
      <c r="AC101" s="199" t="str">
        <f>IF(AC100&gt;$C$12,"$\phi"&amp;IF(VLOOKUP(VLOOKUP(AC100,tablas!$R$3:$T$66,2,TRUE)&amp;VLOOKUP(AC100,tablas!$R$3:$T$66,3,TRUE),tablas!$Q$3:$R$66,2,FALSE)&lt;AC100,VLOOKUP(AC100+0.1,tablas!$R$3:$T$66,2,TRUE),VLOOKUP(AC100,tablas!$R$3:$T$66,2,TRUE))&amp;"@"&amp;IF(VLOOKUP(VLOOKUP(AC100,tablas!$R$3:$T$66,2,TRUE)&amp;VLOOKUP(AC100,tablas!$R$3:$T$66,3,TRUE),tablas!$Q$3:$R$66,2,FALSE)&lt;AC100,VLOOKUP(AC100+0.1,tablas!$R$3:$T$66,3,TRUE)&amp;"$",VLOOKUP(AC100,tablas!$R$3:$T$66,3,TRUE)&amp;"$"),$C$13)</f>
        <v>$\phi12@20$</v>
      </c>
      <c r="AD101" s="200"/>
      <c r="AE101" s="199" t="str">
        <f>IF(AE100&gt;$C$12,"$\phi"&amp;IF(VLOOKUP(VLOOKUP(AE100,tablas!$R$3:$T$66,2,TRUE)&amp;VLOOKUP(AE100,tablas!$R$3:$T$66,3,TRUE),tablas!$Q$3:$R$66,2,FALSE)&lt;AE100,VLOOKUP(AE100+0.1,tablas!$R$3:$T$66,2,TRUE),VLOOKUP(AE100,tablas!$R$3:$T$66,2,TRUE))&amp;"@"&amp;IF(VLOOKUP(VLOOKUP(AE100,tablas!$R$3:$T$66,2,TRUE)&amp;VLOOKUP(AE100,tablas!$R$3:$T$66,3,TRUE),tablas!$Q$3:$R$66,2,FALSE)&lt;AE100,VLOOKUP(AE100+0.1,tablas!$R$3:$T$66,3,TRUE)&amp;"$",VLOOKUP(AE100,tablas!$R$3:$T$66,3,TRUE)&amp;"$"),$C$13)</f>
        <v>$\phi10@18$</v>
      </c>
      <c r="AF101" s="200"/>
    </row>
    <row r="102" spans="2:32" ht="15.75" thickBot="1" x14ac:dyDescent="0.3"/>
    <row r="103" spans="2:32" ht="15.75" thickBot="1" x14ac:dyDescent="0.3">
      <c r="B103" s="73" t="s">
        <v>43</v>
      </c>
      <c r="C103" s="74" t="s">
        <v>56</v>
      </c>
      <c r="D103" s="75" t="s">
        <v>61</v>
      </c>
      <c r="E103" s="74" t="s">
        <v>57</v>
      </c>
      <c r="F103" s="75" t="s">
        <v>58</v>
      </c>
      <c r="G103" s="74" t="s">
        <v>57</v>
      </c>
      <c r="H103" s="75" t="s">
        <v>62</v>
      </c>
      <c r="I103" s="74" t="s">
        <v>57</v>
      </c>
      <c r="J103" s="75" t="s">
        <v>63</v>
      </c>
      <c r="K103" s="74" t="s">
        <v>58</v>
      </c>
      <c r="L103" s="75" t="s">
        <v>59</v>
      </c>
      <c r="M103" s="74" t="s">
        <v>58</v>
      </c>
      <c r="N103" s="75" t="s">
        <v>63</v>
      </c>
      <c r="O103" s="74" t="s">
        <v>58</v>
      </c>
      <c r="P103" s="75" t="s">
        <v>64</v>
      </c>
      <c r="Q103" s="74" t="s">
        <v>59</v>
      </c>
      <c r="R103" s="75" t="s">
        <v>65</v>
      </c>
      <c r="S103" s="74" t="s">
        <v>60</v>
      </c>
      <c r="T103" s="75" t="s">
        <v>66</v>
      </c>
      <c r="U103" s="74" t="s">
        <v>60</v>
      </c>
      <c r="V103" s="75" t="s">
        <v>61</v>
      </c>
      <c r="W103" s="74" t="s">
        <v>60</v>
      </c>
      <c r="X103" s="75" t="s">
        <v>67</v>
      </c>
      <c r="Y103" s="74" t="s">
        <v>61</v>
      </c>
      <c r="Z103" s="75" t="s">
        <v>62</v>
      </c>
      <c r="AA103" s="74" t="s">
        <v>61</v>
      </c>
      <c r="AB103" s="75" t="s">
        <v>67</v>
      </c>
      <c r="AC103" s="74" t="s">
        <v>62</v>
      </c>
      <c r="AD103" s="75" t="s">
        <v>63</v>
      </c>
      <c r="AE103" s="74" t="s">
        <v>62</v>
      </c>
      <c r="AF103" s="75" t="s">
        <v>67</v>
      </c>
    </row>
    <row r="104" spans="2:32" ht="15.75" hidden="1" thickBot="1" x14ac:dyDescent="0.3">
      <c r="B104" s="144"/>
      <c r="C104" s="146" t="str">
        <f>C103&amp;"-"&amp;D103</f>
        <v>0108-0113</v>
      </c>
      <c r="D104" s="146"/>
      <c r="E104" s="146" t="str">
        <f>E103&amp;"-"&amp;F103</f>
        <v>0109-0110</v>
      </c>
      <c r="F104" s="145"/>
      <c r="G104" s="146" t="str">
        <f>G103&amp;"-"&amp;H103</f>
        <v>0109-0114</v>
      </c>
      <c r="H104" s="145"/>
      <c r="I104" s="146" t="str">
        <f>I103&amp;"-"&amp;J103</f>
        <v>0109-0115</v>
      </c>
      <c r="J104" s="145"/>
      <c r="K104" s="146" t="str">
        <f>K103&amp;"-"&amp;L103</f>
        <v>0110-0111</v>
      </c>
      <c r="L104" s="145"/>
      <c r="M104" s="146" t="str">
        <f>M103&amp;"-"&amp;N103</f>
        <v>0110-0115</v>
      </c>
      <c r="N104" s="145"/>
      <c r="O104" s="146" t="str">
        <f>O103&amp;"-"&amp;P103</f>
        <v>0110-0116</v>
      </c>
      <c r="P104" s="145"/>
      <c r="Q104" s="146" t="str">
        <f>Q103&amp;"-"&amp;R103</f>
        <v>0111-0117</v>
      </c>
      <c r="R104" s="145"/>
      <c r="S104" s="146" t="str">
        <f>S103&amp;"-"&amp;T103</f>
        <v>0112-0118</v>
      </c>
      <c r="T104" s="145"/>
      <c r="U104" s="146" t="str">
        <f>U103&amp;"-"&amp;V103</f>
        <v>0112-0113</v>
      </c>
      <c r="V104" s="145"/>
      <c r="W104" s="146" t="str">
        <f>W103&amp;"-"&amp;X103</f>
        <v>0112-0119</v>
      </c>
      <c r="X104" s="145"/>
      <c r="Y104" s="146" t="str">
        <f>Y103&amp;"-"&amp;Z103</f>
        <v>0113-0114</v>
      </c>
      <c r="Z104" s="145"/>
      <c r="AA104" s="146" t="str">
        <f>AA103&amp;"-"&amp;AB103</f>
        <v>0113-0119</v>
      </c>
      <c r="AB104" s="145"/>
      <c r="AC104" s="146" t="str">
        <f>AC103&amp;"-"&amp;AD103</f>
        <v>0114-0115</v>
      </c>
      <c r="AD104" s="145"/>
      <c r="AE104" s="146" t="str">
        <f>AE103&amp;"-"&amp;AF103</f>
        <v>0114-0119</v>
      </c>
      <c r="AF104" s="145"/>
    </row>
    <row r="105" spans="2:32" x14ac:dyDescent="0.25">
      <c r="B105" s="105" t="s">
        <v>114</v>
      </c>
      <c r="C105" s="102" t="s">
        <v>108</v>
      </c>
      <c r="D105" s="103" t="s">
        <v>108</v>
      </c>
      <c r="E105" s="102" t="s">
        <v>109</v>
      </c>
      <c r="F105" s="103" t="s">
        <v>109</v>
      </c>
      <c r="G105" s="102" t="s">
        <v>108</v>
      </c>
      <c r="H105" s="103" t="s">
        <v>108</v>
      </c>
      <c r="I105" s="102" t="s">
        <v>108</v>
      </c>
      <c r="J105" s="103" t="s">
        <v>108</v>
      </c>
      <c r="K105" s="102" t="s">
        <v>109</v>
      </c>
      <c r="L105" s="103" t="s">
        <v>108</v>
      </c>
      <c r="M105" s="102" t="s">
        <v>108</v>
      </c>
      <c r="N105" s="103" t="s">
        <v>108</v>
      </c>
      <c r="O105" s="102" t="s">
        <v>108</v>
      </c>
      <c r="P105" s="103" t="s">
        <v>109</v>
      </c>
      <c r="Q105" s="102" t="s">
        <v>109</v>
      </c>
      <c r="R105" s="103" t="s">
        <v>109</v>
      </c>
      <c r="S105" s="102" t="s">
        <v>108</v>
      </c>
      <c r="T105" s="103" t="s">
        <v>108</v>
      </c>
      <c r="U105" s="102" t="s">
        <v>109</v>
      </c>
      <c r="V105" s="103" t="s">
        <v>109</v>
      </c>
      <c r="W105" s="102" t="s">
        <v>109</v>
      </c>
      <c r="X105" s="103" t="s">
        <v>109</v>
      </c>
      <c r="Y105" s="102" t="s">
        <v>109</v>
      </c>
      <c r="Z105" s="103" t="s">
        <v>109</v>
      </c>
      <c r="AA105" s="102" t="s">
        <v>108</v>
      </c>
      <c r="AB105" s="103" t="s">
        <v>108</v>
      </c>
      <c r="AC105" s="102" t="s">
        <v>109</v>
      </c>
      <c r="AD105" s="103" t="s">
        <v>109</v>
      </c>
      <c r="AE105" s="102" t="s">
        <v>108</v>
      </c>
      <c r="AF105" s="103" t="s">
        <v>108</v>
      </c>
    </row>
    <row r="106" spans="2:32" x14ac:dyDescent="0.25">
      <c r="B106" s="106" t="s">
        <v>110</v>
      </c>
      <c r="C106" s="104">
        <f t="shared" ref="C106:AF106" si="191">HLOOKUP(C103,$B$46:$AE$89,IF(C105="x",35,40),FALSE)</f>
        <v>3352.2893617021282</v>
      </c>
      <c r="D106" s="86">
        <f t="shared" si="191"/>
        <v>1966.8510638297873</v>
      </c>
      <c r="E106" s="104">
        <f t="shared" si="191"/>
        <v>2752.0978165938868</v>
      </c>
      <c r="F106" s="86">
        <f t="shared" si="191"/>
        <v>2771.0130285714285</v>
      </c>
      <c r="G106" s="104">
        <f t="shared" si="191"/>
        <v>3352.2893617021282</v>
      </c>
      <c r="H106" s="86">
        <f t="shared" si="191"/>
        <v>2188.4680851063831</v>
      </c>
      <c r="I106" s="104">
        <f t="shared" si="191"/>
        <v>3352.2893617021282</v>
      </c>
      <c r="J106" s="86">
        <f t="shared" si="191"/>
        <v>4425.1175609756101</v>
      </c>
      <c r="K106" s="104">
        <f t="shared" si="191"/>
        <v>2771.0130285714285</v>
      </c>
      <c r="L106" s="86">
        <f t="shared" si="191"/>
        <v>1537.1473170731708</v>
      </c>
      <c r="M106" s="104">
        <f t="shared" si="191"/>
        <v>4041.0606666666667</v>
      </c>
      <c r="N106" s="86">
        <f t="shared" si="191"/>
        <v>4425.1175609756101</v>
      </c>
      <c r="O106" s="104">
        <f t="shared" si="191"/>
        <v>4041.0606666666667</v>
      </c>
      <c r="P106" s="86">
        <f t="shared" si="191"/>
        <v>1787.8828571428573</v>
      </c>
      <c r="Q106" s="104">
        <f t="shared" si="191"/>
        <v>1129.4451612903226</v>
      </c>
      <c r="R106" s="86">
        <f t="shared" si="191"/>
        <v>1170.1028571428574</v>
      </c>
      <c r="S106" s="104">
        <f t="shared" si="191"/>
        <v>3914.1434146341467</v>
      </c>
      <c r="T106" s="86">
        <f t="shared" si="191"/>
        <v>5624.1974634146345</v>
      </c>
      <c r="U106" s="104">
        <f t="shared" si="191"/>
        <v>2875.983512544803</v>
      </c>
      <c r="V106" s="86">
        <f t="shared" si="191"/>
        <v>1614.7074235807863</v>
      </c>
      <c r="W106" s="104">
        <f t="shared" si="191"/>
        <v>2875.983512544803</v>
      </c>
      <c r="X106" s="86">
        <f t="shared" si="191"/>
        <v>159.04</v>
      </c>
      <c r="Y106" s="104">
        <f t="shared" si="191"/>
        <v>1614.7074235807863</v>
      </c>
      <c r="Z106" s="86">
        <f t="shared" si="191"/>
        <v>1796.6462882096073</v>
      </c>
      <c r="AA106" s="104">
        <f t="shared" si="191"/>
        <v>1966.8510638297873</v>
      </c>
      <c r="AB106" s="86">
        <f t="shared" si="191"/>
        <v>231.93333333333331</v>
      </c>
      <c r="AC106" s="104">
        <f t="shared" si="191"/>
        <v>1796.6462882096073</v>
      </c>
      <c r="AD106" s="86">
        <f t="shared" si="191"/>
        <v>3251.4304659498212</v>
      </c>
      <c r="AE106" s="104">
        <f t="shared" si="191"/>
        <v>2188.4680851063831</v>
      </c>
      <c r="AF106" s="86">
        <f t="shared" si="191"/>
        <v>231.93333333333331</v>
      </c>
    </row>
    <row r="107" spans="2:32" x14ac:dyDescent="0.25">
      <c r="B107" s="106" t="s">
        <v>111</v>
      </c>
      <c r="C107" s="203">
        <f>(MAX(C106:D106)-MIN(C106:D106))/(MAX(C106:D106))</f>
        <v>0.41328123809959033</v>
      </c>
      <c r="D107" s="204"/>
      <c r="E107" s="203">
        <f>(MAX(E106:F106)-MIN(E106:F106))/(MAX(E106:F106))</f>
        <v>6.8260999795057989E-3</v>
      </c>
      <c r="F107" s="204"/>
      <c r="G107" s="203">
        <f>(MAX(G106:H106)-MIN(G106:H106))/(MAX(G106:H106))</f>
        <v>0.34717208182912163</v>
      </c>
      <c r="H107" s="204"/>
      <c r="I107" s="203">
        <f>(MAX(I106:J106)-MIN(I106:J106))/(MAX(I106:J106))</f>
        <v>0.24244060965398498</v>
      </c>
      <c r="J107" s="204"/>
      <c r="K107" s="203">
        <f>(MAX(K106:L106)-MIN(K106:L106))/(MAX(K106:L106))</f>
        <v>0.44527604120806547</v>
      </c>
      <c r="L107" s="204"/>
      <c r="M107" s="203">
        <f>(MAX(M106:N106)-MIN(M106:N106))/(MAX(M106:N106))</f>
        <v>8.6790212693077004E-2</v>
      </c>
      <c r="N107" s="204"/>
      <c r="O107" s="203">
        <f>(MAX(O106:P106)-MIN(O106:P106))/(MAX(O106:P106))</f>
        <v>0.55757089422326822</v>
      </c>
      <c r="P107" s="204"/>
      <c r="Q107" s="203">
        <f>(MAX(Q106:R106)-MIN(Q106:R106))/(MAX(Q106:R106))</f>
        <v>3.47471127041021E-2</v>
      </c>
      <c r="R107" s="204"/>
      <c r="S107" s="203">
        <f>(MAX(S106:T106)-MIN(S106:T106))/(MAX(S106:T106))</f>
        <v>0.30405298887608012</v>
      </c>
      <c r="T107" s="204"/>
      <c r="U107" s="203">
        <f>(MAX(U106:V106)-MIN(U106:V106))/(MAX(U106:V106))</f>
        <v>0.43855470083970732</v>
      </c>
      <c r="V107" s="204"/>
      <c r="W107" s="203">
        <f>(MAX(W106:X106)-MIN(W106:X106))/(MAX(W106:X106))</f>
        <v>0.94470065655582491</v>
      </c>
      <c r="X107" s="204"/>
      <c r="Y107" s="203">
        <f>(MAX(Y106:Z106)-MIN(Y106:Z106))/(MAX(Y106:Z106))</f>
        <v>0.10126582278481011</v>
      </c>
      <c r="Z107" s="204"/>
      <c r="AA107" s="203">
        <f>(MAX(AA106:AB106)-MIN(AA106:AB106))/(MAX(AA106:AB106))</f>
        <v>0.88207885304659495</v>
      </c>
      <c r="AB107" s="204"/>
      <c r="AC107" s="203">
        <f>(MAX(AC106:AD106)-MIN(AC106:AD106))/(MAX(AC106:AD106))</f>
        <v>0.44742896794972253</v>
      </c>
      <c r="AD107" s="204"/>
      <c r="AE107" s="203">
        <f>(MAX(AE106:AF106)-MIN(AE106:AF106))/(MAX(AE106:AF106))</f>
        <v>0.89402023501656003</v>
      </c>
      <c r="AF107" s="204"/>
    </row>
    <row r="108" spans="2:32" x14ac:dyDescent="0.25">
      <c r="B108" s="106" t="s">
        <v>112</v>
      </c>
      <c r="C108" s="205">
        <f>IF(C107&lt;25%,(C106*0.5+D106*0.5)*0.9,IF(C107&lt;50%,(MAX(C106:D106)*0.6+MIN(C106:D106)*0.4)*0.9,IF(C107&lt;70%,(MAX(C106:D106)*0.65+MIN(C106:D106)*0.35)*0.9,IF(C107&lt;100%,(MAX(C106:D106)*0.7+MIN(C106:D106)*0.3)*0.9,0.7*MAX(C106:D106)))))</f>
        <v>2518.3026382978728</v>
      </c>
      <c r="D108" s="206"/>
      <c r="E108" s="205">
        <f>IF(E107&lt;25%,(E106*0.5+F106*0.5)*0.9,IF(E107&lt;50%,(MAX(E106:F106)*0.6+MIN(E106:F106)*0.4)*0.9,IF(E107&lt;70%,(MAX(E106:F106)*0.65+MIN(E106:F106)*0.35)*0.9,IF(E107&lt;100%,(MAX(E106:F106)*0.7+MIN(E106:F106)*0.3)*0.9,0.7*MAX(E106:F106)))))</f>
        <v>2485.3998803243921</v>
      </c>
      <c r="F108" s="206"/>
      <c r="G108" s="205">
        <f>IF(G107&lt;25%,(G106*0.5+H106*0.5)*0.9,IF(G107&lt;50%,(MAX(G106:H106)*0.6+MIN(G106:H106)*0.4)*0.9,IF(G107&lt;70%,(MAX(G106:H106)*0.65+MIN(G106:H106)*0.35)*0.9,IF(G107&lt;100%,(MAX(G106:H106)*0.7+MIN(G106:H106)*0.3)*0.9,0.7*MAX(G106:H106)))))</f>
        <v>2598.0847659574474</v>
      </c>
      <c r="H108" s="206"/>
      <c r="I108" s="205">
        <f>IF(I107&lt;25%,(I106*0.5+J106*0.5)*0.9,IF(I107&lt;50%,(MAX(I106:J106)*0.6+MIN(I106:J106)*0.4)*0.9,IF(I107&lt;70%,(MAX(I106:J106)*0.65+MIN(I106:J106)*0.35)*0.9,IF(I107&lt;100%,(MAX(I106:J106)*0.7+MIN(I106:J106)*0.3)*0.9,0.7*MAX(I106:J106)))))</f>
        <v>3499.8331152049823</v>
      </c>
      <c r="J108" s="206"/>
      <c r="K108" s="205">
        <f>IF(K107&lt;25%,(K106*0.5+L106*0.5)*0.9,IF(K107&lt;50%,(MAX(K106:L106)*0.6+MIN(K106:L106)*0.4)*0.9,IF(K107&lt;70%,(MAX(K106:L106)*0.65+MIN(K106:L106)*0.35)*0.9,IF(K107&lt;100%,(MAX(K106:L106)*0.7+MIN(K106:L106)*0.3)*0.9,0.7*MAX(K106:L106)))))</f>
        <v>2049.7200695749129</v>
      </c>
      <c r="L108" s="206"/>
      <c r="M108" s="205">
        <f>IF(M107&lt;25%,(M106*0.5+N106*0.5)*0.9,IF(M107&lt;50%,(MAX(M106:N106)*0.6+MIN(M106:N106)*0.4)*0.9,IF(M107&lt;70%,(MAX(M106:N106)*0.65+MIN(M106:N106)*0.35)*0.9,IF(M107&lt;100%,(MAX(M106:N106)*0.7+MIN(M106:N106)*0.3)*0.9,0.7*MAX(M106:N106)))))</f>
        <v>3809.7802024390244</v>
      </c>
      <c r="N108" s="206"/>
      <c r="O108" s="205">
        <f>IF(O107&lt;25%,(O106*0.5+P106*0.5)*0.9,IF(O107&lt;50%,(MAX(O106:P106)*0.6+MIN(O106:P106)*0.4)*0.9,IF(O107&lt;70%,(MAX(O106:P106)*0.65+MIN(O106:P106)*0.35)*0.9,IF(O107&lt;100%,(MAX(O106:P106)*0.7+MIN(O106:P106)*0.3)*0.9,0.7*MAX(O106:P106)))))</f>
        <v>2927.2035900000001</v>
      </c>
      <c r="P108" s="206"/>
      <c r="Q108" s="205">
        <f>IF(Q107&lt;25%,(Q106*0.5+R106*0.5)*0.9,IF(Q107&lt;50%,(MAX(Q106:R106)*0.6+MIN(Q106:R106)*0.4)*0.9,IF(Q107&lt;70%,(MAX(Q106:R106)*0.65+MIN(Q106:R106)*0.35)*0.9,IF(Q107&lt;100%,(MAX(Q106:R106)*0.7+MIN(Q106:R106)*0.3)*0.9,0.7*MAX(Q106:R106)))))</f>
        <v>1034.796608294931</v>
      </c>
      <c r="R108" s="206"/>
      <c r="S108" s="205">
        <f>IF(S107&lt;25%,(S106*0.5+T106*0.5)*0.9,IF(S107&lt;50%,(MAX(S106:T106)*0.6+MIN(S106:T106)*0.4)*0.9,IF(S107&lt;70%,(MAX(S106:T106)*0.65+MIN(S106:T106)*0.35)*0.9,IF(S107&lt;100%,(MAX(S106:T106)*0.7+MIN(S106:T106)*0.3)*0.9,0.7*MAX(S106:T106)))))</f>
        <v>4446.1582595121963</v>
      </c>
      <c r="T108" s="206"/>
      <c r="U108" s="205">
        <f>IF(U107&lt;25%,(U106*0.5+V106*0.5)*0.9,IF(U107&lt;50%,(MAX(U106:V106)*0.6+MIN(U106:V106)*0.4)*0.9,IF(U107&lt;70%,(MAX(U106:V106)*0.65+MIN(U106:V106)*0.35)*0.9,IF(U107&lt;100%,(MAX(U106:V106)*0.7+MIN(U106:V106)*0.3)*0.9,0.7*MAX(U106:V106)))))</f>
        <v>2134.3257692632769</v>
      </c>
      <c r="V108" s="206"/>
      <c r="W108" s="205">
        <f>IF(W107&lt;25%,(W106*0.5+X106*0.5)*0.9,IF(W107&lt;50%,(MAX(W106:X106)*0.6+MIN(W106:X106)*0.4)*0.9,IF(W107&lt;70%,(MAX(W106:X106)*0.65+MIN(W106:X106)*0.35)*0.9,IF(W107&lt;100%,(MAX(W106:X106)*0.7+MIN(W106:X106)*0.3)*0.9,0.7*MAX(W106:X106)))))</f>
        <v>1854.8104129032258</v>
      </c>
      <c r="X108" s="206"/>
      <c r="Y108" s="205">
        <f>IF(Y107&lt;25%,(Y106*0.5+Z106*0.5)*0.9,IF(Y107&lt;50%,(MAX(Y106:Z106)*0.6+MIN(Y106:Z106)*0.4)*0.9,IF(Y107&lt;70%,(MAX(Y106:Z106)*0.65+MIN(Y106:Z106)*0.35)*0.9,IF(Y107&lt;100%,(MAX(Y106:Z106)*0.7+MIN(Y106:Z106)*0.3)*0.9,0.7*MAX(Y106:Z106)))))</f>
        <v>1535.109170305677</v>
      </c>
      <c r="Z108" s="206"/>
      <c r="AA108" s="205">
        <f>IF(AA107&lt;25%,(AA106*0.5+AB106*0.5)*0.9,IF(AA107&lt;50%,(MAX(AA106:AB106)*0.6+MIN(AA106:AB106)*0.4)*0.9,IF(AA107&lt;70%,(MAX(AA106:AB106)*0.65+MIN(AA106:AB106)*0.35)*0.9,IF(AA107&lt;100%,(MAX(AA106:AB106)*0.7+MIN(AA106:AB106)*0.3)*0.9,0.7*MAX(AA106:AB106)))))</f>
        <v>1301.7381702127659</v>
      </c>
      <c r="AB108" s="206"/>
      <c r="AC108" s="205">
        <f>IF(AC107&lt;25%,(AC106*0.5+AD106*0.5)*0.9,IF(AC107&lt;50%,(MAX(AC106:AD106)*0.6+MIN(AC106:AD106)*0.4)*0.9,IF(AC107&lt;70%,(MAX(AC106:AD106)*0.65+MIN(AC106:AD106)*0.35)*0.9,IF(AC107&lt;100%,(MAX(AC106:AD106)*0.7+MIN(AC106:AD106)*0.3)*0.9,0.7*MAX(AC106:AD106)))))</f>
        <v>2402.5651153683621</v>
      </c>
      <c r="AD108" s="206"/>
      <c r="AE108" s="205">
        <f>IF(AE107&lt;25%,(AE106*0.5+AF106*0.5)*0.9,IF(AE107&lt;50%,(MAX(AE106:AF106)*0.6+MIN(AE106:AF106)*0.4)*0.9,IF(AE107&lt;70%,(MAX(AE106:AF106)*0.65+MIN(AE106:AF106)*0.35)*0.9,IF(AE107&lt;100%,(MAX(AE106:AF106)*0.7+MIN(AE106:AF106)*0.3)*0.9,0.7*MAX(AE106:AF106)))))</f>
        <v>1441.3568936170213</v>
      </c>
      <c r="AF108" s="206"/>
    </row>
    <row r="109" spans="2:32" x14ac:dyDescent="0.25">
      <c r="B109" s="107" t="s">
        <v>15</v>
      </c>
      <c r="C109" s="207">
        <f>C108/(0.9*(0.9*($C$7/100))*($L$9*1000))</f>
        <v>4.8427034312100927</v>
      </c>
      <c r="D109" s="208"/>
      <c r="E109" s="207">
        <f>E108/(0.9*(0.9*($C$7/100))*($L$9*1000))</f>
        <v>4.7794313301880536</v>
      </c>
      <c r="F109" s="208"/>
      <c r="G109" s="207">
        <f>G108/(0.9*(0.9*($C$7/100))*($L$9*1000))</f>
        <v>4.9961246989682069</v>
      </c>
      <c r="H109" s="208"/>
      <c r="I109" s="207">
        <f>I108/(0.9*(0.9*($C$7/100))*($L$9*1000))</f>
        <v>6.7301894450309252</v>
      </c>
      <c r="J109" s="208"/>
      <c r="K109" s="207">
        <f>K108/(0.9*(0.9*($C$7/100))*($L$9*1000))</f>
        <v>3.9416177638839134</v>
      </c>
      <c r="L109" s="208"/>
      <c r="M109" s="207">
        <f>M108/(0.9*(0.9*($C$7/100))*($L$9*1000))</f>
        <v>7.3262186116669046</v>
      </c>
      <c r="N109" s="208"/>
      <c r="O109" s="207">
        <f>O108/(0.9*(0.9*($C$7/100))*($L$9*1000))</f>
        <v>5.629021172262604</v>
      </c>
      <c r="P109" s="208"/>
      <c r="Q109" s="207">
        <f>Q108/(0.9*(0.9*($C$7/100))*($L$9*1000))</f>
        <v>1.989916942223243</v>
      </c>
      <c r="R109" s="208"/>
      <c r="S109" s="207">
        <f>S108/(0.9*(0.9*($C$7/100))*($L$9*1000))</f>
        <v>8.5499755000042228</v>
      </c>
      <c r="T109" s="208"/>
      <c r="U109" s="207">
        <f>U108/(0.9*(0.9*($C$7/100))*($L$9*1000))</f>
        <v>4.1043147749380342</v>
      </c>
      <c r="V109" s="208"/>
      <c r="W109" s="207">
        <f>W108/(0.9*(0.9*($C$7/100))*($L$9*1000))</f>
        <v>3.5668059168940145</v>
      </c>
      <c r="X109" s="208"/>
      <c r="Y109" s="207">
        <f>Y108/(0.9*(0.9*($C$7/100))*($L$9*1000))</f>
        <v>2.9520194806078166</v>
      </c>
      <c r="Z109" s="208"/>
      <c r="AA109" s="207">
        <f>AA108/(0.9*(0.9*($C$7/100))*($L$9*1000))</f>
        <v>2.5032463563185372</v>
      </c>
      <c r="AB109" s="208"/>
      <c r="AC109" s="207">
        <f>AC108/(0.9*(0.9*($C$7/100))*($L$9*1000))</f>
        <v>4.6201398318687001</v>
      </c>
      <c r="AD109" s="208"/>
      <c r="AE109" s="207">
        <f>AE108/(0.9*(0.9*($C$7/100))*($L$9*1000))</f>
        <v>2.771733574895237</v>
      </c>
      <c r="AF109" s="208"/>
    </row>
    <row r="110" spans="2:32" x14ac:dyDescent="0.25">
      <c r="B110" s="107" t="s">
        <v>98</v>
      </c>
      <c r="C110" s="209">
        <f>(C109*($L$9))/(0.85*$L$6*100)</f>
        <v>6.8303742578939522E-2</v>
      </c>
      <c r="D110" s="210"/>
      <c r="E110" s="209">
        <f>(E109*($L$9))/(0.85*$L$6*100)</f>
        <v>6.7411323424632963E-2</v>
      </c>
      <c r="F110" s="210"/>
      <c r="G110" s="209">
        <f>(G109*($L$9))/(0.85*$L$6*100)</f>
        <v>7.0467667528699707E-2</v>
      </c>
      <c r="H110" s="210"/>
      <c r="I110" s="209">
        <f>(I109*($L$9))/(0.85*$L$6*100)</f>
        <v>9.4925723594438502E-2</v>
      </c>
      <c r="J110" s="210"/>
      <c r="K110" s="209">
        <f>(K109*($L$9))/(0.85*$L$6*100)</f>
        <v>5.559441103780903E-2</v>
      </c>
      <c r="L110" s="210"/>
      <c r="M110" s="209">
        <f>(M109*($L$9))/(0.85*$L$6*100)</f>
        <v>0.10333239630230467</v>
      </c>
      <c r="N110" s="210"/>
      <c r="O110" s="209">
        <f>(O109*($L$9))/(0.85*$L$6*100)</f>
        <v>7.9394333884606844E-2</v>
      </c>
      <c r="P110" s="210"/>
      <c r="Q110" s="209">
        <f>(Q109*($L$9))/(0.85*$L$6*100)</f>
        <v>2.8066714492389126E-2</v>
      </c>
      <c r="R110" s="210"/>
      <c r="S110" s="209">
        <f>(S109*($L$9))/(0.85*$L$6*100)</f>
        <v>0.12059283288850907</v>
      </c>
      <c r="T110" s="210"/>
      <c r="U110" s="209">
        <f>(U109*($L$9))/(0.85*$L$6*100)</f>
        <v>5.7889165387163578E-2</v>
      </c>
      <c r="V110" s="210"/>
      <c r="W110" s="209">
        <f>(W109*($L$9))/(0.85*$L$6*100)</f>
        <v>5.0307890342087276E-2</v>
      </c>
      <c r="X110" s="210"/>
      <c r="Y110" s="209">
        <f>(Y109*($L$9))/(0.85*$L$6*100)</f>
        <v>4.1636656375025401E-2</v>
      </c>
      <c r="Z110" s="210"/>
      <c r="AA110" s="209">
        <f>(AA109*($L$9))/(0.85*$L$6*100)</f>
        <v>3.5306951408941634E-2</v>
      </c>
      <c r="AB110" s="210"/>
      <c r="AC110" s="209">
        <f>(AC109*($L$9))/(0.85*$L$6*100)</f>
        <v>6.5164602011527559E-2</v>
      </c>
      <c r="AD110" s="210"/>
      <c r="AE110" s="209">
        <f>(AE109*($L$9))/(0.85*$L$6*100)</f>
        <v>3.909382007102196E-2</v>
      </c>
      <c r="AF110" s="210"/>
    </row>
    <row r="111" spans="2:32" ht="15.75" thickBot="1" x14ac:dyDescent="0.3">
      <c r="B111" s="108" t="s">
        <v>15</v>
      </c>
      <c r="C111" s="201">
        <f>ROUNDUP(C108/(0.9*(($C$7-C110/2)/100)*($L$9*1000)),2)</f>
        <v>4.37</v>
      </c>
      <c r="D111" s="202"/>
      <c r="E111" s="201">
        <f>ROUNDUP(E108/(0.9*(($C$7-E110/2)/100)*($L$9*1000)),2)</f>
        <v>4.3199999999999994</v>
      </c>
      <c r="F111" s="202"/>
      <c r="G111" s="201">
        <f>ROUNDUP(G108/(0.9*(($C$7-G110/2)/100)*($L$9*1000)),2)</f>
        <v>4.51</v>
      </c>
      <c r="H111" s="202"/>
      <c r="I111" s="201">
        <f>ROUNDUP(I108/(0.9*(($C$7-I110/2)/100)*($L$9*1000)),2)</f>
        <v>6.08</v>
      </c>
      <c r="J111" s="202"/>
      <c r="K111" s="201">
        <f>ROUNDUP(K108/(0.9*(($C$7-K110/2)/100)*($L$9*1000)),2)</f>
        <v>3.5599999999999996</v>
      </c>
      <c r="L111" s="202"/>
      <c r="M111" s="201">
        <f>ROUNDUP(M108/(0.9*(($C$7-M110/2)/100)*($L$9*1000)),2)</f>
        <v>6.62</v>
      </c>
      <c r="N111" s="202"/>
      <c r="O111" s="201">
        <f>ROUNDUP(O108/(0.9*(($C$7-O110/2)/100)*($L$9*1000)),2)</f>
        <v>5.08</v>
      </c>
      <c r="P111" s="202"/>
      <c r="Q111" s="201">
        <f>ROUNDUP(Q108/(0.9*(($C$7-Q110/2)/100)*($L$9*1000)),2)</f>
        <v>1.8</v>
      </c>
      <c r="R111" s="202"/>
      <c r="S111" s="201">
        <f>ROUNDUP(S108/(0.9*(($C$7-S110/2)/100)*($L$9*1000)),2)</f>
        <v>7.7299999999999995</v>
      </c>
      <c r="T111" s="202"/>
      <c r="U111" s="201">
        <f>ROUNDUP(U108/(0.9*(($C$7-U110/2)/100)*($L$9*1000)),2)</f>
        <v>3.71</v>
      </c>
      <c r="V111" s="202"/>
      <c r="W111" s="201">
        <f>ROUNDUP(W108/(0.9*(($C$7-W110/2)/100)*($L$9*1000)),2)</f>
        <v>3.2199999999999998</v>
      </c>
      <c r="X111" s="202"/>
      <c r="Y111" s="201">
        <f>ROUNDUP(Y108/(0.9*(($C$7-Y110/2)/100)*($L$9*1000)),2)</f>
        <v>2.67</v>
      </c>
      <c r="Z111" s="202"/>
      <c r="AA111" s="201">
        <f>ROUNDUP(AA108/(0.9*(($C$7-AA110/2)/100)*($L$9*1000)),2)</f>
        <v>2.2599999999999998</v>
      </c>
      <c r="AB111" s="202"/>
      <c r="AC111" s="201">
        <f>ROUNDUP(AC108/(0.9*(($C$7-AC110/2)/100)*($L$9*1000)),2)</f>
        <v>4.17</v>
      </c>
      <c r="AD111" s="202"/>
      <c r="AE111" s="201">
        <f>ROUNDUP(AE108/(0.9*(($C$7-AE110/2)/100)*($L$9*1000)),2)</f>
        <v>2.5</v>
      </c>
      <c r="AF111" s="202"/>
    </row>
    <row r="112" spans="2:32" ht="16.5" thickBot="1" x14ac:dyDescent="0.3">
      <c r="B112" s="61" t="s">
        <v>113</v>
      </c>
      <c r="C112" s="199" t="str">
        <f>IF(C111&gt;$C$12,"$\phi"&amp;IF(VLOOKUP(VLOOKUP(C111,tablas!$R$3:$T$66,2,TRUE)&amp;VLOOKUP(C111,tablas!$R$3:$T$66,3,TRUE),tablas!$Q$3:$R$66,2,FALSE)&lt;C111,VLOOKUP(C111+0.1,tablas!$R$3:$T$66,2,TRUE),VLOOKUP(C111,tablas!$R$3:$T$66,2,TRUE))&amp;"@"&amp;IF(VLOOKUP(VLOOKUP(C111,tablas!$R$3:$T$66,2,TRUE)&amp;VLOOKUP(C111,tablas!$R$3:$T$66,3,TRUE),tablas!$Q$3:$R$66,2,FALSE)&lt;C111,VLOOKUP(C111+0.1,tablas!$R$3:$T$66,3,TRUE)&amp;"$",VLOOKUP(C111,tablas!$R$3:$T$66,3,TRUE)&amp;"$"),$C$13)</f>
        <v>$\phi10@18$</v>
      </c>
      <c r="D112" s="200"/>
      <c r="E112" s="199" t="str">
        <f>IF(E111&gt;$C$12,"$\phi"&amp;IF(VLOOKUP(VLOOKUP(E111,tablas!$R$3:$T$66,2,TRUE)&amp;VLOOKUP(E111,tablas!$R$3:$T$66,3,TRUE),tablas!$Q$3:$R$66,2,FALSE)&lt;E111,VLOOKUP(E111+0.1,tablas!$R$3:$T$66,2,TRUE),VLOOKUP(E111,tablas!$R$3:$T$66,2,TRUE))&amp;"@"&amp;IF(VLOOKUP(VLOOKUP(E111,tablas!$R$3:$T$66,2,TRUE)&amp;VLOOKUP(E111,tablas!$R$3:$T$66,3,TRUE),tablas!$Q$3:$R$66,2,FALSE)&lt;E111,VLOOKUP(E111+0.1,tablas!$R$3:$T$66,3,TRUE)&amp;"$",VLOOKUP(E111,tablas!$R$3:$T$66,3,TRUE)&amp;"$"),$C$13)</f>
        <v>$\phi10@18$</v>
      </c>
      <c r="F112" s="200"/>
      <c r="G112" s="199" t="str">
        <f>IF(G111&gt;$C$12,"$\phi"&amp;IF(VLOOKUP(VLOOKUP(G111,tablas!$R$3:$T$66,2,TRUE)&amp;VLOOKUP(G111,tablas!$R$3:$T$66,3,TRUE),tablas!$Q$3:$R$66,2,FALSE)&lt;G111,VLOOKUP(G111+0.1,tablas!$R$3:$T$66,2,TRUE),VLOOKUP(G111,tablas!$R$3:$T$66,2,TRUE))&amp;"@"&amp;IF(VLOOKUP(VLOOKUP(G111,tablas!$R$3:$T$66,2,TRUE)&amp;VLOOKUP(G111,tablas!$R$3:$T$66,3,TRUE),tablas!$Q$3:$R$66,2,FALSE)&lt;G111,VLOOKUP(G111+0.1,tablas!$R$3:$T$66,3,TRUE)&amp;"$",VLOOKUP(G111,tablas!$R$3:$T$66,3,TRUE)&amp;"$"),$C$13)</f>
        <v>$\phi8@11$</v>
      </c>
      <c r="H112" s="200"/>
      <c r="I112" s="199" t="str">
        <f>IF(I111&gt;$C$12,"$\phi"&amp;IF(VLOOKUP(VLOOKUP(I111,tablas!$R$3:$T$66,2,TRUE)&amp;VLOOKUP(I111,tablas!$R$3:$T$66,3,TRUE),tablas!$Q$3:$R$66,2,FALSE)&lt;I111,VLOOKUP(I111+0.1,tablas!$R$3:$T$66,2,TRUE),VLOOKUP(I111,tablas!$R$3:$T$66,2,TRUE))&amp;"@"&amp;IF(VLOOKUP(VLOOKUP(I111,tablas!$R$3:$T$66,2,TRUE)&amp;VLOOKUP(I111,tablas!$R$3:$T$66,3,TRUE),tablas!$Q$3:$R$66,2,FALSE)&lt;I111,VLOOKUP(I111+0.1,tablas!$R$3:$T$66,3,TRUE)&amp;"$",VLOOKUP(I111,tablas!$R$3:$T$66,3,TRUE)&amp;"$"),$C$13)</f>
        <v>$\phi10@13$</v>
      </c>
      <c r="J112" s="200"/>
      <c r="K112" s="199" t="str">
        <f>IF(K111&gt;$C$12,"$\phi"&amp;IF(VLOOKUP(VLOOKUP(K111,tablas!$R$3:$T$66,2,TRUE)&amp;VLOOKUP(K111,tablas!$R$3:$T$66,3,TRUE),tablas!$Q$3:$R$66,2,FALSE)&lt;K111,VLOOKUP(K111+0.1,tablas!$R$3:$T$66,2,TRUE),VLOOKUP(K111,tablas!$R$3:$T$66,2,TRUE))&amp;"@"&amp;IF(VLOOKUP(VLOOKUP(K111,tablas!$R$3:$T$66,2,TRUE)&amp;VLOOKUP(K111,tablas!$R$3:$T$66,3,TRUE),tablas!$Q$3:$R$66,2,FALSE)&lt;K111,VLOOKUP(K111+0.1,tablas!$R$3:$T$66,3,TRUE)&amp;"$",VLOOKUP(K111,tablas!$R$3:$T$66,3,TRUE)&amp;"$"),$C$13)</f>
        <v>$\phi8@14$</v>
      </c>
      <c r="L112" s="200"/>
      <c r="M112" s="199" t="str">
        <f>IF(M111&gt;$C$12,"$\phi"&amp;IF(VLOOKUP(VLOOKUP(M111,tablas!$R$3:$T$66,2,TRUE)&amp;VLOOKUP(M111,tablas!$R$3:$T$66,3,TRUE),tablas!$Q$3:$R$66,2,FALSE)&lt;M111,VLOOKUP(M111+0.1,tablas!$R$3:$T$66,2,TRUE),VLOOKUP(M111,tablas!$R$3:$T$66,2,TRUE))&amp;"@"&amp;IF(VLOOKUP(VLOOKUP(M111,tablas!$R$3:$T$66,2,TRUE)&amp;VLOOKUP(M111,tablas!$R$3:$T$66,3,TRUE),tablas!$Q$3:$R$66,2,FALSE)&lt;M111,VLOOKUP(M111+0.1,tablas!$R$3:$T$66,3,TRUE)&amp;"$",VLOOKUP(M111,tablas!$R$3:$T$66,3,TRUE)&amp;"$"),$C$13)</f>
        <v>$\phi12@17$</v>
      </c>
      <c r="N112" s="200"/>
      <c r="O112" s="199" t="str">
        <f>IF(O111&gt;$C$12,"$\phi"&amp;IF(VLOOKUP(VLOOKUP(O111,tablas!$R$3:$T$66,2,TRUE)&amp;VLOOKUP(O111,tablas!$R$3:$T$66,3,TRUE),tablas!$Q$3:$R$66,2,FALSE)&lt;O111,VLOOKUP(O111+0.1,tablas!$R$3:$T$66,2,TRUE),VLOOKUP(O111,tablas!$R$3:$T$66,2,TRUE))&amp;"@"&amp;IF(VLOOKUP(VLOOKUP(O111,tablas!$R$3:$T$66,2,TRUE)&amp;VLOOKUP(O111,tablas!$R$3:$T$66,3,TRUE),tablas!$Q$3:$R$66,2,FALSE)&lt;O111,VLOOKUP(O111+0.1,tablas!$R$3:$T$66,3,TRUE)&amp;"$",VLOOKUP(O111,tablas!$R$3:$T$66,3,TRUE)&amp;"$"),$C$13)</f>
        <v>$\phi12@22$</v>
      </c>
      <c r="P112" s="200"/>
      <c r="Q112" s="199" t="str">
        <f>IF(Q111&gt;$C$12,"$\phi"&amp;IF(VLOOKUP(VLOOKUP(Q111,tablas!$R$3:$T$66,2,TRUE)&amp;VLOOKUP(Q111,tablas!$R$3:$T$66,3,TRUE),tablas!$Q$3:$R$66,2,FALSE)&lt;Q111,VLOOKUP(Q111+0.1,tablas!$R$3:$T$66,2,TRUE),VLOOKUP(Q111,tablas!$R$3:$T$66,2,TRUE))&amp;"@"&amp;IF(VLOOKUP(VLOOKUP(Q111,tablas!$R$3:$T$66,2,TRUE)&amp;VLOOKUP(Q111,tablas!$R$3:$T$66,3,TRUE),tablas!$Q$3:$R$66,2,FALSE)&lt;Q111,VLOOKUP(Q111+0.1,tablas!$R$3:$T$66,3,TRUE)&amp;"$",VLOOKUP(Q111,tablas!$R$3:$T$66,3,TRUE)&amp;"$"),$C$13)</f>
        <v>$\phi8@16$</v>
      </c>
      <c r="R112" s="200"/>
      <c r="S112" s="199" t="str">
        <f>IF(S111&gt;$C$12,"$\phi"&amp;IF(VLOOKUP(VLOOKUP(S111,tablas!$R$3:$T$66,2,TRUE)&amp;VLOOKUP(S111,tablas!$R$3:$T$66,3,TRUE),tablas!$Q$3:$R$66,2,FALSE)&lt;S111,VLOOKUP(S111+0.1,tablas!$R$3:$T$66,2,TRUE),VLOOKUP(S111,tablas!$R$3:$T$66,2,TRUE))&amp;"@"&amp;IF(VLOOKUP(VLOOKUP(S111,tablas!$R$3:$T$66,2,TRUE)&amp;VLOOKUP(S111,tablas!$R$3:$T$66,3,TRUE),tablas!$Q$3:$R$66,2,FALSE)&lt;S111,VLOOKUP(S111+0.1,tablas!$R$3:$T$66,3,TRUE)&amp;"$",VLOOKUP(S111,tablas!$R$3:$T$66,3,TRUE)&amp;"$"),$C$13)</f>
        <v>$\phi12@15$</v>
      </c>
      <c r="T112" s="200"/>
      <c r="U112" s="199" t="str">
        <f>IF(U111&gt;$C$12,"$\phi"&amp;IF(VLOOKUP(VLOOKUP(U111,tablas!$R$3:$T$66,2,TRUE)&amp;VLOOKUP(U111,tablas!$R$3:$T$66,3,TRUE),tablas!$Q$3:$R$66,2,FALSE)&lt;U111,VLOOKUP(U111+0.1,tablas!$R$3:$T$66,2,TRUE),VLOOKUP(U111,tablas!$R$3:$T$66,2,TRUE))&amp;"@"&amp;IF(VLOOKUP(VLOOKUP(U111,tablas!$R$3:$T$66,2,TRUE)&amp;VLOOKUP(U111,tablas!$R$3:$T$66,3,TRUE),tablas!$Q$3:$R$66,2,FALSE)&lt;U111,VLOOKUP(U111+0.1,tablas!$R$3:$T$66,3,TRUE)&amp;"$",VLOOKUP(U111,tablas!$R$3:$T$66,3,TRUE)&amp;"$"),$C$13)</f>
        <v>$\phi10@21$</v>
      </c>
      <c r="V112" s="200"/>
      <c r="W112" s="199" t="str">
        <f>IF(W111&gt;$C$12,"$\phi"&amp;IF(VLOOKUP(VLOOKUP(W111,tablas!$R$3:$T$66,2,TRUE)&amp;VLOOKUP(W111,tablas!$R$3:$T$66,3,TRUE),tablas!$Q$3:$R$66,2,FALSE)&lt;W111,VLOOKUP(W111+0.1,tablas!$R$3:$T$66,2,TRUE),VLOOKUP(W111,tablas!$R$3:$T$66,2,TRUE))&amp;"@"&amp;IF(VLOOKUP(VLOOKUP(W111,tablas!$R$3:$T$66,2,TRUE)&amp;VLOOKUP(W111,tablas!$R$3:$T$66,3,TRUE),tablas!$Q$3:$R$66,2,FALSE)&lt;W111,VLOOKUP(W111+0.1,tablas!$R$3:$T$66,3,TRUE)&amp;"$",VLOOKUP(W111,tablas!$R$3:$T$66,3,TRUE)&amp;"$"),$C$13)</f>
        <v>$\phi10@24$</v>
      </c>
      <c r="X112" s="200"/>
      <c r="Y112" s="199" t="str">
        <f>IF(Y111&gt;$C$12,"$\phi"&amp;IF(VLOOKUP(VLOOKUP(Y111,tablas!$R$3:$T$66,2,TRUE)&amp;VLOOKUP(Y111,tablas!$R$3:$T$66,3,TRUE),tablas!$Q$3:$R$66,2,FALSE)&lt;Y111,VLOOKUP(Y111+0.1,tablas!$R$3:$T$66,2,TRUE),VLOOKUP(Y111,tablas!$R$3:$T$66,2,TRUE))&amp;"@"&amp;IF(VLOOKUP(VLOOKUP(Y111,tablas!$R$3:$T$66,2,TRUE)&amp;VLOOKUP(Y111,tablas!$R$3:$T$66,3,TRUE),tablas!$Q$3:$R$66,2,FALSE)&lt;Y111,VLOOKUP(Y111+0.1,tablas!$R$3:$T$66,3,TRUE)&amp;"$",VLOOKUP(Y111,tablas!$R$3:$T$66,3,TRUE)&amp;"$"),$C$13)</f>
        <v>$\phi8@16$</v>
      </c>
      <c r="Z112" s="200"/>
      <c r="AA112" s="199" t="str">
        <f>IF(AA111&gt;$C$12,"$\phi"&amp;IF(VLOOKUP(VLOOKUP(AA111,tablas!$R$3:$T$66,2,TRUE)&amp;VLOOKUP(AA111,tablas!$R$3:$T$66,3,TRUE),tablas!$Q$3:$R$66,2,FALSE)&lt;AA111,VLOOKUP(AA111+0.1,tablas!$R$3:$T$66,2,TRUE),VLOOKUP(AA111,tablas!$R$3:$T$66,2,TRUE))&amp;"@"&amp;IF(VLOOKUP(VLOOKUP(AA111,tablas!$R$3:$T$66,2,TRUE)&amp;VLOOKUP(AA111,tablas!$R$3:$T$66,3,TRUE),tablas!$Q$3:$R$66,2,FALSE)&lt;AA111,VLOOKUP(AA111+0.1,tablas!$R$3:$T$66,3,TRUE)&amp;"$",VLOOKUP(AA111,tablas!$R$3:$T$66,3,TRUE)&amp;"$"),$C$13)</f>
        <v>$\phi8@16$</v>
      </c>
      <c r="AB112" s="200"/>
      <c r="AC112" s="199" t="str">
        <f>IF(AC111&gt;$C$12,"$\phi"&amp;IF(VLOOKUP(VLOOKUP(AC111,tablas!$R$3:$T$66,2,TRUE)&amp;VLOOKUP(AC111,tablas!$R$3:$T$66,3,TRUE),tablas!$Q$3:$R$66,2,FALSE)&lt;AC111,VLOOKUP(AC111+0.1,tablas!$R$3:$T$66,2,TRUE),VLOOKUP(AC111,tablas!$R$3:$T$66,2,TRUE))&amp;"@"&amp;IF(VLOOKUP(VLOOKUP(AC111,tablas!$R$3:$T$66,2,TRUE)&amp;VLOOKUP(AC111,tablas!$R$3:$T$66,3,TRUE),tablas!$Q$3:$R$66,2,FALSE)&lt;AC111,VLOOKUP(AC111+0.1,tablas!$R$3:$T$66,3,TRUE)&amp;"$",VLOOKUP(AC111,tablas!$R$3:$T$66,3,TRUE)&amp;"$"),$C$13)</f>
        <v>$\phi8@12$</v>
      </c>
      <c r="AD112" s="200"/>
      <c r="AE112" s="199" t="str">
        <f>IF(AE111&gt;$C$12,"$\phi"&amp;IF(VLOOKUP(VLOOKUP(AE111,tablas!$R$3:$T$66,2,TRUE)&amp;VLOOKUP(AE111,tablas!$R$3:$T$66,3,TRUE),tablas!$Q$3:$R$66,2,FALSE)&lt;AE111,VLOOKUP(AE111+0.1,tablas!$R$3:$T$66,2,TRUE),VLOOKUP(AE111,tablas!$R$3:$T$66,2,TRUE))&amp;"@"&amp;IF(VLOOKUP(VLOOKUP(AE111,tablas!$R$3:$T$66,2,TRUE)&amp;VLOOKUP(AE111,tablas!$R$3:$T$66,3,TRUE),tablas!$Q$3:$R$66,2,FALSE)&lt;AE111,VLOOKUP(AE111+0.1,tablas!$R$3:$T$66,3,TRUE)&amp;"$",VLOOKUP(AE111,tablas!$R$3:$T$66,3,TRUE)&amp;"$"),$C$13)</f>
        <v>$\phi8@16$</v>
      </c>
      <c r="AF112" s="200"/>
    </row>
    <row r="113" spans="2:32" ht="15.75" thickBot="1" x14ac:dyDescent="0.3"/>
    <row r="114" spans="2:32" ht="15.75" thickBot="1" x14ac:dyDescent="0.3">
      <c r="B114" s="73" t="s">
        <v>43</v>
      </c>
      <c r="C114" s="74" t="s">
        <v>63</v>
      </c>
      <c r="D114" s="75" t="s">
        <v>70</v>
      </c>
      <c r="E114" s="74" t="s">
        <v>63</v>
      </c>
      <c r="F114" s="75" t="s">
        <v>71</v>
      </c>
      <c r="G114" s="74" t="s">
        <v>63</v>
      </c>
      <c r="H114" s="75" t="s">
        <v>64</v>
      </c>
      <c r="I114" s="74" t="s">
        <v>64</v>
      </c>
      <c r="J114" s="75" t="s">
        <v>65</v>
      </c>
      <c r="K114" s="74" t="s">
        <v>64</v>
      </c>
      <c r="L114" s="75" t="s">
        <v>71</v>
      </c>
      <c r="M114" s="74" t="s">
        <v>64</v>
      </c>
      <c r="N114" s="75" t="s">
        <v>75</v>
      </c>
      <c r="O114" s="74" t="s">
        <v>65</v>
      </c>
      <c r="P114" s="75" t="s">
        <v>76</v>
      </c>
      <c r="Q114" s="74" t="s">
        <v>66</v>
      </c>
      <c r="R114" s="75" t="s">
        <v>72</v>
      </c>
      <c r="S114" s="74" t="s">
        <v>66</v>
      </c>
      <c r="T114" s="75" t="s">
        <v>67</v>
      </c>
      <c r="U114" s="74" t="s">
        <v>66</v>
      </c>
      <c r="V114" s="75" t="s">
        <v>68</v>
      </c>
      <c r="W114" s="74" t="s">
        <v>66</v>
      </c>
      <c r="X114" s="75" t="s">
        <v>77</v>
      </c>
      <c r="Y114" s="74" t="s">
        <v>67</v>
      </c>
      <c r="Z114" s="75" t="s">
        <v>68</v>
      </c>
      <c r="AA114" s="74" t="s">
        <v>67</v>
      </c>
      <c r="AB114" s="75" t="s">
        <v>69</v>
      </c>
      <c r="AC114" s="74" t="s">
        <v>67</v>
      </c>
      <c r="AD114" s="75" t="s">
        <v>70</v>
      </c>
      <c r="AE114" s="74" t="s">
        <v>68</v>
      </c>
      <c r="AF114" s="75" t="s">
        <v>77</v>
      </c>
    </row>
    <row r="115" spans="2:32" ht="15.75" hidden="1" thickBot="1" x14ac:dyDescent="0.3">
      <c r="B115" s="144"/>
      <c r="C115" s="146" t="str">
        <f>C114&amp;"-"&amp;D114</f>
        <v>0115-0122</v>
      </c>
      <c r="D115" s="146"/>
      <c r="E115" s="146" t="str">
        <f>E114&amp;"-"&amp;F114</f>
        <v>0115-0123</v>
      </c>
      <c r="F115" s="145"/>
      <c r="G115" s="146" t="str">
        <f>G114&amp;"-"&amp;H114</f>
        <v>0115-0116</v>
      </c>
      <c r="H115" s="145"/>
      <c r="I115" s="146" t="str">
        <f>I114&amp;"-"&amp;J114</f>
        <v>0116-0117</v>
      </c>
      <c r="J115" s="145"/>
      <c r="K115" s="146" t="str">
        <f>K114&amp;"-"&amp;L114</f>
        <v>0116-0123</v>
      </c>
      <c r="L115" s="145"/>
      <c r="M115" s="146" t="str">
        <f>M114&amp;"-"&amp;N114</f>
        <v>0116-0127</v>
      </c>
      <c r="N115" s="145"/>
      <c r="O115" s="146" t="str">
        <f>O114&amp;"-"&amp;P114</f>
        <v>0117-0128</v>
      </c>
      <c r="P115" s="145"/>
      <c r="Q115" s="146" t="str">
        <f>Q114&amp;"-"&amp;R114</f>
        <v>0118-0124</v>
      </c>
      <c r="R115" s="145"/>
      <c r="S115" s="146" t="str">
        <f>S114&amp;"-"&amp;T114</f>
        <v>0118-0119</v>
      </c>
      <c r="T115" s="145"/>
      <c r="U115" s="146" t="str">
        <f>U114&amp;"-"&amp;V114</f>
        <v>0118-0120</v>
      </c>
      <c r="V115" s="145"/>
      <c r="W115" s="146" t="str">
        <f>W114&amp;"-"&amp;X114</f>
        <v>0118-0129</v>
      </c>
      <c r="X115" s="145"/>
      <c r="Y115" s="146" t="str">
        <f>Y114&amp;"-"&amp;Z114</f>
        <v>0119-0120</v>
      </c>
      <c r="Z115" s="145"/>
      <c r="AA115" s="146" t="str">
        <f>AA114&amp;"-"&amp;AB114</f>
        <v>0119-0121</v>
      </c>
      <c r="AB115" s="145"/>
      <c r="AC115" s="146" t="str">
        <f>AC114&amp;"-"&amp;AD114</f>
        <v>0119-0122</v>
      </c>
      <c r="AD115" s="145"/>
      <c r="AE115" s="146" t="str">
        <f>AE114&amp;"-"&amp;AF114</f>
        <v>0120-0129</v>
      </c>
      <c r="AF115" s="145"/>
    </row>
    <row r="116" spans="2:32" x14ac:dyDescent="0.25">
      <c r="B116" s="105" t="s">
        <v>114</v>
      </c>
      <c r="C116" s="102" t="s">
        <v>109</v>
      </c>
      <c r="D116" s="103" t="s">
        <v>109</v>
      </c>
      <c r="E116" s="102" t="s">
        <v>108</v>
      </c>
      <c r="F116" s="103" t="s">
        <v>109</v>
      </c>
      <c r="G116" s="102" t="s">
        <v>109</v>
      </c>
      <c r="H116" s="103" t="s">
        <v>108</v>
      </c>
      <c r="I116" s="102" t="s">
        <v>108</v>
      </c>
      <c r="J116" s="103" t="s">
        <v>108</v>
      </c>
      <c r="K116" s="102" t="s">
        <v>108</v>
      </c>
      <c r="L116" s="103" t="s">
        <v>108</v>
      </c>
      <c r="M116" s="102" t="s">
        <v>109</v>
      </c>
      <c r="N116" s="103" t="s">
        <v>109</v>
      </c>
      <c r="O116" s="102" t="s">
        <v>109</v>
      </c>
      <c r="P116" s="103" t="s">
        <v>109</v>
      </c>
      <c r="Q116" s="102" t="s">
        <v>108</v>
      </c>
      <c r="R116" s="103" t="s">
        <v>108</v>
      </c>
      <c r="S116" s="102" t="s">
        <v>108</v>
      </c>
      <c r="T116" s="103" t="s">
        <v>108</v>
      </c>
      <c r="U116" s="102" t="s">
        <v>109</v>
      </c>
      <c r="V116" s="103" t="s">
        <v>108</v>
      </c>
      <c r="W116" s="102" t="s">
        <v>109</v>
      </c>
      <c r="X116" s="103" t="s">
        <v>109</v>
      </c>
      <c r="Y116" s="102" t="s">
        <v>108</v>
      </c>
      <c r="Z116" s="103" t="s">
        <v>109</v>
      </c>
      <c r="AA116" s="102" t="s">
        <v>108</v>
      </c>
      <c r="AB116" s="103" t="s">
        <v>109</v>
      </c>
      <c r="AC116" s="102" t="s">
        <v>108</v>
      </c>
      <c r="AD116" s="103" t="s">
        <v>109</v>
      </c>
      <c r="AE116" s="102" t="s">
        <v>109</v>
      </c>
      <c r="AF116" s="103" t="s">
        <v>108</v>
      </c>
    </row>
    <row r="117" spans="2:32" x14ac:dyDescent="0.25">
      <c r="B117" s="106" t="s">
        <v>110</v>
      </c>
      <c r="C117" s="104">
        <f t="shared" ref="C117:AF117" si="192">HLOOKUP(C114,$B$46:$AE$89,IF(C116="x",35,40),FALSE)</f>
        <v>3251.4304659498212</v>
      </c>
      <c r="D117" s="86">
        <f t="shared" si="192"/>
        <v>1630.0534351145038</v>
      </c>
      <c r="E117" s="104">
        <f t="shared" si="192"/>
        <v>4425.1175609756101</v>
      </c>
      <c r="F117" s="86">
        <f t="shared" si="192"/>
        <v>3414.887069767442</v>
      </c>
      <c r="G117" s="104">
        <f t="shared" si="192"/>
        <v>3251.4304659498212</v>
      </c>
      <c r="H117" s="86">
        <f t="shared" si="192"/>
        <v>2607.3291666666669</v>
      </c>
      <c r="I117" s="104">
        <f t="shared" si="192"/>
        <v>2607.3291666666669</v>
      </c>
      <c r="J117" s="86">
        <f t="shared" si="192"/>
        <v>1706.4000000000003</v>
      </c>
      <c r="K117" s="104">
        <f t="shared" si="192"/>
        <v>2607.3291666666669</v>
      </c>
      <c r="L117" s="86">
        <f t="shared" si="192"/>
        <v>3947.3156989247309</v>
      </c>
      <c r="M117" s="104">
        <f t="shared" si="192"/>
        <v>1787.8828571428573</v>
      </c>
      <c r="N117" s="86">
        <f t="shared" si="192"/>
        <v>4339.783587786259</v>
      </c>
      <c r="O117" s="104">
        <f t="shared" si="192"/>
        <v>1170.1028571428574</v>
      </c>
      <c r="P117" s="86">
        <f t="shared" si="192"/>
        <v>1170.1028571428574</v>
      </c>
      <c r="Q117" s="104">
        <f t="shared" si="192"/>
        <v>5624.1974634146345</v>
      </c>
      <c r="R117" s="86">
        <f t="shared" si="192"/>
        <v>8939.8506666666672</v>
      </c>
      <c r="S117" s="104">
        <f t="shared" si="192"/>
        <v>5624.1974634146345</v>
      </c>
      <c r="T117" s="86">
        <f t="shared" si="192"/>
        <v>231.93333333333331</v>
      </c>
      <c r="U117" s="104">
        <f t="shared" si="192"/>
        <v>4132.4748387096779</v>
      </c>
      <c r="V117" s="86">
        <f t="shared" si="192"/>
        <v>684.50454545454545</v>
      </c>
      <c r="W117" s="104">
        <f t="shared" si="192"/>
        <v>4132.4748387096779</v>
      </c>
      <c r="X117" s="86">
        <f t="shared" si="192"/>
        <v>451.14394904458595</v>
      </c>
      <c r="Y117" s="104">
        <f t="shared" si="192"/>
        <v>231.93333333333331</v>
      </c>
      <c r="Z117" s="86">
        <f t="shared" si="192"/>
        <v>489.7268292682927</v>
      </c>
      <c r="AA117" s="104">
        <f t="shared" si="192"/>
        <v>231.93333333333331</v>
      </c>
      <c r="AB117" s="86">
        <f t="shared" si="192"/>
        <v>682.41142857142859</v>
      </c>
      <c r="AC117" s="104">
        <f t="shared" si="192"/>
        <v>231.93333333333331</v>
      </c>
      <c r="AD117" s="86">
        <f t="shared" si="192"/>
        <v>1630.0534351145038</v>
      </c>
      <c r="AE117" s="104">
        <f t="shared" si="192"/>
        <v>489.7268292682927</v>
      </c>
      <c r="AF117" s="86">
        <f t="shared" si="192"/>
        <v>643.90545454545452</v>
      </c>
    </row>
    <row r="118" spans="2:32" x14ac:dyDescent="0.25">
      <c r="B118" s="106" t="s">
        <v>111</v>
      </c>
      <c r="C118" s="203">
        <f>(MAX(C117:D117)-MIN(C117:D117))/(MAX(C117:D117))</f>
        <v>0.49866575583115663</v>
      </c>
      <c r="D118" s="204"/>
      <c r="E118" s="203">
        <f>(MAX(E117:F117)-MIN(E117:F117))/(MAX(E117:F117))</f>
        <v>0.22829461077310714</v>
      </c>
      <c r="F118" s="204"/>
      <c r="G118" s="203">
        <f>(MAX(G117:H117)-MIN(G117:H117))/(MAX(G117:H117))</f>
        <v>0.19809782372048876</v>
      </c>
      <c r="H118" s="204"/>
      <c r="I118" s="203">
        <f>(MAX(I117:J117)-MIN(I117:J117))/(MAX(I117:J117))</f>
        <v>0.34553717964903413</v>
      </c>
      <c r="J118" s="204"/>
      <c r="K118" s="203">
        <f>(MAX(K117:L117)-MIN(K117:L117))/(MAX(K117:L117))</f>
        <v>0.33946778886296913</v>
      </c>
      <c r="L118" s="204"/>
      <c r="M118" s="203">
        <f>(MAX(M117:N117)-MIN(M117:N117))/(MAX(M117:N117))</f>
        <v>0.58802488166123879</v>
      </c>
      <c r="N118" s="204"/>
      <c r="O118" s="203">
        <f>(MAX(O117:P117)-MIN(O117:P117))/(MAX(O117:P117))</f>
        <v>0</v>
      </c>
      <c r="P118" s="204"/>
      <c r="Q118" s="203">
        <f>(MAX(Q117:R117)-MIN(Q117:R117))/(MAX(Q117:R117))</f>
        <v>0.37088462960738855</v>
      </c>
      <c r="R118" s="204"/>
      <c r="S118" s="203">
        <f>(MAX(S117:T117)-MIN(S117:T117))/(MAX(S117:T117))</f>
        <v>0.95876152378324941</v>
      </c>
      <c r="T118" s="204"/>
      <c r="U118" s="203">
        <f>(MAX(U117:V117)-MIN(U117:V117))/(MAX(U117:V117))</f>
        <v>0.83435965803284251</v>
      </c>
      <c r="V118" s="204"/>
      <c r="W118" s="203">
        <f>(MAX(W117:X117)-MIN(W117:X117))/(MAX(W117:X117))</f>
        <v>0.89082959566537834</v>
      </c>
      <c r="X118" s="204"/>
      <c r="Y118" s="203">
        <f>(MAX(Y117:Z117)-MIN(Y117:Z117))/(MAX(Y117:Z117))</f>
        <v>0.5264026402640265</v>
      </c>
      <c r="Z118" s="204"/>
      <c r="AA118" s="203">
        <f>(MAX(AA117:AB117)-MIN(AA117:AB117))/(MAX(AA117:AB117))</f>
        <v>0.66012683313515663</v>
      </c>
      <c r="AB118" s="204"/>
      <c r="AC118" s="203">
        <f>(MAX(AC117:AD117)-MIN(AC117:AD117))/(MAX(AC117:AD117))</f>
        <v>0.8577142759022246</v>
      </c>
      <c r="AD118" s="204"/>
      <c r="AE118" s="203">
        <f>(MAX(AE117:AF117)-MIN(AE117:AF117))/(MAX(AE117:AF117))</f>
        <v>0.23944295577679106</v>
      </c>
      <c r="AF118" s="204"/>
    </row>
    <row r="119" spans="2:32" x14ac:dyDescent="0.25">
      <c r="B119" s="106" t="s">
        <v>112</v>
      </c>
      <c r="C119" s="205">
        <f>IF(C118&lt;25%,(C117*0.5+D117*0.5)*0.9,IF(C118&lt;50%,(MAX(C117:D117)*0.6+MIN(C117:D117)*0.4)*0.9,IF(C118&lt;70%,(MAX(C117:D117)*0.65+MIN(C117:D117)*0.35)*0.9,IF(C118&lt;100%,(MAX(C117:D117)*0.7+MIN(C117:D117)*0.3)*0.9,0.7*MAX(C117:D117)))))</f>
        <v>2342.5916882541251</v>
      </c>
      <c r="D119" s="206"/>
      <c r="E119" s="205">
        <f>IF(E118&lt;25%,(E117*0.5+F117*0.5)*0.9,IF(E118&lt;50%,(MAX(E117:F117)*0.6+MIN(E117:F117)*0.4)*0.9,IF(E118&lt;70%,(MAX(E117:F117)*0.65+MIN(E117:F117)*0.35)*0.9,IF(E118&lt;100%,(MAX(E117:F117)*0.7+MIN(E117:F117)*0.3)*0.9,0.7*MAX(E117:F117)))))</f>
        <v>3528.0020838343735</v>
      </c>
      <c r="F119" s="206"/>
      <c r="G119" s="205">
        <f>IF(G118&lt;25%,(G117*0.5+H117*0.5)*0.9,IF(G118&lt;50%,(MAX(G117:H117)*0.6+MIN(G117:H117)*0.4)*0.9,IF(G118&lt;70%,(MAX(G117:H117)*0.65+MIN(G117:H117)*0.35)*0.9,IF(G118&lt;100%,(MAX(G117:H117)*0.7+MIN(G117:H117)*0.3)*0.9,0.7*MAX(G117:H117)))))</f>
        <v>2636.4418346774196</v>
      </c>
      <c r="H119" s="206"/>
      <c r="I119" s="205">
        <f>IF(I118&lt;25%,(I117*0.5+J117*0.5)*0.9,IF(I118&lt;50%,(MAX(I117:J117)*0.6+MIN(I117:J117)*0.4)*0.9,IF(I118&lt;70%,(MAX(I117:J117)*0.65+MIN(I117:J117)*0.35)*0.9,IF(I118&lt;100%,(MAX(I117:J117)*0.7+MIN(I117:J117)*0.3)*0.9,0.7*MAX(I117:J117)))))</f>
        <v>2022.2617500000003</v>
      </c>
      <c r="J119" s="206"/>
      <c r="K119" s="205">
        <f>IF(K118&lt;25%,(K117*0.5+L117*0.5)*0.9,IF(K118&lt;50%,(MAX(K117:L117)*0.6+MIN(K117:L117)*0.4)*0.9,IF(K118&lt;70%,(MAX(K117:L117)*0.65+MIN(K117:L117)*0.35)*0.9,IF(K118&lt;100%,(MAX(K117:L117)*0.7+MIN(K117:L117)*0.3)*0.9,0.7*MAX(K117:L117)))))</f>
        <v>3070.1889774193551</v>
      </c>
      <c r="L119" s="206"/>
      <c r="M119" s="205">
        <f>IF(M118&lt;25%,(M117*0.5+N117*0.5)*0.9,IF(M118&lt;50%,(MAX(M117:N117)*0.6+MIN(M117:N117)*0.4)*0.9,IF(M118&lt;70%,(MAX(M117:N117)*0.65+MIN(M117:N117)*0.35)*0.9,IF(M118&lt;100%,(MAX(M117:N117)*0.7+MIN(M117:N117)*0.3)*0.9,0.7*MAX(M117:N117)))))</f>
        <v>3101.9564988549619</v>
      </c>
      <c r="N119" s="206"/>
      <c r="O119" s="205">
        <f>IF(O118&lt;25%,(O117*0.5+P117*0.5)*0.9,IF(O118&lt;50%,(MAX(O117:P117)*0.6+MIN(O117:P117)*0.4)*0.9,IF(O118&lt;70%,(MAX(O117:P117)*0.65+MIN(O117:P117)*0.35)*0.9,IF(O118&lt;100%,(MAX(O117:P117)*0.7+MIN(O117:P117)*0.3)*0.9,0.7*MAX(O117:P117)))))</f>
        <v>1053.0925714285718</v>
      </c>
      <c r="P119" s="206"/>
      <c r="Q119" s="205">
        <f>IF(Q118&lt;25%,(Q117*0.5+R117*0.5)*0.9,IF(Q118&lt;50%,(MAX(Q117:R117)*0.6+MIN(Q117:R117)*0.4)*0.9,IF(Q118&lt;70%,(MAX(Q117:R117)*0.65+MIN(Q117:R117)*0.35)*0.9,IF(Q118&lt;100%,(MAX(Q117:R117)*0.7+MIN(Q117:R117)*0.3)*0.9,0.7*MAX(Q117:R117)))))</f>
        <v>6852.2304468292687</v>
      </c>
      <c r="R119" s="206"/>
      <c r="S119" s="205">
        <f>IF(S118&lt;25%,(S117*0.5+T117*0.5)*0.9,IF(S118&lt;50%,(MAX(S117:T117)*0.6+MIN(S117:T117)*0.4)*0.9,IF(S118&lt;70%,(MAX(S117:T117)*0.65+MIN(S117:T117)*0.35)*0.9,IF(S118&lt;100%,(MAX(S117:T117)*0.7+MIN(S117:T117)*0.3)*0.9,0.7*MAX(S117:T117)))))</f>
        <v>3605.8664019512194</v>
      </c>
      <c r="T119" s="206"/>
      <c r="U119" s="205">
        <f>IF(U118&lt;25%,(U117*0.5+V117*0.5)*0.9,IF(U118&lt;50%,(MAX(U117:V117)*0.6+MIN(U117:V117)*0.4)*0.9,IF(U118&lt;70%,(MAX(U117:V117)*0.65+MIN(U117:V117)*0.35)*0.9,IF(U118&lt;100%,(MAX(U117:V117)*0.7+MIN(U117:V117)*0.3)*0.9,0.7*MAX(U117:V117)))))</f>
        <v>2788.2753756598245</v>
      </c>
      <c r="V119" s="206"/>
      <c r="W119" s="205">
        <f>IF(W118&lt;25%,(W117*0.5+X117*0.5)*0.9,IF(W118&lt;50%,(MAX(W117:X117)*0.6+MIN(W117:X117)*0.4)*0.9,IF(W118&lt;70%,(MAX(W117:X117)*0.65+MIN(W117:X117)*0.35)*0.9,IF(W118&lt;100%,(MAX(W117:X117)*0.7+MIN(W117:X117)*0.3)*0.9,0.7*MAX(W117:X117)))))</f>
        <v>2725.268014629135</v>
      </c>
      <c r="X119" s="206"/>
      <c r="Y119" s="205">
        <f>IF(Y118&lt;25%,(Y117*0.5+Z117*0.5)*0.9,IF(Y118&lt;50%,(MAX(Y117:Z117)*0.6+MIN(Y117:Z117)*0.4)*0.9,IF(Y118&lt;70%,(MAX(Y117:Z117)*0.65+MIN(Y117:Z117)*0.35)*0.9,IF(Y118&lt;100%,(MAX(Y117:Z117)*0.7+MIN(Y117:Z117)*0.3)*0.9,0.7*MAX(Y117:Z117)))))</f>
        <v>359.54919512195124</v>
      </c>
      <c r="Z119" s="206"/>
      <c r="AA119" s="205">
        <f>IF(AA118&lt;25%,(AA117*0.5+AB117*0.5)*0.9,IF(AA118&lt;50%,(MAX(AA117:AB117)*0.6+MIN(AA117:AB117)*0.4)*0.9,IF(AA118&lt;70%,(MAX(AA117:AB117)*0.65+MIN(AA117:AB117)*0.35)*0.9,IF(AA118&lt;100%,(MAX(AA117:AB117)*0.7+MIN(AA117:AB117)*0.3)*0.9,0.7*MAX(AA117:AB117)))))</f>
        <v>472.26968571428574</v>
      </c>
      <c r="AB119" s="206"/>
      <c r="AC119" s="205">
        <f>IF(AC118&lt;25%,(AC117*0.5+AD117*0.5)*0.9,IF(AC118&lt;50%,(MAX(AC117:AD117)*0.6+MIN(AC117:AD117)*0.4)*0.9,IF(AC118&lt;70%,(MAX(AC117:AD117)*0.65+MIN(AC117:AD117)*0.35)*0.9,IF(AC118&lt;100%,(MAX(AC117:AD117)*0.7+MIN(AC117:AD117)*0.3)*0.9,0.7*MAX(AC117:AD117)))))</f>
        <v>1089.5556641221372</v>
      </c>
      <c r="AD119" s="206"/>
      <c r="AE119" s="205">
        <f>IF(AE118&lt;25%,(AE117*0.5+AF117*0.5)*0.9,IF(AE118&lt;50%,(MAX(AE117:AF117)*0.6+MIN(AE117:AF117)*0.4)*0.9,IF(AE118&lt;70%,(MAX(AE117:AF117)*0.65+MIN(AE117:AF117)*0.35)*0.9,IF(AE118&lt;100%,(MAX(AE117:AF117)*0.7+MIN(AE117:AF117)*0.3)*0.9,0.7*MAX(AE117:AF117)))))</f>
        <v>510.1345277161862</v>
      </c>
      <c r="AF119" s="206"/>
    </row>
    <row r="120" spans="2:32" x14ac:dyDescent="0.25">
      <c r="B120" s="107" t="s">
        <v>15</v>
      </c>
      <c r="C120" s="207">
        <f>C119/(0.9*(0.9*($C$7/100))*($L$9*1000))</f>
        <v>4.5048107539212427</v>
      </c>
      <c r="D120" s="208"/>
      <c r="E120" s="207">
        <f>E119/(0.9*(0.9*($C$7/100))*($L$9*1000))</f>
        <v>6.7843584551255196</v>
      </c>
      <c r="F120" s="208"/>
      <c r="G120" s="207">
        <f>G119/(0.9*(0.9*($C$7/100))*($L$9*1000))</f>
        <v>5.0698854557082784</v>
      </c>
      <c r="H120" s="208"/>
      <c r="I120" s="207">
        <f>I119/(0.9*(0.9*($C$7/100))*($L$9*1000))</f>
        <v>3.8888153340256144</v>
      </c>
      <c r="J120" s="208"/>
      <c r="K120" s="207">
        <f>K119/(0.9*(0.9*($C$7/100))*($L$9*1000))</f>
        <v>5.9039824957104621</v>
      </c>
      <c r="L120" s="208"/>
      <c r="M120" s="207">
        <f>M119/(0.9*(0.9*($C$7/100))*($L$9*1000))</f>
        <v>5.9650715335082518</v>
      </c>
      <c r="N120" s="208"/>
      <c r="O120" s="207">
        <f>O119/(0.9*(0.9*($C$7/100))*($L$9*1000))</f>
        <v>2.0251001335113488</v>
      </c>
      <c r="P120" s="208"/>
      <c r="Q120" s="207">
        <f>Q119/(0.9*(0.9*($C$7/100))*($L$9*1000))</f>
        <v>13.176859441616221</v>
      </c>
      <c r="R120" s="208"/>
      <c r="S120" s="207">
        <f>S119/(0.9*(0.9*($C$7/100))*($L$9*1000))</f>
        <v>6.9340917694535182</v>
      </c>
      <c r="T120" s="208"/>
      <c r="U120" s="207">
        <f>U119/(0.9*(0.9*($C$7/100))*($L$9*1000))</f>
        <v>5.3618618046610207</v>
      </c>
      <c r="V120" s="208"/>
      <c r="W120" s="207">
        <f>W119/(0.9*(0.9*($C$7/100))*($L$9*1000))</f>
        <v>5.2406984628074582</v>
      </c>
      <c r="X120" s="208"/>
      <c r="Y120" s="207">
        <f>Y119/(0.9*(0.9*($C$7/100))*($L$9*1000))</f>
        <v>0.69141416699732927</v>
      </c>
      <c r="Z120" s="208"/>
      <c r="AA120" s="207">
        <f>AA119/(0.9*(0.9*($C$7/100))*($L$9*1000))</f>
        <v>0.90817600421961786</v>
      </c>
      <c r="AB120" s="208"/>
      <c r="AC120" s="207">
        <f>AC119/(0.9*(0.9*($C$7/100))*($L$9*1000))</f>
        <v>2.0952187687437731</v>
      </c>
      <c r="AD120" s="208"/>
      <c r="AE120" s="207">
        <f>AE119/(0.9*(0.9*($C$7/100))*($L$9*1000))</f>
        <v>0.98099020752314547</v>
      </c>
      <c r="AF120" s="208"/>
    </row>
    <row r="121" spans="2:32" x14ac:dyDescent="0.25">
      <c r="B121" s="107" t="s">
        <v>98</v>
      </c>
      <c r="C121" s="209">
        <f>(C120*($L$9))/(0.85*$L$6*100)</f>
        <v>6.3537947031744674E-2</v>
      </c>
      <c r="D121" s="210"/>
      <c r="E121" s="209">
        <f>(E120*($L$9))/(0.85*$L$6*100)</f>
        <v>9.5689748518494738E-2</v>
      </c>
      <c r="F121" s="210"/>
      <c r="G121" s="209">
        <f>(G120*($L$9))/(0.85*$L$6*100)</f>
        <v>7.1508023563787881E-2</v>
      </c>
      <c r="H121" s="210"/>
      <c r="I121" s="209">
        <f>(I120*($L$9))/(0.85*$L$6*100)</f>
        <v>5.4849660997296532E-2</v>
      </c>
      <c r="J121" s="210"/>
      <c r="K121" s="209">
        <f>(K120*($L$9))/(0.85*$L$6*100)</f>
        <v>8.3272516334291585E-2</v>
      </c>
      <c r="L121" s="210"/>
      <c r="M121" s="209">
        <f>(M120*($L$9))/(0.85*$L$6*100)</f>
        <v>8.4134144549070089E-2</v>
      </c>
      <c r="N121" s="210"/>
      <c r="O121" s="209">
        <f>(O120*($L$9))/(0.85*$L$6*100)</f>
        <v>2.8562954593602152E-2</v>
      </c>
      <c r="P121" s="210"/>
      <c r="Q121" s="209">
        <f>(Q120*($L$9))/(0.85*$L$6*100)</f>
        <v>0.18585255696199515</v>
      </c>
      <c r="R121" s="210"/>
      <c r="S121" s="209">
        <f>(S120*($L$9))/(0.85*$L$6*100)</f>
        <v>9.7801656857014529E-2</v>
      </c>
      <c r="T121" s="210"/>
      <c r="U121" s="209">
        <f>(U120*($L$9))/(0.85*$L$6*100)</f>
        <v>7.562619385054925E-2</v>
      </c>
      <c r="V121" s="210"/>
      <c r="W121" s="209">
        <f>(W120*($L$9))/(0.85*$L$6*100)</f>
        <v>7.3917249697861009E-2</v>
      </c>
      <c r="X121" s="210"/>
      <c r="Y121" s="209">
        <f>(Y120*($L$9))/(0.85*$L$6*100)</f>
        <v>9.7520271370854159E-3</v>
      </c>
      <c r="Z121" s="210"/>
      <c r="AA121" s="209">
        <f>(AA120*($L$9))/(0.85*$L$6*100)</f>
        <v>1.2809336951919475E-2</v>
      </c>
      <c r="AB121" s="210"/>
      <c r="AC121" s="209">
        <f>(AC120*($L$9))/(0.85*$L$6*100)</f>
        <v>2.9551940452210743E-2</v>
      </c>
      <c r="AD121" s="210"/>
      <c r="AE121" s="209">
        <f>(AE120*($L$9))/(0.85*$L$6*100)</f>
        <v>1.3836342356892612E-2</v>
      </c>
      <c r="AF121" s="210"/>
    </row>
    <row r="122" spans="2:32" ht="15.75" thickBot="1" x14ac:dyDescent="0.3">
      <c r="B122" s="108" t="s">
        <v>15</v>
      </c>
      <c r="C122" s="201">
        <f>ROUNDUP(C119/(0.9*(($C$7-C121/2)/100)*($L$9*1000)),2)</f>
        <v>4.0699999999999994</v>
      </c>
      <c r="D122" s="202"/>
      <c r="E122" s="201">
        <f>ROUNDUP(E119/(0.9*(($C$7-E121/2)/100)*($L$9*1000)),2)</f>
        <v>6.13</v>
      </c>
      <c r="F122" s="202"/>
      <c r="G122" s="201">
        <f>ROUNDUP(G119/(0.9*(($C$7-G121/2)/100)*($L$9*1000)),2)</f>
        <v>4.58</v>
      </c>
      <c r="H122" s="202"/>
      <c r="I122" s="201">
        <f>ROUNDUP(I119/(0.9*(($C$7-I121/2)/100)*($L$9*1000)),2)</f>
        <v>3.51</v>
      </c>
      <c r="J122" s="202"/>
      <c r="K122" s="201">
        <f>ROUNDUP(K119/(0.9*(($C$7-K121/2)/100)*($L$9*1000)),2)</f>
        <v>5.33</v>
      </c>
      <c r="L122" s="202"/>
      <c r="M122" s="201">
        <f>ROUNDUP(M119/(0.9*(($C$7-M121/2)/100)*($L$9*1000)),2)</f>
        <v>5.39</v>
      </c>
      <c r="N122" s="202"/>
      <c r="O122" s="201">
        <f>ROUNDUP(O119/(0.9*(($C$7-O121/2)/100)*($L$9*1000)),2)</f>
        <v>1.83</v>
      </c>
      <c r="P122" s="202"/>
      <c r="Q122" s="201">
        <f>ROUNDUP(Q119/(0.9*(($C$7-Q121/2)/100)*($L$9*1000)),2)</f>
        <v>11.94</v>
      </c>
      <c r="R122" s="202"/>
      <c r="S122" s="201">
        <f>ROUNDUP(S119/(0.9*(($C$7-S121/2)/100)*($L$9*1000)),2)</f>
        <v>6.27</v>
      </c>
      <c r="T122" s="202"/>
      <c r="U122" s="201">
        <f>ROUNDUP(U119/(0.9*(($C$7-U121/2)/100)*($L$9*1000)),2)</f>
        <v>4.84</v>
      </c>
      <c r="V122" s="202"/>
      <c r="W122" s="201">
        <f>ROUNDUP(W119/(0.9*(($C$7-W121/2)/100)*($L$9*1000)),2)</f>
        <v>4.7299999999999995</v>
      </c>
      <c r="X122" s="202"/>
      <c r="Y122" s="201">
        <f>ROUNDUP(Y119/(0.9*(($C$7-Y121/2)/100)*($L$9*1000)),2)</f>
        <v>0.63</v>
      </c>
      <c r="Z122" s="202"/>
      <c r="AA122" s="201">
        <f>ROUNDUP(AA119/(0.9*(($C$7-AA121/2)/100)*($L$9*1000)),2)</f>
        <v>0.82000000000000006</v>
      </c>
      <c r="AB122" s="202"/>
      <c r="AC122" s="201">
        <f>ROUNDUP(AC119/(0.9*(($C$7-AC121/2)/100)*($L$9*1000)),2)</f>
        <v>1.89</v>
      </c>
      <c r="AD122" s="202"/>
      <c r="AE122" s="201">
        <f>ROUNDUP(AE119/(0.9*(($C$7-AE121/2)/100)*($L$9*1000)),2)</f>
        <v>0.89</v>
      </c>
      <c r="AF122" s="202"/>
    </row>
    <row r="123" spans="2:32" ht="16.5" thickBot="1" x14ac:dyDescent="0.3">
      <c r="B123" s="61" t="s">
        <v>113</v>
      </c>
      <c r="C123" s="199" t="str">
        <f>IF(C122&gt;$C$12,"$\phi"&amp;IF(VLOOKUP(VLOOKUP(C122,tablas!$R$3:$T$66,2,TRUE)&amp;VLOOKUP(C122,tablas!$R$3:$T$66,3,TRUE),tablas!$Q$3:$R$66,2,FALSE)&lt;C122,VLOOKUP(C122+0.1,tablas!$R$3:$T$66,2,TRUE),VLOOKUP(C122,tablas!$R$3:$T$66,2,TRUE))&amp;"@"&amp;IF(VLOOKUP(VLOOKUP(C122,tablas!$R$3:$T$66,2,TRUE)&amp;VLOOKUP(C122,tablas!$R$3:$T$66,3,TRUE),tablas!$Q$3:$R$66,2,FALSE)&lt;C122,VLOOKUP(C122+0.1,tablas!$R$3:$T$66,3,TRUE)&amp;"$",VLOOKUP(C122,tablas!$R$3:$T$66,3,TRUE)&amp;"$"),$C$13)</f>
        <v>$\phi10@19$</v>
      </c>
      <c r="D123" s="200"/>
      <c r="E123" s="199" t="str">
        <f>IF(E122&gt;$C$12,"$\phi"&amp;IF(VLOOKUP(VLOOKUP(E122,tablas!$R$3:$T$66,2,TRUE)&amp;VLOOKUP(E122,tablas!$R$3:$T$66,3,TRUE),tablas!$Q$3:$R$66,2,FALSE)&lt;E122,VLOOKUP(E122+0.1,tablas!$R$3:$T$66,2,TRUE),VLOOKUP(E122,tablas!$R$3:$T$66,2,TRUE))&amp;"@"&amp;IF(VLOOKUP(VLOOKUP(E122,tablas!$R$3:$T$66,2,TRUE)&amp;VLOOKUP(E122,tablas!$R$3:$T$66,3,TRUE),tablas!$Q$3:$R$66,2,FALSE)&lt;E122,VLOOKUP(E122+0.1,tablas!$R$3:$T$66,3,TRUE)&amp;"$",VLOOKUP(E122,tablas!$R$3:$T$66,3,TRUE)&amp;"$"),$C$13)</f>
        <v>$\phi10@13$</v>
      </c>
      <c r="F123" s="200"/>
      <c r="G123" s="199" t="str">
        <f>IF(G122&gt;$C$12,"$\phi"&amp;IF(VLOOKUP(VLOOKUP(G122,tablas!$R$3:$T$66,2,TRUE)&amp;VLOOKUP(G122,tablas!$R$3:$T$66,3,TRUE),tablas!$Q$3:$R$66,2,FALSE)&lt;G122,VLOOKUP(G122+0.1,tablas!$R$3:$T$66,2,TRUE),VLOOKUP(G122,tablas!$R$3:$T$66,2,TRUE))&amp;"@"&amp;IF(VLOOKUP(VLOOKUP(G122,tablas!$R$3:$T$66,2,TRUE)&amp;VLOOKUP(G122,tablas!$R$3:$T$66,3,TRUE),tablas!$Q$3:$R$66,2,FALSE)&lt;G122,VLOOKUP(G122+0.1,tablas!$R$3:$T$66,3,TRUE)&amp;"$",VLOOKUP(G122,tablas!$R$3:$T$66,3,TRUE)&amp;"$"),$C$13)</f>
        <v>$\phi10@17$</v>
      </c>
      <c r="H123" s="200"/>
      <c r="I123" s="199" t="str">
        <f>IF(I122&gt;$C$12,"$\phi"&amp;IF(VLOOKUP(VLOOKUP(I122,tablas!$R$3:$T$66,2,TRUE)&amp;VLOOKUP(I122,tablas!$R$3:$T$66,3,TRUE),tablas!$Q$3:$R$66,2,FALSE)&lt;I122,VLOOKUP(I122+0.1,tablas!$R$3:$T$66,2,TRUE),VLOOKUP(I122,tablas!$R$3:$T$66,2,TRUE))&amp;"@"&amp;IF(VLOOKUP(VLOOKUP(I122,tablas!$R$3:$T$66,2,TRUE)&amp;VLOOKUP(I122,tablas!$R$3:$T$66,3,TRUE),tablas!$Q$3:$R$66,2,FALSE)&lt;I122,VLOOKUP(I122+0.1,tablas!$R$3:$T$66,3,TRUE)&amp;"$",VLOOKUP(I122,tablas!$R$3:$T$66,3,TRUE)&amp;"$"),$C$13)</f>
        <v>$\phi8@14$</v>
      </c>
      <c r="J123" s="200"/>
      <c r="K123" s="199" t="str">
        <f>IF(K122&gt;$C$12,"$\phi"&amp;IF(VLOOKUP(VLOOKUP(K122,tablas!$R$3:$T$66,2,TRUE)&amp;VLOOKUP(K122,tablas!$R$3:$T$66,3,TRUE),tablas!$Q$3:$R$66,2,FALSE)&lt;K122,VLOOKUP(K122+0.1,tablas!$R$3:$T$66,2,TRUE),VLOOKUP(K122,tablas!$R$3:$T$66,2,TRUE))&amp;"@"&amp;IF(VLOOKUP(VLOOKUP(K122,tablas!$R$3:$T$66,2,TRUE)&amp;VLOOKUP(K122,tablas!$R$3:$T$66,3,TRUE),tablas!$Q$3:$R$66,2,FALSE)&lt;K122,VLOOKUP(K122+0.1,tablas!$R$3:$T$66,3,TRUE)&amp;"$",VLOOKUP(K122,tablas!$R$3:$T$66,3,TRUE)&amp;"$"),$C$13)</f>
        <v>$\phi12@21$</v>
      </c>
      <c r="L123" s="200"/>
      <c r="M123" s="199" t="str">
        <f>IF(M122&gt;$C$12,"$\phi"&amp;IF(VLOOKUP(VLOOKUP(M122,tablas!$R$3:$T$66,2,TRUE)&amp;VLOOKUP(M122,tablas!$R$3:$T$66,3,TRUE),tablas!$Q$3:$R$66,2,FALSE)&lt;M122,VLOOKUP(M122+0.1,tablas!$R$3:$T$66,2,TRUE),VLOOKUP(M122,tablas!$R$3:$T$66,2,TRUE))&amp;"@"&amp;IF(VLOOKUP(VLOOKUP(M122,tablas!$R$3:$T$66,2,TRUE)&amp;VLOOKUP(M122,tablas!$R$3:$T$66,3,TRUE),tablas!$Q$3:$R$66,2,FALSE)&lt;M122,VLOOKUP(M122+0.1,tablas!$R$3:$T$66,3,TRUE)&amp;"$",VLOOKUP(M122,tablas!$R$3:$T$66,3,TRUE)&amp;"$"),$C$13)</f>
        <v>$\phi12@21$</v>
      </c>
      <c r="N123" s="200"/>
      <c r="O123" s="199" t="str">
        <f>IF(O122&gt;$C$12,"$\phi"&amp;IF(VLOOKUP(VLOOKUP(O122,tablas!$R$3:$T$66,2,TRUE)&amp;VLOOKUP(O122,tablas!$R$3:$T$66,3,TRUE),tablas!$Q$3:$R$66,2,FALSE)&lt;O122,VLOOKUP(O122+0.1,tablas!$R$3:$T$66,2,TRUE),VLOOKUP(O122,tablas!$R$3:$T$66,2,TRUE))&amp;"@"&amp;IF(VLOOKUP(VLOOKUP(O122,tablas!$R$3:$T$66,2,TRUE)&amp;VLOOKUP(O122,tablas!$R$3:$T$66,3,TRUE),tablas!$Q$3:$R$66,2,FALSE)&lt;O122,VLOOKUP(O122+0.1,tablas!$R$3:$T$66,3,TRUE)&amp;"$",VLOOKUP(O122,tablas!$R$3:$T$66,3,TRUE)&amp;"$"),$C$13)</f>
        <v>$\phi8@16$</v>
      </c>
      <c r="P123" s="200"/>
      <c r="Q123" s="199" t="str">
        <f>IF(Q122&gt;$C$12,"$\phi"&amp;IF(VLOOKUP(VLOOKUP(Q122,tablas!$R$3:$T$66,2,TRUE)&amp;VLOOKUP(Q122,tablas!$R$3:$T$66,3,TRUE),tablas!$Q$3:$R$66,2,FALSE)&lt;Q122,VLOOKUP(Q122+0.1,tablas!$R$3:$T$66,2,TRUE),VLOOKUP(Q122,tablas!$R$3:$T$66,2,TRUE))&amp;"@"&amp;IF(VLOOKUP(VLOOKUP(Q122,tablas!$R$3:$T$66,2,TRUE)&amp;VLOOKUP(Q122,tablas!$R$3:$T$66,3,TRUE),tablas!$Q$3:$R$66,2,FALSE)&lt;Q122,VLOOKUP(Q122+0.1,tablas!$R$3:$T$66,3,TRUE)&amp;"$",VLOOKUP(Q122,tablas!$R$3:$T$66,3,TRUE)&amp;"$"),$C$13)</f>
        <v>$\phi16@17$</v>
      </c>
      <c r="R123" s="200"/>
      <c r="S123" s="199" t="str">
        <f>IF(S122&gt;$C$12,"$\phi"&amp;IF(VLOOKUP(VLOOKUP(S122,tablas!$R$3:$T$66,2,TRUE)&amp;VLOOKUP(S122,tablas!$R$3:$T$66,3,TRUE),tablas!$Q$3:$R$66,2,FALSE)&lt;S122,VLOOKUP(S122+0.1,tablas!$R$3:$T$66,2,TRUE),VLOOKUP(S122,tablas!$R$3:$T$66,2,TRUE))&amp;"@"&amp;IF(VLOOKUP(VLOOKUP(S122,tablas!$R$3:$T$66,2,TRUE)&amp;VLOOKUP(S122,tablas!$R$3:$T$66,3,TRUE),tablas!$Q$3:$R$66,2,FALSE)&lt;S122,VLOOKUP(S122+0.1,tablas!$R$3:$T$66,3,TRUE)&amp;"$",VLOOKUP(S122,tablas!$R$3:$T$66,3,TRUE)&amp;"$"),$C$13)</f>
        <v>$\phi12@18$</v>
      </c>
      <c r="T123" s="200"/>
      <c r="U123" s="199" t="str">
        <f>IF(U122&gt;$C$12,"$\phi"&amp;IF(VLOOKUP(VLOOKUP(U122,tablas!$R$3:$T$66,2,TRUE)&amp;VLOOKUP(U122,tablas!$R$3:$T$66,3,TRUE),tablas!$Q$3:$R$66,2,FALSE)&lt;U122,VLOOKUP(U122+0.1,tablas!$R$3:$T$66,2,TRUE),VLOOKUP(U122,tablas!$R$3:$T$66,2,TRUE))&amp;"@"&amp;IF(VLOOKUP(VLOOKUP(U122,tablas!$R$3:$T$66,2,TRUE)&amp;VLOOKUP(U122,tablas!$R$3:$T$66,3,TRUE),tablas!$Q$3:$R$66,2,FALSE)&lt;U122,VLOOKUP(U122+0.1,tablas!$R$3:$T$66,3,TRUE)&amp;"$",VLOOKUP(U122,tablas!$R$3:$T$66,3,TRUE)&amp;"$"),$C$13)</f>
        <v>$\phi12@23$</v>
      </c>
      <c r="V123" s="200"/>
      <c r="W123" s="199" t="str">
        <f>IF(W122&gt;$C$12,"$\phi"&amp;IF(VLOOKUP(VLOOKUP(W122,tablas!$R$3:$T$66,2,TRUE)&amp;VLOOKUP(W122,tablas!$R$3:$T$66,3,TRUE),tablas!$Q$3:$R$66,2,FALSE)&lt;W122,VLOOKUP(W122+0.1,tablas!$R$3:$T$66,2,TRUE),VLOOKUP(W122,tablas!$R$3:$T$66,2,TRUE))&amp;"@"&amp;IF(VLOOKUP(VLOOKUP(W122,tablas!$R$3:$T$66,2,TRUE)&amp;VLOOKUP(W122,tablas!$R$3:$T$66,3,TRUE),tablas!$Q$3:$R$66,2,FALSE)&lt;W122,VLOOKUP(W122+0.1,tablas!$R$3:$T$66,3,TRUE)&amp;"$",VLOOKUP(W122,tablas!$R$3:$T$66,3,TRUE)&amp;"$"),$C$13)</f>
        <v>$\phi12@24$</v>
      </c>
      <c r="X123" s="200"/>
      <c r="Y123" s="199" t="str">
        <f>IF(Y122&gt;$C$12,"$\phi"&amp;IF(VLOOKUP(VLOOKUP(Y122,tablas!$R$3:$T$66,2,TRUE)&amp;VLOOKUP(Y122,tablas!$R$3:$T$66,3,TRUE),tablas!$Q$3:$R$66,2,FALSE)&lt;Y122,VLOOKUP(Y122+0.1,tablas!$R$3:$T$66,2,TRUE),VLOOKUP(Y122,tablas!$R$3:$T$66,2,TRUE))&amp;"@"&amp;IF(VLOOKUP(VLOOKUP(Y122,tablas!$R$3:$T$66,2,TRUE)&amp;VLOOKUP(Y122,tablas!$R$3:$T$66,3,TRUE),tablas!$Q$3:$R$66,2,FALSE)&lt;Y122,VLOOKUP(Y122+0.1,tablas!$R$3:$T$66,3,TRUE)&amp;"$",VLOOKUP(Y122,tablas!$R$3:$T$66,3,TRUE)&amp;"$"),$C$13)</f>
        <v>$\phi8@16$</v>
      </c>
      <c r="Z123" s="200"/>
      <c r="AA123" s="199" t="str">
        <f>IF(AA122&gt;$C$12,"$\phi"&amp;IF(VLOOKUP(VLOOKUP(AA122,tablas!$R$3:$T$66,2,TRUE)&amp;VLOOKUP(AA122,tablas!$R$3:$T$66,3,TRUE),tablas!$Q$3:$R$66,2,FALSE)&lt;AA122,VLOOKUP(AA122+0.1,tablas!$R$3:$T$66,2,TRUE),VLOOKUP(AA122,tablas!$R$3:$T$66,2,TRUE))&amp;"@"&amp;IF(VLOOKUP(VLOOKUP(AA122,tablas!$R$3:$T$66,2,TRUE)&amp;VLOOKUP(AA122,tablas!$R$3:$T$66,3,TRUE),tablas!$Q$3:$R$66,2,FALSE)&lt;AA122,VLOOKUP(AA122+0.1,tablas!$R$3:$T$66,3,TRUE)&amp;"$",VLOOKUP(AA122,tablas!$R$3:$T$66,3,TRUE)&amp;"$"),$C$13)</f>
        <v>$\phi8@16$</v>
      </c>
      <c r="AB123" s="200"/>
      <c r="AC123" s="199" t="str">
        <f>IF(AC122&gt;$C$12,"$\phi"&amp;IF(VLOOKUP(VLOOKUP(AC122,tablas!$R$3:$T$66,2,TRUE)&amp;VLOOKUP(AC122,tablas!$R$3:$T$66,3,TRUE),tablas!$Q$3:$R$66,2,FALSE)&lt;AC122,VLOOKUP(AC122+0.1,tablas!$R$3:$T$66,2,TRUE),VLOOKUP(AC122,tablas!$R$3:$T$66,2,TRUE))&amp;"@"&amp;IF(VLOOKUP(VLOOKUP(AC122,tablas!$R$3:$T$66,2,TRUE)&amp;VLOOKUP(AC122,tablas!$R$3:$T$66,3,TRUE),tablas!$Q$3:$R$66,2,FALSE)&lt;AC122,VLOOKUP(AC122+0.1,tablas!$R$3:$T$66,3,TRUE)&amp;"$",VLOOKUP(AC122,tablas!$R$3:$T$66,3,TRUE)&amp;"$"),$C$13)</f>
        <v>$\phi8@16$</v>
      </c>
      <c r="AD123" s="200"/>
      <c r="AE123" s="199" t="str">
        <f>IF(AE122&gt;$C$12,"$\phi"&amp;IF(VLOOKUP(VLOOKUP(AE122,tablas!$R$3:$T$66,2,TRUE)&amp;VLOOKUP(AE122,tablas!$R$3:$T$66,3,TRUE),tablas!$Q$3:$R$66,2,FALSE)&lt;AE122,VLOOKUP(AE122+0.1,tablas!$R$3:$T$66,2,TRUE),VLOOKUP(AE122,tablas!$R$3:$T$66,2,TRUE))&amp;"@"&amp;IF(VLOOKUP(VLOOKUP(AE122,tablas!$R$3:$T$66,2,TRUE)&amp;VLOOKUP(AE122,tablas!$R$3:$T$66,3,TRUE),tablas!$Q$3:$R$66,2,FALSE)&lt;AE122,VLOOKUP(AE122+0.1,tablas!$R$3:$T$66,3,TRUE)&amp;"$",VLOOKUP(AE122,tablas!$R$3:$T$66,3,TRUE)&amp;"$"),$C$13)</f>
        <v>$\phi8@16$</v>
      </c>
      <c r="AF123" s="200"/>
    </row>
    <row r="124" spans="2:32" ht="15.75" thickBot="1" x14ac:dyDescent="0.3"/>
    <row r="125" spans="2:32" ht="15.75" thickBot="1" x14ac:dyDescent="0.3">
      <c r="B125" s="73" t="s">
        <v>43</v>
      </c>
      <c r="C125" s="74" t="s">
        <v>69</v>
      </c>
      <c r="D125" s="75" t="s">
        <v>77</v>
      </c>
      <c r="E125" s="74" t="s">
        <v>69</v>
      </c>
      <c r="F125" s="75" t="s">
        <v>70</v>
      </c>
      <c r="G125" s="74" t="s">
        <v>69</v>
      </c>
      <c r="H125" s="75" t="s">
        <v>72</v>
      </c>
      <c r="I125" s="74" t="s">
        <v>70</v>
      </c>
      <c r="J125" s="75" t="s">
        <v>73</v>
      </c>
      <c r="K125" s="74" t="s">
        <v>70</v>
      </c>
      <c r="L125" s="75" t="s">
        <v>71</v>
      </c>
      <c r="M125" s="74" t="s">
        <v>71</v>
      </c>
      <c r="N125" s="75" t="s">
        <v>74</v>
      </c>
      <c r="O125" s="74" t="s">
        <v>71</v>
      </c>
      <c r="P125" s="75" t="s">
        <v>75</v>
      </c>
      <c r="Q125" s="74" t="s">
        <v>71</v>
      </c>
      <c r="R125" s="75" t="s">
        <v>75</v>
      </c>
      <c r="S125" s="74" t="s">
        <v>72</v>
      </c>
      <c r="T125" s="75" t="s">
        <v>73</v>
      </c>
      <c r="U125" s="74" t="s">
        <v>72</v>
      </c>
      <c r="V125" s="75" t="s">
        <v>77</v>
      </c>
      <c r="W125" s="74" t="s">
        <v>73</v>
      </c>
      <c r="X125" s="75" t="s">
        <v>74</v>
      </c>
      <c r="Y125" s="74" t="s">
        <v>74</v>
      </c>
      <c r="Z125" s="75" t="s">
        <v>75</v>
      </c>
      <c r="AA125" s="74" t="s">
        <v>75</v>
      </c>
      <c r="AB125" s="75" t="s">
        <v>76</v>
      </c>
    </row>
    <row r="126" spans="2:32" ht="15.75" hidden="1" thickBot="1" x14ac:dyDescent="0.3">
      <c r="B126" s="144"/>
      <c r="C126" s="146" t="str">
        <f>C125&amp;"-"&amp;D125</f>
        <v>0121-0129</v>
      </c>
      <c r="D126" s="146"/>
      <c r="E126" s="146" t="str">
        <f>E125&amp;"-"&amp;F125</f>
        <v>0121-0122</v>
      </c>
      <c r="F126" s="145"/>
      <c r="G126" s="146" t="str">
        <f>G125&amp;"-"&amp;H125</f>
        <v>0121-0124</v>
      </c>
      <c r="H126" s="145"/>
      <c r="I126" s="146" t="str">
        <f>I125&amp;"-"&amp;J125</f>
        <v>0122-0125</v>
      </c>
      <c r="J126" s="145"/>
      <c r="K126" s="146" t="str">
        <f>K125&amp;"-"&amp;L125</f>
        <v>0122-0123</v>
      </c>
      <c r="L126" s="145"/>
      <c r="M126" s="146" t="str">
        <f>M125&amp;"-"&amp;N125</f>
        <v>0123-0126</v>
      </c>
      <c r="N126" s="145"/>
      <c r="O126" s="146" t="str">
        <f>O125&amp;"-"&amp;P125</f>
        <v>0123-0127</v>
      </c>
      <c r="P126" s="145"/>
      <c r="Q126" s="146" t="str">
        <f>Q125&amp;"-"&amp;R125</f>
        <v>0123-0127</v>
      </c>
      <c r="R126" s="145"/>
      <c r="S126" s="146" t="str">
        <f>S125&amp;"-"&amp;T125</f>
        <v>0124-0125</v>
      </c>
      <c r="T126" s="145"/>
      <c r="U126" s="146" t="str">
        <f>U125&amp;"-"&amp;V125</f>
        <v>0124-0129</v>
      </c>
      <c r="V126" s="145"/>
      <c r="W126" s="146" t="str">
        <f>W125&amp;"-"&amp;X125</f>
        <v>0125-0126</v>
      </c>
      <c r="X126" s="145"/>
      <c r="Y126" s="146" t="str">
        <f>Y125&amp;"-"&amp;Z125</f>
        <v>0126-0127</v>
      </c>
      <c r="Z126" s="145"/>
      <c r="AA126" s="146" t="str">
        <f>AA125&amp;"-"&amp;AB125</f>
        <v>0127-0128</v>
      </c>
      <c r="AB126" s="145"/>
    </row>
    <row r="127" spans="2:32" x14ac:dyDescent="0.25">
      <c r="B127" s="105" t="s">
        <v>114</v>
      </c>
      <c r="C127" s="102" t="s">
        <v>108</v>
      </c>
      <c r="D127" s="103" t="s">
        <v>109</v>
      </c>
      <c r="E127" s="102" t="s">
        <v>108</v>
      </c>
      <c r="F127" s="103" t="s">
        <v>108</v>
      </c>
      <c r="G127" s="102" t="s">
        <v>109</v>
      </c>
      <c r="H127" s="103" t="s">
        <v>108</v>
      </c>
      <c r="I127" s="102" t="s">
        <v>109</v>
      </c>
      <c r="J127" s="103" t="s">
        <v>109</v>
      </c>
      <c r="K127" s="102" t="s">
        <v>108</v>
      </c>
      <c r="L127" s="103" t="s">
        <v>108</v>
      </c>
      <c r="M127" s="102" t="s">
        <v>109</v>
      </c>
      <c r="N127" s="103" t="s">
        <v>109</v>
      </c>
      <c r="O127" s="102" t="s">
        <v>108</v>
      </c>
      <c r="P127" s="103" t="s">
        <v>108</v>
      </c>
      <c r="Q127" s="102" t="s">
        <v>109</v>
      </c>
      <c r="R127" s="103" t="s">
        <v>109</v>
      </c>
      <c r="S127" s="102" t="s">
        <v>109</v>
      </c>
      <c r="T127" s="103" t="s">
        <v>108</v>
      </c>
      <c r="U127" s="102" t="s">
        <v>108</v>
      </c>
      <c r="V127" s="103" t="s">
        <v>108</v>
      </c>
      <c r="W127" s="102" t="s">
        <v>108</v>
      </c>
      <c r="X127" s="103" t="s">
        <v>108</v>
      </c>
      <c r="Y127" s="102" t="s">
        <v>108</v>
      </c>
      <c r="Z127" s="103" t="s">
        <v>108</v>
      </c>
      <c r="AA127" s="102" t="s">
        <v>108</v>
      </c>
      <c r="AB127" s="103" t="s">
        <v>108</v>
      </c>
    </row>
    <row r="128" spans="2:32" x14ac:dyDescent="0.25">
      <c r="B128" s="106" t="s">
        <v>110</v>
      </c>
      <c r="C128" s="104">
        <f t="shared" ref="C128:AB128" si="193">HLOOKUP(C125,$B$46:$AE$89,IF(C127="x",35,40),FALSE)</f>
        <v>995.18333333333339</v>
      </c>
      <c r="D128" s="86">
        <f t="shared" si="193"/>
        <v>451.14394904458595</v>
      </c>
      <c r="E128" s="104">
        <f t="shared" si="193"/>
        <v>995.18333333333339</v>
      </c>
      <c r="F128" s="86">
        <f t="shared" si="193"/>
        <v>2156.939393939394</v>
      </c>
      <c r="G128" s="104">
        <f t="shared" si="193"/>
        <v>682.41142857142859</v>
      </c>
      <c r="H128" s="86">
        <f t="shared" si="193"/>
        <v>8939.8506666666672</v>
      </c>
      <c r="I128" s="104">
        <f t="shared" si="193"/>
        <v>1630.0534351145038</v>
      </c>
      <c r="J128" s="86">
        <f t="shared" si="193"/>
        <v>2333.1899641577061</v>
      </c>
      <c r="K128" s="104">
        <f t="shared" si="193"/>
        <v>2156.939393939394</v>
      </c>
      <c r="L128" s="86">
        <f t="shared" si="193"/>
        <v>3947.3156989247309</v>
      </c>
      <c r="M128" s="104">
        <f t="shared" si="193"/>
        <v>3414.887069767442</v>
      </c>
      <c r="N128" s="86">
        <f t="shared" si="193"/>
        <v>2742.9764885496184</v>
      </c>
      <c r="O128" s="104">
        <f t="shared" si="193"/>
        <v>3947.3156989247309</v>
      </c>
      <c r="P128" s="86">
        <f t="shared" si="193"/>
        <v>5742.5419191919182</v>
      </c>
      <c r="Q128" s="104">
        <f t="shared" si="193"/>
        <v>3414.887069767442</v>
      </c>
      <c r="R128" s="86">
        <f t="shared" si="193"/>
        <v>4339.783587786259</v>
      </c>
      <c r="S128" s="104">
        <f t="shared" si="193"/>
        <v>6130.183314285714</v>
      </c>
      <c r="T128" s="86">
        <f t="shared" si="193"/>
        <v>3175.4146341463415</v>
      </c>
      <c r="U128" s="104">
        <f t="shared" si="193"/>
        <v>8939.8506666666672</v>
      </c>
      <c r="V128" s="86">
        <f t="shared" si="193"/>
        <v>643.90545454545452</v>
      </c>
      <c r="W128" s="104">
        <f t="shared" si="193"/>
        <v>3175.4146341463415</v>
      </c>
      <c r="X128" s="86">
        <f t="shared" si="193"/>
        <v>3629.5951515151514</v>
      </c>
      <c r="Y128" s="104">
        <f t="shared" si="193"/>
        <v>3629.5951515151514</v>
      </c>
      <c r="Z128" s="86">
        <f t="shared" si="193"/>
        <v>5742.5419191919182</v>
      </c>
      <c r="AA128" s="104">
        <f t="shared" si="193"/>
        <v>5742.5419191919182</v>
      </c>
      <c r="AB128" s="86">
        <f t="shared" si="193"/>
        <v>1706.4000000000003</v>
      </c>
    </row>
    <row r="129" spans="2:28" x14ac:dyDescent="0.25">
      <c r="B129" s="106" t="s">
        <v>111</v>
      </c>
      <c r="C129" s="203">
        <f>(MAX(C128:D128)-MIN(C128:D128))/(MAX(C128:D128))</f>
        <v>0.54667252361080609</v>
      </c>
      <c r="D129" s="204"/>
      <c r="E129" s="203">
        <f>(MAX(E128:F128)-MIN(E128:F128))/(MAX(E128:F128))</f>
        <v>0.53861321457171352</v>
      </c>
      <c r="F129" s="204"/>
      <c r="G129" s="203">
        <f>(MAX(G128:H128)-MIN(G128:H128))/(MAX(G128:H128))</f>
        <v>0.92366635036579703</v>
      </c>
      <c r="H129" s="204"/>
      <c r="I129" s="203">
        <f>(MAX(I128:J128)-MIN(I128:J128))/(MAX(I128:J128))</f>
        <v>0.30136274364485288</v>
      </c>
      <c r="J129" s="204"/>
      <c r="K129" s="203">
        <f>(MAX(K128:L128)-MIN(K128:L128))/(MAX(K128:L128))</f>
        <v>0.45356805524145044</v>
      </c>
      <c r="L129" s="204"/>
      <c r="M129" s="203">
        <f>(MAX(M128:N128)-MIN(M128:N128))/(MAX(M128:N128))</f>
        <v>0.1967592390291201</v>
      </c>
      <c r="N129" s="204"/>
      <c r="O129" s="203">
        <f>(MAX(O128:P128)-MIN(O128:P128))/(MAX(O128:P128))</f>
        <v>0.31261874019019942</v>
      </c>
      <c r="P129" s="204"/>
      <c r="Q129" s="203">
        <f>(MAX(Q128:R128)-MIN(Q128:R128))/(MAX(Q128:R128))</f>
        <v>0.21312042393584202</v>
      </c>
      <c r="R129" s="204"/>
      <c r="S129" s="203">
        <f>(MAX(S128:T128)-MIN(S128:T128))/(MAX(S128:T128))</f>
        <v>0.48200331517878281</v>
      </c>
      <c r="T129" s="204"/>
      <c r="U129" s="203">
        <f>(MAX(U128:V128)-MIN(U128:V128))/(MAX(U128:V128))</f>
        <v>0.92797357824484306</v>
      </c>
      <c r="V129" s="204"/>
      <c r="W129" s="203">
        <f>(MAX(W128:X128)-MIN(W128:X128))/(MAX(W128:X128))</f>
        <v>0.12513255567338277</v>
      </c>
      <c r="X129" s="204"/>
      <c r="Y129" s="203">
        <f>(MAX(Y128:Z128)-MIN(Y128:Z128))/(MAX(Y128:Z128))</f>
        <v>0.36794625052978236</v>
      </c>
      <c r="Z129" s="204"/>
      <c r="AA129" s="203">
        <f>(MAX(AA128:AB128)-MIN(AA128:AB128))/(MAX(AA128:AB128))</f>
        <v>0.70284936113446383</v>
      </c>
      <c r="AB129" s="204"/>
    </row>
    <row r="130" spans="2:28" x14ac:dyDescent="0.25">
      <c r="B130" s="106" t="s">
        <v>112</v>
      </c>
      <c r="C130" s="205">
        <f>IF(C129&lt;25%,(C128*0.5+D128*0.5)*0.9,IF(C129&lt;50%,(MAX(C128:D128)*0.6+MIN(C128:D128)*0.4)*0.9,IF(C129&lt;70%,(MAX(C128:D128)*0.65+MIN(C128:D128)*0.35)*0.9,IF(C129&lt;100%,(MAX(C128:D128)*0.7+MIN(C128:D128)*0.3)*0.9,0.7*MAX(C128:D128)))))</f>
        <v>724.29259394904466</v>
      </c>
      <c r="D130" s="206"/>
      <c r="E130" s="205">
        <f>IF(E129&lt;25%,(E128*0.5+F128*0.5)*0.9,IF(E129&lt;50%,(MAX(E128:F128)*0.6+MIN(E128:F128)*0.4)*0.9,IF(E129&lt;70%,(MAX(E128:F128)*0.65+MIN(E128:F128)*0.35)*0.9,IF(E129&lt;100%,(MAX(E128:F128)*0.7+MIN(E128:F128)*0.3)*0.9,0.7*MAX(E128:F128)))))</f>
        <v>1575.2922954545456</v>
      </c>
      <c r="F130" s="206"/>
      <c r="G130" s="205">
        <f>IF(G129&lt;25%,(G128*0.5+H128*0.5)*0.9,IF(G129&lt;50%,(MAX(G128:H128)*0.6+MIN(G128:H128)*0.4)*0.9,IF(G129&lt;70%,(MAX(G128:H128)*0.65+MIN(G128:H128)*0.35)*0.9,IF(G129&lt;100%,(MAX(G128:H128)*0.7+MIN(G128:H128)*0.3)*0.9,0.7*MAX(G128:H128)))))</f>
        <v>5816.3570057142861</v>
      </c>
      <c r="H130" s="206"/>
      <c r="I130" s="205">
        <f>IF(I129&lt;25%,(I128*0.5+J128*0.5)*0.9,IF(I129&lt;50%,(MAX(I128:J128)*0.6+MIN(I128:J128)*0.4)*0.9,IF(I129&lt;70%,(MAX(I128:J128)*0.65+MIN(I128:J128)*0.35)*0.9,IF(I129&lt;100%,(MAX(I128:J128)*0.7+MIN(I128:J128)*0.3)*0.9,0.7*MAX(I128:J128)))))</f>
        <v>1846.7418172863825</v>
      </c>
      <c r="J130" s="206"/>
      <c r="K130" s="205">
        <f>IF(K129&lt;25%,(K128*0.5+L128*0.5)*0.9,IF(K129&lt;50%,(MAX(K128:L128)*0.6+MIN(K128:L128)*0.4)*0.9,IF(K129&lt;70%,(MAX(K128:L128)*0.65+MIN(K128:L128)*0.35)*0.9,IF(K129&lt;100%,(MAX(K128:L128)*0.7+MIN(K128:L128)*0.3)*0.9,0.7*MAX(K128:L128)))))</f>
        <v>2908.0486592375369</v>
      </c>
      <c r="L130" s="206"/>
      <c r="M130" s="205">
        <f>IF(M129&lt;25%,(M128*0.5+N128*0.5)*0.9,IF(M129&lt;50%,(MAX(M128:N128)*0.6+MIN(M128:N128)*0.4)*0.9,IF(M129&lt;70%,(MAX(M128:N128)*0.65+MIN(M128:N128)*0.35)*0.9,IF(M129&lt;100%,(MAX(M128:N128)*0.7+MIN(M128:N128)*0.3)*0.9,0.7*MAX(M128:N128)))))</f>
        <v>2771.038601242677</v>
      </c>
      <c r="N130" s="206"/>
      <c r="O130" s="205">
        <f>IF(O129&lt;25%,(O128*0.5+P128*0.5)*0.9,IF(O129&lt;50%,(MAX(O128:P128)*0.6+MIN(O128:P128)*0.4)*0.9,IF(O129&lt;70%,(MAX(O128:P128)*0.65+MIN(O128:P128)*0.35)*0.9,IF(O129&lt;100%,(MAX(O128:P128)*0.7+MIN(O128:P128)*0.3)*0.9,0.7*MAX(O128:P128)))))</f>
        <v>4522.0062879765383</v>
      </c>
      <c r="P130" s="206"/>
      <c r="Q130" s="205">
        <f>IF(Q129&lt;25%,(Q128*0.5+R128*0.5)*0.9,IF(Q129&lt;50%,(MAX(Q128:R128)*0.6+MIN(Q128:R128)*0.4)*0.9,IF(Q129&lt;70%,(MAX(Q128:R128)*0.65+MIN(Q128:R128)*0.35)*0.9,IF(Q129&lt;100%,(MAX(Q128:R128)*0.7+MIN(Q128:R128)*0.3)*0.9,0.7*MAX(Q128:R128)))))</f>
        <v>3489.6017958991656</v>
      </c>
      <c r="R130" s="206"/>
      <c r="S130" s="205">
        <f>IF(S129&lt;25%,(S128*0.5+T128*0.5)*0.9,IF(S129&lt;50%,(MAX(S128:T128)*0.6+MIN(S128:T128)*0.4)*0.9,IF(S129&lt;70%,(MAX(S128:T128)*0.65+MIN(S128:T128)*0.35)*0.9,IF(S129&lt;100%,(MAX(S128:T128)*0.7+MIN(S128:T128)*0.3)*0.9,0.7*MAX(S128:T128)))))</f>
        <v>4453.4482580069689</v>
      </c>
      <c r="T130" s="206"/>
      <c r="U130" s="205">
        <f>IF(U129&lt;25%,(U128*0.5+V128*0.5)*0.9,IF(U129&lt;50%,(MAX(U128:V128)*0.6+MIN(U128:V128)*0.4)*0.9,IF(U129&lt;70%,(MAX(U128:V128)*0.65+MIN(U128:V128)*0.35)*0.9,IF(U129&lt;100%,(MAX(U128:V128)*0.7+MIN(U128:V128)*0.3)*0.9,0.7*MAX(U128:V128)))))</f>
        <v>5805.9603927272728</v>
      </c>
      <c r="V130" s="206"/>
      <c r="W130" s="205">
        <f>IF(W129&lt;25%,(W128*0.5+X128*0.5)*0.9,IF(W129&lt;50%,(MAX(W128:X128)*0.6+MIN(W128:X128)*0.4)*0.9,IF(W129&lt;70%,(MAX(W128:X128)*0.65+MIN(W128:X128)*0.35)*0.9,IF(W129&lt;100%,(MAX(W128:X128)*0.7+MIN(W128:X128)*0.3)*0.9,0.7*MAX(W128:X128)))))</f>
        <v>3062.2544035476717</v>
      </c>
      <c r="X130" s="206"/>
      <c r="Y130" s="205">
        <f>IF(Y129&lt;25%,(Y128*0.5+Z128*0.5)*0.9,IF(Y129&lt;50%,(MAX(Y128:Z128)*0.6+MIN(Y128:Z128)*0.4)*0.9,IF(Y129&lt;70%,(MAX(Y128:Z128)*0.65+MIN(Y128:Z128)*0.35)*0.9,IF(Y129&lt;100%,(MAX(Y128:Z128)*0.7+MIN(Y128:Z128)*0.3)*0.9,0.7*MAX(Y128:Z128)))))</f>
        <v>4407.6268909090904</v>
      </c>
      <c r="Z130" s="206"/>
      <c r="AA130" s="205">
        <f>IF(AA129&lt;25%,(AA128*0.5+AB128*0.5)*0.9,IF(AA129&lt;50%,(MAX(AA128:AB128)*0.6+MIN(AA128:AB128)*0.4)*0.9,IF(AA129&lt;70%,(MAX(AA128:AB128)*0.65+MIN(AA128:AB128)*0.35)*0.9,IF(AA129&lt;100%,(MAX(AA128:AB128)*0.7+MIN(AA128:AB128)*0.3)*0.9,0.7*MAX(AA128:AB128)))))</f>
        <v>4078.5294090909078</v>
      </c>
      <c r="AB130" s="206"/>
    </row>
    <row r="131" spans="2:28" x14ac:dyDescent="0.25">
      <c r="B131" s="107" t="s">
        <v>15</v>
      </c>
      <c r="C131" s="207">
        <f>C130/(0.9*(0.9*($C$7/100))*($L$9*1000))</f>
        <v>1.3928168031018895</v>
      </c>
      <c r="D131" s="208"/>
      <c r="E131" s="207">
        <f>E130/(0.9*(0.9*($C$7/100))*($L$9*1000))</f>
        <v>3.0292917492683844</v>
      </c>
      <c r="F131" s="208"/>
      <c r="G131" s="207">
        <f>G130/(0.9*(0.9*($C$7/100))*($L$9*1000))</f>
        <v>11.18487174669106</v>
      </c>
      <c r="H131" s="208"/>
      <c r="I131" s="207">
        <f>I130/(0.9*(0.9*($C$7/100))*($L$9*1000))</f>
        <v>3.5512899836282874</v>
      </c>
      <c r="J131" s="208"/>
      <c r="K131" s="207">
        <f>K130/(0.9*(0.9*($C$7/100))*($L$9*1000))</f>
        <v>5.5921861836805054</v>
      </c>
      <c r="L131" s="208"/>
      <c r="M131" s="207">
        <f>M130/(0.9*(0.9*($C$7/100))*($L$9*1000))</f>
        <v>5.3287154364114393</v>
      </c>
      <c r="N131" s="208"/>
      <c r="O131" s="207">
        <f>O130/(0.9*(0.9*($C$7/100))*($L$9*1000))</f>
        <v>8.6958314833593651</v>
      </c>
      <c r="P131" s="208"/>
      <c r="Q131" s="207">
        <f>Q130/(0.9*(0.9*($C$7/100))*($L$9*1000))</f>
        <v>6.7105145877065597</v>
      </c>
      <c r="R131" s="208"/>
      <c r="S131" s="207">
        <f>S130/(0.9*(0.9*($C$7/100))*($L$9*1000))</f>
        <v>8.5639941886984499</v>
      </c>
      <c r="T131" s="208"/>
      <c r="U131" s="207">
        <f>U130/(0.9*(0.9*($C$7/100))*($L$9*1000))</f>
        <v>11.164879029128249</v>
      </c>
      <c r="V131" s="208"/>
      <c r="W131" s="207">
        <f>W130/(0.9*(0.9*($C$7/100))*($L$9*1000))</f>
        <v>5.8887242866575731</v>
      </c>
      <c r="X131" s="208"/>
      <c r="Y131" s="207">
        <f>Y130/(0.9*(0.9*($C$7/100))*($L$9*1000))</f>
        <v>8.4758795640727076</v>
      </c>
      <c r="Z131" s="208"/>
      <c r="AA131" s="207">
        <f>AA130/(0.9*(0.9*($C$7/100))*($L$9*1000))</f>
        <v>7.8430241319389777</v>
      </c>
      <c r="AB131" s="208"/>
    </row>
    <row r="132" spans="2:28" x14ac:dyDescent="0.25">
      <c r="B132" s="107" t="s">
        <v>98</v>
      </c>
      <c r="C132" s="209">
        <f>(C131*($L$9))/(0.85*$L$6*100)</f>
        <v>1.9644936290249094E-2</v>
      </c>
      <c r="D132" s="210"/>
      <c r="E132" s="209">
        <f>(E131*($L$9))/(0.85*$L$6*100)</f>
        <v>4.2726540408201306E-2</v>
      </c>
      <c r="F132" s="210"/>
      <c r="G132" s="209">
        <f>(G131*($L$9))/(0.85*$L$6*100)</f>
        <v>0.15775663560994477</v>
      </c>
      <c r="H132" s="210"/>
      <c r="I132" s="209">
        <f>(I131*($L$9))/(0.85*$L$6*100)</f>
        <v>5.0089046399502624E-2</v>
      </c>
      <c r="J132" s="210"/>
      <c r="K132" s="209">
        <f>(K131*($L$9))/(0.85*$L$6*100)</f>
        <v>7.8874796065752401E-2</v>
      </c>
      <c r="L132" s="210"/>
      <c r="M132" s="209">
        <f>(M131*($L$9))/(0.85*$L$6*100)</f>
        <v>7.515868204923698E-2</v>
      </c>
      <c r="N132" s="210"/>
      <c r="O132" s="209">
        <f>(O131*($L$9))/(0.85*$L$6*100)</f>
        <v>0.12265005354680537</v>
      </c>
      <c r="P132" s="210"/>
      <c r="Q132" s="209">
        <f>(Q131*($L$9))/(0.85*$L$6*100)</f>
        <v>9.4648220251718818E-2</v>
      </c>
      <c r="R132" s="210"/>
      <c r="S132" s="209">
        <f>(S131*($L$9))/(0.85*$L$6*100)</f>
        <v>0.12079055899696613</v>
      </c>
      <c r="T132" s="210"/>
      <c r="U132" s="209">
        <f>(U131*($L$9))/(0.85*$L$6*100)</f>
        <v>0.15747464901851677</v>
      </c>
      <c r="V132" s="210"/>
      <c r="W132" s="209">
        <f>(W131*($L$9))/(0.85*$L$6*100)</f>
        <v>8.3057307453927892E-2</v>
      </c>
      <c r="X132" s="210"/>
      <c r="Y132" s="209">
        <f>(Y131*($L$9))/(0.85*$L$6*100)</f>
        <v>0.11954774933014069</v>
      </c>
      <c r="Z132" s="210"/>
      <c r="AA132" s="209">
        <f>(AA131*($L$9))/(0.85*$L$6*100)</f>
        <v>0.11062166183786069</v>
      </c>
      <c r="AB132" s="210"/>
    </row>
    <row r="133" spans="2:28" ht="15.75" thickBot="1" x14ac:dyDescent="0.3">
      <c r="B133" s="108" t="s">
        <v>15</v>
      </c>
      <c r="C133" s="201">
        <f>ROUNDUP(C130/(0.9*(($C$7-C132/2)/100)*($L$9*1000)),2)</f>
        <v>1.26</v>
      </c>
      <c r="D133" s="202"/>
      <c r="E133" s="201">
        <f>ROUNDUP(E130/(0.9*(($C$7-E132/2)/100)*($L$9*1000)),2)</f>
        <v>2.7399999999999998</v>
      </c>
      <c r="F133" s="202"/>
      <c r="G133" s="201">
        <f>ROUNDUP(G130/(0.9*(($C$7-G132/2)/100)*($L$9*1000)),2)</f>
        <v>10.119999999999999</v>
      </c>
      <c r="H133" s="202"/>
      <c r="I133" s="201">
        <f>ROUNDUP(I130/(0.9*(($C$7-I132/2)/100)*($L$9*1000)),2)</f>
        <v>3.21</v>
      </c>
      <c r="J133" s="202"/>
      <c r="K133" s="201">
        <f>ROUNDUP(K130/(0.9*(($C$7-K132/2)/100)*($L$9*1000)),2)</f>
        <v>5.05</v>
      </c>
      <c r="L133" s="202"/>
      <c r="M133" s="201">
        <f>ROUNDUP(M130/(0.9*(($C$7-M132/2)/100)*($L$9*1000)),2)</f>
        <v>4.8099999999999996</v>
      </c>
      <c r="N133" s="202"/>
      <c r="O133" s="201">
        <f>ROUNDUP(O130/(0.9*(($C$7-O132/2)/100)*($L$9*1000)),2)</f>
        <v>7.8599999999999994</v>
      </c>
      <c r="P133" s="202"/>
      <c r="Q133" s="201">
        <f>ROUNDUP(Q130/(0.9*(($C$7-Q132/2)/100)*($L$9*1000)),2)</f>
        <v>6.06</v>
      </c>
      <c r="R133" s="202"/>
      <c r="S133" s="201">
        <f>ROUNDUP(S130/(0.9*(($C$7-S132/2)/100)*($L$9*1000)),2)</f>
        <v>7.74</v>
      </c>
      <c r="T133" s="202"/>
      <c r="U133" s="201">
        <f>ROUNDUP(U130/(0.9*(($C$7-U132/2)/100)*($L$9*1000)),2)</f>
        <v>10.11</v>
      </c>
      <c r="V133" s="202"/>
      <c r="W133" s="201">
        <f>ROUNDUP(W130/(0.9*(($C$7-W132/2)/100)*($L$9*1000)),2)</f>
        <v>5.3199999999999994</v>
      </c>
      <c r="X133" s="202"/>
      <c r="Y133" s="201">
        <f>ROUNDUP(Y130/(0.9*(($C$7-Y132/2)/100)*($L$9*1000)),2)</f>
        <v>7.66</v>
      </c>
      <c r="Z133" s="202"/>
      <c r="AA133" s="201">
        <f>ROUNDUP(AA130/(0.9*(($C$7-AA132/2)/100)*($L$9*1000)),2)</f>
        <v>7.09</v>
      </c>
      <c r="AB133" s="202"/>
    </row>
    <row r="134" spans="2:28" ht="16.5" thickBot="1" x14ac:dyDescent="0.3">
      <c r="B134" s="61" t="s">
        <v>113</v>
      </c>
      <c r="C134" s="199" t="str">
        <f>IF(C133&gt;$C$12,"$\phi"&amp;IF(VLOOKUP(VLOOKUP(C133,tablas!$R$3:$T$66,2,TRUE)&amp;VLOOKUP(C133,tablas!$R$3:$T$66,3,TRUE),tablas!$Q$3:$R$66,2,FALSE)&lt;C133,VLOOKUP(C133+0.1,tablas!$R$3:$T$66,2,TRUE),VLOOKUP(C133,tablas!$R$3:$T$66,2,TRUE))&amp;"@"&amp;IF(VLOOKUP(VLOOKUP(C133,tablas!$R$3:$T$66,2,TRUE)&amp;VLOOKUP(C133,tablas!$R$3:$T$66,3,TRUE),tablas!$Q$3:$R$66,2,FALSE)&lt;C133,VLOOKUP(C133+0.1,tablas!$R$3:$T$66,3,TRUE)&amp;"$",VLOOKUP(C133,tablas!$R$3:$T$66,3,TRUE)&amp;"$"),$C$13)</f>
        <v>$\phi8@16$</v>
      </c>
      <c r="D134" s="200"/>
      <c r="E134" s="199" t="str">
        <f>IF(E133&gt;$C$12,"$\phi"&amp;IF(VLOOKUP(VLOOKUP(E133,tablas!$R$3:$T$66,2,TRUE)&amp;VLOOKUP(E133,tablas!$R$3:$T$66,3,TRUE),tablas!$Q$3:$R$66,2,FALSE)&lt;E133,VLOOKUP(E133+0.1,tablas!$R$3:$T$66,2,TRUE),VLOOKUP(E133,tablas!$R$3:$T$66,2,TRUE))&amp;"@"&amp;IF(VLOOKUP(VLOOKUP(E133,tablas!$R$3:$T$66,2,TRUE)&amp;VLOOKUP(E133,tablas!$R$3:$T$66,3,TRUE),tablas!$Q$3:$R$66,2,FALSE)&lt;E133,VLOOKUP(E133+0.1,tablas!$R$3:$T$66,3,TRUE)&amp;"$",VLOOKUP(E133,tablas!$R$3:$T$66,3,TRUE)&amp;"$"),$C$13)</f>
        <v>$\phi8@16$</v>
      </c>
      <c r="F134" s="200"/>
      <c r="G134" s="199" t="str">
        <f>IF(G133&gt;$C$12,"$\phi"&amp;IF(VLOOKUP(VLOOKUP(G133,tablas!$R$3:$T$66,2,TRUE)&amp;VLOOKUP(G133,tablas!$R$3:$T$66,3,TRUE),tablas!$Q$3:$R$66,2,FALSE)&lt;G133,VLOOKUP(G133+0.1,tablas!$R$3:$T$66,2,TRUE),VLOOKUP(G133,tablas!$R$3:$T$66,2,TRUE))&amp;"@"&amp;IF(VLOOKUP(VLOOKUP(G133,tablas!$R$3:$T$66,2,TRUE)&amp;VLOOKUP(G133,tablas!$R$3:$T$66,3,TRUE),tablas!$Q$3:$R$66,2,FALSE)&lt;G133,VLOOKUP(G133+0.1,tablas!$R$3:$T$66,3,TRUE)&amp;"$",VLOOKUP(G133,tablas!$R$3:$T$66,3,TRUE)&amp;"$"),$C$13)</f>
        <v>$\phi16@20$</v>
      </c>
      <c r="H134" s="200"/>
      <c r="I134" s="199" t="str">
        <f>IF(I133&gt;$C$12,"$\phi"&amp;IF(VLOOKUP(VLOOKUP(I133,tablas!$R$3:$T$66,2,TRUE)&amp;VLOOKUP(I133,tablas!$R$3:$T$66,3,TRUE),tablas!$Q$3:$R$66,2,FALSE)&lt;I133,VLOOKUP(I133+0.1,tablas!$R$3:$T$66,2,TRUE),VLOOKUP(I133,tablas!$R$3:$T$66,2,TRUE))&amp;"@"&amp;IF(VLOOKUP(VLOOKUP(I133,tablas!$R$3:$T$66,2,TRUE)&amp;VLOOKUP(I133,tablas!$R$3:$T$66,3,TRUE),tablas!$Q$3:$R$66,2,FALSE)&lt;I133,VLOOKUP(I133+0.1,tablas!$R$3:$T$66,3,TRUE)&amp;"$",VLOOKUP(I133,tablas!$R$3:$T$66,3,TRUE)&amp;"$"),$C$13)</f>
        <v>$\phi10@24$</v>
      </c>
      <c r="J134" s="200"/>
      <c r="K134" s="199" t="str">
        <f>IF(K133&gt;$C$12,"$\phi"&amp;IF(VLOOKUP(VLOOKUP(K133,tablas!$R$3:$T$66,2,TRUE)&amp;VLOOKUP(K133,tablas!$R$3:$T$66,3,TRUE),tablas!$Q$3:$R$66,2,FALSE)&lt;K133,VLOOKUP(K133+0.1,tablas!$R$3:$T$66,2,TRUE),VLOOKUP(K133,tablas!$R$3:$T$66,2,TRUE))&amp;"@"&amp;IF(VLOOKUP(VLOOKUP(K133,tablas!$R$3:$T$66,2,TRUE)&amp;VLOOKUP(K133,tablas!$R$3:$T$66,3,TRUE),tablas!$Q$3:$R$66,2,FALSE)&lt;K133,VLOOKUP(K133+0.1,tablas!$R$3:$T$66,3,TRUE)&amp;"$",VLOOKUP(K133,tablas!$R$3:$T$66,3,TRUE)&amp;"$"),$C$13)</f>
        <v>$\phi12@22$</v>
      </c>
      <c r="L134" s="200"/>
      <c r="M134" s="199" t="str">
        <f>IF(M133&gt;$C$12,"$\phi"&amp;IF(VLOOKUP(VLOOKUP(M133,tablas!$R$3:$T$66,2,TRUE)&amp;VLOOKUP(M133,tablas!$R$3:$T$66,3,TRUE),tablas!$Q$3:$R$66,2,FALSE)&lt;M133,VLOOKUP(M133+0.1,tablas!$R$3:$T$66,2,TRUE),VLOOKUP(M133,tablas!$R$3:$T$66,2,TRUE))&amp;"@"&amp;IF(VLOOKUP(VLOOKUP(M133,tablas!$R$3:$T$66,2,TRUE)&amp;VLOOKUP(M133,tablas!$R$3:$T$66,3,TRUE),tablas!$Q$3:$R$66,2,FALSE)&lt;M133,VLOOKUP(M133+0.1,tablas!$R$3:$T$66,3,TRUE)&amp;"$",VLOOKUP(M133,tablas!$R$3:$T$66,3,TRUE)&amp;"$"),$C$13)</f>
        <v>$\phi12@24$</v>
      </c>
      <c r="N134" s="200"/>
      <c r="O134" s="199" t="str">
        <f>IF(O133&gt;$C$12,"$\phi"&amp;IF(VLOOKUP(VLOOKUP(O133,tablas!$R$3:$T$66,2,TRUE)&amp;VLOOKUP(O133,tablas!$R$3:$T$66,3,TRUE),tablas!$Q$3:$R$66,2,FALSE)&lt;O133,VLOOKUP(O133+0.1,tablas!$R$3:$T$66,2,TRUE),VLOOKUP(O133,tablas!$R$3:$T$66,2,TRUE))&amp;"@"&amp;IF(VLOOKUP(VLOOKUP(O133,tablas!$R$3:$T$66,2,TRUE)&amp;VLOOKUP(O133,tablas!$R$3:$T$66,3,TRUE),tablas!$Q$3:$R$66,2,FALSE)&lt;O133,VLOOKUP(O133+0.1,tablas!$R$3:$T$66,3,TRUE)&amp;"$",VLOOKUP(O133,tablas!$R$3:$T$66,3,TRUE)&amp;"$"),$C$13)</f>
        <v>$\phi10@10$</v>
      </c>
      <c r="P134" s="200"/>
      <c r="Q134" s="199" t="str">
        <f>IF(Q133&gt;$C$12,"$\phi"&amp;IF(VLOOKUP(VLOOKUP(Q133,tablas!$R$3:$T$66,2,TRUE)&amp;VLOOKUP(Q133,tablas!$R$3:$T$66,3,TRUE),tablas!$Q$3:$R$66,2,FALSE)&lt;Q133,VLOOKUP(Q133+0.1,tablas!$R$3:$T$66,2,TRUE),VLOOKUP(Q133,tablas!$R$3:$T$66,2,TRUE))&amp;"@"&amp;IF(VLOOKUP(VLOOKUP(Q133,tablas!$R$3:$T$66,2,TRUE)&amp;VLOOKUP(Q133,tablas!$R$3:$T$66,3,TRUE),tablas!$Q$3:$R$66,2,FALSE)&lt;Q133,VLOOKUP(Q133+0.1,tablas!$R$3:$T$66,3,TRUE)&amp;"$",VLOOKUP(Q133,tablas!$R$3:$T$66,3,TRUE)&amp;"$"),$C$13)</f>
        <v>$\phi10@13$</v>
      </c>
      <c r="R134" s="200"/>
      <c r="S134" s="199" t="str">
        <f>IF(S133&gt;$C$12,"$\phi"&amp;IF(VLOOKUP(VLOOKUP(S133,tablas!$R$3:$T$66,2,TRUE)&amp;VLOOKUP(S133,tablas!$R$3:$T$66,3,TRUE),tablas!$Q$3:$R$66,2,FALSE)&lt;S133,VLOOKUP(S133+0.1,tablas!$R$3:$T$66,2,TRUE),VLOOKUP(S133,tablas!$R$3:$T$66,2,TRUE))&amp;"@"&amp;IF(VLOOKUP(VLOOKUP(S133,tablas!$R$3:$T$66,2,TRUE)&amp;VLOOKUP(S133,tablas!$R$3:$T$66,3,TRUE),tablas!$Q$3:$R$66,2,FALSE)&lt;S133,VLOOKUP(S133+0.1,tablas!$R$3:$T$66,3,TRUE)&amp;"$",VLOOKUP(S133,tablas!$R$3:$T$66,3,TRUE)&amp;"$"),$C$13)</f>
        <v>$\phi12@15$</v>
      </c>
      <c r="T134" s="200"/>
      <c r="U134" s="199" t="str">
        <f>IF(U133&gt;$C$12,"$\phi"&amp;IF(VLOOKUP(VLOOKUP(U133,tablas!$R$3:$T$66,2,TRUE)&amp;VLOOKUP(U133,tablas!$R$3:$T$66,3,TRUE),tablas!$Q$3:$R$66,2,FALSE)&lt;U133,VLOOKUP(U133+0.1,tablas!$R$3:$T$66,2,TRUE),VLOOKUP(U133,tablas!$R$3:$T$66,2,TRUE))&amp;"@"&amp;IF(VLOOKUP(VLOOKUP(U133,tablas!$R$3:$T$66,2,TRUE)&amp;VLOOKUP(U133,tablas!$R$3:$T$66,3,TRUE),tablas!$Q$3:$R$66,2,FALSE)&lt;U133,VLOOKUP(U133+0.1,tablas!$R$3:$T$66,3,TRUE)&amp;"$",VLOOKUP(U133,tablas!$R$3:$T$66,3,TRUE)&amp;"$"),$C$13)</f>
        <v>$\phi16@20$</v>
      </c>
      <c r="V134" s="200"/>
      <c r="W134" s="199" t="str">
        <f>IF(W133&gt;$C$12,"$\phi"&amp;IF(VLOOKUP(VLOOKUP(W133,tablas!$R$3:$T$66,2,TRUE)&amp;VLOOKUP(W133,tablas!$R$3:$T$66,3,TRUE),tablas!$Q$3:$R$66,2,FALSE)&lt;W133,VLOOKUP(W133+0.1,tablas!$R$3:$T$66,2,TRUE),VLOOKUP(W133,tablas!$R$3:$T$66,2,TRUE))&amp;"@"&amp;IF(VLOOKUP(VLOOKUP(W133,tablas!$R$3:$T$66,2,TRUE)&amp;VLOOKUP(W133,tablas!$R$3:$T$66,3,TRUE),tablas!$Q$3:$R$66,2,FALSE)&lt;W133,VLOOKUP(W133+0.1,tablas!$R$3:$T$66,3,TRUE)&amp;"$",VLOOKUP(W133,tablas!$R$3:$T$66,3,TRUE)&amp;"$"),$C$13)</f>
        <v>$\phi12@21$</v>
      </c>
      <c r="X134" s="200"/>
      <c r="Y134" s="199" t="str">
        <f>IF(Y133&gt;$C$12,"$\phi"&amp;IF(VLOOKUP(VLOOKUP(Y133,tablas!$R$3:$T$66,2,TRUE)&amp;VLOOKUP(Y133,tablas!$R$3:$T$66,3,TRUE),tablas!$Q$3:$R$66,2,FALSE)&lt;Y133,VLOOKUP(Y133+0.1,tablas!$R$3:$T$66,2,TRUE),VLOOKUP(Y133,tablas!$R$3:$T$66,2,TRUE))&amp;"@"&amp;IF(VLOOKUP(VLOOKUP(Y133,tablas!$R$3:$T$66,2,TRUE)&amp;VLOOKUP(Y133,tablas!$R$3:$T$66,3,TRUE),tablas!$Q$3:$R$66,2,FALSE)&lt;Y133,VLOOKUP(Y133+0.1,tablas!$R$3:$T$66,3,TRUE)&amp;"$",VLOOKUP(Y133,tablas!$R$3:$T$66,3,TRUE)&amp;"$"),$C$13)</f>
        <v>$\phi12@15$</v>
      </c>
      <c r="Z134" s="200"/>
      <c r="AA134" s="199" t="str">
        <f>IF(AA133&gt;$C$12,"$\phi"&amp;IF(VLOOKUP(VLOOKUP(AA133,tablas!$R$3:$T$66,2,TRUE)&amp;VLOOKUP(AA133,tablas!$R$3:$T$66,3,TRUE),tablas!$Q$3:$R$66,2,FALSE)&lt;AA133,VLOOKUP(AA133+0.1,tablas!$R$3:$T$66,2,TRUE),VLOOKUP(AA133,tablas!$R$3:$T$66,2,TRUE))&amp;"@"&amp;IF(VLOOKUP(VLOOKUP(AA133,tablas!$R$3:$T$66,2,TRUE)&amp;VLOOKUP(AA133,tablas!$R$3:$T$66,3,TRUE),tablas!$Q$3:$R$66,2,FALSE)&lt;AA133,VLOOKUP(AA133+0.1,tablas!$R$3:$T$66,3,TRUE)&amp;"$",VLOOKUP(AA133,tablas!$R$3:$T$66,3,TRUE)&amp;"$"),$C$13)</f>
        <v>$\phi10@11$</v>
      </c>
      <c r="AB134" s="200"/>
    </row>
  </sheetData>
  <mergeCells count="358">
    <mergeCell ref="O99:P99"/>
    <mergeCell ref="O100:P100"/>
    <mergeCell ref="W96:X96"/>
    <mergeCell ref="E4:F4"/>
    <mergeCell ref="H4:I4"/>
    <mergeCell ref="K4:L4"/>
    <mergeCell ref="B91:C91"/>
    <mergeCell ref="C96:D96"/>
    <mergeCell ref="C97:D97"/>
    <mergeCell ref="C98:D98"/>
    <mergeCell ref="C99:D99"/>
    <mergeCell ref="C100:D100"/>
    <mergeCell ref="G96:H96"/>
    <mergeCell ref="G97:H97"/>
    <mergeCell ref="G98:H98"/>
    <mergeCell ref="G99:H99"/>
    <mergeCell ref="G100:H100"/>
    <mergeCell ref="Q101:R101"/>
    <mergeCell ref="G101:H101"/>
    <mergeCell ref="C101:D101"/>
    <mergeCell ref="E96:F96"/>
    <mergeCell ref="E97:F97"/>
    <mergeCell ref="E98:F98"/>
    <mergeCell ref="E99:F99"/>
    <mergeCell ref="E100:F100"/>
    <mergeCell ref="E101:F101"/>
    <mergeCell ref="K96:L96"/>
    <mergeCell ref="K97:L97"/>
    <mergeCell ref="K98:L98"/>
    <mergeCell ref="K99:L99"/>
    <mergeCell ref="K100:L100"/>
    <mergeCell ref="K101:L101"/>
    <mergeCell ref="I96:J96"/>
    <mergeCell ref="I97:J97"/>
    <mergeCell ref="I98:J98"/>
    <mergeCell ref="I99:J99"/>
    <mergeCell ref="I100:J100"/>
    <mergeCell ref="I101:J101"/>
    <mergeCell ref="O96:P96"/>
    <mergeCell ref="O97:P97"/>
    <mergeCell ref="O98:P98"/>
    <mergeCell ref="U96:V96"/>
    <mergeCell ref="U97:V97"/>
    <mergeCell ref="U98:V98"/>
    <mergeCell ref="U99:V99"/>
    <mergeCell ref="U100:V100"/>
    <mergeCell ref="U101:V101"/>
    <mergeCell ref="O101:P101"/>
    <mergeCell ref="M96:N96"/>
    <mergeCell ref="M97:N97"/>
    <mergeCell ref="M98:N98"/>
    <mergeCell ref="M99:N99"/>
    <mergeCell ref="M100:N100"/>
    <mergeCell ref="M101:N101"/>
    <mergeCell ref="S96:T96"/>
    <mergeCell ref="S97:T97"/>
    <mergeCell ref="S98:T98"/>
    <mergeCell ref="S99:T99"/>
    <mergeCell ref="S100:T100"/>
    <mergeCell ref="S101:T101"/>
    <mergeCell ref="Q96:R96"/>
    <mergeCell ref="Q97:R97"/>
    <mergeCell ref="Q98:R98"/>
    <mergeCell ref="Q99:R99"/>
    <mergeCell ref="Q100:R100"/>
    <mergeCell ref="Y96:Z96"/>
    <mergeCell ref="Y97:Z97"/>
    <mergeCell ref="Y98:Z98"/>
    <mergeCell ref="Y99:Z99"/>
    <mergeCell ref="Y100:Z100"/>
    <mergeCell ref="Y101:Z101"/>
    <mergeCell ref="W97:X97"/>
    <mergeCell ref="W98:X98"/>
    <mergeCell ref="W99:X99"/>
    <mergeCell ref="W100:X100"/>
    <mergeCell ref="W101:X101"/>
    <mergeCell ref="C107:D107"/>
    <mergeCell ref="C108:D108"/>
    <mergeCell ref="C109:D109"/>
    <mergeCell ref="C110:D110"/>
    <mergeCell ref="C111:D111"/>
    <mergeCell ref="C112:D112"/>
    <mergeCell ref="AE96:AF96"/>
    <mergeCell ref="AE97:AF97"/>
    <mergeCell ref="AE98:AF98"/>
    <mergeCell ref="AE99:AF99"/>
    <mergeCell ref="AE100:AF100"/>
    <mergeCell ref="AE101:AF101"/>
    <mergeCell ref="AC96:AD96"/>
    <mergeCell ref="AC97:AD97"/>
    <mergeCell ref="AC98:AD98"/>
    <mergeCell ref="AC99:AD99"/>
    <mergeCell ref="AC100:AD100"/>
    <mergeCell ref="AC101:AD101"/>
    <mergeCell ref="AA96:AB96"/>
    <mergeCell ref="AA97:AB97"/>
    <mergeCell ref="AA98:AB98"/>
    <mergeCell ref="AA99:AB99"/>
    <mergeCell ref="AA100:AB100"/>
    <mergeCell ref="AA101:AB101"/>
    <mergeCell ref="G107:H107"/>
    <mergeCell ref="G108:H108"/>
    <mergeCell ref="G109:H109"/>
    <mergeCell ref="G110:H110"/>
    <mergeCell ref="G111:H111"/>
    <mergeCell ref="G112:H112"/>
    <mergeCell ref="E107:F107"/>
    <mergeCell ref="E108:F108"/>
    <mergeCell ref="E109:F109"/>
    <mergeCell ref="E110:F110"/>
    <mergeCell ref="E111:F111"/>
    <mergeCell ref="E112:F112"/>
    <mergeCell ref="M107:N107"/>
    <mergeCell ref="M108:N108"/>
    <mergeCell ref="M109:N109"/>
    <mergeCell ref="M110:N110"/>
    <mergeCell ref="M111:N111"/>
    <mergeCell ref="M112:N112"/>
    <mergeCell ref="K107:L107"/>
    <mergeCell ref="K108:L108"/>
    <mergeCell ref="K109:L109"/>
    <mergeCell ref="K110:L110"/>
    <mergeCell ref="K111:L111"/>
    <mergeCell ref="K112:L112"/>
    <mergeCell ref="Q109:R109"/>
    <mergeCell ref="Q110:R110"/>
    <mergeCell ref="Q111:R111"/>
    <mergeCell ref="Q112:R112"/>
    <mergeCell ref="O107:P107"/>
    <mergeCell ref="O108:P108"/>
    <mergeCell ref="O109:P109"/>
    <mergeCell ref="O110:P110"/>
    <mergeCell ref="O111:P111"/>
    <mergeCell ref="O112:P112"/>
    <mergeCell ref="W107:X107"/>
    <mergeCell ref="W108:X108"/>
    <mergeCell ref="W109:X109"/>
    <mergeCell ref="W110:X110"/>
    <mergeCell ref="W111:X111"/>
    <mergeCell ref="W112:X112"/>
    <mergeCell ref="U107:V107"/>
    <mergeCell ref="U108:V108"/>
    <mergeCell ref="U109:V109"/>
    <mergeCell ref="U110:V110"/>
    <mergeCell ref="U111:V111"/>
    <mergeCell ref="U112:V112"/>
    <mergeCell ref="AE107:AF107"/>
    <mergeCell ref="C118:D118"/>
    <mergeCell ref="E118:F118"/>
    <mergeCell ref="G118:H118"/>
    <mergeCell ref="I118:J118"/>
    <mergeCell ref="K118:L118"/>
    <mergeCell ref="AC107:AD107"/>
    <mergeCell ref="AC108:AD108"/>
    <mergeCell ref="AC109:AD109"/>
    <mergeCell ref="AC110:AD110"/>
    <mergeCell ref="AC111:AD111"/>
    <mergeCell ref="AC112:AD112"/>
    <mergeCell ref="AA107:AB107"/>
    <mergeCell ref="AA108:AB108"/>
    <mergeCell ref="AA109:AB109"/>
    <mergeCell ref="AA110:AB110"/>
    <mergeCell ref="AA111:AB111"/>
    <mergeCell ref="AA112:AB112"/>
    <mergeCell ref="Y107:Z107"/>
    <mergeCell ref="Y108:Z108"/>
    <mergeCell ref="Y109:Z109"/>
    <mergeCell ref="Y110:Z110"/>
    <mergeCell ref="Y111:Z111"/>
    <mergeCell ref="Y112:Z112"/>
    <mergeCell ref="AE108:AF108"/>
    <mergeCell ref="C119:D119"/>
    <mergeCell ref="E119:F119"/>
    <mergeCell ref="G119:H119"/>
    <mergeCell ref="I119:J119"/>
    <mergeCell ref="K119:L119"/>
    <mergeCell ref="M119:N119"/>
    <mergeCell ref="O119:P119"/>
    <mergeCell ref="M118:N118"/>
    <mergeCell ref="O118:P118"/>
    <mergeCell ref="Q118:R118"/>
    <mergeCell ref="S118:T118"/>
    <mergeCell ref="U118:V118"/>
    <mergeCell ref="W118:X118"/>
    <mergeCell ref="AE109:AF109"/>
    <mergeCell ref="Y119:Z119"/>
    <mergeCell ref="Y118:Z118"/>
    <mergeCell ref="AE110:AF110"/>
    <mergeCell ref="AE111:AF111"/>
    <mergeCell ref="AA118:AB118"/>
    <mergeCell ref="AC118:AD118"/>
    <mergeCell ref="AE118:AF118"/>
    <mergeCell ref="S108:T108"/>
    <mergeCell ref="S109:T109"/>
    <mergeCell ref="E120:F120"/>
    <mergeCell ref="G120:H120"/>
    <mergeCell ref="I120:J120"/>
    <mergeCell ref="K120:L120"/>
    <mergeCell ref="Q119:R119"/>
    <mergeCell ref="S119:T119"/>
    <mergeCell ref="U119:V119"/>
    <mergeCell ref="W119:X119"/>
    <mergeCell ref="Q120:R120"/>
    <mergeCell ref="S120:T120"/>
    <mergeCell ref="U120:V120"/>
    <mergeCell ref="W120:X120"/>
    <mergeCell ref="AE112:AF112"/>
    <mergeCell ref="C123:D123"/>
    <mergeCell ref="E123:F123"/>
    <mergeCell ref="G123:H123"/>
    <mergeCell ref="C122:D122"/>
    <mergeCell ref="E122:F122"/>
    <mergeCell ref="AC122:AD122"/>
    <mergeCell ref="AE122:AF122"/>
    <mergeCell ref="C129:D129"/>
    <mergeCell ref="E129:F129"/>
    <mergeCell ref="G129:H129"/>
    <mergeCell ref="I112:J112"/>
    <mergeCell ref="G122:H122"/>
    <mergeCell ref="I122:J122"/>
    <mergeCell ref="K122:L122"/>
    <mergeCell ref="Q121:R121"/>
    <mergeCell ref="S121:T121"/>
    <mergeCell ref="U121:V121"/>
    <mergeCell ref="W121:X121"/>
    <mergeCell ref="C121:D121"/>
    <mergeCell ref="E121:F121"/>
    <mergeCell ref="G121:H121"/>
    <mergeCell ref="I121:J121"/>
    <mergeCell ref="K121:L121"/>
    <mergeCell ref="AA119:AB119"/>
    <mergeCell ref="AC119:AD119"/>
    <mergeCell ref="AE119:AF119"/>
    <mergeCell ref="Q129:R129"/>
    <mergeCell ref="S129:T129"/>
    <mergeCell ref="M123:N123"/>
    <mergeCell ref="O123:P123"/>
    <mergeCell ref="M122:N122"/>
    <mergeCell ref="O122:P122"/>
    <mergeCell ref="Q122:R122"/>
    <mergeCell ref="S122:T122"/>
    <mergeCell ref="U122:V122"/>
    <mergeCell ref="W122:X122"/>
    <mergeCell ref="Y121:Z121"/>
    <mergeCell ref="Y120:Z120"/>
    <mergeCell ref="M120:N120"/>
    <mergeCell ref="O120:P120"/>
    <mergeCell ref="M129:N129"/>
    <mergeCell ref="O129:P129"/>
    <mergeCell ref="Q123:R123"/>
    <mergeCell ref="S123:T123"/>
    <mergeCell ref="U123:V123"/>
    <mergeCell ref="W123:X123"/>
    <mergeCell ref="Y123:Z123"/>
    <mergeCell ref="AC120:AD120"/>
    <mergeCell ref="AE120:AF120"/>
    <mergeCell ref="C131:D131"/>
    <mergeCell ref="E131:F131"/>
    <mergeCell ref="G131:H131"/>
    <mergeCell ref="M130:N130"/>
    <mergeCell ref="O130:P130"/>
    <mergeCell ref="Q130:R130"/>
    <mergeCell ref="S130:T130"/>
    <mergeCell ref="U130:V130"/>
    <mergeCell ref="W130:X130"/>
    <mergeCell ref="U129:V129"/>
    <mergeCell ref="W129:X129"/>
    <mergeCell ref="AA121:AB121"/>
    <mergeCell ref="AC121:AD121"/>
    <mergeCell ref="AE121:AF121"/>
    <mergeCell ref="Q131:R131"/>
    <mergeCell ref="S131:T131"/>
    <mergeCell ref="AA122:AB122"/>
    <mergeCell ref="AC123:AD123"/>
    <mergeCell ref="AE123:AF123"/>
    <mergeCell ref="U131:V131"/>
    <mergeCell ref="W131:X131"/>
    <mergeCell ref="I123:J123"/>
    <mergeCell ref="C132:D132"/>
    <mergeCell ref="E132:F132"/>
    <mergeCell ref="G132:H132"/>
    <mergeCell ref="I132:J132"/>
    <mergeCell ref="K132:L132"/>
    <mergeCell ref="Q133:R133"/>
    <mergeCell ref="S133:T133"/>
    <mergeCell ref="O131:P131"/>
    <mergeCell ref="AA120:AB120"/>
    <mergeCell ref="K123:L123"/>
    <mergeCell ref="I131:J131"/>
    <mergeCell ref="K131:L131"/>
    <mergeCell ref="M131:N131"/>
    <mergeCell ref="C130:D130"/>
    <mergeCell ref="E130:F130"/>
    <mergeCell ref="G130:H130"/>
    <mergeCell ref="I130:J130"/>
    <mergeCell ref="K130:L130"/>
    <mergeCell ref="I129:J129"/>
    <mergeCell ref="K129:L129"/>
    <mergeCell ref="Y122:Z122"/>
    <mergeCell ref="M121:N121"/>
    <mergeCell ref="O121:P121"/>
    <mergeCell ref="C120:D120"/>
    <mergeCell ref="C134:D134"/>
    <mergeCell ref="E134:F134"/>
    <mergeCell ref="G134:H134"/>
    <mergeCell ref="I134:J134"/>
    <mergeCell ref="K134:L134"/>
    <mergeCell ref="I133:J133"/>
    <mergeCell ref="K133:L133"/>
    <mergeCell ref="M133:N133"/>
    <mergeCell ref="O133:P133"/>
    <mergeCell ref="M134:N134"/>
    <mergeCell ref="O134:P134"/>
    <mergeCell ref="C133:D133"/>
    <mergeCell ref="E133:F133"/>
    <mergeCell ref="G133:H133"/>
    <mergeCell ref="W134:X134"/>
    <mergeCell ref="U133:V133"/>
    <mergeCell ref="W133:X133"/>
    <mergeCell ref="AA123:AB123"/>
    <mergeCell ref="AA129:AB129"/>
    <mergeCell ref="AA130:AB130"/>
    <mergeCell ref="AA131:AB131"/>
    <mergeCell ref="AA132:AB132"/>
    <mergeCell ref="AA133:AB133"/>
    <mergeCell ref="AA134:AB134"/>
    <mergeCell ref="Y129:Z129"/>
    <mergeCell ref="Y130:Z130"/>
    <mergeCell ref="Y131:Z131"/>
    <mergeCell ref="Y132:Z132"/>
    <mergeCell ref="Y133:Z133"/>
    <mergeCell ref="Y134:Z134"/>
    <mergeCell ref="U132:V132"/>
    <mergeCell ref="W132:X132"/>
    <mergeCell ref="M16:N16"/>
    <mergeCell ref="J16:K16"/>
    <mergeCell ref="J22:K22"/>
    <mergeCell ref="J33:K33"/>
    <mergeCell ref="M15:N15"/>
    <mergeCell ref="J15:K15"/>
    <mergeCell ref="Q134:R134"/>
    <mergeCell ref="S134:T134"/>
    <mergeCell ref="U134:V134"/>
    <mergeCell ref="M132:N132"/>
    <mergeCell ref="O132:P132"/>
    <mergeCell ref="Q132:R132"/>
    <mergeCell ref="S132:T132"/>
    <mergeCell ref="I107:J107"/>
    <mergeCell ref="I108:J108"/>
    <mergeCell ref="I109:J109"/>
    <mergeCell ref="I110:J110"/>
    <mergeCell ref="I111:J111"/>
    <mergeCell ref="S107:T107"/>
    <mergeCell ref="S110:T110"/>
    <mergeCell ref="S111:T111"/>
    <mergeCell ref="S112:T112"/>
    <mergeCell ref="Q107:R107"/>
    <mergeCell ref="Q108:R108"/>
  </mergeCells>
  <conditionalFormatting sqref="C50:C51 K21">
    <cfRule type="cellIs" dxfId="3" priority="3" operator="greaterThan">
      <formula>$C$4</formula>
    </cfRule>
  </conditionalFormatting>
  <conditionalFormatting sqref="K19:K20">
    <cfRule type="cellIs" dxfId="2" priority="1" operator="greaterThan">
      <formula>$C$4</formula>
    </cfRule>
  </conditionalFormatting>
  <pageMargins left="0.7" right="0.7" top="0.75" bottom="0.75" header="0.3" footer="0.3"/>
  <ignoredErrors>
    <ignoredError sqref="C114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DF2B-406A-4D1C-8D87-7AFA2BC4AA34}">
  <dimension ref="B1:AE95"/>
  <sheetViews>
    <sheetView zoomScale="85" zoomScaleNormal="85" workbookViewId="0">
      <selection activeCell="C3" sqref="C3:C5"/>
    </sheetView>
  </sheetViews>
  <sheetFormatPr defaultColWidth="11.5703125" defaultRowHeight="15" x14ac:dyDescent="0.25"/>
  <cols>
    <col min="1" max="1" width="2.85546875" style="124" customWidth="1"/>
    <col min="2" max="3" width="11.5703125" style="242"/>
    <col min="4" max="4" width="11.5703125" style="124"/>
    <col min="5" max="5" width="11.85546875" style="124" customWidth="1"/>
    <col min="6" max="6" width="11.5703125" style="124"/>
    <col min="7" max="7" width="12.85546875" style="124" bestFit="1" customWidth="1"/>
    <col min="8" max="8" width="11.5703125" style="124"/>
    <col min="9" max="9" width="12.85546875" style="124" bestFit="1" customWidth="1"/>
    <col min="10" max="10" width="11.5703125" style="124"/>
    <col min="11" max="11" width="12.85546875" style="124" bestFit="1" customWidth="1"/>
    <col min="12" max="12" width="11.5703125" style="124"/>
    <col min="13" max="13" width="12.85546875" style="124" bestFit="1" customWidth="1"/>
    <col min="14" max="15" width="11.5703125" style="124"/>
    <col min="16" max="16" width="20.85546875" style="124" bestFit="1" customWidth="1"/>
    <col min="17" max="17" width="14.42578125" style="124" bestFit="1" customWidth="1"/>
    <col min="18" max="18" width="12.85546875" style="124" bestFit="1" customWidth="1"/>
    <col min="19" max="16384" width="11.5703125" style="124"/>
  </cols>
  <sheetData>
    <row r="1" spans="2:31" ht="15.75" thickBot="1" x14ac:dyDescent="0.3"/>
    <row r="2" spans="2:31" ht="15.75" thickBot="1" x14ac:dyDescent="0.3">
      <c r="B2" s="222" t="s">
        <v>243</v>
      </c>
      <c r="C2" s="223"/>
      <c r="D2" s="223"/>
      <c r="E2" s="223"/>
      <c r="F2" s="223"/>
      <c r="G2" s="224"/>
      <c r="H2" s="225"/>
      <c r="I2" s="225"/>
      <c r="J2" s="225"/>
      <c r="K2" s="225"/>
      <c r="L2" s="225"/>
      <c r="M2" s="225"/>
    </row>
    <row r="3" spans="2:31" ht="15.75" thickBot="1" x14ac:dyDescent="0.3">
      <c r="B3" s="245" t="s">
        <v>43</v>
      </c>
      <c r="C3" s="238" t="s">
        <v>19</v>
      </c>
      <c r="D3" s="226" t="s">
        <v>246</v>
      </c>
      <c r="E3" s="226" t="s">
        <v>244</v>
      </c>
      <c r="F3" s="246" t="s">
        <v>240</v>
      </c>
      <c r="G3" s="246"/>
      <c r="H3" s="246" t="s">
        <v>241</v>
      </c>
      <c r="I3" s="246"/>
      <c r="J3" s="246" t="s">
        <v>247</v>
      </c>
      <c r="K3" s="246"/>
      <c r="L3" s="246" t="s">
        <v>248</v>
      </c>
      <c r="M3" s="247"/>
    </row>
    <row r="4" spans="2:31" ht="45.75" thickBot="1" x14ac:dyDescent="0.3">
      <c r="B4" s="248"/>
      <c r="C4" s="239"/>
      <c r="D4" s="227"/>
      <c r="E4" s="227"/>
      <c r="F4" s="249" t="s">
        <v>245</v>
      </c>
      <c r="G4" s="249" t="s">
        <v>242</v>
      </c>
      <c r="H4" s="249" t="s">
        <v>245</v>
      </c>
      <c r="I4" s="249" t="s">
        <v>242</v>
      </c>
      <c r="J4" s="249" t="s">
        <v>245</v>
      </c>
      <c r="K4" s="249" t="s">
        <v>242</v>
      </c>
      <c r="L4" s="249" t="s">
        <v>245</v>
      </c>
      <c r="M4" s="250" t="s">
        <v>242</v>
      </c>
    </row>
    <row r="5" spans="2:31" x14ac:dyDescent="0.25">
      <c r="B5" s="251" t="str">
        <f>'-1'!C46</f>
        <v>0101</v>
      </c>
      <c r="C5" s="285">
        <f>'-1'!$C$4</f>
        <v>17</v>
      </c>
      <c r="D5" s="252">
        <f>'-1'!$C$12</f>
        <v>3.06</v>
      </c>
      <c r="E5" s="253">
        <f>HLOOKUP($B5,'-1'!$C$46:$AE$89,21)</f>
        <v>1580</v>
      </c>
      <c r="F5" s="253">
        <f>HLOOKUP($B5,'-1'!$C$46:$AE$89,28)</f>
        <v>0.93</v>
      </c>
      <c r="G5" s="253" t="str">
        <f>HLOOKUP($B5,'-1'!$C$46:$AE$89,29)</f>
        <v>$\phi8@16$</v>
      </c>
      <c r="H5" s="253">
        <f>HLOOKUP($B5,'-1'!$C$46:$AE$89,33)</f>
        <v>0.71</v>
      </c>
      <c r="I5" s="253" t="str">
        <f>HLOOKUP($B5,'-1'!$C$46:$AE$89,34)</f>
        <v>$\phi8@16$</v>
      </c>
      <c r="J5" s="253">
        <f>HLOOKUP($B5,'-1'!$C$46:$AE$89,38)</f>
        <v>3.8899999999999997</v>
      </c>
      <c r="K5" s="253" t="str">
        <f>HLOOKUP($B5,'-1'!$C$46:$AE$89,39)</f>
        <v>$\phi10@20$</v>
      </c>
      <c r="L5" s="253">
        <f>HLOOKUP($B5,'-1'!$C$46:$AE$89,43)</f>
        <v>3.5999999999999996</v>
      </c>
      <c r="M5" s="254" t="str">
        <f>HLOOKUP($B5,'-1'!$C$46:$AE$89,44)</f>
        <v>$\phi8@14$</v>
      </c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</row>
    <row r="6" spans="2:31" x14ac:dyDescent="0.25">
      <c r="B6" s="255" t="str">
        <f>'-1'!D46</f>
        <v>0102</v>
      </c>
      <c r="C6" s="287">
        <f>'-1'!$C$4</f>
        <v>17</v>
      </c>
      <c r="D6" s="125">
        <f>'-1'!$C$12</f>
        <v>3.06</v>
      </c>
      <c r="E6" s="126">
        <f>HLOOKUP($B6,'-1'!$C$46:$AE$89,21)</f>
        <v>1580</v>
      </c>
      <c r="F6" s="126">
        <f>HLOOKUP($B6,'-1'!$C$46:$AE$89,28)</f>
        <v>1.56</v>
      </c>
      <c r="G6" s="126" t="str">
        <f>HLOOKUP($B6,'-1'!$C$46:$AE$89,29)</f>
        <v>$\phi8@16$</v>
      </c>
      <c r="H6" s="126">
        <f>HLOOKUP($B6,'-1'!$C$46:$AE$89,33)</f>
        <v>0.5</v>
      </c>
      <c r="I6" s="126" t="str">
        <f>HLOOKUP($B6,'-1'!$C$46:$AE$89,34)</f>
        <v>$\phi8@16$</v>
      </c>
      <c r="J6" s="126">
        <f>HLOOKUP($B6,'-1'!$C$46:$AE$89,38)</f>
        <v>4.99</v>
      </c>
      <c r="K6" s="126" t="str">
        <f>HLOOKUP($B6,'-1'!$C$46:$AE$89,39)</f>
        <v>$\phi8@10$</v>
      </c>
      <c r="L6" s="126">
        <f>HLOOKUP($B6,'-1'!$C$46:$AE$89,43)</f>
        <v>3.7699999999999996</v>
      </c>
      <c r="M6" s="256" t="str">
        <f>HLOOKUP($B6,'-1'!$C$46:$AE$89,44)</f>
        <v>$\phi10@21$</v>
      </c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</row>
    <row r="7" spans="2:31" x14ac:dyDescent="0.25">
      <c r="B7" s="255" t="str">
        <f>'-1'!E46</f>
        <v>0103</v>
      </c>
      <c r="C7" s="287">
        <f>'-1'!$C$4</f>
        <v>17</v>
      </c>
      <c r="D7" s="125">
        <f>'-1'!$C$12</f>
        <v>3.06</v>
      </c>
      <c r="E7" s="126">
        <f>HLOOKUP($B7,'-1'!$C$46:$AE$89,21)</f>
        <v>1580</v>
      </c>
      <c r="F7" s="126">
        <f>HLOOKUP($B7,'-1'!$C$46:$AE$89,28)</f>
        <v>1.56</v>
      </c>
      <c r="G7" s="126" t="str">
        <f>HLOOKUP($B7,'-1'!$C$46:$AE$89,29)</f>
        <v>$\phi8@16$</v>
      </c>
      <c r="H7" s="126">
        <f>HLOOKUP($B7,'-1'!$C$46:$AE$89,33)</f>
        <v>0.5</v>
      </c>
      <c r="I7" s="126" t="str">
        <f>HLOOKUP($B7,'-1'!$C$46:$AE$89,34)</f>
        <v>$\phi8@16$</v>
      </c>
      <c r="J7" s="126">
        <f>HLOOKUP($B7,'-1'!$C$46:$AE$89,38)</f>
        <v>4.99</v>
      </c>
      <c r="K7" s="126" t="str">
        <f>HLOOKUP($B7,'-1'!$C$46:$AE$89,39)</f>
        <v>$\phi8@10$</v>
      </c>
      <c r="L7" s="126">
        <f>HLOOKUP($B7,'-1'!$C$46:$AE$89,43)</f>
        <v>3.7699999999999996</v>
      </c>
      <c r="M7" s="256" t="str">
        <f>HLOOKUP($B7,'-1'!$C$46:$AE$89,44)</f>
        <v>$\phi10@21$</v>
      </c>
      <c r="Z7" s="143"/>
      <c r="AA7" s="143"/>
      <c r="AB7" s="143"/>
      <c r="AC7" s="143"/>
      <c r="AD7" s="143"/>
      <c r="AE7" s="143"/>
    </row>
    <row r="8" spans="2:31" x14ac:dyDescent="0.25">
      <c r="B8" s="255" t="str">
        <f>'-1'!F46</f>
        <v>0104</v>
      </c>
      <c r="C8" s="287">
        <f>'-1'!$C$4</f>
        <v>17</v>
      </c>
      <c r="D8" s="125">
        <f>'-1'!$C$12</f>
        <v>3.06</v>
      </c>
      <c r="E8" s="126">
        <f>HLOOKUP($B8,'-1'!$C$46:$AE$89,21)</f>
        <v>1580</v>
      </c>
      <c r="F8" s="126">
        <f>HLOOKUP($B8,'-1'!$C$46:$AE$89,28)</f>
        <v>1.66</v>
      </c>
      <c r="G8" s="126" t="str">
        <f>HLOOKUP($B8,'-1'!$C$46:$AE$89,29)</f>
        <v>$\phi8@16$</v>
      </c>
      <c r="H8" s="126">
        <f>HLOOKUP($B8,'-1'!$C$46:$AE$89,33)</f>
        <v>0.47000000000000003</v>
      </c>
      <c r="I8" s="126" t="str">
        <f>HLOOKUP($B8,'-1'!$C$46:$AE$89,34)</f>
        <v>$\phi8@16$</v>
      </c>
      <c r="J8" s="126">
        <f>HLOOKUP($B8,'-1'!$C$46:$AE$89,38)</f>
        <v>5.2799999999999994</v>
      </c>
      <c r="K8" s="126" t="str">
        <f>HLOOKUP($B8,'-1'!$C$46:$AE$89,39)</f>
        <v>$\phi10@15$</v>
      </c>
      <c r="L8" s="126">
        <f>HLOOKUP($B8,'-1'!$C$46:$AE$89,43)</f>
        <v>3.88</v>
      </c>
      <c r="M8" s="256" t="str">
        <f>HLOOKUP($B8,'-1'!$C$46:$AE$89,44)</f>
        <v>$\phi10@20$</v>
      </c>
      <c r="Z8" s="143"/>
      <c r="AA8" s="143"/>
      <c r="AB8" s="143"/>
      <c r="AC8" s="143"/>
      <c r="AD8" s="143"/>
      <c r="AE8" s="143"/>
    </row>
    <row r="9" spans="2:31" x14ac:dyDescent="0.25">
      <c r="B9" s="255" t="str">
        <f>'-1'!G46</f>
        <v>0105</v>
      </c>
      <c r="C9" s="287">
        <f>'-1'!$C$4</f>
        <v>17</v>
      </c>
      <c r="D9" s="125">
        <f>'-1'!$C$12</f>
        <v>3.06</v>
      </c>
      <c r="E9" s="126">
        <f>HLOOKUP($B9,'-1'!$C$46:$AE$89,21)</f>
        <v>1580</v>
      </c>
      <c r="F9" s="126">
        <f>HLOOKUP($B9,'-1'!$C$46:$AE$89,28)</f>
        <v>0.85</v>
      </c>
      <c r="G9" s="126" t="str">
        <f>HLOOKUP($B9,'-1'!$C$46:$AE$89,29)</f>
        <v>$\phi8@16$</v>
      </c>
      <c r="H9" s="126">
        <f>HLOOKUP($B9,'-1'!$C$46:$AE$89,33)</f>
        <v>0.51</v>
      </c>
      <c r="I9" s="126" t="str">
        <f>HLOOKUP($B9,'-1'!$C$46:$AE$89,34)</f>
        <v>$\phi8@16$</v>
      </c>
      <c r="J9" s="126">
        <f>HLOOKUP($B9,'-1'!$C$46:$AE$89,38)</f>
        <v>3.28</v>
      </c>
      <c r="K9" s="126" t="str">
        <f>HLOOKUP($B9,'-1'!$C$46:$AE$89,39)</f>
        <v>$\phi8@15$</v>
      </c>
      <c r="L9" s="126">
        <f>HLOOKUP($B9,'-1'!$C$46:$AE$89,43)</f>
        <v>2.84</v>
      </c>
      <c r="M9" s="256" t="str">
        <f>HLOOKUP($B9,'-1'!$C$46:$AE$89,44)</f>
        <v>$\phi8@16$</v>
      </c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</row>
    <row r="10" spans="2:31" x14ac:dyDescent="0.25">
      <c r="B10" s="255" t="str">
        <f>'-1'!H46</f>
        <v>0106</v>
      </c>
      <c r="C10" s="287">
        <f>'-1'!$C$4</f>
        <v>17</v>
      </c>
      <c r="D10" s="125">
        <f>'-1'!$C$12</f>
        <v>3.06</v>
      </c>
      <c r="E10" s="126">
        <f>HLOOKUP($B10,'-1'!$C$46:$AE$89,21)</f>
        <v>1580</v>
      </c>
      <c r="F10" s="126">
        <f>HLOOKUP($B10,'-1'!$C$46:$AE$89,28)</f>
        <v>0.76</v>
      </c>
      <c r="G10" s="126" t="str">
        <f>HLOOKUP($B10,'-1'!$C$46:$AE$89,29)</f>
        <v>$\phi8@16$</v>
      </c>
      <c r="H10" s="126">
        <f>HLOOKUP($B10,'-1'!$C$46:$AE$89,33)</f>
        <v>0.29000000000000004</v>
      </c>
      <c r="I10" s="126" t="str">
        <f>HLOOKUP($B10,'-1'!$C$46:$AE$89,34)</f>
        <v>$\phi8@16$</v>
      </c>
      <c r="J10" s="126">
        <f>HLOOKUP($B10,'-1'!$C$46:$AE$89,38)</f>
        <v>2.57</v>
      </c>
      <c r="K10" s="126" t="str">
        <f>HLOOKUP($B10,'-1'!$C$46:$AE$89,39)</f>
        <v>$\phi8@16$</v>
      </c>
      <c r="L10" s="126">
        <f>HLOOKUP($B10,'-1'!$C$46:$AE$89,43)</f>
        <v>2.0199999999999996</v>
      </c>
      <c r="M10" s="256" t="str">
        <f>HLOOKUP($B10,'-1'!$C$46:$AE$89,44)</f>
        <v>$\phi8@16$</v>
      </c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</row>
    <row r="11" spans="2:31" x14ac:dyDescent="0.25">
      <c r="B11" s="255" t="str">
        <f>'-1'!I46</f>
        <v>0107</v>
      </c>
      <c r="C11" s="287">
        <f>'-1'!$C$4</f>
        <v>17</v>
      </c>
      <c r="D11" s="125">
        <f>'-1'!$C$12</f>
        <v>3.06</v>
      </c>
      <c r="E11" s="126">
        <f>HLOOKUP($B11,'-1'!$C$46:$AE$89,21)</f>
        <v>1580</v>
      </c>
      <c r="F11" s="126">
        <f>HLOOKUP($B11,'-1'!$C$46:$AE$89,28)</f>
        <v>1.03</v>
      </c>
      <c r="G11" s="126" t="str">
        <f>HLOOKUP($B11,'-1'!$C$46:$AE$89,29)</f>
        <v>$\phi8@16$</v>
      </c>
      <c r="H11" s="126">
        <f>HLOOKUP($B11,'-1'!$C$46:$AE$89,33)</f>
        <v>0.79</v>
      </c>
      <c r="I11" s="126" t="str">
        <f>HLOOKUP($B11,'-1'!$C$46:$AE$89,34)</f>
        <v>$\phi8@16$</v>
      </c>
      <c r="J11" s="126">
        <f>HLOOKUP($B11,'-1'!$C$46:$AE$89,38)</f>
        <v>4.3099999999999996</v>
      </c>
      <c r="K11" s="126" t="str">
        <f>HLOOKUP($B11,'-1'!$C$46:$AE$89,39)</f>
        <v>$\phi10@18$</v>
      </c>
      <c r="L11" s="126">
        <f>HLOOKUP($B11,'-1'!$C$46:$AE$89,43)</f>
        <v>3.9899999999999998</v>
      </c>
      <c r="M11" s="256" t="str">
        <f>HLOOKUP($B11,'-1'!$C$46:$AE$89,44)</f>
        <v>$\phi10@20$</v>
      </c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</row>
    <row r="12" spans="2:31" x14ac:dyDescent="0.25">
      <c r="B12" s="257" t="str">
        <f>'-1'!J46</f>
        <v>0108</v>
      </c>
      <c r="C12" s="288">
        <f>'-1'!$C$4</f>
        <v>17</v>
      </c>
      <c r="D12" s="125">
        <f>'-1'!$C$12</f>
        <v>3.06</v>
      </c>
      <c r="E12" s="126">
        <f>HLOOKUP($B12,'-1'!$C$46:$AE$89,21)</f>
        <v>1580</v>
      </c>
      <c r="F12" s="126">
        <f>HLOOKUP($B12,'-1'!$C$46:$AE$89,28)</f>
        <v>1.61</v>
      </c>
      <c r="G12" s="126" t="str">
        <f>HLOOKUP($B12,'-1'!$C$46:$AE$89,29)</f>
        <v>$\phi8@16$</v>
      </c>
      <c r="H12" s="126">
        <f>HLOOKUP($B12,'-1'!$C$46:$AE$89,33)</f>
        <v>0.76</v>
      </c>
      <c r="I12" s="126" t="str">
        <f>HLOOKUP($B12,'-1'!$C$46:$AE$89,34)</f>
        <v>$\phi8@16$</v>
      </c>
      <c r="J12" s="126">
        <f>HLOOKUP($B12,'-1'!$C$46:$AE$89,38)</f>
        <v>5.8199999999999994</v>
      </c>
      <c r="K12" s="126" t="str">
        <f>HLOOKUP($B12,'-1'!$C$46:$AE$89,39)</f>
        <v>$\phi12@20$</v>
      </c>
      <c r="L12" s="126">
        <f>HLOOKUP($B12,'-1'!$C$46:$AE$89,43)</f>
        <v>4.7799999999999994</v>
      </c>
      <c r="M12" s="256" t="str">
        <f>HLOOKUP($B12,'-1'!$C$46:$AE$89,44)</f>
        <v>$\phi12@24$</v>
      </c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</row>
    <row r="13" spans="2:31" x14ac:dyDescent="0.25">
      <c r="B13" s="257" t="str">
        <f>'-1'!K46</f>
        <v>0109</v>
      </c>
      <c r="C13" s="288">
        <f>'-1'!$C$4</f>
        <v>17</v>
      </c>
      <c r="D13" s="125">
        <f>'-1'!$C$12</f>
        <v>3.06</v>
      </c>
      <c r="E13" s="126">
        <f>HLOOKUP($B13,'-1'!$C$46:$AE$89,21)</f>
        <v>1580</v>
      </c>
      <c r="F13" s="126">
        <f>HLOOKUP($B13,'-1'!$C$46:$AE$89,28)</f>
        <v>1.61</v>
      </c>
      <c r="G13" s="126" t="str">
        <f>HLOOKUP($B13,'-1'!$C$46:$AE$89,29)</f>
        <v>$\phi8@16$</v>
      </c>
      <c r="H13" s="126">
        <f>HLOOKUP($B13,'-1'!$C$46:$AE$89,33)</f>
        <v>0.76</v>
      </c>
      <c r="I13" s="126" t="str">
        <f>HLOOKUP($B13,'-1'!$C$46:$AE$89,34)</f>
        <v>$\phi8@16$</v>
      </c>
      <c r="J13" s="126">
        <f>HLOOKUP($B13,'-1'!$C$46:$AE$89,38)</f>
        <v>5.8199999999999994</v>
      </c>
      <c r="K13" s="126" t="str">
        <f>HLOOKUP($B13,'-1'!$C$46:$AE$89,39)</f>
        <v>$\phi12@20$</v>
      </c>
      <c r="L13" s="126">
        <f>HLOOKUP($B13,'-1'!$C$46:$AE$89,43)</f>
        <v>4.7799999999999994</v>
      </c>
      <c r="M13" s="256" t="str">
        <f>HLOOKUP($B13,'-1'!$C$46:$AE$89,44)</f>
        <v>$\phi12@24$</v>
      </c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</row>
    <row r="14" spans="2:31" x14ac:dyDescent="0.25">
      <c r="B14" s="257" t="str">
        <f>'-1'!L46</f>
        <v>0110</v>
      </c>
      <c r="C14" s="288">
        <f>'-1'!$C$4</f>
        <v>17</v>
      </c>
      <c r="D14" s="125">
        <f>'-1'!$C$12</f>
        <v>3.06</v>
      </c>
      <c r="E14" s="126">
        <f>HLOOKUP($B14,'-1'!$C$46:$AE$89,21)</f>
        <v>1580</v>
      </c>
      <c r="F14" s="126">
        <f>HLOOKUP($B14,'-1'!$C$46:$AE$89,28)</f>
        <v>4.95</v>
      </c>
      <c r="G14" s="126" t="str">
        <f>HLOOKUP($B14,'-1'!$C$46:$AE$89,29)</f>
        <v>$\phi8@10$</v>
      </c>
      <c r="H14" s="126">
        <f>HLOOKUP($B14,'-1'!$C$46:$AE$89,33)</f>
        <v>0</v>
      </c>
      <c r="I14" s="126" t="str">
        <f>HLOOKUP($B14,'-1'!$C$46:$AE$89,34)</f>
        <v>$\phi8@16$</v>
      </c>
      <c r="J14" s="126">
        <f>HLOOKUP($B14,'-1'!$C$46:$AE$89,38)</f>
        <v>7.02</v>
      </c>
      <c r="K14" s="126" t="str">
        <f>HLOOKUP($B14,'-1'!$C$46:$AE$89,39)</f>
        <v>$\phi12@16$</v>
      </c>
      <c r="L14" s="126">
        <f>HLOOKUP($B14,'-1'!$C$46:$AE$89,43)</f>
        <v>4.8099999999999996</v>
      </c>
      <c r="M14" s="256" t="str">
        <f>HLOOKUP($B14,'-1'!$C$46:$AE$89,44)</f>
        <v>$\phi12@24$</v>
      </c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</row>
    <row r="15" spans="2:31" x14ac:dyDescent="0.25">
      <c r="B15" s="257" t="str">
        <f>'-1'!M46</f>
        <v>0111</v>
      </c>
      <c r="C15" s="288">
        <f>'-1'!$C$4</f>
        <v>17</v>
      </c>
      <c r="D15" s="125">
        <f>'-1'!$C$12</f>
        <v>3.06</v>
      </c>
      <c r="E15" s="126">
        <f>HLOOKUP($B15,'-1'!$C$46:$AE$89,21)</f>
        <v>1580</v>
      </c>
      <c r="F15" s="126">
        <f>HLOOKUP($B15,'-1'!$C$46:$AE$89,28)</f>
        <v>0.84</v>
      </c>
      <c r="G15" s="126" t="str">
        <f>HLOOKUP($B15,'-1'!$C$46:$AE$89,29)</f>
        <v>$\phi8@16$</v>
      </c>
      <c r="H15" s="126">
        <f>HLOOKUP($B15,'-1'!$C$46:$AE$89,33)</f>
        <v>0.24000000000000002</v>
      </c>
      <c r="I15" s="126" t="str">
        <f>HLOOKUP($B15,'-1'!$C$46:$AE$89,34)</f>
        <v>$\phi8@16$</v>
      </c>
      <c r="J15" s="126">
        <f>HLOOKUP($B15,'-1'!$C$46:$AE$89,38)</f>
        <v>2.67</v>
      </c>
      <c r="K15" s="126" t="str">
        <f>HLOOKUP($B15,'-1'!$C$46:$AE$89,39)</f>
        <v>$\phi8@16$</v>
      </c>
      <c r="L15" s="126">
        <f>HLOOKUP($B15,'-1'!$C$46:$AE$89,43)</f>
        <v>1.96</v>
      </c>
      <c r="M15" s="256" t="str">
        <f>HLOOKUP($B15,'-1'!$C$46:$AE$89,44)</f>
        <v>$\phi8@16$</v>
      </c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</row>
    <row r="16" spans="2:31" x14ac:dyDescent="0.25">
      <c r="B16" s="257" t="str">
        <f>'-1'!N46</f>
        <v>0112</v>
      </c>
      <c r="C16" s="288">
        <f>'-1'!$C$4</f>
        <v>17</v>
      </c>
      <c r="D16" s="125">
        <f>'-1'!$C$12</f>
        <v>3.06</v>
      </c>
      <c r="E16" s="126">
        <f>HLOOKUP($B16,'-1'!$C$46:$AE$89,21)</f>
        <v>1420</v>
      </c>
      <c r="F16" s="126">
        <f>HLOOKUP($B16,'-1'!$C$46:$AE$89,28)</f>
        <v>2.0999999999999996</v>
      </c>
      <c r="G16" s="126" t="str">
        <f>HLOOKUP($B16,'-1'!$C$46:$AE$89,29)</f>
        <v>$\phi8@16$</v>
      </c>
      <c r="H16" s="126">
        <f>HLOOKUP($B16,'-1'!$C$46:$AE$89,33)</f>
        <v>0.6</v>
      </c>
      <c r="I16" s="126" t="str">
        <f>HLOOKUP($B16,'-1'!$C$46:$AE$89,34)</f>
        <v>$\phi8@16$</v>
      </c>
      <c r="J16" s="126">
        <f>HLOOKUP($B16,'-1'!$C$46:$AE$89,38)</f>
        <v>6.8</v>
      </c>
      <c r="K16" s="126" t="str">
        <f>HLOOKUP($B16,'-1'!$C$46:$AE$89,39)</f>
        <v>$\phi12@17$</v>
      </c>
      <c r="L16" s="126">
        <f>HLOOKUP($B16,'-1'!$C$46:$AE$89,43)</f>
        <v>5</v>
      </c>
      <c r="M16" s="256" t="str">
        <f>HLOOKUP($B16,'-1'!$C$46:$AE$89,44)</f>
        <v>$\phi8@10$</v>
      </c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</row>
    <row r="17" spans="2:31" x14ac:dyDescent="0.25">
      <c r="B17" s="257" t="str">
        <f>'-1'!$O$46</f>
        <v>0113</v>
      </c>
      <c r="C17" s="288">
        <f>'-1'!$C$4</f>
        <v>17</v>
      </c>
      <c r="D17" s="125">
        <f>'-1'!$C$12</f>
        <v>3.06</v>
      </c>
      <c r="E17" s="126">
        <f>HLOOKUP($B17,'-1'!$C$46:$AE$89,21)</f>
        <v>1420</v>
      </c>
      <c r="F17" s="126">
        <f>HLOOKUP($B17,'-1'!$C$46:$AE$89,28)</f>
        <v>0.93</v>
      </c>
      <c r="G17" s="126" t="str">
        <f>HLOOKUP($B17,'-1'!$C$46:$AE$89,29)</f>
        <v>$\phi8@16$</v>
      </c>
      <c r="H17" s="126">
        <f>HLOOKUP($B17,'-1'!$C$46:$AE$89,33)</f>
        <v>0.44</v>
      </c>
      <c r="I17" s="126" t="str">
        <f>HLOOKUP($B17,'-1'!$C$46:$AE$89,34)</f>
        <v>$\phi8@16$</v>
      </c>
      <c r="J17" s="126">
        <f>HLOOKUP($B17,'-1'!$C$46:$AE$89,38)</f>
        <v>3.42</v>
      </c>
      <c r="K17" s="126" t="str">
        <f>HLOOKUP($B17,'-1'!$C$46:$AE$89,39)</f>
        <v>$\phi10@23$</v>
      </c>
      <c r="L17" s="126">
        <f>HLOOKUP($B17,'-1'!$C$46:$AE$89,43)</f>
        <v>2.8</v>
      </c>
      <c r="M17" s="256" t="str">
        <f>HLOOKUP($B17,'-1'!$C$46:$AE$89,44)</f>
        <v>$\phi8@16$</v>
      </c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</row>
    <row r="18" spans="2:31" x14ac:dyDescent="0.25">
      <c r="B18" s="257" t="str">
        <f>'-1'!$P$46</f>
        <v>0114</v>
      </c>
      <c r="C18" s="288">
        <f>'-1'!$C$4</f>
        <v>17</v>
      </c>
      <c r="D18" s="125">
        <f>'-1'!$C$12</f>
        <v>3.06</v>
      </c>
      <c r="E18" s="126">
        <f>HLOOKUP($B18,'-1'!$C$46:$AE$89,21)</f>
        <v>1580</v>
      </c>
      <c r="F18" s="126">
        <f>HLOOKUP($B18,'-1'!$C$46:$AE$89,28)</f>
        <v>1.05</v>
      </c>
      <c r="G18" s="126" t="str">
        <f>HLOOKUP($B18,'-1'!$C$46:$AE$89,29)</f>
        <v>$\phi8@16$</v>
      </c>
      <c r="H18" s="126">
        <f>HLOOKUP($B18,'-1'!$C$46:$AE$89,33)</f>
        <v>0.5</v>
      </c>
      <c r="I18" s="126" t="str">
        <f>HLOOKUP($B18,'-1'!$C$46:$AE$89,34)</f>
        <v>$\phi8@16$</v>
      </c>
      <c r="J18" s="126">
        <f>HLOOKUP($B18,'-1'!$C$46:$AE$89,38)</f>
        <v>3.8</v>
      </c>
      <c r="K18" s="126" t="str">
        <f>HLOOKUP($B18,'-1'!$C$46:$AE$89,39)</f>
        <v>$\phi8@13$</v>
      </c>
      <c r="L18" s="126">
        <f>HLOOKUP($B18,'-1'!$C$46:$AE$89,43)</f>
        <v>3.1199999999999997</v>
      </c>
      <c r="M18" s="256" t="str">
        <f>HLOOKUP($B18,'-1'!$C$46:$AE$89,44)</f>
        <v>$\phi10@25$</v>
      </c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</row>
    <row r="19" spans="2:31" x14ac:dyDescent="0.25">
      <c r="B19" s="257" t="str">
        <f>'-1'!$Q$46</f>
        <v>0115</v>
      </c>
      <c r="C19" s="288">
        <f>'-1'!$C$4</f>
        <v>17</v>
      </c>
      <c r="D19" s="125">
        <f>'-1'!$C$12</f>
        <v>3.06</v>
      </c>
      <c r="E19" s="126">
        <f>HLOOKUP($B19,'-1'!$C$46:$AE$89,21)</f>
        <v>1580</v>
      </c>
      <c r="F19" s="126">
        <f>HLOOKUP($B19,'-1'!$C$46:$AE$89,28)</f>
        <v>2.42</v>
      </c>
      <c r="G19" s="126" t="str">
        <f>HLOOKUP($B19,'-1'!$C$46:$AE$89,29)</f>
        <v>$\phi8@16$</v>
      </c>
      <c r="H19" s="126">
        <f>HLOOKUP($B19,'-1'!$C$46:$AE$89,33)</f>
        <v>0.69000000000000006</v>
      </c>
      <c r="I19" s="126" t="str">
        <f>HLOOKUP($B19,'-1'!$C$46:$AE$89,34)</f>
        <v>$\phi8@16$</v>
      </c>
      <c r="J19" s="126">
        <f>HLOOKUP($B19,'-1'!$C$46:$AE$89,38)</f>
        <v>7.6899999999999995</v>
      </c>
      <c r="K19" s="126" t="str">
        <f>HLOOKUP($B19,'-1'!$C$46:$AE$89,39)</f>
        <v>$\phi12@15$</v>
      </c>
      <c r="L19" s="126">
        <f>HLOOKUP($B19,'-1'!$C$46:$AE$89,43)</f>
        <v>5.6499999999999995</v>
      </c>
      <c r="M19" s="256" t="str">
        <f>HLOOKUP($B19,'-1'!$C$46:$AE$89,44)</f>
        <v>$\phi12@20$</v>
      </c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</row>
    <row r="20" spans="2:31" x14ac:dyDescent="0.25">
      <c r="B20" s="257" t="str">
        <f>'-1'!$R$46</f>
        <v>0116</v>
      </c>
      <c r="C20" s="288">
        <f>'-1'!$C$4</f>
        <v>17</v>
      </c>
      <c r="D20" s="125">
        <f>'-1'!$C$12</f>
        <v>3.06</v>
      </c>
      <c r="E20" s="126">
        <f>HLOOKUP($B20,'-1'!$C$46:$AE$89,21)</f>
        <v>1580</v>
      </c>
      <c r="F20" s="126">
        <f>HLOOKUP($B20,'-1'!$C$46:$AE$89,28)</f>
        <v>3.1999999999999997</v>
      </c>
      <c r="G20" s="126" t="str">
        <f>HLOOKUP($B20,'-1'!$C$46:$AE$89,29)</f>
        <v>$\phi10@24$</v>
      </c>
      <c r="H20" s="126">
        <f>HLOOKUP($B20,'-1'!$C$46:$AE$89,33)</f>
        <v>0</v>
      </c>
      <c r="I20" s="126" t="str">
        <f>HLOOKUP($B20,'-1'!$C$46:$AE$89,34)</f>
        <v>$\phi8@16$</v>
      </c>
      <c r="J20" s="126">
        <f>HLOOKUP($B20,'-1'!$C$46:$AE$89,38)</f>
        <v>4.5299999999999994</v>
      </c>
      <c r="K20" s="126" t="str">
        <f>HLOOKUP($B20,'-1'!$C$46:$AE$89,39)</f>
        <v>$\phi10@17$</v>
      </c>
      <c r="L20" s="126">
        <f>HLOOKUP($B20,'-1'!$C$46:$AE$89,43)</f>
        <v>3.0999999999999996</v>
      </c>
      <c r="M20" s="256" t="str">
        <f>HLOOKUP($B20,'-1'!$C$46:$AE$89,44)</f>
        <v>$\phi10@25$</v>
      </c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</row>
    <row r="21" spans="2:31" x14ac:dyDescent="0.25">
      <c r="B21" s="257" t="str">
        <f>'-1'!$S$46</f>
        <v>0117</v>
      </c>
      <c r="C21" s="288">
        <f>'-1'!$C$4</f>
        <v>17</v>
      </c>
      <c r="D21" s="125">
        <f>'-1'!$C$12</f>
        <v>3.06</v>
      </c>
      <c r="E21" s="126">
        <f>HLOOKUP($B21,'-1'!$C$46:$AE$89,21)</f>
        <v>1580</v>
      </c>
      <c r="F21" s="126">
        <f>HLOOKUP($B21,'-1'!$C$46:$AE$89,28)</f>
        <v>2.09</v>
      </c>
      <c r="G21" s="126" t="str">
        <f>HLOOKUP($B21,'-1'!$C$46:$AE$89,29)</f>
        <v>$\phi8@16$</v>
      </c>
      <c r="H21" s="126">
        <f>HLOOKUP($B21,'-1'!$C$46:$AE$89,33)</f>
        <v>0</v>
      </c>
      <c r="I21" s="126" t="str">
        <f>HLOOKUP($B21,'-1'!$C$46:$AE$89,34)</f>
        <v>$\phi8@16$</v>
      </c>
      <c r="J21" s="126">
        <f>HLOOKUP($B21,'-1'!$C$46:$AE$89,38)</f>
        <v>2.96</v>
      </c>
      <c r="K21" s="126" t="str">
        <f>HLOOKUP($B21,'-1'!$C$46:$AE$89,39)</f>
        <v>$\phi8@16$</v>
      </c>
      <c r="L21" s="126">
        <f>HLOOKUP($B21,'-1'!$C$46:$AE$89,43)</f>
        <v>2.0299999999999998</v>
      </c>
      <c r="M21" s="256" t="str">
        <f>HLOOKUP($B21,'-1'!$C$46:$AE$89,44)</f>
        <v>$\phi8@16$</v>
      </c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</row>
    <row r="22" spans="2:31" x14ac:dyDescent="0.25">
      <c r="B22" s="257" t="str">
        <f>'-1'!T46</f>
        <v>0118</v>
      </c>
      <c r="C22" s="288">
        <f>'-1'!$C$4</f>
        <v>17</v>
      </c>
      <c r="D22" s="125">
        <f>'-1'!$C$12</f>
        <v>3.06</v>
      </c>
      <c r="E22" s="126">
        <f>HLOOKUP($B22,'-1'!$C$46:$AE$89,21)</f>
        <v>1420</v>
      </c>
      <c r="F22" s="126">
        <f>HLOOKUP($B22,'-1'!$C$46:$AE$89,28)</f>
        <v>3.01</v>
      </c>
      <c r="G22" s="126" t="str">
        <f>HLOOKUP($B22,'-1'!$C$46:$AE$89,29)</f>
        <v>$\phi8@16$</v>
      </c>
      <c r="H22" s="126">
        <f>HLOOKUP($B22,'-1'!$C$46:$AE$89,33)</f>
        <v>0.85</v>
      </c>
      <c r="I22" s="126" t="str">
        <f>HLOOKUP($B22,'-1'!$C$46:$AE$89,34)</f>
        <v>$\phi8@16$</v>
      </c>
      <c r="J22" s="126">
        <f>HLOOKUP($B22,'-1'!$C$46:$AE$89,38)</f>
        <v>9.7899999999999991</v>
      </c>
      <c r="K22" s="126" t="str">
        <f>HLOOKUP($B22,'-1'!$C$46:$AE$89,39)</f>
        <v>$\phi16@21$</v>
      </c>
      <c r="L22" s="126">
        <f>HLOOKUP($B22,'-1'!$C$46:$AE$89,43)</f>
        <v>7.18</v>
      </c>
      <c r="M22" s="256" t="str">
        <f>HLOOKUP($B22,'-1'!$C$46:$AE$89,44)</f>
        <v>$\phi10@11$</v>
      </c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</row>
    <row r="23" spans="2:31" x14ac:dyDescent="0.25">
      <c r="B23" s="257" t="str">
        <f>'-1'!$U$46</f>
        <v>0119</v>
      </c>
      <c r="C23" s="288">
        <f>'-1'!$C$4</f>
        <v>17</v>
      </c>
      <c r="D23" s="125">
        <f>'-1'!$C$12</f>
        <v>3.06</v>
      </c>
      <c r="E23" s="126">
        <f>HLOOKUP($B23,'-1'!$C$46:$AE$89,21)</f>
        <v>1420</v>
      </c>
      <c r="F23" s="126">
        <f>HLOOKUP($B23,'-1'!$C$46:$AE$89,28)</f>
        <v>0.29000000000000004</v>
      </c>
      <c r="G23" s="126" t="str">
        <f>HLOOKUP($B23,'-1'!$C$46:$AE$89,29)</f>
        <v>$\phi8@16$</v>
      </c>
      <c r="H23" s="126">
        <f>HLOOKUP($B23,'-1'!$C$46:$AE$89,33)</f>
        <v>0</v>
      </c>
      <c r="I23" s="126" t="str">
        <f>HLOOKUP($B23,'-1'!$C$46:$AE$89,34)</f>
        <v>$\phi8@16$</v>
      </c>
      <c r="J23" s="126">
        <f>HLOOKUP($B23,'-1'!$C$46:$AE$89,38)</f>
        <v>0.41000000000000003</v>
      </c>
      <c r="K23" s="126" t="str">
        <f>HLOOKUP($B23,'-1'!$C$46:$AE$89,39)</f>
        <v>$\phi8@16$</v>
      </c>
      <c r="L23" s="126">
        <f>HLOOKUP($B23,'-1'!$C$46:$AE$89,43)</f>
        <v>0.28000000000000003</v>
      </c>
      <c r="M23" s="256" t="str">
        <f>HLOOKUP($B23,'-1'!$C$46:$AE$89,44)</f>
        <v>$\phi8@16$</v>
      </c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</row>
    <row r="24" spans="2:31" x14ac:dyDescent="0.25">
      <c r="B24" s="257" t="str">
        <f>'-1'!$V$46</f>
        <v>0120</v>
      </c>
      <c r="C24" s="288">
        <f>'-1'!$C$4</f>
        <v>17</v>
      </c>
      <c r="D24" s="125">
        <f>'-1'!$C$12</f>
        <v>3.06</v>
      </c>
      <c r="E24" s="126">
        <f>HLOOKUP($B24,'-1'!$C$46:$AE$89,21)</f>
        <v>1420</v>
      </c>
      <c r="F24" s="126">
        <f>HLOOKUP($B24,'-1'!$C$46:$AE$89,28)</f>
        <v>0.46</v>
      </c>
      <c r="G24" s="126" t="str">
        <f>HLOOKUP($B24,'-1'!$C$46:$AE$89,29)</f>
        <v>$\phi8@16$</v>
      </c>
      <c r="H24" s="126">
        <f>HLOOKUP($B24,'-1'!$C$46:$AE$89,33)</f>
        <v>0.09</v>
      </c>
      <c r="I24" s="126" t="str">
        <f>HLOOKUP($B24,'-1'!$C$46:$AE$89,34)</f>
        <v>$\phi8@16$</v>
      </c>
      <c r="J24" s="126">
        <f>HLOOKUP($B24,'-1'!$C$46:$AE$89,38)</f>
        <v>1.19</v>
      </c>
      <c r="K24" s="126" t="str">
        <f>HLOOKUP($B24,'-1'!$C$46:$AE$89,39)</f>
        <v>$\phi8@16$</v>
      </c>
      <c r="L24" s="126">
        <f>HLOOKUP($B24,'-1'!$C$46:$AE$89,43)</f>
        <v>0.85</v>
      </c>
      <c r="M24" s="256" t="str">
        <f>HLOOKUP($B24,'-1'!$C$46:$AE$89,44)</f>
        <v>$\phi8@16$</v>
      </c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</row>
    <row r="25" spans="2:31" x14ac:dyDescent="0.25">
      <c r="B25" s="257" t="str">
        <f>'-1'!$W$46</f>
        <v>0121</v>
      </c>
      <c r="C25" s="288">
        <f>'-1'!$C$4</f>
        <v>17</v>
      </c>
      <c r="D25" s="125">
        <f>'-1'!$C$12</f>
        <v>3.06</v>
      </c>
      <c r="E25" s="126">
        <f>HLOOKUP($B25,'-1'!$C$46:$AE$89,21)</f>
        <v>1420</v>
      </c>
      <c r="F25" s="126">
        <f>HLOOKUP($B25,'-1'!$C$46:$AE$89,28)</f>
        <v>1.22</v>
      </c>
      <c r="G25" s="126" t="str">
        <f>HLOOKUP($B25,'-1'!$C$46:$AE$89,29)</f>
        <v>$\phi8@16$</v>
      </c>
      <c r="H25" s="126">
        <f>HLOOKUP($B25,'-1'!$C$46:$AE$89,33)</f>
        <v>0</v>
      </c>
      <c r="I25" s="126" t="str">
        <f>HLOOKUP($B25,'-1'!$C$46:$AE$89,34)</f>
        <v>$\phi8@16$</v>
      </c>
      <c r="J25" s="126">
        <f>HLOOKUP($B25,'-1'!$C$46:$AE$89,38)</f>
        <v>1.73</v>
      </c>
      <c r="K25" s="126" t="str">
        <f>HLOOKUP($B25,'-1'!$C$46:$AE$89,39)</f>
        <v>$\phi8@16$</v>
      </c>
      <c r="L25" s="126">
        <f>HLOOKUP($B25,'-1'!$C$46:$AE$89,43)</f>
        <v>1.19</v>
      </c>
      <c r="M25" s="256" t="str">
        <f>HLOOKUP($B25,'-1'!$C$46:$AE$89,44)</f>
        <v>$\phi8@16$</v>
      </c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</row>
    <row r="26" spans="2:31" x14ac:dyDescent="0.25">
      <c r="B26" s="257" t="str">
        <f>'-1'!$X$46</f>
        <v>0122</v>
      </c>
      <c r="C26" s="288">
        <f>'-1'!$C$4</f>
        <v>17</v>
      </c>
      <c r="D26" s="125">
        <f>'-1'!$C$12</f>
        <v>3.06</v>
      </c>
      <c r="E26" s="126">
        <f>HLOOKUP($B26,'-1'!$C$46:$AE$89,21)</f>
        <v>1580</v>
      </c>
      <c r="F26" s="126">
        <f>HLOOKUP($B26,'-1'!$C$46:$AE$89,28)</f>
        <v>1.17</v>
      </c>
      <c r="G26" s="126" t="str">
        <f>HLOOKUP($B26,'-1'!$C$46:$AE$89,29)</f>
        <v>$\phi8@16$</v>
      </c>
      <c r="H26" s="126">
        <f>HLOOKUP($B26,'-1'!$C$46:$AE$89,33)</f>
        <v>0.37</v>
      </c>
      <c r="I26" s="126" t="str">
        <f>HLOOKUP($B26,'-1'!$C$46:$AE$89,34)</f>
        <v>$\phi8@16$</v>
      </c>
      <c r="J26" s="126">
        <f>HLOOKUP($B26,'-1'!$C$46:$AE$89,38)</f>
        <v>3.75</v>
      </c>
      <c r="K26" s="126" t="str">
        <f>HLOOKUP($B26,'-1'!$C$46:$AE$89,39)</f>
        <v>$\phi10@21$</v>
      </c>
      <c r="L26" s="126">
        <f>HLOOKUP($B26,'-1'!$C$46:$AE$89,43)</f>
        <v>2.8299999999999996</v>
      </c>
      <c r="M26" s="256" t="str">
        <f>HLOOKUP($B26,'-1'!$C$46:$AE$89,44)</f>
        <v>$\phi8@16$</v>
      </c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</row>
    <row r="27" spans="2:31" x14ac:dyDescent="0.25">
      <c r="B27" s="257" t="str">
        <f>'-1'!$Y$46</f>
        <v>0123</v>
      </c>
      <c r="C27" s="288">
        <f>'-1'!$C$4</f>
        <v>17</v>
      </c>
      <c r="D27" s="125">
        <f>'-1'!$C$12</f>
        <v>3.06</v>
      </c>
      <c r="E27" s="126">
        <f>HLOOKUP($B27,'-1'!$C$46:$AE$89,21)</f>
        <v>1580</v>
      </c>
      <c r="F27" s="126">
        <f>HLOOKUP($B27,'-1'!$C$46:$AE$89,28)</f>
        <v>1.78</v>
      </c>
      <c r="G27" s="126" t="str">
        <f>HLOOKUP($B27,'-1'!$C$46:$AE$89,29)</f>
        <v>$\phi8@16$</v>
      </c>
      <c r="H27" s="126">
        <f>HLOOKUP($B27,'-1'!$C$46:$AE$89,33)</f>
        <v>1.06</v>
      </c>
      <c r="I27" s="126" t="str">
        <f>HLOOKUP($B27,'-1'!$C$46:$AE$89,34)</f>
        <v>$\phi8@16$</v>
      </c>
      <c r="J27" s="126">
        <f>HLOOKUP($B27,'-1'!$C$46:$AE$89,38)</f>
        <v>6.8599999999999994</v>
      </c>
      <c r="K27" s="126" t="str">
        <f>HLOOKUP($B27,'-1'!$C$46:$AE$89,39)</f>
        <v>$\phi12@17$</v>
      </c>
      <c r="L27" s="126">
        <f>HLOOKUP($B27,'-1'!$C$46:$AE$89,43)</f>
        <v>5.93</v>
      </c>
      <c r="M27" s="256" t="str">
        <f>HLOOKUP($B27,'-1'!$C$46:$AE$89,44)</f>
        <v>$\phi12@19$</v>
      </c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</row>
    <row r="28" spans="2:31" x14ac:dyDescent="0.25">
      <c r="B28" s="257" t="str">
        <f>'-1'!$Z$46</f>
        <v>0124</v>
      </c>
      <c r="C28" s="288">
        <f>'-1'!$C$4</f>
        <v>17</v>
      </c>
      <c r="D28" s="125">
        <f>'-1'!$C$12</f>
        <v>3.06</v>
      </c>
      <c r="E28" s="126">
        <f>HLOOKUP($B28,'-1'!$C$46:$AE$89,21)</f>
        <v>1580</v>
      </c>
      <c r="F28" s="126">
        <f>HLOOKUP($B28,'-1'!$C$46:$AE$89,28)</f>
        <v>10.99</v>
      </c>
      <c r="G28" s="126" t="str">
        <f>HLOOKUP($B28,'-1'!$C$46:$AE$89,29)</f>
        <v>$\phi16@19$</v>
      </c>
      <c r="H28" s="126">
        <f>HLOOKUP($B28,'-1'!$C$46:$AE$89,33)</f>
        <v>0</v>
      </c>
      <c r="I28" s="126" t="str">
        <f>HLOOKUP($B28,'-1'!$C$46:$AE$89,34)</f>
        <v>$\phi8@16$</v>
      </c>
      <c r="J28" s="126">
        <f>HLOOKUP($B28,'-1'!$C$46:$AE$89,38)</f>
        <v>15.6</v>
      </c>
      <c r="K28" s="126" t="str">
        <f>HLOOKUP($B28,'-1'!$C$46:$AE$89,39)</f>
        <v>$\phi16@13$</v>
      </c>
      <c r="L28" s="126">
        <f>HLOOKUP($B28,'-1'!$C$46:$AE$89,43)</f>
        <v>10.67</v>
      </c>
      <c r="M28" s="256" t="str">
        <f>HLOOKUP($B28,'-1'!$C$46:$AE$89,44)</f>
        <v>$\phi16@19$</v>
      </c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</row>
    <row r="29" spans="2:31" ht="15" customHeight="1" x14ac:dyDescent="0.25">
      <c r="B29" s="257" t="str">
        <f>'-1'!$AA$46</f>
        <v>0125</v>
      </c>
      <c r="C29" s="288">
        <f>'-1'!$C$4</f>
        <v>17</v>
      </c>
      <c r="D29" s="125">
        <f>'-1'!$C$12</f>
        <v>3.06</v>
      </c>
      <c r="E29" s="126">
        <f>HLOOKUP($B29,'-1'!$C$46:$AE$89,21)</f>
        <v>1580</v>
      </c>
      <c r="F29" s="126">
        <f>HLOOKUP($B29,'-1'!$C$46:$AE$89,28)</f>
        <v>1.74</v>
      </c>
      <c r="G29" s="126" t="str">
        <f>HLOOKUP($B29,'-1'!$C$46:$AE$89,29)</f>
        <v>$\phi8@16$</v>
      </c>
      <c r="H29" s="126">
        <f>HLOOKUP($B29,'-1'!$C$46:$AE$89,33)</f>
        <v>0.49</v>
      </c>
      <c r="I29" s="126" t="str">
        <f>HLOOKUP($B29,'-1'!$C$46:$AE$89,34)</f>
        <v>$\phi8@16$</v>
      </c>
      <c r="J29" s="126">
        <f>HLOOKUP($B29,'-1'!$C$46:$AE$89,38)</f>
        <v>5.52</v>
      </c>
      <c r="K29" s="126" t="str">
        <f>HLOOKUP($B29,'-1'!$C$46:$AE$89,39)</f>
        <v>$\phi10@14$</v>
      </c>
      <c r="L29" s="126">
        <f>HLOOKUP($B29,'-1'!$C$46:$AE$89,43)</f>
        <v>4.05</v>
      </c>
      <c r="M29" s="256" t="str">
        <f>HLOOKUP($B29,'-1'!$C$46:$AE$89,44)</f>
        <v>$\phi10@19$</v>
      </c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</row>
    <row r="30" spans="2:31" x14ac:dyDescent="0.25">
      <c r="B30" s="257" t="str">
        <f>'-1'!$AB$46</f>
        <v>0126</v>
      </c>
      <c r="C30" s="288">
        <f>'-1'!$C$4</f>
        <v>17</v>
      </c>
      <c r="D30" s="125">
        <f>'-1'!$C$12</f>
        <v>3.06</v>
      </c>
      <c r="E30" s="126">
        <f>HLOOKUP($B30,'-1'!$C$46:$AE$89,21)</f>
        <v>1580</v>
      </c>
      <c r="F30" s="126">
        <f>HLOOKUP($B30,'-1'!$C$46:$AE$89,28)</f>
        <v>1.97</v>
      </c>
      <c r="G30" s="126" t="str">
        <f>HLOOKUP($B30,'-1'!$C$46:$AE$89,29)</f>
        <v>$\phi8@16$</v>
      </c>
      <c r="H30" s="126">
        <f>HLOOKUP($B30,'-1'!$C$46:$AE$89,33)</f>
        <v>0.63</v>
      </c>
      <c r="I30" s="126" t="str">
        <f>HLOOKUP($B30,'-1'!$C$46:$AE$89,34)</f>
        <v>$\phi8@16$</v>
      </c>
      <c r="J30" s="126">
        <f>HLOOKUP($B30,'-1'!$C$46:$AE$89,38)</f>
        <v>6.31</v>
      </c>
      <c r="K30" s="126" t="str">
        <f>HLOOKUP($B30,'-1'!$C$46:$AE$89,39)</f>
        <v>$\phi12@18$</v>
      </c>
      <c r="L30" s="126">
        <f>HLOOKUP($B30,'-1'!$C$46:$AE$89,43)</f>
        <v>4.76</v>
      </c>
      <c r="M30" s="256" t="str">
        <f>HLOOKUP($B30,'-1'!$C$46:$AE$89,44)</f>
        <v>$\phi12@24$</v>
      </c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</row>
    <row r="31" spans="2:31" x14ac:dyDescent="0.25">
      <c r="B31" s="257" t="str">
        <f>'-1'!$AC$46</f>
        <v>0127</v>
      </c>
      <c r="C31" s="288">
        <f>'-1'!$C$4</f>
        <v>17</v>
      </c>
      <c r="D31" s="125">
        <f>'-1'!$C$12</f>
        <v>3.06</v>
      </c>
      <c r="E31" s="126">
        <f>HLOOKUP($B31,'-1'!$C$46:$AE$89,21)</f>
        <v>1580</v>
      </c>
      <c r="F31" s="126">
        <f>HLOOKUP($B31,'-1'!$C$46:$AE$89,28)</f>
        <v>3.11</v>
      </c>
      <c r="G31" s="126" t="str">
        <f>HLOOKUP($B31,'-1'!$C$46:$AE$89,29)</f>
        <v>$\phi10@25$</v>
      </c>
      <c r="H31" s="126">
        <f>HLOOKUP($B31,'-1'!$C$46:$AE$89,33)</f>
        <v>0.99</v>
      </c>
      <c r="I31" s="126" t="str">
        <f>HLOOKUP($B31,'-1'!$C$46:$AE$89,34)</f>
        <v>$\phi8@16$</v>
      </c>
      <c r="J31" s="126">
        <f>HLOOKUP($B31,'-1'!$C$46:$AE$89,38)</f>
        <v>10</v>
      </c>
      <c r="K31" s="126" t="str">
        <f>HLOOKUP($B31,'-1'!$C$46:$AE$89,39)</f>
        <v>$\phi16@20$</v>
      </c>
      <c r="L31" s="126">
        <f>HLOOKUP($B31,'-1'!$C$46:$AE$89,43)</f>
        <v>7.55</v>
      </c>
      <c r="M31" s="256" t="str">
        <f>HLOOKUP($B31,'-1'!$C$46:$AE$89,44)</f>
        <v>$\phi12@15$</v>
      </c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</row>
    <row r="32" spans="2:31" x14ac:dyDescent="0.25">
      <c r="B32" s="257" t="str">
        <f>'-1'!$AD$46</f>
        <v>0128</v>
      </c>
      <c r="C32" s="288">
        <f>'-1'!$C$4</f>
        <v>17</v>
      </c>
      <c r="D32" s="125">
        <f>'-1'!$C$12</f>
        <v>3.06</v>
      </c>
      <c r="E32" s="126">
        <f>HLOOKUP($B32,'-1'!$C$46:$AE$89,21)</f>
        <v>1580</v>
      </c>
      <c r="F32" s="126">
        <f>HLOOKUP($B32,'-1'!$C$46:$AE$89,28)</f>
        <v>2.09</v>
      </c>
      <c r="G32" s="126" t="str">
        <f>HLOOKUP($B32,'-1'!$C$46:$AE$89,29)</f>
        <v>$\phi8@16$</v>
      </c>
      <c r="H32" s="126">
        <f>HLOOKUP($B32,'-1'!$C$46:$AE$89,33)</f>
        <v>0</v>
      </c>
      <c r="I32" s="126" t="str">
        <f>HLOOKUP($B32,'-1'!$C$46:$AE$89,34)</f>
        <v>$\phi8@16$</v>
      </c>
      <c r="J32" s="126">
        <f>HLOOKUP($B32,'-1'!$C$46:$AE$89,38)</f>
        <v>2.96</v>
      </c>
      <c r="K32" s="126" t="str">
        <f>HLOOKUP($B32,'-1'!$C$46:$AE$89,39)</f>
        <v>$\phi8@16$</v>
      </c>
      <c r="L32" s="126">
        <f>HLOOKUP($B32,'-1'!$C$46:$AE$89,43)</f>
        <v>2.0299999999999998</v>
      </c>
      <c r="M32" s="256" t="str">
        <f>HLOOKUP($B32,'-1'!$C$46:$AE$89,44)</f>
        <v>$\phi8@16$</v>
      </c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</row>
    <row r="33" spans="2:31" ht="15.75" thickBot="1" x14ac:dyDescent="0.3">
      <c r="B33" s="258" t="str">
        <f>'-1'!$AE$46</f>
        <v>0129</v>
      </c>
      <c r="C33" s="289">
        <f>'-1'!$C$4</f>
        <v>17</v>
      </c>
      <c r="D33" s="127">
        <f>'-1'!$C$12</f>
        <v>3.06</v>
      </c>
      <c r="E33" s="128">
        <f>HLOOKUP($B33,'-1'!$C$46:$AE$89,21)</f>
        <v>1420</v>
      </c>
      <c r="F33" s="128">
        <f>HLOOKUP($B33,'-1'!$C$46:$AE$89,28)</f>
        <v>0.35000000000000003</v>
      </c>
      <c r="G33" s="128" t="str">
        <f>HLOOKUP($B33,'-1'!$C$46:$AE$89,29)</f>
        <v>$\phi8@16$</v>
      </c>
      <c r="H33" s="128">
        <f>HLOOKUP($B33,'-1'!$C$46:$AE$89,33)</f>
        <v>0.09</v>
      </c>
      <c r="I33" s="128" t="str">
        <f>HLOOKUP($B33,'-1'!$C$46:$AE$89,34)</f>
        <v>$\phi8@16$</v>
      </c>
      <c r="J33" s="128">
        <f>HLOOKUP($B33,'-1'!$C$46:$AE$89,38)</f>
        <v>1.1200000000000001</v>
      </c>
      <c r="K33" s="128" t="str">
        <f>HLOOKUP($B33,'-1'!$C$46:$AE$89,39)</f>
        <v>$\phi8@16$</v>
      </c>
      <c r="L33" s="128">
        <f>HLOOKUP($B33,'-1'!$C$46:$AE$89,43)</f>
        <v>0.79</v>
      </c>
      <c r="M33" s="259" t="str">
        <f>HLOOKUP($B33,'-1'!$C$46:$AE$89,44)</f>
        <v>$\phi8@16$</v>
      </c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</row>
    <row r="34" spans="2:31" ht="15.75" thickBot="1" x14ac:dyDescent="0.3"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</row>
    <row r="35" spans="2:31" ht="15.75" thickBot="1" x14ac:dyDescent="0.3">
      <c r="D35" s="220" t="s">
        <v>107</v>
      </c>
      <c r="E35" s="221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</row>
    <row r="36" spans="2:31" ht="45.75" thickBot="1" x14ac:dyDescent="0.3">
      <c r="D36" s="136" t="s">
        <v>278</v>
      </c>
      <c r="E36" s="137" t="str">
        <f>'-1'!B97</f>
        <v>Mu $[kgf \cdot m/m]$</v>
      </c>
      <c r="F36" s="137" t="str">
        <f>'-1'!B100</f>
        <v>As $[cm^2/m]$</v>
      </c>
      <c r="G36" s="138" t="str">
        <f>'-1'!B101</f>
        <v>F'</v>
      </c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</row>
    <row r="37" spans="2:31" x14ac:dyDescent="0.25">
      <c r="D37" s="148" t="str">
        <f>'-1'!C92&amp;"-"&amp;'-1'!D92</f>
        <v>0101-0102</v>
      </c>
      <c r="E37" s="149">
        <f>HLOOKUP($D37,'-1'!$C$93:$AF$101,E$95,FALSE)</f>
        <v>1910.3529688263829</v>
      </c>
      <c r="F37" s="149">
        <f>HLOOKUP($D37,'-1'!$C$93:$AF$101,F$95,FALSE)</f>
        <v>3.32</v>
      </c>
      <c r="G37" s="150" t="str">
        <f>HLOOKUP($D37,'-1'!$C$93:$AF$101,G$95,FALSE)</f>
        <v>$\phi10@23$</v>
      </c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</row>
    <row r="38" spans="2:31" x14ac:dyDescent="0.25">
      <c r="D38" s="148" t="str">
        <f>'-1'!E92&amp;"-"&amp;'-1'!F92</f>
        <v>0101-0107</v>
      </c>
      <c r="E38" s="149">
        <f>HLOOKUP($D38,'-1'!$C$93:$AF$101,E$95,FALSE)</f>
        <v>2042.0946147154384</v>
      </c>
      <c r="F38" s="149">
        <f>HLOOKUP($D38,'-1'!$C$93:$AF$101,F$95,FALSE)</f>
        <v>3.55</v>
      </c>
      <c r="G38" s="150" t="str">
        <f>HLOOKUP($D38,'-1'!$C$93:$AF$101,G$95,FALSE)</f>
        <v>$\phi8@14$</v>
      </c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</row>
    <row r="39" spans="2:31" x14ac:dyDescent="0.25">
      <c r="D39" s="148" t="str">
        <f>'-1'!G92&amp;"-"&amp;'-1'!H92</f>
        <v>0102-0103</v>
      </c>
      <c r="E39" s="149">
        <f>HLOOKUP($D39,'-1'!$C$93:$AF$101,E$95,FALSE)</f>
        <v>1953.8931297709926</v>
      </c>
      <c r="F39" s="149">
        <f>HLOOKUP($D39,'-1'!$C$93:$AF$101,F$95,FALSE)</f>
        <v>3.3899999999999997</v>
      </c>
      <c r="G39" s="150" t="str">
        <f>HLOOKUP($D39,'-1'!$C$93:$AF$101,G$95,FALSE)</f>
        <v>$\phi10@23$</v>
      </c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</row>
    <row r="40" spans="2:31" x14ac:dyDescent="0.25">
      <c r="D40" s="148" t="str">
        <f>'-1'!I92&amp;"-"&amp;'-1'!J92</f>
        <v>0102-0108</v>
      </c>
      <c r="E40" s="149">
        <f>HLOOKUP($D40,'-1'!$C$93:$AF$101,E$95,FALSE)</f>
        <v>2801.2574854932304</v>
      </c>
      <c r="F40" s="149">
        <f>HLOOKUP($D40,'-1'!$C$93:$AF$101,F$95,FALSE)</f>
        <v>4.87</v>
      </c>
      <c r="G40" s="150" t="str">
        <f>HLOOKUP($D40,'-1'!$C$93:$AF$101,G$95,FALSE)</f>
        <v>$\phi12@23$</v>
      </c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</row>
    <row r="41" spans="2:31" x14ac:dyDescent="0.25">
      <c r="D41" s="148" t="str">
        <f>'-1'!K92&amp;"-"&amp;'-1'!L92</f>
        <v>0103-0104</v>
      </c>
      <c r="E41" s="149">
        <f>HLOOKUP($D41,'-1'!$C$93:$AF$101,E$95,FALSE)</f>
        <v>1982.2852745629159</v>
      </c>
      <c r="F41" s="149">
        <f>HLOOKUP($D41,'-1'!$C$93:$AF$101,F$95,FALSE)</f>
        <v>3.44</v>
      </c>
      <c r="G41" s="150" t="str">
        <f>HLOOKUP($D41,'-1'!$C$93:$AF$101,G$95,FALSE)</f>
        <v>$\phi10@23$</v>
      </c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</row>
    <row r="42" spans="2:31" x14ac:dyDescent="0.25">
      <c r="D42" s="148" t="str">
        <f>'-1'!M92&amp;"-"&amp;'-1'!N92</f>
        <v>0103-0109</v>
      </c>
      <c r="E42" s="149">
        <f>HLOOKUP($D42,'-1'!$C$93:$AF$101,E$95,FALSE)</f>
        <v>2801.2574854932304</v>
      </c>
      <c r="F42" s="149">
        <f>HLOOKUP($D42,'-1'!$C$93:$AF$101,F$95,FALSE)</f>
        <v>4.87</v>
      </c>
      <c r="G42" s="150" t="str">
        <f>HLOOKUP($D42,'-1'!$C$93:$AF$101,G$95,FALSE)</f>
        <v>$\phi12@23$</v>
      </c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</row>
    <row r="43" spans="2:31" x14ac:dyDescent="0.25">
      <c r="D43" s="148" t="str">
        <f>'-1'!O92&amp;"-"&amp;'-1'!P92</f>
        <v>0104-0110</v>
      </c>
      <c r="E43" s="149">
        <f>HLOOKUP($D43,'-1'!$C$93:$AF$101,E$95,FALSE)</f>
        <v>3186.7187634146344</v>
      </c>
      <c r="F43" s="149">
        <f>HLOOKUP($D43,'-1'!$C$93:$AF$101,F$95,FALSE)</f>
        <v>5.54</v>
      </c>
      <c r="G43" s="150" t="str">
        <f>HLOOKUP($D43,'-1'!$C$93:$AF$101,G$95,FALSE)</f>
        <v>$\phi10@14$</v>
      </c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</row>
    <row r="44" spans="2:31" x14ac:dyDescent="0.25">
      <c r="D44" s="148" t="str">
        <f>'-1'!Q92&amp;"-"&amp;'-1'!R92</f>
        <v>0104-0105</v>
      </c>
      <c r="E44" s="149">
        <f>HLOOKUP($D44,'-1'!$C$93:$AF$101,E$95,FALSE)</f>
        <v>1855.8629032258063</v>
      </c>
      <c r="F44" s="149">
        <f>HLOOKUP($D44,'-1'!$C$93:$AF$101,F$95,FALSE)</f>
        <v>3.2199999999999998</v>
      </c>
      <c r="G44" s="150" t="str">
        <f>HLOOKUP($D44,'-1'!$C$93:$AF$101,G$95,FALSE)</f>
        <v>$\phi10@24$</v>
      </c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</row>
    <row r="45" spans="2:31" x14ac:dyDescent="0.25">
      <c r="D45" s="148" t="str">
        <f>'-1'!S92&amp;"-"&amp;'-1'!T92</f>
        <v>0105-0106</v>
      </c>
      <c r="E45" s="149">
        <f>HLOOKUP($D45,'-1'!$C$93:$AF$101,E$95,FALSE)</f>
        <v>1517.0866935483871</v>
      </c>
      <c r="F45" s="149">
        <f>HLOOKUP($D45,'-1'!$C$93:$AF$101,F$95,FALSE)</f>
        <v>2.63</v>
      </c>
      <c r="G45" s="150" t="str">
        <f>HLOOKUP($D45,'-1'!$C$93:$AF$101,G$95,FALSE)</f>
        <v>$\phi8@16$</v>
      </c>
    </row>
    <row r="46" spans="2:31" x14ac:dyDescent="0.25">
      <c r="D46" s="148" t="str">
        <f>'-1'!U92&amp;"-"&amp;'-1'!V92</f>
        <v>0105-0110</v>
      </c>
      <c r="E46" s="149">
        <f>HLOOKUP($D46,'-1'!$C$93:$AF$101,E$95,FALSE)</f>
        <v>2879.0821179069767</v>
      </c>
      <c r="F46" s="149">
        <f>HLOOKUP($D46,'-1'!$C$93:$AF$101,F$95,FALSE)</f>
        <v>5</v>
      </c>
      <c r="G46" s="150" t="str">
        <f>HLOOKUP($D46,'-1'!$C$93:$AF$101,G$95,FALSE)</f>
        <v>$\phi8@10$</v>
      </c>
    </row>
    <row r="47" spans="2:31" x14ac:dyDescent="0.25">
      <c r="D47" s="148" t="str">
        <f>'-1'!W92&amp;"-"&amp;'-1'!X92</f>
        <v>0106-0111</v>
      </c>
      <c r="E47" s="149">
        <f>HLOOKUP($D47,'-1'!$C$93:$AF$101,E$95,FALSE)</f>
        <v>1030.6176695194208</v>
      </c>
      <c r="F47" s="149">
        <f>HLOOKUP($D47,'-1'!$C$93:$AF$101,F$95,FALSE)</f>
        <v>1.79</v>
      </c>
      <c r="G47" s="150" t="str">
        <f>HLOOKUP($D47,'-1'!$C$93:$AF$101,G$95,FALSE)</f>
        <v>$\phi8@16$</v>
      </c>
    </row>
    <row r="48" spans="2:31" x14ac:dyDescent="0.25">
      <c r="D48" s="148" t="str">
        <f>'-1'!Y92&amp;"-"&amp;'-1'!Z92</f>
        <v>0107-0108</v>
      </c>
      <c r="E48" s="149">
        <f>HLOOKUP($D48,'-1'!$C$93:$AF$101,E$95,FALSE)</f>
        <v>2355.1754110842703</v>
      </c>
      <c r="F48" s="149">
        <f>HLOOKUP($D48,'-1'!$C$93:$AF$101,F$95,FALSE)</f>
        <v>4.09</v>
      </c>
      <c r="G48" s="150" t="str">
        <f>HLOOKUP($D48,'-1'!$C$93:$AF$101,G$95,FALSE)</f>
        <v>$\phi10@19$</v>
      </c>
    </row>
    <row r="49" spans="4:7" x14ac:dyDescent="0.25">
      <c r="D49" s="148" t="str">
        <f>'-1'!AA92&amp;"-"&amp;'-1'!AB92</f>
        <v>0107-0112</v>
      </c>
      <c r="E49" s="149">
        <f>HLOOKUP($D49,'-1'!$C$93:$AF$101,E$95,FALSE)</f>
        <v>2941.0088803556414</v>
      </c>
      <c r="F49" s="149">
        <f>HLOOKUP($D49,'-1'!$C$93:$AF$101,F$95,FALSE)</f>
        <v>5.1099999999999994</v>
      </c>
      <c r="G49" s="150" t="str">
        <f>HLOOKUP($D49,'-1'!$C$93:$AF$101,G$95,FALSE)</f>
        <v>$\phi12@22$</v>
      </c>
    </row>
    <row r="50" spans="4:7" x14ac:dyDescent="0.25">
      <c r="D50" s="148" t="str">
        <f>'-1'!AC92&amp;"-"&amp;'-1'!AD92</f>
        <v>0108-0112</v>
      </c>
      <c r="E50" s="149">
        <f>HLOOKUP($D50,'-1'!$C$93:$AF$101,E$95,FALSE)</f>
        <v>3269.8947493513238</v>
      </c>
      <c r="F50" s="149">
        <f>HLOOKUP($D50,'-1'!$C$93:$AF$101,F$95,FALSE)</f>
        <v>5.68</v>
      </c>
      <c r="G50" s="150" t="str">
        <f>HLOOKUP($D50,'-1'!$C$93:$AF$101,G$95,FALSE)</f>
        <v>$\phi12@20$</v>
      </c>
    </row>
    <row r="51" spans="4:7" x14ac:dyDescent="0.25">
      <c r="D51" s="148" t="str">
        <f>'-1'!AE92&amp;"-"&amp;'-1'!AF92</f>
        <v>0108-0109</v>
      </c>
      <c r="E51" s="149">
        <f>HLOOKUP($D51,'-1'!$C$93:$AF$101,E$95,FALSE)</f>
        <v>2476.8880349344981</v>
      </c>
      <c r="F51" s="149">
        <f>HLOOKUP($D51,'-1'!$C$93:$AF$101,F$95,FALSE)</f>
        <v>4.3</v>
      </c>
      <c r="G51" s="150" t="str">
        <f>HLOOKUP($D51,'-1'!$C$93:$AF$101,G$95,FALSE)</f>
        <v>$\phi10@18$</v>
      </c>
    </row>
    <row r="52" spans="4:7" x14ac:dyDescent="0.25">
      <c r="D52" s="148" t="str">
        <f>'-1'!C103&amp;"-"&amp;'-1'!D103</f>
        <v>0108-0113</v>
      </c>
      <c r="E52" s="149">
        <f>HLOOKUP($D52,'-1'!$C$104:'-1'!$AF$112,E$95,FALSE)</f>
        <v>2518.3026382978728</v>
      </c>
      <c r="F52" s="149">
        <f>HLOOKUP($D52,'-1'!$C$104:'-1'!$AF$112,F$95,FALSE)</f>
        <v>4.37</v>
      </c>
      <c r="G52" s="150" t="str">
        <f>HLOOKUP($D52,'-1'!$C$104:'-1'!$AF$112,G$95,FALSE)</f>
        <v>$\phi10@18$</v>
      </c>
    </row>
    <row r="53" spans="4:7" x14ac:dyDescent="0.25">
      <c r="D53" s="148" t="str">
        <f>'-1'!E103&amp;"-"&amp;'-1'!F103</f>
        <v>0109-0110</v>
      </c>
      <c r="E53" s="149">
        <f>HLOOKUP($D53,'-1'!$C$104:'-1'!$AF$112,E$95,FALSE)</f>
        <v>2485.3998803243921</v>
      </c>
      <c r="F53" s="149">
        <f>HLOOKUP($D53,'-1'!$C$104:'-1'!$AF$112,F$95,FALSE)</f>
        <v>4.3199999999999994</v>
      </c>
      <c r="G53" s="150" t="str">
        <f>HLOOKUP($D53,'-1'!$C$104:'-1'!$AF$112,G$95,FALSE)</f>
        <v>$\phi10@18$</v>
      </c>
    </row>
    <row r="54" spans="4:7" x14ac:dyDescent="0.25">
      <c r="D54" s="148" t="str">
        <f>'-1'!G103&amp;"-"&amp;'-1'!H103</f>
        <v>0109-0114</v>
      </c>
      <c r="E54" s="149">
        <f>HLOOKUP($D54,'-1'!$C$104:'-1'!$AF$112,E$95,FALSE)</f>
        <v>2598.0847659574474</v>
      </c>
      <c r="F54" s="149">
        <f>HLOOKUP($D54,'-1'!$C$104:'-1'!$AF$112,F$95,FALSE)</f>
        <v>4.51</v>
      </c>
      <c r="G54" s="150" t="str">
        <f>HLOOKUP($D54,'-1'!$C$104:'-1'!$AF$112,G$95,FALSE)</f>
        <v>$\phi8@11$</v>
      </c>
    </row>
    <row r="55" spans="4:7" x14ac:dyDescent="0.25">
      <c r="D55" s="148" t="str">
        <f>'-1'!I103&amp;"-"&amp;'-1'!J103</f>
        <v>0109-0115</v>
      </c>
      <c r="E55" s="149">
        <f>HLOOKUP($D55,'-1'!$C$104:'-1'!$AF$112,E$95,FALSE)</f>
        <v>3499.8331152049823</v>
      </c>
      <c r="F55" s="149">
        <f>HLOOKUP($D55,'-1'!$C$104:'-1'!$AF$112,F$95,FALSE)</f>
        <v>6.08</v>
      </c>
      <c r="G55" s="150" t="str">
        <f>HLOOKUP($D55,'-1'!$C$104:'-1'!$AF$112,G$95,FALSE)</f>
        <v>$\phi10@13$</v>
      </c>
    </row>
    <row r="56" spans="4:7" x14ac:dyDescent="0.25">
      <c r="D56" s="148" t="str">
        <f>'-1'!K103&amp;"-"&amp;'-1'!L103</f>
        <v>0110-0111</v>
      </c>
      <c r="E56" s="149">
        <f>HLOOKUP($D56,'-1'!$C$104:'-1'!$AF$112,E$95,FALSE)</f>
        <v>2049.7200695749129</v>
      </c>
      <c r="F56" s="149">
        <f>HLOOKUP($D56,'-1'!$C$104:'-1'!$AF$112,F$95,FALSE)</f>
        <v>3.5599999999999996</v>
      </c>
      <c r="G56" s="150" t="str">
        <f>HLOOKUP($D56,'-1'!$C$104:'-1'!$AF$112,G$95,FALSE)</f>
        <v>$\phi8@14$</v>
      </c>
    </row>
    <row r="57" spans="4:7" x14ac:dyDescent="0.25">
      <c r="D57" s="148" t="str">
        <f>'-1'!M103&amp;"-"&amp;'-1'!N103</f>
        <v>0110-0115</v>
      </c>
      <c r="E57" s="149">
        <f>HLOOKUP($D57,'-1'!$C$104:'-1'!$AF$112,E$95,FALSE)</f>
        <v>3809.7802024390244</v>
      </c>
      <c r="F57" s="149">
        <f>HLOOKUP($D57,'-1'!$C$104:'-1'!$AF$112,F$95,FALSE)</f>
        <v>6.62</v>
      </c>
      <c r="G57" s="150" t="str">
        <f>HLOOKUP($D57,'-1'!$C$104:'-1'!$AF$112,G$95,FALSE)</f>
        <v>$\phi12@17$</v>
      </c>
    </row>
    <row r="58" spans="4:7" x14ac:dyDescent="0.25">
      <c r="D58" s="148" t="str">
        <f>'-1'!O103&amp;"-"&amp;'-1'!P103</f>
        <v>0110-0116</v>
      </c>
      <c r="E58" s="149">
        <f>HLOOKUP($D58,'-1'!$C$104:'-1'!$AF$112,E$95,FALSE)</f>
        <v>2927.2035900000001</v>
      </c>
      <c r="F58" s="149">
        <f>HLOOKUP($D58,'-1'!$C$104:'-1'!$AF$112,F$95,FALSE)</f>
        <v>5.08</v>
      </c>
      <c r="G58" s="150" t="str">
        <f>HLOOKUP($D58,'-1'!$C$104:'-1'!$AF$112,G$95,FALSE)</f>
        <v>$\phi12@22$</v>
      </c>
    </row>
    <row r="59" spans="4:7" x14ac:dyDescent="0.25">
      <c r="D59" s="148" t="str">
        <f>'-1'!Q103&amp;"-"&amp;'-1'!R103</f>
        <v>0111-0117</v>
      </c>
      <c r="E59" s="149">
        <f>HLOOKUP($D59,'-1'!$C$104:'-1'!$AF$112,E$95,FALSE)</f>
        <v>1034.796608294931</v>
      </c>
      <c r="F59" s="149">
        <f>HLOOKUP($D59,'-1'!$C$104:'-1'!$AF$112,F$95,FALSE)</f>
        <v>1.8</v>
      </c>
      <c r="G59" s="150" t="str">
        <f>HLOOKUP($D59,'-1'!$C$104:'-1'!$AF$112,G$95,FALSE)</f>
        <v>$\phi8@16$</v>
      </c>
    </row>
    <row r="60" spans="4:7" x14ac:dyDescent="0.25">
      <c r="D60" s="148" t="str">
        <f>'-1'!S103&amp;"-"&amp;'-1'!T103</f>
        <v>0112-0118</v>
      </c>
      <c r="E60" s="149">
        <f>HLOOKUP($D60,'-1'!$C$104:'-1'!$AF$112,E$95,FALSE)</f>
        <v>4446.1582595121963</v>
      </c>
      <c r="F60" s="149">
        <f>HLOOKUP($D60,'-1'!$C$104:'-1'!$AF$112,F$95,FALSE)</f>
        <v>7.7299999999999995</v>
      </c>
      <c r="G60" s="150" t="str">
        <f>HLOOKUP($D60,'-1'!$C$104:'-1'!$AF$112,G$95,FALSE)</f>
        <v>$\phi12@15$</v>
      </c>
    </row>
    <row r="61" spans="4:7" x14ac:dyDescent="0.25">
      <c r="D61" s="148" t="str">
        <f>'-1'!U103&amp;"-"&amp;'-1'!V103</f>
        <v>0112-0113</v>
      </c>
      <c r="E61" s="149">
        <f>HLOOKUP($D61,'-1'!$C$104:'-1'!$AF$112,E$95,FALSE)</f>
        <v>2134.3257692632769</v>
      </c>
      <c r="F61" s="149">
        <f>HLOOKUP($D61,'-1'!$C$104:'-1'!$AF$112,F$95,FALSE)</f>
        <v>3.71</v>
      </c>
      <c r="G61" s="150" t="str">
        <f>HLOOKUP($D61,'-1'!$C$104:'-1'!$AF$112,G$95,FALSE)</f>
        <v>$\phi10@21$</v>
      </c>
    </row>
    <row r="62" spans="4:7" x14ac:dyDescent="0.25">
      <c r="D62" s="148" t="str">
        <f>'-1'!W103&amp;"-"&amp;'-1'!X103</f>
        <v>0112-0119</v>
      </c>
      <c r="E62" s="149">
        <f>HLOOKUP($D62,'-1'!$C$104:'-1'!$AF$112,E$95,FALSE)</f>
        <v>1854.8104129032258</v>
      </c>
      <c r="F62" s="149">
        <f>HLOOKUP($D62,'-1'!$C$104:'-1'!$AF$112,F$95,FALSE)</f>
        <v>3.2199999999999998</v>
      </c>
      <c r="G62" s="150" t="str">
        <f>HLOOKUP($D62,'-1'!$C$104:'-1'!$AF$112,G$95,FALSE)</f>
        <v>$\phi10@24$</v>
      </c>
    </row>
    <row r="63" spans="4:7" x14ac:dyDescent="0.25">
      <c r="D63" s="148" t="str">
        <f>'-1'!Y103&amp;"-"&amp;'-1'!Z103</f>
        <v>0113-0114</v>
      </c>
      <c r="E63" s="149">
        <f>HLOOKUP($D63,'-1'!$C$104:'-1'!$AF$112,E$95,FALSE)</f>
        <v>1535.109170305677</v>
      </c>
      <c r="F63" s="149">
        <f>HLOOKUP($D63,'-1'!$C$104:'-1'!$AF$112,F$95,FALSE)</f>
        <v>2.67</v>
      </c>
      <c r="G63" s="150" t="str">
        <f>HLOOKUP($D63,'-1'!$C$104:'-1'!$AF$112,G$95,FALSE)</f>
        <v>$\phi8@16$</v>
      </c>
    </row>
    <row r="64" spans="4:7" x14ac:dyDescent="0.25">
      <c r="D64" s="148" t="str">
        <f>'-1'!AA103&amp;"-"&amp;'-1'!AB103</f>
        <v>0113-0119</v>
      </c>
      <c r="E64" s="149">
        <f>HLOOKUP($D64,'-1'!$C$104:'-1'!$AF$112,E$95,FALSE)</f>
        <v>1301.7381702127659</v>
      </c>
      <c r="F64" s="149">
        <f>HLOOKUP($D64,'-1'!$C$104:'-1'!$AF$112,F$95,FALSE)</f>
        <v>2.2599999999999998</v>
      </c>
      <c r="G64" s="150" t="str">
        <f>HLOOKUP($D64,'-1'!$C$104:'-1'!$AF$112,G$95,FALSE)</f>
        <v>$\phi8@16$</v>
      </c>
    </row>
    <row r="65" spans="4:7" x14ac:dyDescent="0.25">
      <c r="D65" s="148" t="str">
        <f>'-1'!AC103&amp;"-"&amp;'-1'!AD103</f>
        <v>0114-0115</v>
      </c>
      <c r="E65" s="149">
        <f>HLOOKUP($D65,'-1'!$C$104:'-1'!$AF$112,E$95,FALSE)</f>
        <v>2402.5651153683621</v>
      </c>
      <c r="F65" s="149">
        <f>HLOOKUP($D65,'-1'!$C$104:'-1'!$AF$112,F$95,FALSE)</f>
        <v>4.17</v>
      </c>
      <c r="G65" s="150" t="str">
        <f>HLOOKUP($D65,'-1'!$C$104:'-1'!$AF$112,G$95,FALSE)</f>
        <v>$\phi8@12$</v>
      </c>
    </row>
    <row r="66" spans="4:7" x14ac:dyDescent="0.25">
      <c r="D66" s="148" t="str">
        <f>'-1'!AE103&amp;"-"&amp;'-1'!AF103</f>
        <v>0114-0119</v>
      </c>
      <c r="E66" s="149">
        <f>HLOOKUP($D66,'-1'!$C$104:'-1'!$AF$112,E$95,FALSE)</f>
        <v>1441.3568936170213</v>
      </c>
      <c r="F66" s="149">
        <f>HLOOKUP($D66,'-1'!$C$104:'-1'!$AF$112,F$95,FALSE)</f>
        <v>2.5</v>
      </c>
      <c r="G66" s="150" t="str">
        <f>HLOOKUP($D66,'-1'!$C$104:'-1'!$AF$112,G$95,FALSE)</f>
        <v>$\phi8@16$</v>
      </c>
    </row>
    <row r="67" spans="4:7" x14ac:dyDescent="0.25">
      <c r="D67" s="148" t="str">
        <f>'-1'!C114&amp;"-"&amp;'-1'!D114</f>
        <v>0115-0122</v>
      </c>
      <c r="E67" s="149">
        <f>HLOOKUP($D67,'-1'!$C$115:'-1'!$AF$123,E$95,FALSE)</f>
        <v>2342.5916882541251</v>
      </c>
      <c r="F67" s="149">
        <f>HLOOKUP($D67,'-1'!$C$115:'-1'!$AF$123,F$95,FALSE)</f>
        <v>4.0699999999999994</v>
      </c>
      <c r="G67" s="150" t="str">
        <f>HLOOKUP($D67,'-1'!$C$115:'-1'!$AF$123,G$95,FALSE)</f>
        <v>$\phi10@19$</v>
      </c>
    </row>
    <row r="68" spans="4:7" x14ac:dyDescent="0.25">
      <c r="D68" s="148" t="str">
        <f>'-1'!E114&amp;"-"&amp;'-1'!F114</f>
        <v>0115-0123</v>
      </c>
      <c r="E68" s="149">
        <f>HLOOKUP($D68,'-1'!$C$115:'-1'!$AF$123,E$95,FALSE)</f>
        <v>3528.0020838343735</v>
      </c>
      <c r="F68" s="149">
        <f>HLOOKUP($D68,'-1'!$C$115:'-1'!$AF$123,F$95,FALSE)</f>
        <v>6.13</v>
      </c>
      <c r="G68" s="150" t="str">
        <f>HLOOKUP($D68,'-1'!$C$115:'-1'!$AF$123,G$95,FALSE)</f>
        <v>$\phi10@13$</v>
      </c>
    </row>
    <row r="69" spans="4:7" x14ac:dyDescent="0.25">
      <c r="D69" s="148" t="str">
        <f>'-1'!G114&amp;"-"&amp;'-1'!H114</f>
        <v>0115-0116</v>
      </c>
      <c r="E69" s="149">
        <f>HLOOKUP($D69,'-1'!$C$115:'-1'!$AF$123,E$95,FALSE)</f>
        <v>2636.4418346774196</v>
      </c>
      <c r="F69" s="149">
        <f>HLOOKUP($D69,'-1'!$C$115:'-1'!$AF$123,F$95,FALSE)</f>
        <v>4.58</v>
      </c>
      <c r="G69" s="150" t="str">
        <f>HLOOKUP($D69,'-1'!$C$115:'-1'!$AF$123,G$95,FALSE)</f>
        <v>$\phi10@17$</v>
      </c>
    </row>
    <row r="70" spans="4:7" x14ac:dyDescent="0.25">
      <c r="D70" s="148" t="str">
        <f>'-1'!I114&amp;"-"&amp;'-1'!J114</f>
        <v>0116-0117</v>
      </c>
      <c r="E70" s="149">
        <f>HLOOKUP($D70,'-1'!$C$115:'-1'!$AF$123,E$95,FALSE)</f>
        <v>2022.2617500000003</v>
      </c>
      <c r="F70" s="149">
        <f>HLOOKUP($D70,'-1'!$C$115:'-1'!$AF$123,F$95,FALSE)</f>
        <v>3.51</v>
      </c>
      <c r="G70" s="150" t="str">
        <f>HLOOKUP($D70,'-1'!$C$115:'-1'!$AF$123,G$95,FALSE)</f>
        <v>$\phi8@14$</v>
      </c>
    </row>
    <row r="71" spans="4:7" x14ac:dyDescent="0.25">
      <c r="D71" s="148" t="str">
        <f>'-1'!K114&amp;"-"&amp;'-1'!L114</f>
        <v>0116-0123</v>
      </c>
      <c r="E71" s="149">
        <f>HLOOKUP($D71,'-1'!$C$115:'-1'!$AF$123,E$95,FALSE)</f>
        <v>3070.1889774193551</v>
      </c>
      <c r="F71" s="149">
        <f>HLOOKUP($D71,'-1'!$C$115:'-1'!$AF$123,F$95,FALSE)</f>
        <v>5.33</v>
      </c>
      <c r="G71" s="150" t="str">
        <f>HLOOKUP($D71,'-1'!$C$115:'-1'!$AF$123,G$95,FALSE)</f>
        <v>$\phi12@21$</v>
      </c>
    </row>
    <row r="72" spans="4:7" x14ac:dyDescent="0.25">
      <c r="D72" s="148" t="str">
        <f>'-1'!M114&amp;"-"&amp;'-1'!N114</f>
        <v>0116-0127</v>
      </c>
      <c r="E72" s="149">
        <f>HLOOKUP($D72,'-1'!$C$115:'-1'!$AF$123,E$95,FALSE)</f>
        <v>3101.9564988549619</v>
      </c>
      <c r="F72" s="149">
        <f>HLOOKUP($D72,'-1'!$C$115:'-1'!$AF$123,F$95,FALSE)</f>
        <v>5.39</v>
      </c>
      <c r="G72" s="150" t="str">
        <f>HLOOKUP($D72,'-1'!$C$115:'-1'!$AF$123,G$95,FALSE)</f>
        <v>$\phi12@21$</v>
      </c>
    </row>
    <row r="73" spans="4:7" x14ac:dyDescent="0.25">
      <c r="D73" s="148" t="str">
        <f>'-1'!O114&amp;"-"&amp;'-1'!P114</f>
        <v>0117-0128</v>
      </c>
      <c r="E73" s="149">
        <f>HLOOKUP($D73,'-1'!$C$115:'-1'!$AF$123,E$95,FALSE)</f>
        <v>1053.0925714285718</v>
      </c>
      <c r="F73" s="149">
        <f>HLOOKUP($D73,'-1'!$C$115:'-1'!$AF$123,F$95,FALSE)</f>
        <v>1.83</v>
      </c>
      <c r="G73" s="150" t="str">
        <f>HLOOKUP($D73,'-1'!$C$115:'-1'!$AF$123,G$95,FALSE)</f>
        <v>$\phi8@16$</v>
      </c>
    </row>
    <row r="74" spans="4:7" x14ac:dyDescent="0.25">
      <c r="D74" s="148" t="str">
        <f>'-1'!Q114&amp;"-"&amp;'-1'!R114</f>
        <v>0118-0124</v>
      </c>
      <c r="E74" s="149">
        <f>HLOOKUP($D74,'-1'!$C$115:'-1'!$AF$123,E$95,FALSE)</f>
        <v>6852.2304468292687</v>
      </c>
      <c r="F74" s="149">
        <f>HLOOKUP($D74,'-1'!$C$115:'-1'!$AF$123,F$95,FALSE)</f>
        <v>11.94</v>
      </c>
      <c r="G74" s="150" t="str">
        <f>HLOOKUP($D74,'-1'!$C$115:'-1'!$AF$123,G$95,FALSE)</f>
        <v>$\phi16@17$</v>
      </c>
    </row>
    <row r="75" spans="4:7" x14ac:dyDescent="0.25">
      <c r="D75" s="148" t="str">
        <f>'-1'!S114&amp;"-"&amp;'-1'!T114</f>
        <v>0118-0119</v>
      </c>
      <c r="E75" s="149">
        <f>HLOOKUP($D75,'-1'!$C$115:'-1'!$AF$123,E$95,FALSE)</f>
        <v>3605.8664019512194</v>
      </c>
      <c r="F75" s="149">
        <f>HLOOKUP($D75,'-1'!$C$115:'-1'!$AF$123,F$95,FALSE)</f>
        <v>6.27</v>
      </c>
      <c r="G75" s="150" t="str">
        <f>HLOOKUP($D75,'-1'!$C$115:'-1'!$AF$123,G$95,FALSE)</f>
        <v>$\phi12@18$</v>
      </c>
    </row>
    <row r="76" spans="4:7" x14ac:dyDescent="0.25">
      <c r="D76" s="148" t="str">
        <f>'-1'!U114&amp;"-"&amp;'-1'!V114</f>
        <v>0118-0120</v>
      </c>
      <c r="E76" s="149">
        <f>HLOOKUP($D76,'-1'!$C$115:'-1'!$AF$123,E$95,FALSE)</f>
        <v>2788.2753756598245</v>
      </c>
      <c r="F76" s="149">
        <f>HLOOKUP($D76,'-1'!$C$115:'-1'!$AF$123,F$95,FALSE)</f>
        <v>4.84</v>
      </c>
      <c r="G76" s="150" t="str">
        <f>HLOOKUP($D76,'-1'!$C$115:'-1'!$AF$123,G$95,FALSE)</f>
        <v>$\phi12@23$</v>
      </c>
    </row>
    <row r="77" spans="4:7" x14ac:dyDescent="0.25">
      <c r="D77" s="148" t="str">
        <f>'-1'!W114&amp;"-"&amp;'-1'!X114</f>
        <v>0118-0129</v>
      </c>
      <c r="E77" s="149">
        <f>HLOOKUP($D77,'-1'!$C$115:'-1'!$AF$123,E$95,FALSE)</f>
        <v>2725.268014629135</v>
      </c>
      <c r="F77" s="149">
        <f>HLOOKUP($D77,'-1'!$C$115:'-1'!$AF$123,F$95,FALSE)</f>
        <v>4.7299999999999995</v>
      </c>
      <c r="G77" s="150" t="str">
        <f>HLOOKUP($D77,'-1'!$C$115:'-1'!$AF$123,G$95,FALSE)</f>
        <v>$\phi12@24$</v>
      </c>
    </row>
    <row r="78" spans="4:7" x14ac:dyDescent="0.25">
      <c r="D78" s="148" t="str">
        <f>'-1'!Y114&amp;"-"&amp;'-1'!Z114</f>
        <v>0119-0120</v>
      </c>
      <c r="E78" s="149">
        <f>HLOOKUP($D78,'-1'!$C$115:'-1'!$AF$123,E$95,FALSE)</f>
        <v>359.54919512195124</v>
      </c>
      <c r="F78" s="149">
        <f>HLOOKUP($D78,'-1'!$C$115:'-1'!$AF$123,F$95,FALSE)</f>
        <v>0.63</v>
      </c>
      <c r="G78" s="150" t="str">
        <f>HLOOKUP($D78,'-1'!$C$115:'-1'!$AF$123,G$95,FALSE)</f>
        <v>$\phi8@16$</v>
      </c>
    </row>
    <row r="79" spans="4:7" x14ac:dyDescent="0.25">
      <c r="D79" s="148" t="str">
        <f>'-1'!AA114&amp;"-"&amp;'-1'!AB114</f>
        <v>0119-0121</v>
      </c>
      <c r="E79" s="149">
        <f>HLOOKUP($D79,'-1'!$C$115:'-1'!$AF$123,E$95,FALSE)</f>
        <v>472.26968571428574</v>
      </c>
      <c r="F79" s="149">
        <f>HLOOKUP($D79,'-1'!$C$115:'-1'!$AF$123,F$95,FALSE)</f>
        <v>0.82000000000000006</v>
      </c>
      <c r="G79" s="150" t="str">
        <f>HLOOKUP($D79,'-1'!$C$115:'-1'!$AF$123,G$95,FALSE)</f>
        <v>$\phi8@16$</v>
      </c>
    </row>
    <row r="80" spans="4:7" x14ac:dyDescent="0.25">
      <c r="D80" s="148" t="str">
        <f>'-1'!AC114&amp;"-"&amp;'-1'!AD114</f>
        <v>0119-0122</v>
      </c>
      <c r="E80" s="149">
        <f>HLOOKUP($D80,'-1'!$C$115:'-1'!$AF$123,E$95,FALSE)</f>
        <v>1089.5556641221372</v>
      </c>
      <c r="F80" s="149">
        <f>HLOOKUP($D80,'-1'!$C$115:'-1'!$AF$123,F$95,FALSE)</f>
        <v>1.89</v>
      </c>
      <c r="G80" s="150" t="str">
        <f>HLOOKUP($D80,'-1'!$C$115:'-1'!$AF$123,G$95,FALSE)</f>
        <v>$\phi8@16$</v>
      </c>
    </row>
    <row r="81" spans="4:7" hidden="1" x14ac:dyDescent="0.25">
      <c r="D81" s="148" t="str">
        <f>'-1'!AE114&amp;"-"&amp;'-1'!AF114</f>
        <v>0120-0129</v>
      </c>
      <c r="E81" s="149">
        <f>HLOOKUP($D81,'-1'!$C$115:'-1'!$AF$123,E$95,FALSE)</f>
        <v>510.1345277161862</v>
      </c>
      <c r="F81" s="149">
        <f>HLOOKUP($D81,'-1'!$C$115:'-1'!$AF$123,F$95,FALSE)</f>
        <v>0.89</v>
      </c>
      <c r="G81" s="150" t="str">
        <f>HLOOKUP($D81,'-1'!$C$115:'-1'!$AF$123,G$95,FALSE)</f>
        <v>$\phi8@16$</v>
      </c>
    </row>
    <row r="82" spans="4:7" x14ac:dyDescent="0.25">
      <c r="D82" s="148" t="str">
        <f>'-1'!C125&amp;"-"&amp;'-1'!D125</f>
        <v>0121-0129</v>
      </c>
      <c r="E82" s="149">
        <f>HLOOKUP($D82,'-1'!$C$126:'-1'!$AF$134,E$95,FALSE)</f>
        <v>724.29259394904466</v>
      </c>
      <c r="F82" s="149">
        <f>HLOOKUP($D82,'-1'!$C$126:'-1'!$AF$134,F$95,FALSE)</f>
        <v>1.26</v>
      </c>
      <c r="G82" s="150" t="str">
        <f>HLOOKUP($D82,'-1'!$C$126:'-1'!$AF$134,G$95,FALSE)</f>
        <v>$\phi8@16$</v>
      </c>
    </row>
    <row r="83" spans="4:7" x14ac:dyDescent="0.25">
      <c r="D83" s="148" t="str">
        <f>'-1'!E125&amp;"-"&amp;'-1'!F125</f>
        <v>0121-0122</v>
      </c>
      <c r="E83" s="149">
        <f>HLOOKUP($D83,'-1'!$C$126:'-1'!$AF$134,E$95,FALSE)</f>
        <v>1575.2922954545456</v>
      </c>
      <c r="F83" s="149">
        <f>HLOOKUP($D83,'-1'!$C$126:'-1'!$AF$134,F$95,FALSE)</f>
        <v>2.7399999999999998</v>
      </c>
      <c r="G83" s="150" t="str">
        <f>HLOOKUP($D83,'-1'!$C$126:'-1'!$AF$134,G$95,FALSE)</f>
        <v>$\phi8@16$</v>
      </c>
    </row>
    <row r="84" spans="4:7" x14ac:dyDescent="0.25">
      <c r="D84" s="148" t="str">
        <f>'-1'!G125&amp;"-"&amp;'-1'!H125</f>
        <v>0121-0124</v>
      </c>
      <c r="E84" s="149">
        <f>HLOOKUP($D84,'-1'!$C$126:'-1'!$AF$134,E$95,FALSE)</f>
        <v>5816.3570057142861</v>
      </c>
      <c r="F84" s="149">
        <f>HLOOKUP($D84,'-1'!$C$126:'-1'!$AF$134,F$95,FALSE)</f>
        <v>10.119999999999999</v>
      </c>
      <c r="G84" s="150" t="str">
        <f>HLOOKUP($D84,'-1'!$C$126:'-1'!$AF$134,G$95,FALSE)</f>
        <v>$\phi16@20$</v>
      </c>
    </row>
    <row r="85" spans="4:7" x14ac:dyDescent="0.25">
      <c r="D85" s="148" t="str">
        <f>'-1'!I125&amp;"-"&amp;'-1'!J125</f>
        <v>0122-0125</v>
      </c>
      <c r="E85" s="149">
        <f>HLOOKUP($D85,'-1'!$C$126:'-1'!$AF$134,E$95,FALSE)</f>
        <v>1846.7418172863825</v>
      </c>
      <c r="F85" s="149">
        <f>HLOOKUP($D85,'-1'!$C$126:'-1'!$AF$134,F$95,FALSE)</f>
        <v>3.21</v>
      </c>
      <c r="G85" s="150" t="str">
        <f>HLOOKUP($D85,'-1'!$C$126:'-1'!$AF$134,G$95,FALSE)</f>
        <v>$\phi10@24$</v>
      </c>
    </row>
    <row r="86" spans="4:7" x14ac:dyDescent="0.25">
      <c r="D86" s="148" t="str">
        <f>'-1'!K125&amp;"-"&amp;'-1'!L125</f>
        <v>0122-0123</v>
      </c>
      <c r="E86" s="149">
        <f>HLOOKUP($D86,'-1'!$C$126:'-1'!$AF$134,E$95,FALSE)</f>
        <v>2908.0486592375369</v>
      </c>
      <c r="F86" s="149">
        <f>HLOOKUP($D86,'-1'!$C$126:'-1'!$AF$134,F$95,FALSE)</f>
        <v>5.05</v>
      </c>
      <c r="G86" s="150" t="str">
        <f>HLOOKUP($D86,'-1'!$C$126:'-1'!$AF$134,G$95,FALSE)</f>
        <v>$\phi12@22$</v>
      </c>
    </row>
    <row r="87" spans="4:7" x14ac:dyDescent="0.25">
      <c r="D87" s="148" t="str">
        <f>'-1'!M125&amp;"-"&amp;'-1'!N125</f>
        <v>0123-0126</v>
      </c>
      <c r="E87" s="149">
        <f>HLOOKUP($D87,'-1'!$C$126:'-1'!$AF$134,E$95,FALSE)</f>
        <v>2771.038601242677</v>
      </c>
      <c r="F87" s="149">
        <f>HLOOKUP($D87,'-1'!$C$126:'-1'!$AF$134,F$95,FALSE)</f>
        <v>4.8099999999999996</v>
      </c>
      <c r="G87" s="150" t="str">
        <f>HLOOKUP($D87,'-1'!$C$126:'-1'!$AF$134,G$95,FALSE)</f>
        <v>$\phi12@24$</v>
      </c>
    </row>
    <row r="88" spans="4:7" x14ac:dyDescent="0.25">
      <c r="D88" s="148" t="str">
        <f>'-1'!O125&amp;"-"&amp;'-1'!P125</f>
        <v>0123-0127</v>
      </c>
      <c r="E88" s="149">
        <f>HLOOKUP($D88,'-1'!$C$126:'-1'!$AF$134,E$95,FALSE)</f>
        <v>4522.0062879765383</v>
      </c>
      <c r="F88" s="149">
        <f>HLOOKUP($D88,'-1'!$C$126:'-1'!$AF$134,F$95,FALSE)</f>
        <v>7.8599999999999994</v>
      </c>
      <c r="G88" s="150" t="str">
        <f>HLOOKUP($D88,'-1'!$C$126:'-1'!$AF$134,G$95,FALSE)</f>
        <v>$\phi10@10$</v>
      </c>
    </row>
    <row r="89" spans="4:7" x14ac:dyDescent="0.25">
      <c r="D89" s="148" t="str">
        <f>'-1'!Q125&amp;"-"&amp;'-1'!R125</f>
        <v>0123-0127</v>
      </c>
      <c r="E89" s="149">
        <f>HLOOKUP($D89,'-1'!$C$126:'-1'!$AF$134,E$95,FALSE)</f>
        <v>4522.0062879765383</v>
      </c>
      <c r="F89" s="149">
        <f>HLOOKUP($D89,'-1'!$C$126:'-1'!$AF$134,F$95,FALSE)</f>
        <v>7.8599999999999994</v>
      </c>
      <c r="G89" s="150" t="str">
        <f>HLOOKUP($D89,'-1'!$C$126:'-1'!$AF$134,G$95,FALSE)</f>
        <v>$\phi10@10$</v>
      </c>
    </row>
    <row r="90" spans="4:7" x14ac:dyDescent="0.25">
      <c r="D90" s="148" t="str">
        <f>'-1'!S125&amp;"-"&amp;'-1'!T125</f>
        <v>0124-0125</v>
      </c>
      <c r="E90" s="149">
        <f>HLOOKUP($D90,'-1'!$C$126:'-1'!$AF$134,E$95,FALSE)</f>
        <v>4453.4482580069689</v>
      </c>
      <c r="F90" s="149">
        <f>HLOOKUP($D90,'-1'!$C$126:'-1'!$AF$134,F$95,FALSE)</f>
        <v>7.74</v>
      </c>
      <c r="G90" s="150" t="str">
        <f>HLOOKUP($D90,'-1'!$C$126:'-1'!$AF$134,G$95,FALSE)</f>
        <v>$\phi12@15$</v>
      </c>
    </row>
    <row r="91" spans="4:7" x14ac:dyDescent="0.25">
      <c r="D91" s="148" t="str">
        <f>'-1'!U125&amp;"-"&amp;'-1'!V125</f>
        <v>0124-0129</v>
      </c>
      <c r="E91" s="149">
        <f>HLOOKUP($D91,'-1'!$C$126:'-1'!$AF$134,E$95,FALSE)</f>
        <v>5805.9603927272728</v>
      </c>
      <c r="F91" s="149">
        <f>HLOOKUP($D91,'-1'!$C$126:'-1'!$AF$134,F$95,FALSE)</f>
        <v>10.11</v>
      </c>
      <c r="G91" s="150" t="str">
        <f>HLOOKUP($D91,'-1'!$C$126:'-1'!$AF$134,G$95,FALSE)</f>
        <v>$\phi16@20$</v>
      </c>
    </row>
    <row r="92" spans="4:7" x14ac:dyDescent="0.25">
      <c r="D92" s="148" t="str">
        <f>'-1'!W125&amp;"-"&amp;'-1'!X125</f>
        <v>0125-0126</v>
      </c>
      <c r="E92" s="149">
        <f>HLOOKUP($D92,'-1'!$C$126:'-1'!$AF$134,E$95,FALSE)</f>
        <v>3062.2544035476717</v>
      </c>
      <c r="F92" s="149">
        <f>HLOOKUP($D92,'-1'!$C$126:'-1'!$AF$134,F$95,FALSE)</f>
        <v>5.3199999999999994</v>
      </c>
      <c r="G92" s="150" t="str">
        <f>HLOOKUP($D92,'-1'!$C$126:'-1'!$AF$134,G$95,FALSE)</f>
        <v>$\phi12@21$</v>
      </c>
    </row>
    <row r="93" spans="4:7" x14ac:dyDescent="0.25">
      <c r="D93" s="148" t="str">
        <f>'-1'!Y125&amp;"-"&amp;'-1'!Z125</f>
        <v>0126-0127</v>
      </c>
      <c r="E93" s="149">
        <f>HLOOKUP($D93,'-1'!$C$126:'-1'!$AF$134,E$95,FALSE)</f>
        <v>4407.6268909090904</v>
      </c>
      <c r="F93" s="149">
        <f>HLOOKUP($D93,'-1'!$C$126:'-1'!$AF$134,F$95,FALSE)</f>
        <v>7.66</v>
      </c>
      <c r="G93" s="150" t="str">
        <f>HLOOKUP($D93,'-1'!$C$126:'-1'!$AF$134,G$95,FALSE)</f>
        <v>$\phi12@15$</v>
      </c>
    </row>
    <row r="94" spans="4:7" ht="15.75" thickBot="1" x14ac:dyDescent="0.3">
      <c r="D94" s="151" t="str">
        <f>'-1'!AA125&amp;"-"&amp;'-1'!AB125</f>
        <v>0127-0128</v>
      </c>
      <c r="E94" s="152">
        <f>HLOOKUP($D94,'-1'!$C$126:'-1'!$AF$134,E$95,FALSE)</f>
        <v>4078.5294090909078</v>
      </c>
      <c r="F94" s="152">
        <f>HLOOKUP($D94,'-1'!$C$126:'-1'!$AF$134,F$95,FALSE)</f>
        <v>7.09</v>
      </c>
      <c r="G94" s="153" t="str">
        <f>HLOOKUP($D94,'-1'!$C$126:'-1'!$AF$134,G$95,FALSE)</f>
        <v>$\phi10@11$</v>
      </c>
    </row>
    <row r="95" spans="4:7" x14ac:dyDescent="0.25">
      <c r="E95" s="124">
        <v>5</v>
      </c>
      <c r="F95" s="124">
        <v>8</v>
      </c>
      <c r="G95" s="124">
        <v>9</v>
      </c>
    </row>
  </sheetData>
  <mergeCells count="12">
    <mergeCell ref="D35:E35"/>
    <mergeCell ref="L3:M3"/>
    <mergeCell ref="B2:G2"/>
    <mergeCell ref="H2:J2"/>
    <mergeCell ref="K2:M2"/>
    <mergeCell ref="B3:B4"/>
    <mergeCell ref="D3:D4"/>
    <mergeCell ref="E3:E4"/>
    <mergeCell ref="F3:G3"/>
    <mergeCell ref="H3:I3"/>
    <mergeCell ref="J3:K3"/>
    <mergeCell ref="C3:C4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CEC0-8C66-41AA-B60E-F73836411637}">
  <dimension ref="B2:AB123"/>
  <sheetViews>
    <sheetView showGridLines="0" topLeftCell="A60" zoomScale="70" zoomScaleNormal="70" workbookViewId="0">
      <selection activeCell="C75" sqref="C75:C78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23" width="17.140625" customWidth="1"/>
    <col min="24" max="24" width="10.85546875" customWidth="1"/>
  </cols>
  <sheetData>
    <row r="2" spans="2:21" ht="18.75" x14ac:dyDescent="0.3">
      <c r="B2" s="52" t="s">
        <v>137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4" t="s">
        <v>19</v>
      </c>
      <c r="C4" s="113">
        <v>16</v>
      </c>
      <c r="E4" s="217" t="s">
        <v>282</v>
      </c>
      <c r="F4" s="218"/>
      <c r="H4" s="217" t="s">
        <v>283</v>
      </c>
      <c r="I4" s="218"/>
      <c r="K4" s="217" t="s">
        <v>39</v>
      </c>
      <c r="L4" s="218"/>
      <c r="N4" s="157" t="s">
        <v>281</v>
      </c>
      <c r="O4" s="157" t="str">
        <f>E4</f>
        <v>Sobrecargas $[kgf/m^2]$</v>
      </c>
      <c r="P4" s="40"/>
      <c r="Q4" s="157" t="s">
        <v>284</v>
      </c>
      <c r="R4" s="157" t="str">
        <f>H4</f>
        <v>Peso Propio $[kgf/m^2]$</v>
      </c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41</v>
      </c>
      <c r="N5" s="158" t="str">
        <f>E5</f>
        <v>Habitacional</v>
      </c>
      <c r="O5" s="158">
        <f>F5</f>
        <v>200</v>
      </c>
      <c r="P5" s="40"/>
      <c r="Q5" s="158" t="str">
        <f>H5</f>
        <v>Tabique</v>
      </c>
      <c r="R5" s="158">
        <f>I5</f>
        <v>100</v>
      </c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3.57</v>
      </c>
      <c r="N6" s="131" t="str">
        <f t="shared" ref="N6:N9" si="0">E6</f>
        <v>Área común y escalera</v>
      </c>
      <c r="O6" s="131">
        <f t="shared" ref="O6:O9" si="1">F6</f>
        <v>400</v>
      </c>
      <c r="P6" s="40"/>
      <c r="Q6" s="131" t="str">
        <f t="shared" ref="Q6:Q8" si="2">H6</f>
        <v>Yeso</v>
      </c>
      <c r="R6" s="131">
        <f t="shared" ref="R6:R8" si="3">I6</f>
        <v>25</v>
      </c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N7" s="131" t="str">
        <f t="shared" si="0"/>
        <v>Balcones</v>
      </c>
      <c r="O7" s="131">
        <f t="shared" si="1"/>
        <v>300</v>
      </c>
      <c r="P7" s="40"/>
      <c r="Q7" s="159" t="str">
        <f t="shared" si="2"/>
        <v>Sobrelosa</v>
      </c>
      <c r="R7" s="159">
        <f t="shared" si="3"/>
        <v>100</v>
      </c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276</v>
      </c>
      <c r="I8" s="35">
        <f>$I$5+$I$6+$I$7</f>
        <v>225</v>
      </c>
      <c r="K8" s="44" t="s">
        <v>239</v>
      </c>
      <c r="L8" s="38" t="s">
        <v>42</v>
      </c>
      <c r="N8" s="131" t="str">
        <f t="shared" si="0"/>
        <v>Autos</v>
      </c>
      <c r="O8" s="131">
        <f t="shared" si="1"/>
        <v>500</v>
      </c>
      <c r="P8" s="40"/>
      <c r="Q8" s="157" t="str">
        <f t="shared" si="2"/>
        <v>$PP_{adic}$</v>
      </c>
      <c r="R8" s="157">
        <f t="shared" si="3"/>
        <v>225</v>
      </c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N9" s="159" t="str">
        <f t="shared" si="0"/>
        <v>Techo</v>
      </c>
      <c r="O9" s="159">
        <f t="shared" si="1"/>
        <v>100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7.45" customHeight="1" thickBot="1" x14ac:dyDescent="0.3">
      <c r="B13" s="49" t="s">
        <v>99</v>
      </c>
      <c r="C13" s="59" t="str">
        <f>"$\phi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&amp;"$"</f>
        <v>$\phi8@17$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55" t="s">
        <v>48</v>
      </c>
      <c r="I15" s="111"/>
      <c r="J15" s="197" t="s">
        <v>43</v>
      </c>
      <c r="K15" s="197"/>
      <c r="L15" s="180"/>
      <c r="M15" s="198" t="s">
        <v>130</v>
      </c>
      <c r="N15" s="198"/>
      <c r="P15" s="111"/>
      <c r="Q15" s="111"/>
      <c r="T15" s="40"/>
      <c r="U15" s="41"/>
    </row>
    <row r="16" spans="2:21" ht="15.75" hidden="1" thickBot="1" x14ac:dyDescent="0.3">
      <c r="B16" s="63" t="s">
        <v>117</v>
      </c>
      <c r="C16" s="6">
        <v>5</v>
      </c>
      <c r="D16" s="6">
        <v>5.33</v>
      </c>
      <c r="E16" s="6">
        <v>16</v>
      </c>
      <c r="F16" s="6" t="s">
        <v>9</v>
      </c>
      <c r="G16" s="6">
        <v>500</v>
      </c>
      <c r="H16" s="7" t="s">
        <v>41</v>
      </c>
      <c r="I16" s="6"/>
      <c r="J16" s="196" t="s">
        <v>95</v>
      </c>
      <c r="K16" s="196"/>
      <c r="L16" s="183"/>
      <c r="M16" s="196" t="s">
        <v>96</v>
      </c>
      <c r="N16" s="196"/>
    </row>
    <row r="17" spans="2:16" hidden="1" x14ac:dyDescent="0.25">
      <c r="B17" s="63" t="s">
        <v>118</v>
      </c>
      <c r="C17" s="6">
        <v>5</v>
      </c>
      <c r="D17" s="6">
        <v>7.2</v>
      </c>
      <c r="E17" s="6">
        <v>16</v>
      </c>
      <c r="F17" s="6">
        <v>6</v>
      </c>
      <c r="G17" s="6">
        <v>500</v>
      </c>
      <c r="H17" s="7" t="s">
        <v>41</v>
      </c>
      <c r="I17" s="6"/>
      <c r="J17" s="184" t="s">
        <v>291</v>
      </c>
      <c r="K17" s="170">
        <v>1.4</v>
      </c>
      <c r="L17" s="183"/>
      <c r="M17" s="184" t="s">
        <v>296</v>
      </c>
      <c r="N17" s="176">
        <v>160.25882352941176</v>
      </c>
    </row>
    <row r="18" spans="2:16" hidden="1" x14ac:dyDescent="0.25">
      <c r="B18" s="63" t="s">
        <v>119</v>
      </c>
      <c r="C18" s="6">
        <v>5</v>
      </c>
      <c r="D18" s="6">
        <v>7.2</v>
      </c>
      <c r="E18" s="6">
        <v>16</v>
      </c>
      <c r="F18" s="6">
        <v>6</v>
      </c>
      <c r="G18" s="6">
        <v>500</v>
      </c>
      <c r="H18" s="7" t="s">
        <v>41</v>
      </c>
      <c r="I18" s="6"/>
      <c r="J18" s="133" t="s">
        <v>290</v>
      </c>
      <c r="K18" s="171">
        <v>9.1999999999999993</v>
      </c>
      <c r="L18" s="183"/>
      <c r="M18" s="133" t="s">
        <v>280</v>
      </c>
      <c r="N18" s="177">
        <v>0.33019092025872299</v>
      </c>
      <c r="P18" s="194"/>
    </row>
    <row r="19" spans="2:16" hidden="1" x14ac:dyDescent="0.25">
      <c r="B19" s="63" t="s">
        <v>120</v>
      </c>
      <c r="C19" s="6">
        <v>5</v>
      </c>
      <c r="D19" s="6">
        <v>7.89</v>
      </c>
      <c r="E19" s="6">
        <v>16</v>
      </c>
      <c r="F19" s="6">
        <v>6</v>
      </c>
      <c r="G19" s="6">
        <v>500</v>
      </c>
      <c r="H19" s="7" t="s">
        <v>41</v>
      </c>
      <c r="I19" s="6"/>
      <c r="J19" s="185" t="s">
        <v>289</v>
      </c>
      <c r="K19" s="171">
        <v>4</v>
      </c>
      <c r="L19" s="183"/>
      <c r="M19" s="133" t="s">
        <v>98</v>
      </c>
      <c r="N19" s="178">
        <v>4.6571663822947253E-3</v>
      </c>
      <c r="P19" s="194"/>
    </row>
    <row r="20" spans="2:16" ht="15.75" hidden="1" thickBot="1" x14ac:dyDescent="0.3">
      <c r="B20" s="63" t="s">
        <v>121</v>
      </c>
      <c r="C20" s="6">
        <v>4.93</v>
      </c>
      <c r="D20" s="6">
        <v>5.33</v>
      </c>
      <c r="E20" s="6">
        <v>16</v>
      </c>
      <c r="F20" s="6">
        <v>4</v>
      </c>
      <c r="G20" s="6">
        <v>500</v>
      </c>
      <c r="H20" s="7" t="s">
        <v>41</v>
      </c>
      <c r="I20" s="6"/>
      <c r="J20" s="133" t="s">
        <v>302</v>
      </c>
      <c r="K20" s="191">
        <v>6</v>
      </c>
      <c r="L20" s="183"/>
      <c r="M20" s="186" t="s">
        <v>280</v>
      </c>
      <c r="N20" s="172">
        <v>0.3</v>
      </c>
      <c r="P20" s="182"/>
    </row>
    <row r="21" spans="2:16" ht="16.5" hidden="1" thickBot="1" x14ac:dyDescent="0.3">
      <c r="B21" s="63" t="s">
        <v>122</v>
      </c>
      <c r="C21" s="6">
        <v>5.54</v>
      </c>
      <c r="D21" s="6">
        <v>7.2</v>
      </c>
      <c r="E21" s="6">
        <v>16</v>
      </c>
      <c r="F21" s="6">
        <v>6</v>
      </c>
      <c r="G21" s="6">
        <v>500</v>
      </c>
      <c r="H21" s="7" t="s">
        <v>41</v>
      </c>
      <c r="I21" s="6"/>
      <c r="J21" s="133"/>
      <c r="K21" s="191"/>
      <c r="L21" s="171"/>
      <c r="M21" s="187" t="s">
        <v>100</v>
      </c>
      <c r="N21" s="179" t="s">
        <v>312</v>
      </c>
      <c r="P21" s="194"/>
    </row>
    <row r="22" spans="2:16" ht="16.5" hidden="1" thickBot="1" x14ac:dyDescent="0.3">
      <c r="B22" s="63" t="s">
        <v>123</v>
      </c>
      <c r="C22" s="6">
        <v>5.54</v>
      </c>
      <c r="D22" s="6">
        <v>7.2</v>
      </c>
      <c r="E22" s="6">
        <v>16</v>
      </c>
      <c r="F22" s="6">
        <v>6</v>
      </c>
      <c r="G22" s="6">
        <v>500</v>
      </c>
      <c r="H22" s="7" t="s">
        <v>41</v>
      </c>
      <c r="I22" s="6"/>
      <c r="J22" s="197" t="s">
        <v>94</v>
      </c>
      <c r="K22" s="197"/>
      <c r="L22" s="183"/>
      <c r="M22" s="192"/>
      <c r="N22" s="193"/>
      <c r="P22" s="194"/>
    </row>
    <row r="23" spans="2:16" hidden="1" x14ac:dyDescent="0.25">
      <c r="B23" s="63" t="s">
        <v>124</v>
      </c>
      <c r="C23" s="6">
        <v>5.54</v>
      </c>
      <c r="D23" s="6">
        <v>7.89</v>
      </c>
      <c r="E23" s="6">
        <v>16</v>
      </c>
      <c r="F23" s="6">
        <v>6</v>
      </c>
      <c r="G23" s="6">
        <v>500</v>
      </c>
      <c r="H23" s="7" t="s">
        <v>41</v>
      </c>
      <c r="I23" s="6"/>
      <c r="J23" s="188" t="s">
        <v>309</v>
      </c>
      <c r="K23" s="170">
        <v>6.6</v>
      </c>
      <c r="L23" s="183"/>
      <c r="M23" s="133" t="s">
        <v>297</v>
      </c>
      <c r="N23" s="174" t="s">
        <v>313</v>
      </c>
      <c r="P23" s="194"/>
    </row>
    <row r="24" spans="2:16" hidden="1" x14ac:dyDescent="0.25">
      <c r="B24" s="63" t="s">
        <v>125</v>
      </c>
      <c r="C24" s="6">
        <v>4.45</v>
      </c>
      <c r="D24" s="6">
        <v>5.54</v>
      </c>
      <c r="E24" s="6">
        <v>16</v>
      </c>
      <c r="F24" s="6" t="s">
        <v>10</v>
      </c>
      <c r="G24" s="6">
        <v>500</v>
      </c>
      <c r="H24" s="7" t="s">
        <v>41</v>
      </c>
      <c r="I24" s="6"/>
      <c r="J24" s="185" t="s">
        <v>11</v>
      </c>
      <c r="K24" s="171">
        <v>0.57999999999999996</v>
      </c>
      <c r="L24" s="183"/>
      <c r="M24" s="133" t="s">
        <v>280</v>
      </c>
      <c r="N24" s="177">
        <v>0.33019092025872299</v>
      </c>
      <c r="P24" s="194"/>
    </row>
    <row r="25" spans="2:16" hidden="1" x14ac:dyDescent="0.25">
      <c r="B25" s="63" t="s">
        <v>126</v>
      </c>
      <c r="C25" s="6">
        <v>4.6500000000000004</v>
      </c>
      <c r="D25" s="6">
        <v>5.6</v>
      </c>
      <c r="E25" s="6">
        <v>16</v>
      </c>
      <c r="F25" s="6">
        <v>6</v>
      </c>
      <c r="G25" s="6">
        <v>400</v>
      </c>
      <c r="H25" s="7" t="s">
        <v>41</v>
      </c>
      <c r="I25" s="6"/>
      <c r="J25" s="185" t="s">
        <v>310</v>
      </c>
      <c r="K25" s="171">
        <v>47</v>
      </c>
      <c r="L25" s="183"/>
      <c r="M25" s="133" t="s">
        <v>98</v>
      </c>
      <c r="N25" s="178">
        <v>4.6571663822947253E-3</v>
      </c>
      <c r="P25" s="194"/>
    </row>
    <row r="26" spans="2:16" ht="15.75" hidden="1" thickBot="1" x14ac:dyDescent="0.3">
      <c r="B26" s="63" t="s">
        <v>127</v>
      </c>
      <c r="C26" s="6">
        <v>4.6500000000000004</v>
      </c>
      <c r="D26" s="6">
        <v>5.6</v>
      </c>
      <c r="E26" s="6">
        <v>16</v>
      </c>
      <c r="F26" s="6">
        <v>6</v>
      </c>
      <c r="G26" s="6">
        <v>500</v>
      </c>
      <c r="H26" s="7" t="s">
        <v>41</v>
      </c>
      <c r="I26" s="6"/>
      <c r="J26" s="133" t="s">
        <v>4</v>
      </c>
      <c r="K26" s="171" t="s">
        <v>311</v>
      </c>
      <c r="L26" s="183"/>
      <c r="M26" s="186" t="s">
        <v>280</v>
      </c>
      <c r="N26" s="172">
        <v>0.3</v>
      </c>
      <c r="P26" s="194"/>
    </row>
    <row r="27" spans="2:16" ht="16.5" hidden="1" thickBot="1" x14ac:dyDescent="0.3">
      <c r="B27" s="63" t="s">
        <v>128</v>
      </c>
      <c r="C27" s="6">
        <v>6.05</v>
      </c>
      <c r="D27" s="6">
        <v>9.49</v>
      </c>
      <c r="E27" s="6">
        <v>16</v>
      </c>
      <c r="F27" s="6">
        <v>6</v>
      </c>
      <c r="G27" s="6">
        <v>500</v>
      </c>
      <c r="H27" s="7" t="s">
        <v>41</v>
      </c>
      <c r="I27" s="6"/>
      <c r="J27" s="133" t="s">
        <v>5</v>
      </c>
      <c r="K27" s="171" t="s">
        <v>311</v>
      </c>
      <c r="L27" s="183"/>
      <c r="M27" s="187" t="s">
        <v>101</v>
      </c>
      <c r="N27" s="179" t="s">
        <v>312</v>
      </c>
      <c r="P27" s="194"/>
    </row>
    <row r="28" spans="2:16" ht="15.75" hidden="1" x14ac:dyDescent="0.25">
      <c r="B28" s="63" t="s">
        <v>129</v>
      </c>
      <c r="C28" s="6">
        <v>2</v>
      </c>
      <c r="D28" s="6">
        <v>2.8250000000000002</v>
      </c>
      <c r="E28" s="6">
        <v>16</v>
      </c>
      <c r="F28" s="6">
        <v>4</v>
      </c>
      <c r="G28" s="6">
        <v>400</v>
      </c>
      <c r="H28" s="7" t="s">
        <v>41</v>
      </c>
      <c r="I28" s="6"/>
      <c r="J28" s="133" t="s">
        <v>6</v>
      </c>
      <c r="K28" s="171" t="s">
        <v>311</v>
      </c>
      <c r="L28" s="183"/>
      <c r="M28" s="192"/>
      <c r="N28" s="193"/>
      <c r="P28" s="194"/>
    </row>
    <row r="29" spans="2:16" hidden="1" x14ac:dyDescent="0.25">
      <c r="B29" s="63" t="s">
        <v>130</v>
      </c>
      <c r="C29" s="6">
        <v>1.4</v>
      </c>
      <c r="D29" s="6">
        <v>9.1999999999999993</v>
      </c>
      <c r="E29" s="6">
        <v>16</v>
      </c>
      <c r="F29" s="6">
        <v>6</v>
      </c>
      <c r="G29" s="6">
        <v>400</v>
      </c>
      <c r="H29" s="7" t="s">
        <v>41</v>
      </c>
      <c r="I29" s="6"/>
      <c r="J29" s="133" t="s">
        <v>7</v>
      </c>
      <c r="K29" s="171" t="s">
        <v>311</v>
      </c>
      <c r="L29" s="183"/>
      <c r="M29" s="133" t="s">
        <v>298</v>
      </c>
      <c r="N29" s="174">
        <v>227.0333333333333</v>
      </c>
      <c r="P29" s="194"/>
    </row>
    <row r="30" spans="2:16" hidden="1" x14ac:dyDescent="0.25">
      <c r="B30" s="63" t="s">
        <v>131</v>
      </c>
      <c r="C30" s="6">
        <v>2.9</v>
      </c>
      <c r="D30" s="6">
        <v>6.36</v>
      </c>
      <c r="E30" s="6">
        <v>16</v>
      </c>
      <c r="F30" s="6">
        <v>6</v>
      </c>
      <c r="G30" s="6">
        <v>400</v>
      </c>
      <c r="H30" s="7" t="s">
        <v>41</v>
      </c>
      <c r="I30" s="6"/>
      <c r="J30" s="185" t="s">
        <v>307</v>
      </c>
      <c r="K30" s="171" t="s">
        <v>311</v>
      </c>
      <c r="L30" s="183"/>
      <c r="M30" s="133" t="s">
        <v>280</v>
      </c>
      <c r="N30" s="177">
        <v>0.46777047036652414</v>
      </c>
      <c r="P30" s="182"/>
    </row>
    <row r="31" spans="2:16" hidden="1" x14ac:dyDescent="0.25">
      <c r="B31" s="63" t="s">
        <v>132</v>
      </c>
      <c r="C31" s="6">
        <v>5</v>
      </c>
      <c r="D31" s="6">
        <v>5.0199999999999996</v>
      </c>
      <c r="E31" s="6">
        <v>16</v>
      </c>
      <c r="F31" s="6">
        <v>6</v>
      </c>
      <c r="G31" s="6">
        <v>200</v>
      </c>
      <c r="H31" s="7" t="s">
        <v>41</v>
      </c>
      <c r="I31" s="6"/>
      <c r="J31" s="133" t="s">
        <v>308</v>
      </c>
      <c r="K31" s="171" t="s">
        <v>311</v>
      </c>
      <c r="L31" s="183"/>
      <c r="M31" s="133" t="s">
        <v>98</v>
      </c>
      <c r="N31" s="178">
        <v>6.5976523749175274E-3</v>
      </c>
      <c r="P31" s="194"/>
    </row>
    <row r="32" spans="2:16" ht="15.75" hidden="1" thickBot="1" x14ac:dyDescent="0.3">
      <c r="B32" s="63" t="s">
        <v>133</v>
      </c>
      <c r="C32" s="6">
        <v>5.82</v>
      </c>
      <c r="D32" s="6">
        <v>6.49</v>
      </c>
      <c r="E32" s="6">
        <v>16</v>
      </c>
      <c r="F32" s="6">
        <v>6</v>
      </c>
      <c r="G32" s="6">
        <v>200</v>
      </c>
      <c r="H32" s="7" t="s">
        <v>41</v>
      </c>
      <c r="I32" s="6"/>
      <c r="J32" s="133"/>
      <c r="K32" s="171"/>
      <c r="L32" s="183"/>
      <c r="M32" s="186" t="s">
        <v>280</v>
      </c>
      <c r="N32" s="172">
        <v>0.43</v>
      </c>
      <c r="P32" s="194"/>
    </row>
    <row r="33" spans="2:23" ht="16.5" hidden="1" thickBot="1" x14ac:dyDescent="0.3">
      <c r="B33" s="63" t="s">
        <v>134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7" t="s">
        <v>41</v>
      </c>
      <c r="I33" s="6"/>
      <c r="J33" s="197" t="s">
        <v>87</v>
      </c>
      <c r="K33" s="197"/>
      <c r="L33" s="183"/>
      <c r="M33" s="187" t="s">
        <v>105</v>
      </c>
      <c r="N33" s="179" t="s">
        <v>312</v>
      </c>
      <c r="P33" s="194"/>
    </row>
    <row r="34" spans="2:23" ht="15.75" hidden="1" x14ac:dyDescent="0.25">
      <c r="B34" s="63" t="s">
        <v>135</v>
      </c>
      <c r="C34" s="6">
        <v>2.1</v>
      </c>
      <c r="D34" s="6">
        <v>4.04</v>
      </c>
      <c r="E34" s="6">
        <v>16</v>
      </c>
      <c r="F34" s="6" t="s">
        <v>10</v>
      </c>
      <c r="G34" s="6">
        <v>400</v>
      </c>
      <c r="H34" s="7" t="s">
        <v>41</v>
      </c>
      <c r="I34" s="6"/>
      <c r="J34" s="184" t="s">
        <v>301</v>
      </c>
      <c r="K34" s="173">
        <v>400</v>
      </c>
      <c r="L34" s="183"/>
      <c r="M34" s="192"/>
      <c r="N34" s="193"/>
      <c r="P34" s="194"/>
    </row>
    <row r="35" spans="2:23" hidden="1" x14ac:dyDescent="0.25">
      <c r="B35" s="63" t="s">
        <v>136</v>
      </c>
      <c r="C35" s="6">
        <v>2.3199999999999998</v>
      </c>
      <c r="D35" s="6">
        <v>4.3</v>
      </c>
      <c r="E35" s="6">
        <v>16</v>
      </c>
      <c r="F35" s="6">
        <v>6</v>
      </c>
      <c r="G35" s="6">
        <v>400</v>
      </c>
      <c r="H35" s="7" t="s">
        <v>41</v>
      </c>
      <c r="I35" s="6"/>
      <c r="J35" s="133" t="s">
        <v>303</v>
      </c>
      <c r="K35" s="171">
        <v>400</v>
      </c>
      <c r="L35" s="183"/>
      <c r="M35" s="133" t="s">
        <v>299</v>
      </c>
      <c r="N35" s="174">
        <v>155.67999999999998</v>
      </c>
      <c r="P35" s="194"/>
    </row>
    <row r="36" spans="2:23" ht="15.75" hidden="1" thickBot="1" x14ac:dyDescent="0.3">
      <c r="B36" s="66" t="s">
        <v>138</v>
      </c>
      <c r="C36" s="9">
        <v>1.6</v>
      </c>
      <c r="D36" s="9">
        <v>6.05</v>
      </c>
      <c r="E36" s="9">
        <v>16</v>
      </c>
      <c r="F36" s="109">
        <v>6</v>
      </c>
      <c r="G36" s="9">
        <v>400</v>
      </c>
      <c r="H36" s="10" t="s">
        <v>41</v>
      </c>
      <c r="I36" s="6"/>
      <c r="J36" s="133" t="s">
        <v>304</v>
      </c>
      <c r="K36" s="171">
        <v>625</v>
      </c>
      <c r="L36" s="183"/>
      <c r="M36" s="133" t="s">
        <v>280</v>
      </c>
      <c r="N36" s="177">
        <v>0.32075689396561657</v>
      </c>
      <c r="P36" s="194"/>
      <c r="Q36" s="6"/>
    </row>
    <row r="37" spans="2:23" hidden="1" x14ac:dyDescent="0.25">
      <c r="B37" s="64"/>
      <c r="C37" s="6"/>
      <c r="D37" s="6"/>
      <c r="E37" s="6"/>
      <c r="F37" s="112"/>
      <c r="G37" s="6"/>
      <c r="H37" s="6"/>
      <c r="I37" s="6"/>
      <c r="J37" s="133" t="s">
        <v>305</v>
      </c>
      <c r="K37" s="171">
        <v>1390</v>
      </c>
      <c r="L37" s="183"/>
      <c r="M37" s="133" t="s">
        <v>98</v>
      </c>
      <c r="N37" s="178">
        <v>4.5241044856577329E-3</v>
      </c>
      <c r="P37" s="182"/>
      <c r="Q37" s="6"/>
    </row>
    <row r="38" spans="2:23" ht="15.75" hidden="1" thickBot="1" x14ac:dyDescent="0.3">
      <c r="B38" s="64"/>
      <c r="C38" s="6"/>
      <c r="D38" s="6"/>
      <c r="E38" s="6"/>
      <c r="F38" s="112"/>
      <c r="G38" s="6"/>
      <c r="H38" s="6"/>
      <c r="I38" s="6"/>
      <c r="J38" s="189" t="s">
        <v>300</v>
      </c>
      <c r="K38" s="174">
        <v>17903.199999999997</v>
      </c>
      <c r="L38" s="181"/>
      <c r="M38" s="186" t="s">
        <v>280</v>
      </c>
      <c r="N38" s="171">
        <v>0.29000000000000004</v>
      </c>
      <c r="P38" s="174"/>
      <c r="Q38" s="6"/>
    </row>
    <row r="39" spans="2:23" ht="16.5" hidden="1" thickBot="1" x14ac:dyDescent="0.3">
      <c r="B39" s="64"/>
      <c r="C39" s="6"/>
      <c r="D39" s="6"/>
      <c r="E39" s="6"/>
      <c r="F39" s="112"/>
      <c r="G39" s="6"/>
      <c r="H39" s="6"/>
      <c r="I39" s="6"/>
      <c r="J39" s="190" t="s">
        <v>306</v>
      </c>
      <c r="K39" s="175">
        <v>0.14388489208633093</v>
      </c>
      <c r="L39" s="159"/>
      <c r="M39" s="187" t="s">
        <v>106</v>
      </c>
      <c r="N39" s="179" t="s">
        <v>312</v>
      </c>
      <c r="P39" s="177"/>
      <c r="Q39" s="6"/>
    </row>
    <row r="40" spans="2:23" hidden="1" x14ac:dyDescent="0.25">
      <c r="B40" s="64"/>
      <c r="C40" s="6"/>
      <c r="D40" s="6"/>
      <c r="E40" s="6"/>
      <c r="F40" s="112"/>
      <c r="G40" s="6"/>
      <c r="H40" s="6"/>
      <c r="I40" s="6"/>
      <c r="J40" s="64"/>
      <c r="K40" s="6"/>
      <c r="L40" s="6"/>
      <c r="M40" s="6"/>
      <c r="N40" s="112"/>
      <c r="O40" s="6"/>
      <c r="P40" s="130"/>
      <c r="Q40" s="6"/>
    </row>
    <row r="41" spans="2:23" hidden="1" x14ac:dyDescent="0.25">
      <c r="B41" s="64"/>
      <c r="C41" s="6"/>
      <c r="D41" s="6"/>
      <c r="E41" s="6"/>
      <c r="F41" s="112"/>
      <c r="G41" s="6"/>
      <c r="H41" s="6"/>
      <c r="I41" s="6"/>
      <c r="J41" s="64"/>
      <c r="K41" s="6"/>
      <c r="L41" s="6"/>
      <c r="M41" s="6"/>
      <c r="N41" s="112"/>
      <c r="O41" s="6"/>
      <c r="P41" s="131"/>
      <c r="Q41" s="6"/>
      <c r="T41" s="40"/>
      <c r="U41" s="41"/>
    </row>
    <row r="42" spans="2:23" hidden="1" x14ac:dyDescent="0.25">
      <c r="B42" s="64"/>
      <c r="C42" s="6"/>
      <c r="D42" s="6"/>
      <c r="E42" s="6"/>
      <c r="F42" s="112"/>
      <c r="G42" s="6"/>
      <c r="H42" s="6"/>
      <c r="I42" s="6"/>
      <c r="J42" s="64"/>
      <c r="K42" s="6"/>
      <c r="L42" s="6"/>
      <c r="M42" s="6"/>
      <c r="N42" s="112"/>
      <c r="O42" s="6"/>
      <c r="P42" s="6"/>
      <c r="Q42" s="6"/>
      <c r="T42" s="40"/>
      <c r="U42" s="41"/>
    </row>
    <row r="43" spans="2:23" hidden="1" x14ac:dyDescent="0.25">
      <c r="B43" s="64"/>
      <c r="C43" s="6"/>
      <c r="D43" s="6"/>
      <c r="E43" s="6"/>
      <c r="F43" s="112"/>
      <c r="G43" s="6"/>
      <c r="H43" s="6"/>
      <c r="I43" s="6"/>
      <c r="J43" s="64"/>
      <c r="K43" s="6"/>
      <c r="L43" s="6"/>
      <c r="M43" s="6"/>
      <c r="N43" s="112"/>
      <c r="O43" s="6"/>
      <c r="P43" s="6"/>
      <c r="Q43" s="6"/>
      <c r="T43" s="40"/>
      <c r="U43" s="41"/>
    </row>
    <row r="44" spans="2:23" hidden="1" x14ac:dyDescent="0.25">
      <c r="B44" s="64"/>
      <c r="C44" s="6"/>
      <c r="D44" s="6"/>
      <c r="E44" s="6"/>
      <c r="F44" s="112"/>
      <c r="G44" s="6"/>
      <c r="H44" s="6"/>
      <c r="I44" s="6"/>
      <c r="J44" s="64"/>
      <c r="K44" s="6"/>
      <c r="L44" s="6"/>
      <c r="M44" s="6"/>
      <c r="N44" s="112"/>
      <c r="O44" s="6"/>
      <c r="P44" s="6"/>
      <c r="Q44" s="6"/>
      <c r="T44" s="40"/>
      <c r="U44" s="41"/>
    </row>
    <row r="45" spans="2:23" ht="15.75" thickBot="1" x14ac:dyDescent="0.3">
      <c r="B45" s="51"/>
      <c r="C45" s="62"/>
      <c r="P45" s="40"/>
      <c r="T45" s="40"/>
      <c r="U45" s="41"/>
    </row>
    <row r="46" spans="2:23" ht="15.75" thickBot="1" x14ac:dyDescent="0.3">
      <c r="B46" s="73" t="s">
        <v>43</v>
      </c>
      <c r="C46" s="74" t="s">
        <v>117</v>
      </c>
      <c r="D46" s="74" t="s">
        <v>118</v>
      </c>
      <c r="E46" s="74" t="s">
        <v>119</v>
      </c>
      <c r="F46" s="74" t="s">
        <v>120</v>
      </c>
      <c r="G46" s="74" t="s">
        <v>121</v>
      </c>
      <c r="H46" s="74" t="s">
        <v>122</v>
      </c>
      <c r="I46" s="74" t="s">
        <v>123</v>
      </c>
      <c r="J46" s="74" t="s">
        <v>124</v>
      </c>
      <c r="K46" s="74" t="s">
        <v>125</v>
      </c>
      <c r="L46" s="74" t="s">
        <v>126</v>
      </c>
      <c r="M46" s="74" t="s">
        <v>127</v>
      </c>
      <c r="N46" s="74" t="s">
        <v>128</v>
      </c>
      <c r="O46" s="74" t="s">
        <v>129</v>
      </c>
      <c r="P46" s="74" t="s">
        <v>130</v>
      </c>
      <c r="Q46" s="74" t="s">
        <v>131</v>
      </c>
      <c r="R46" s="74" t="s">
        <v>132</v>
      </c>
      <c r="S46" s="74" t="s">
        <v>133</v>
      </c>
      <c r="T46" s="74" t="s">
        <v>134</v>
      </c>
      <c r="U46" s="74" t="s">
        <v>135</v>
      </c>
      <c r="V46" s="74" t="s">
        <v>136</v>
      </c>
      <c r="W46" s="74" t="s">
        <v>138</v>
      </c>
    </row>
    <row r="47" spans="2:23" ht="15.75" thickBot="1" x14ac:dyDescent="0.3">
      <c r="B47" s="71" t="s">
        <v>95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72"/>
    </row>
    <row r="48" spans="2:23" x14ac:dyDescent="0.25">
      <c r="B48" s="97" t="s">
        <v>81</v>
      </c>
      <c r="C48" s="76">
        <f t="shared" ref="C48:V48" si="4">VLOOKUP(C$46,$B$16:$H$35,2)</f>
        <v>5</v>
      </c>
      <c r="D48" s="77">
        <f t="shared" si="4"/>
        <v>5</v>
      </c>
      <c r="E48" s="77">
        <f t="shared" si="4"/>
        <v>5</v>
      </c>
      <c r="F48" s="77">
        <f t="shared" si="4"/>
        <v>5</v>
      </c>
      <c r="G48" s="77">
        <f t="shared" si="4"/>
        <v>4.93</v>
      </c>
      <c r="H48" s="77">
        <f t="shared" si="4"/>
        <v>5.54</v>
      </c>
      <c r="I48" s="77">
        <f t="shared" si="4"/>
        <v>5.54</v>
      </c>
      <c r="J48" s="77">
        <f t="shared" si="4"/>
        <v>5.54</v>
      </c>
      <c r="K48" s="77">
        <f t="shared" si="4"/>
        <v>4.45</v>
      </c>
      <c r="L48" s="77">
        <f t="shared" si="4"/>
        <v>4.6500000000000004</v>
      </c>
      <c r="M48" s="77">
        <f t="shared" si="4"/>
        <v>4.6500000000000004</v>
      </c>
      <c r="N48" s="77">
        <f t="shared" si="4"/>
        <v>6.05</v>
      </c>
      <c r="O48" s="77">
        <f t="shared" si="4"/>
        <v>2</v>
      </c>
      <c r="P48" s="77">
        <f t="shared" si="4"/>
        <v>1.4</v>
      </c>
      <c r="Q48" s="77">
        <f t="shared" si="4"/>
        <v>2.9</v>
      </c>
      <c r="R48" s="77">
        <f t="shared" si="4"/>
        <v>5</v>
      </c>
      <c r="S48" s="77">
        <f t="shared" si="4"/>
        <v>5.82</v>
      </c>
      <c r="T48" s="77">
        <f t="shared" si="4"/>
        <v>1.34</v>
      </c>
      <c r="U48" s="77">
        <f t="shared" si="4"/>
        <v>2.1</v>
      </c>
      <c r="V48" s="77">
        <f t="shared" si="4"/>
        <v>2.3199999999999998</v>
      </c>
      <c r="W48" s="77">
        <f>VLOOKUP(W$46,$B$16:$H$36,2,TRUE)</f>
        <v>1.6</v>
      </c>
    </row>
    <row r="49" spans="2:23" x14ac:dyDescent="0.25">
      <c r="B49" s="97" t="s">
        <v>82</v>
      </c>
      <c r="C49" s="76">
        <f t="shared" ref="C49:V49" si="5">VLOOKUP(C$46,$B$16:$H$35,3)</f>
        <v>5.33</v>
      </c>
      <c r="D49" s="77">
        <f t="shared" si="5"/>
        <v>7.2</v>
      </c>
      <c r="E49" s="77">
        <f t="shared" si="5"/>
        <v>7.2</v>
      </c>
      <c r="F49" s="77">
        <f t="shared" si="5"/>
        <v>7.89</v>
      </c>
      <c r="G49" s="77">
        <f t="shared" si="5"/>
        <v>5.33</v>
      </c>
      <c r="H49" s="77">
        <f t="shared" si="5"/>
        <v>7.2</v>
      </c>
      <c r="I49" s="77">
        <f t="shared" si="5"/>
        <v>7.2</v>
      </c>
      <c r="J49" s="77">
        <f t="shared" si="5"/>
        <v>7.89</v>
      </c>
      <c r="K49" s="77">
        <f t="shared" si="5"/>
        <v>5.54</v>
      </c>
      <c r="L49" s="77">
        <f t="shared" si="5"/>
        <v>5.6</v>
      </c>
      <c r="M49" s="77">
        <f t="shared" si="5"/>
        <v>5.6</v>
      </c>
      <c r="N49" s="77">
        <f t="shared" si="5"/>
        <v>9.49</v>
      </c>
      <c r="O49" s="77">
        <f t="shared" si="5"/>
        <v>2.8250000000000002</v>
      </c>
      <c r="P49" s="77">
        <f t="shared" si="5"/>
        <v>9.1999999999999993</v>
      </c>
      <c r="Q49" s="77">
        <f t="shared" si="5"/>
        <v>6.36</v>
      </c>
      <c r="R49" s="77">
        <f t="shared" si="5"/>
        <v>5.0199999999999996</v>
      </c>
      <c r="S49" s="77">
        <f t="shared" si="5"/>
        <v>6.49</v>
      </c>
      <c r="T49" s="77">
        <f t="shared" si="5"/>
        <v>7.01</v>
      </c>
      <c r="U49" s="77">
        <f t="shared" si="5"/>
        <v>4.04</v>
      </c>
      <c r="V49" s="77">
        <f t="shared" si="5"/>
        <v>4.3</v>
      </c>
      <c r="W49" s="77">
        <f>VLOOKUP(W$46,$B$16:$H$36,3)</f>
        <v>6.05</v>
      </c>
    </row>
    <row r="50" spans="2:23" x14ac:dyDescent="0.25">
      <c r="B50" s="100" t="s">
        <v>86</v>
      </c>
      <c r="C50" s="76">
        <f>ROUNDUP((C54*C48*100)/C55+$C$5,0)</f>
        <v>11</v>
      </c>
      <c r="D50" s="77">
        <f>ROUNDUP((D54*D48*100)/D55+$C$5,0)</f>
        <v>11</v>
      </c>
      <c r="E50" s="77">
        <f t="shared" ref="E50:V50" si="6">ROUNDUP((E54*E48*100)/E55+$C$5,0)</f>
        <v>11</v>
      </c>
      <c r="F50" s="77">
        <f t="shared" si="6"/>
        <v>10</v>
      </c>
      <c r="G50" s="77">
        <f t="shared" si="6"/>
        <v>12</v>
      </c>
      <c r="H50" s="77">
        <f t="shared" si="6"/>
        <v>10</v>
      </c>
      <c r="I50" s="77">
        <f t="shared" si="6"/>
        <v>10</v>
      </c>
      <c r="J50" s="77">
        <f t="shared" si="6"/>
        <v>10</v>
      </c>
      <c r="K50" s="77">
        <f t="shared" si="6"/>
        <v>10</v>
      </c>
      <c r="L50" s="77">
        <f t="shared" si="6"/>
        <v>9</v>
      </c>
      <c r="M50" s="77">
        <f t="shared" si="6"/>
        <v>8</v>
      </c>
      <c r="N50" s="77">
        <f t="shared" si="6"/>
        <v>10</v>
      </c>
      <c r="O50" s="77">
        <f t="shared" si="6"/>
        <v>6</v>
      </c>
      <c r="P50" s="77">
        <f t="shared" si="6"/>
        <v>4</v>
      </c>
      <c r="Q50" s="77">
        <f t="shared" si="6"/>
        <v>6</v>
      </c>
      <c r="R50" s="77">
        <f t="shared" si="6"/>
        <v>8</v>
      </c>
      <c r="S50" s="77">
        <f t="shared" si="6"/>
        <v>9</v>
      </c>
      <c r="T50" s="77">
        <f t="shared" si="6"/>
        <v>5</v>
      </c>
      <c r="U50" s="77">
        <f t="shared" si="6"/>
        <v>6</v>
      </c>
      <c r="V50" s="77">
        <f t="shared" si="6"/>
        <v>5</v>
      </c>
      <c r="W50" s="77">
        <f>ROUNDUP((W54*W48*100)/W55+$C$5,0)</f>
        <v>4</v>
      </c>
    </row>
    <row r="51" spans="2:23" ht="15.75" thickBot="1" x14ac:dyDescent="0.3">
      <c r="B51" s="101" t="s">
        <v>0</v>
      </c>
      <c r="C51" s="78" t="str">
        <f>VLOOKUP($C$46,$B$16:$H$35,5)</f>
        <v>5a</v>
      </c>
      <c r="D51" s="79">
        <f t="shared" ref="D51:V51" si="7">VLOOKUP(D$46,$B$16:$H$35,5,TRUE)</f>
        <v>6</v>
      </c>
      <c r="E51" s="79">
        <f t="shared" si="7"/>
        <v>6</v>
      </c>
      <c r="F51" s="79">
        <f t="shared" si="7"/>
        <v>6</v>
      </c>
      <c r="G51" s="79">
        <f t="shared" si="7"/>
        <v>4</v>
      </c>
      <c r="H51" s="79">
        <f t="shared" si="7"/>
        <v>6</v>
      </c>
      <c r="I51" s="79">
        <f t="shared" si="7"/>
        <v>6</v>
      </c>
      <c r="J51" s="79">
        <f t="shared" si="7"/>
        <v>6</v>
      </c>
      <c r="K51" s="79" t="str">
        <f t="shared" si="7"/>
        <v>5b</v>
      </c>
      <c r="L51" s="79">
        <f t="shared" si="7"/>
        <v>6</v>
      </c>
      <c r="M51" s="79">
        <f t="shared" si="7"/>
        <v>6</v>
      </c>
      <c r="N51" s="79">
        <f t="shared" si="7"/>
        <v>6</v>
      </c>
      <c r="O51" s="79">
        <f t="shared" si="7"/>
        <v>4</v>
      </c>
      <c r="P51" s="79">
        <f t="shared" si="7"/>
        <v>6</v>
      </c>
      <c r="Q51" s="79">
        <f t="shared" si="7"/>
        <v>6</v>
      </c>
      <c r="R51" s="79">
        <f t="shared" si="7"/>
        <v>6</v>
      </c>
      <c r="S51" s="79">
        <f t="shared" si="7"/>
        <v>6</v>
      </c>
      <c r="T51" s="79" t="str">
        <f t="shared" si="7"/>
        <v>2a</v>
      </c>
      <c r="U51" s="79" t="str">
        <f t="shared" si="7"/>
        <v>5b</v>
      </c>
      <c r="V51" s="79">
        <f t="shared" si="7"/>
        <v>6</v>
      </c>
      <c r="W51" s="79">
        <f>VLOOKUP(W$46,$B$16:$H$36,5,TRUE)</f>
        <v>6</v>
      </c>
    </row>
    <row r="52" spans="2:23" ht="15.75" thickBot="1" x14ac:dyDescent="0.3">
      <c r="B52" s="71" t="s">
        <v>94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72"/>
    </row>
    <row r="53" spans="2:23" x14ac:dyDescent="0.25">
      <c r="B53" s="100" t="s">
        <v>84</v>
      </c>
      <c r="C53" s="80">
        <f>ROUNDUP(C49/C48,1)</f>
        <v>1.1000000000000001</v>
      </c>
      <c r="D53" s="81">
        <f>ROUNDUP(D49/D48,1)</f>
        <v>1.5</v>
      </c>
      <c r="E53" s="81">
        <f t="shared" ref="E53:V53" si="8">ROUNDUP(E49/E48,1)</f>
        <v>1.5</v>
      </c>
      <c r="F53" s="81">
        <f t="shared" si="8"/>
        <v>1.6</v>
      </c>
      <c r="G53" s="81">
        <f t="shared" si="8"/>
        <v>1.1000000000000001</v>
      </c>
      <c r="H53" s="81">
        <f t="shared" si="8"/>
        <v>1.3</v>
      </c>
      <c r="I53" s="81">
        <f t="shared" si="8"/>
        <v>1.3</v>
      </c>
      <c r="J53" s="81">
        <f t="shared" si="8"/>
        <v>1.5</v>
      </c>
      <c r="K53" s="81">
        <f t="shared" si="8"/>
        <v>1.3</v>
      </c>
      <c r="L53" s="81">
        <f t="shared" si="8"/>
        <v>1.3</v>
      </c>
      <c r="M53" s="81">
        <f t="shared" si="8"/>
        <v>1.3</v>
      </c>
      <c r="N53" s="81">
        <f t="shared" si="8"/>
        <v>1.6</v>
      </c>
      <c r="O53" s="81">
        <f t="shared" si="8"/>
        <v>1.5</v>
      </c>
      <c r="P53" s="81">
        <f t="shared" si="8"/>
        <v>6.6</v>
      </c>
      <c r="Q53" s="81">
        <f t="shared" si="8"/>
        <v>2.2000000000000002</v>
      </c>
      <c r="R53" s="81">
        <f t="shared" si="8"/>
        <v>1.1000000000000001</v>
      </c>
      <c r="S53" s="81">
        <f t="shared" si="8"/>
        <v>1.2000000000000002</v>
      </c>
      <c r="T53" s="81">
        <f t="shared" si="8"/>
        <v>5.3</v>
      </c>
      <c r="U53" s="81">
        <f t="shared" si="8"/>
        <v>2</v>
      </c>
      <c r="V53" s="81">
        <f t="shared" si="8"/>
        <v>1.9000000000000001</v>
      </c>
      <c r="W53" s="81">
        <f t="shared" ref="W53" si="9">ROUNDUP(W49/W48,1)</f>
        <v>3.8000000000000003</v>
      </c>
    </row>
    <row r="54" spans="2:23" x14ac:dyDescent="0.25">
      <c r="B54" s="100" t="s">
        <v>11</v>
      </c>
      <c r="C54" s="76">
        <f>IF(C53&gt;1.5,VLOOKUP(C51&amp;1.5,tablas!$L$3:$O$56,4,FALSE),VLOOKUP(C51&amp;C53,tablas!$L$3:$O$56,4,FALSE))</f>
        <v>0.57999999999999996</v>
      </c>
      <c r="D54" s="77">
        <f>IF(D53&gt;1.5,VLOOKUP(D51&amp;1.5,tablas!$L$3:$O$56,4,FALSE),VLOOKUP(D51&amp;D53,tablas!$L$3:$O$56,4,FALSE))</f>
        <v>0.57999999999999996</v>
      </c>
      <c r="E54" s="77">
        <f>IF(E53&gt;1.5,VLOOKUP(E51&amp;1.5,tablas!$L$3:$O$56,4,FALSE),VLOOKUP(E51&amp;E53,tablas!$L$3:$O$56,4,FALSE))</f>
        <v>0.57999999999999996</v>
      </c>
      <c r="F54" s="77">
        <f>IF(F53&gt;1.5,VLOOKUP(F51&amp;1.5,tablas!$L$3:$O$56,4,FALSE),VLOOKUP(F51&amp;F53,tablas!$L$3:$O$56,4,FALSE))</f>
        <v>0.57999999999999996</v>
      </c>
      <c r="G54" s="77">
        <f>IF(G53&gt;1.5,VLOOKUP(G51&amp;1.5,tablas!$L$3:$O$56,4,FALSE),VLOOKUP(G51&amp;G53,tablas!$L$3:$O$56,4,FALSE))</f>
        <v>0.7</v>
      </c>
      <c r="H54" s="77">
        <f>IF(H53&gt;1.5,VLOOKUP(H51&amp;1.5,tablas!$L$3:$O$56,4,FALSE),VLOOKUP(H51&amp;H53,tablas!$L$3:$O$56,4,FALSE))</f>
        <v>0.56000000000000005</v>
      </c>
      <c r="I54" s="77">
        <f>IF(I53&gt;1.5,VLOOKUP(I51&amp;1.5,tablas!$L$3:$O$56,4,FALSE),VLOOKUP(I51&amp;I53,tablas!$L$3:$O$56,4,FALSE))</f>
        <v>0.56000000000000005</v>
      </c>
      <c r="J54" s="77">
        <f>IF(J53&gt;1.5,VLOOKUP(J51&amp;1.5,tablas!$L$3:$O$56,4,FALSE),VLOOKUP(J51&amp;J53,tablas!$L$3:$O$56,4,FALSE))</f>
        <v>0.57999999999999996</v>
      </c>
      <c r="K54" s="77">
        <f>IF(K53&gt;1.5,VLOOKUP(K51&amp;1.5,tablas!$L$3:$O$56,4,FALSE),VLOOKUP(K51&amp;K53,tablas!$L$3:$O$56,4,FALSE))</f>
        <v>0.7</v>
      </c>
      <c r="L54" s="77">
        <f>IF(L53&gt;1.5,VLOOKUP(L51&amp;1.5,tablas!$L$3:$O$56,4,FALSE),VLOOKUP(L51&amp;L53,tablas!$L$3:$O$56,4,FALSE))</f>
        <v>0.56000000000000005</v>
      </c>
      <c r="M54" s="77">
        <f>IF(M53&gt;1.5,VLOOKUP(M51&amp;1.5,tablas!$L$3:$O$56,4,FALSE),VLOOKUP(M51&amp;M53,tablas!$L$3:$O$56,4,FALSE))</f>
        <v>0.56000000000000005</v>
      </c>
      <c r="N54" s="77">
        <f>IF(N53&gt;1.5,VLOOKUP(N51&amp;1.5,tablas!$L$3:$O$56,4,FALSE),VLOOKUP(N51&amp;N53,tablas!$L$3:$O$56,4,FALSE))</f>
        <v>0.57999999999999996</v>
      </c>
      <c r="O54" s="77">
        <f>IF(O53&gt;1.5,VLOOKUP(O51&amp;1.5,tablas!$L$3:$O$56,4,FALSE),VLOOKUP(O51&amp;O53,tablas!$L$3:$O$56,4,FALSE))</f>
        <v>0.76</v>
      </c>
      <c r="P54" s="77">
        <f>IF(P53&gt;1.5,VLOOKUP(P51&amp;1.5,tablas!$L$3:$O$56,4,FALSE),VLOOKUP(P51&amp;P53,tablas!$L$3:$O$56,4,FALSE))</f>
        <v>0.57999999999999996</v>
      </c>
      <c r="Q54" s="77">
        <f>IF(Q53&gt;1.5,VLOOKUP(Q51&amp;1.5,tablas!$L$3:$O$56,4,FALSE),VLOOKUP(Q51&amp;Q53,tablas!$L$3:$O$56,4,FALSE))</f>
        <v>0.57999999999999996</v>
      </c>
      <c r="R54" s="77">
        <f>IF(R53&gt;1.5,VLOOKUP(R51&amp;1.5,tablas!$L$3:$O$56,4,FALSE),VLOOKUP(R51&amp;R53,tablas!$L$3:$O$56,4,FALSE))</f>
        <v>0.55000000000000004</v>
      </c>
      <c r="S54" s="77">
        <f>IF(S53&gt;1.5,VLOOKUP(S51&amp;1.5,tablas!$L$3:$O$56,4,FALSE),VLOOKUP(S51&amp;S53,tablas!$L$3:$O$56,4,FALSE))</f>
        <v>0.56000000000000005</v>
      </c>
      <c r="T54" s="77">
        <f>IF(T53&gt;1.5,VLOOKUP(T51&amp;1.5,tablas!$L$3:$O$56,4,FALSE),VLOOKUP(T51&amp;T53,tablas!$L$3:$O$56,4,FALSE))</f>
        <v>0.8</v>
      </c>
      <c r="U54" s="77">
        <f>IF(U53&gt;1.5,VLOOKUP(U51&amp;1.5,tablas!$L$3:$O$56,4,FALSE),VLOOKUP(U51&amp;U53,tablas!$L$3:$O$56,4,FALSE))</f>
        <v>0.75</v>
      </c>
      <c r="V54" s="77">
        <f>IF(V53&gt;1.5,VLOOKUP(V51&amp;1.5,tablas!$L$3:$O$56,4,FALSE),VLOOKUP(V51&amp;V53,tablas!$L$3:$O$56,4,FALSE))</f>
        <v>0.57999999999999996</v>
      </c>
      <c r="W54" s="77">
        <f>IF(W53&gt;1.5,VLOOKUP(W51&amp;1.5,tablas!$L$3:$O$56,4,FALSE),VLOOKUP(W51&amp;W53,tablas!$L$3:$O$56,4,FALSE))</f>
        <v>0.57999999999999996</v>
      </c>
    </row>
    <row r="55" spans="2:23" x14ac:dyDescent="0.25">
      <c r="B55" s="100" t="s">
        <v>85</v>
      </c>
      <c r="C55" s="76">
        <v>35</v>
      </c>
      <c r="D55" s="77">
        <v>35</v>
      </c>
      <c r="E55" s="77">
        <v>36</v>
      </c>
      <c r="F55" s="77">
        <v>37</v>
      </c>
      <c r="G55" s="77">
        <v>38</v>
      </c>
      <c r="H55" s="77">
        <v>39</v>
      </c>
      <c r="I55" s="77">
        <v>40</v>
      </c>
      <c r="J55" s="77">
        <v>41</v>
      </c>
      <c r="K55" s="77">
        <v>42</v>
      </c>
      <c r="L55" s="77">
        <v>43</v>
      </c>
      <c r="M55" s="77">
        <v>44</v>
      </c>
      <c r="N55" s="77">
        <v>45</v>
      </c>
      <c r="O55" s="77">
        <v>46</v>
      </c>
      <c r="P55" s="77">
        <v>47</v>
      </c>
      <c r="Q55" s="77">
        <v>48</v>
      </c>
      <c r="R55" s="77">
        <v>49</v>
      </c>
      <c r="S55" s="77">
        <v>50</v>
      </c>
      <c r="T55" s="77">
        <v>51</v>
      </c>
      <c r="U55" s="77">
        <v>52</v>
      </c>
      <c r="V55" s="77">
        <v>53</v>
      </c>
      <c r="W55" s="77">
        <v>54</v>
      </c>
    </row>
    <row r="56" spans="2:23" x14ac:dyDescent="0.25">
      <c r="B56" s="97" t="s">
        <v>4</v>
      </c>
      <c r="C56" s="76">
        <f>IF(C53&lt;=2,VLOOKUP(C51&amp;C53,tablas!$B$3:$J$92,6,FALSE),"Franja de losa")</f>
        <v>41.6</v>
      </c>
      <c r="D56" s="76">
        <f>IF(D53&lt;=2,VLOOKUP(D51&amp;D53,tablas!$B$3:$J$92,6,FALSE),"Franja de losa")</f>
        <v>44.4</v>
      </c>
      <c r="E56" s="76">
        <f>IF(E53&lt;=2,VLOOKUP(E51&amp;E53,tablas!$B$3:$J$92,6,FALSE),"Franja de losa")</f>
        <v>44.4</v>
      </c>
      <c r="F56" s="76">
        <f>IF(F53&lt;=2,VLOOKUP(F51&amp;F53,tablas!$B$3:$J$92,6,FALSE),"Franja de losa")</f>
        <v>46.1</v>
      </c>
      <c r="G56" s="76">
        <f>IF(G53&lt;=2,VLOOKUP(G51&amp;G53,tablas!$B$3:$J$92,6,FALSE),"Franja de losa")</f>
        <v>36.799999999999997</v>
      </c>
      <c r="H56" s="76">
        <f>IF(H53&lt;=2,VLOOKUP(H51&amp;H53,tablas!$B$3:$J$92,6,FALSE),"Franja de losa")</f>
        <v>45.2</v>
      </c>
      <c r="I56" s="76">
        <f>IF(I53&lt;=2,VLOOKUP(I51&amp;I53,tablas!$B$3:$J$92,6,FALSE),"Franja de losa")</f>
        <v>45.2</v>
      </c>
      <c r="J56" s="76">
        <f>IF(J53&lt;=2,VLOOKUP(J51&amp;J53,tablas!$B$3:$J$92,6,FALSE),"Franja de losa")</f>
        <v>44.4</v>
      </c>
      <c r="K56" s="76">
        <f>IF(K53&lt;=2,VLOOKUP(K51&amp;K53,tablas!$B$3:$J$92,6,FALSE),"Franja de losa")</f>
        <v>41.3</v>
      </c>
      <c r="L56" s="76">
        <f>IF(L53&lt;=2,VLOOKUP(L51&amp;L53,tablas!$B$3:$J$92,6,FALSE),"Franja de losa")</f>
        <v>45.2</v>
      </c>
      <c r="M56" s="76">
        <f>IF(M53&lt;=2,VLOOKUP(M51&amp;M53,tablas!$B$3:$J$92,6,FALSE),"Franja de losa")</f>
        <v>45.2</v>
      </c>
      <c r="N56" s="76">
        <f>IF(N53&lt;=2,VLOOKUP(N51&amp;N53,tablas!$B$3:$J$92,6,FALSE),"Franja de losa")</f>
        <v>46.1</v>
      </c>
      <c r="O56" s="76">
        <f>IF(O53&lt;=2,VLOOKUP(O51&amp;O53,tablas!$B$3:$J$92,6,FALSE),"Franja de losa")</f>
        <v>33.299999999999997</v>
      </c>
      <c r="P56" s="76" t="str">
        <f>IF(P53&lt;=2,VLOOKUP(P51&amp;P53,tablas!$B$3:$J$92,6,FALSE),"Franja de losa")</f>
        <v>Franja de losa</v>
      </c>
      <c r="Q56" s="76" t="str">
        <f>IF(Q53&lt;=2,VLOOKUP(Q51&amp;Q53,tablas!$B$3:$J$92,6,FALSE),"Franja de losa")</f>
        <v>Franja de losa</v>
      </c>
      <c r="R56" s="76">
        <f>IF(R53&lt;=2,VLOOKUP(R51&amp;R53,tablas!$B$3:$J$92,6,FALSE),"Franja de losa")</f>
        <v>50.7</v>
      </c>
      <c r="S56" s="76">
        <f>IF(S53&lt;=2,VLOOKUP(S51&amp;S53,tablas!$B$3:$J$92,6,FALSE),"Franja de losa")</f>
        <v>47.2</v>
      </c>
      <c r="T56" s="76" t="str">
        <f>IF(T53&lt;=2,VLOOKUP(T51&amp;T53,tablas!$B$3:$J$92,6,FALSE),"Franja de losa")</f>
        <v>Franja de losa</v>
      </c>
      <c r="U56" s="76">
        <f>IF(U53&lt;=2,VLOOKUP(U51&amp;U53,tablas!$B$3:$J$92,6,FALSE),"Franja de losa")</f>
        <v>37.5</v>
      </c>
      <c r="V56" s="76">
        <f>IF(V53&lt;=2,VLOOKUP(V51&amp;V53-0.1,tablas!$B$3:$J$92,6,FALSE),"Franja de losa")</f>
        <v>48.8</v>
      </c>
      <c r="W56" s="76" t="str">
        <f>IF(W53&lt;=2,VLOOKUP(W51&amp;W53,tablas!$B$3:$J$92,6,FALSE),"Franja de losa")</f>
        <v>Franja de losa</v>
      </c>
    </row>
    <row r="57" spans="2:23" x14ac:dyDescent="0.25">
      <c r="B57" s="97" t="s">
        <v>5</v>
      </c>
      <c r="C57" s="76">
        <f>IF(C53&lt;=2,VLOOKUP(C51&amp;C53,tablas!$B$3:$J$92,7,FALSE),"Franja de losa")</f>
        <v>66.5</v>
      </c>
      <c r="D57" s="76">
        <f>IF(D53&lt;=2,VLOOKUP(D51&amp;D53,tablas!$B$3:$J$92,7,FALSE),"Franja de losa")</f>
        <v>140.5</v>
      </c>
      <c r="E57" s="76">
        <f>IF(E53&lt;=2,VLOOKUP(E51&amp;E53,tablas!$B$3:$J$92,7,FALSE),"Franja de losa")</f>
        <v>140.5</v>
      </c>
      <c r="F57" s="76">
        <f>IF(F53&lt;=2,VLOOKUP(F51&amp;F53,tablas!$B$3:$J$92,7,FALSE),"Franja de losa")</f>
        <v>163</v>
      </c>
      <c r="G57" s="76">
        <f>IF(G53&lt;=2,VLOOKUP(G51&amp;G53,tablas!$B$3:$J$92,7,FALSE),"Franja de losa")</f>
        <v>46.2</v>
      </c>
      <c r="H57" s="76">
        <f>IF(H53&lt;=2,VLOOKUP(H51&amp;H53,tablas!$B$3:$J$92,7,FALSE),"Franja de losa")</f>
        <v>95.6</v>
      </c>
      <c r="I57" s="76">
        <f>IF(I53&lt;=2,VLOOKUP(I51&amp;I53,tablas!$B$3:$J$92,7,FALSE),"Franja de losa")</f>
        <v>95.6</v>
      </c>
      <c r="J57" s="76">
        <f>IF(J53&lt;=2,VLOOKUP(J51&amp;J53,tablas!$B$3:$J$92,7,FALSE),"Franja de losa")</f>
        <v>140.5</v>
      </c>
      <c r="K57" s="76">
        <f>IF(K53&lt;=2,VLOOKUP(K51&amp;K53,tablas!$B$3:$J$92,7,FALSE),"Franja de losa")</f>
        <v>61</v>
      </c>
      <c r="L57" s="76">
        <f>IF(L53&lt;=2,VLOOKUP(L51&amp;L53,tablas!$B$3:$J$92,7,FALSE),"Franja de losa")</f>
        <v>95.6</v>
      </c>
      <c r="M57" s="76">
        <f>IF(M53&lt;=2,VLOOKUP(M51&amp;M53,tablas!$B$3:$J$92,7,FALSE),"Franja de losa")</f>
        <v>95.6</v>
      </c>
      <c r="N57" s="76">
        <f>IF(N53&lt;=2,VLOOKUP(N51&amp;N53,tablas!$B$3:$J$92,7,FALSE),"Franja de losa")</f>
        <v>163</v>
      </c>
      <c r="O57" s="76">
        <f>IF(O53&lt;=2,VLOOKUP(O51&amp;O53,tablas!$B$3:$J$92,7,FALSE),"Franja de losa")</f>
        <v>79.599999999999994</v>
      </c>
      <c r="P57" s="76" t="str">
        <f>IF(P53&lt;=2,VLOOKUP(P51&amp;P53,tablas!$B$3:$J$92,7,FALSE),"Franja de losa")</f>
        <v>Franja de losa</v>
      </c>
      <c r="Q57" s="76" t="str">
        <f>IF(Q53&lt;=2,VLOOKUP(Q51&amp;Q53,tablas!$B$3:$J$92,7,FALSE),"Franja de losa")</f>
        <v>Franja de losa</v>
      </c>
      <c r="R57" s="76">
        <f>IF(R53&lt;=2,VLOOKUP(R51&amp;R53,tablas!$B$3:$J$92,7,FALSE),"Franja de losa")</f>
        <v>66.3</v>
      </c>
      <c r="S57" s="76">
        <f>IF(S53&lt;=2,VLOOKUP(S51&amp;S53,tablas!$B$3:$J$92,7,FALSE),"Franja de losa")</f>
        <v>78.900000000000006</v>
      </c>
      <c r="T57" s="76" t="str">
        <f>IF(T53&lt;=2,VLOOKUP(T51&amp;T53,tablas!$B$3:$J$92,7,FALSE),"Franja de losa")</f>
        <v>Franja de losa</v>
      </c>
      <c r="U57" s="76">
        <f>IF(U53&lt;=2,VLOOKUP(U51&amp;U53,tablas!$B$3:$J$92,7,FALSE),"Franja de losa")</f>
        <v>202</v>
      </c>
      <c r="V57" s="76">
        <f>IF(V53&lt;=2,VLOOKUP(V51&amp;V53-0.1,tablas!$B$3:$J$92,7,FALSE),"Franja de losa")</f>
        <v>190</v>
      </c>
      <c r="W57" s="76" t="str">
        <f>IF(W53&lt;=2,VLOOKUP(W51&amp;W53,tablas!$B$3:$J$92,7,FALSE),"Franja de losa")</f>
        <v>Franja de losa</v>
      </c>
    </row>
    <row r="58" spans="2:23" x14ac:dyDescent="0.25">
      <c r="B58" s="97" t="s">
        <v>6</v>
      </c>
      <c r="C58" s="76">
        <f>IF(C53&lt;=2,VLOOKUP(C51&amp;C53,tablas!$B$3:$J$92,8,FALSE),"Franja de losa")</f>
        <v>16.3</v>
      </c>
      <c r="D58" s="76">
        <f>IF(D53&lt;=2,VLOOKUP(D51&amp;D53,tablas!$B$3:$J$92,8,FALSE),"Franja de losa")</f>
        <v>19.8</v>
      </c>
      <c r="E58" s="76">
        <f>IF(E53&lt;=2,VLOOKUP(E51&amp;E53,tablas!$B$3:$J$92,8,FALSE),"Franja de losa")</f>
        <v>19.8</v>
      </c>
      <c r="F58" s="76">
        <f>IF(F53&lt;=2,VLOOKUP(F51&amp;F53,tablas!$B$3:$J$92,8,FALSE),"Franja de losa")</f>
        <v>20.5</v>
      </c>
      <c r="G58" s="76">
        <f>IF(G53&lt;=2,VLOOKUP(G51&amp;G53,tablas!$B$3:$J$92,8,FALSE),"Franja de losa")</f>
        <v>14</v>
      </c>
      <c r="H58" s="76">
        <f>IF(H53&lt;=2,VLOOKUP(H51&amp;H53,tablas!$B$3:$J$92,8,FALSE),"Franja de losa")</f>
        <v>18.8</v>
      </c>
      <c r="I58" s="76">
        <f>IF(I53&lt;=2,VLOOKUP(I51&amp;I53,tablas!$B$3:$J$92,8,FALSE),"Franja de losa")</f>
        <v>18.8</v>
      </c>
      <c r="J58" s="76">
        <f>IF(J53&lt;=2,VLOOKUP(J51&amp;J53,tablas!$B$3:$J$92,8,FALSE),"Franja de losa")</f>
        <v>19.8</v>
      </c>
      <c r="K58" s="76">
        <f>IF(K53&lt;=2,VLOOKUP(K51&amp;K53,tablas!$B$3:$J$92,8,FALSE),"Franja de losa")</f>
        <v>15.8</v>
      </c>
      <c r="L58" s="76">
        <f>IF(L53&lt;=2,VLOOKUP(L51&amp;L53,tablas!$B$3:$J$92,8,FALSE),"Franja de losa")</f>
        <v>18.8</v>
      </c>
      <c r="M58" s="76">
        <f>IF(M53&lt;=2,VLOOKUP(M51&amp;M53,tablas!$B$3:$J$92,8,FALSE),"Franja de losa")</f>
        <v>18.8</v>
      </c>
      <c r="N58" s="76">
        <f>IF(N53&lt;=2,VLOOKUP(N51&amp;N53,tablas!$B$3:$J$92,8,FALSE),"Franja de losa")</f>
        <v>20.5</v>
      </c>
      <c r="O58" s="76">
        <f>IF(O53&lt;=2,VLOOKUP(O51&amp;O53,tablas!$B$3:$J$92,8,FALSE),"Franja de losa")</f>
        <v>14.4</v>
      </c>
      <c r="P58" s="76" t="str">
        <f>IF(P53&lt;=2,VLOOKUP(P51&amp;P53,tablas!$B$3:$J$92,8,FALSE),"Franja de losa")</f>
        <v>Franja de losa</v>
      </c>
      <c r="Q58" s="76" t="str">
        <f>IF(Q53&lt;=2,VLOOKUP(Q51&amp;Q53,tablas!$B$3:$J$92,8,FALSE),"Franja de losa")</f>
        <v>Franja de losa</v>
      </c>
      <c r="R58" s="76">
        <f>IF(R53&lt;=2,VLOOKUP(R51&amp;R53,tablas!$B$3:$J$92,8,FALSE),"Franja de losa")</f>
        <v>18.8</v>
      </c>
      <c r="S58" s="76">
        <f>IF(S53&lt;=2,VLOOKUP(S51&amp;S53,tablas!$B$3:$J$92,8,FALSE),"Franja de losa")</f>
        <v>18.600000000000001</v>
      </c>
      <c r="T58" s="76" t="str">
        <f>IF(T53&lt;=2,VLOOKUP(T51&amp;T53,tablas!$B$3:$J$92,8,FALSE),"Franja de losa")</f>
        <v>Franja de losa</v>
      </c>
      <c r="U58" s="76">
        <f>IF(U53&lt;=2,VLOOKUP(U51&amp;U53,tablas!$B$3:$J$92,8,FALSE),"Franja de losa")</f>
        <v>17.600000000000001</v>
      </c>
      <c r="V58" s="76">
        <f>IF(V53&lt;=2,VLOOKUP(V51&amp;V53-0.1,tablas!$B$3:$J$92,8,FALSE),"Franja de losa")</f>
        <v>22</v>
      </c>
      <c r="W58" s="76" t="str">
        <f>IF(W53&lt;=2,VLOOKUP(W51&amp;W53,tablas!$B$3:$J$92,8,FALSE),"Franja de losa")</f>
        <v>Franja de losa</v>
      </c>
    </row>
    <row r="59" spans="2:23" x14ac:dyDescent="0.25">
      <c r="B59" s="97" t="s">
        <v>7</v>
      </c>
      <c r="C59" s="76">
        <f>IF(C53&lt;=2,VLOOKUP(C51&amp;C53,tablas!$B$3:$J$92,9,FALSE),"Franja de losa")</f>
        <v>19.5</v>
      </c>
      <c r="D59" s="76">
        <f>IF(D53&lt;=2,VLOOKUP(D51&amp;D53,tablas!$B$3:$J$92,9,FALSE),"Franja de losa")</f>
        <v>26.2</v>
      </c>
      <c r="E59" s="76">
        <f>IF(E53&lt;=2,VLOOKUP(E51&amp;E53,tablas!$B$3:$J$92,9,FALSE),"Franja de losa")</f>
        <v>26.2</v>
      </c>
      <c r="F59" s="76">
        <f>IF(F53&lt;=2,VLOOKUP(F51&amp;F53,tablas!$B$3:$J$92,9,FALSE),"Franja de losa")</f>
        <v>27.9</v>
      </c>
      <c r="G59" s="76">
        <f>IF(G53&lt;=2,VLOOKUP(G51&amp;G53,tablas!$B$3:$J$92,9,FALSE),"Franja de losa")</f>
        <v>15</v>
      </c>
      <c r="H59" s="76">
        <f>IF(H53&lt;=2,VLOOKUP(H51&amp;H53,tablas!$B$3:$J$92,9,FALSE),"Franja de losa")</f>
        <v>22.9</v>
      </c>
      <c r="I59" s="76">
        <f>IF(I53&lt;=2,VLOOKUP(I51&amp;I53,tablas!$B$3:$J$92,9,FALSE),"Franja de losa")</f>
        <v>22.9</v>
      </c>
      <c r="J59" s="76">
        <f>IF(J53&lt;=2,VLOOKUP(J51&amp;J53,tablas!$B$3:$J$92,9,FALSE),"Franja de losa")</f>
        <v>26.2</v>
      </c>
      <c r="K59" s="76">
        <f>IF(K53&lt;=2,VLOOKUP(K51&amp;K53,tablas!$B$3:$J$92,9,FALSE),"Franja de losa")</f>
        <v>17.3</v>
      </c>
      <c r="L59" s="76">
        <f>IF(L53&lt;=2,VLOOKUP(L51&amp;L53,tablas!$B$3:$J$92,9,FALSE),"Franja de losa")</f>
        <v>22.9</v>
      </c>
      <c r="M59" s="76">
        <f>IF(M53&lt;=2,VLOOKUP(M51&amp;M53,tablas!$B$3:$J$92,9,FALSE),"Franja de losa")</f>
        <v>22.9</v>
      </c>
      <c r="N59" s="76">
        <f>IF(N53&lt;=2,VLOOKUP(N51&amp;N53,tablas!$B$3:$J$92,9,FALSE),"Franja de losa")</f>
        <v>27.9</v>
      </c>
      <c r="O59" s="76">
        <f>IF(O53&lt;=2,VLOOKUP(O51&amp;O53,tablas!$B$3:$J$92,9,FALSE),"Franja de losa")</f>
        <v>18.600000000000001</v>
      </c>
      <c r="P59" s="76" t="str">
        <f>IF(P53&lt;=2,VLOOKUP(P51&amp;P53,tablas!$B$3:$J$92,9,FALSE),"Franja de losa")</f>
        <v>Franja de losa</v>
      </c>
      <c r="Q59" s="76" t="str">
        <f>IF(Q53&lt;=2,VLOOKUP(Q51&amp;Q53,tablas!$B$3:$J$92,9,FALSE),"Franja de losa")</f>
        <v>Franja de losa</v>
      </c>
      <c r="R59" s="76">
        <f>IF(R53&lt;=2,VLOOKUP(R51&amp;R53,tablas!$B$3:$J$92,9,FALSE),"Franja de losa")</f>
        <v>20.3</v>
      </c>
      <c r="S59" s="76">
        <f>IF(S53&lt;=2,VLOOKUP(S51&amp;S53,tablas!$B$3:$J$92,9,FALSE),"Franja de losa")</f>
        <v>21.5</v>
      </c>
      <c r="T59" s="76" t="str">
        <f>IF(T53&lt;=2,VLOOKUP(T51&amp;T53,tablas!$B$3:$J$92,9,FALSE),"Franja de losa")</f>
        <v>Franja de losa</v>
      </c>
      <c r="U59" s="76">
        <f>IF(U53&lt;=2,VLOOKUP(U51&amp;U53,tablas!$B$3:$J$92,9,FALSE),"Franja de losa")</f>
        <v>24.6</v>
      </c>
      <c r="V59" s="76">
        <f>IF(V53&lt;=2,VLOOKUP(V51&amp;V53-0.1,tablas!$B$3:$J$92,9,FALSE),"Franja de losa")</f>
        <v>31.4</v>
      </c>
      <c r="W59" s="76" t="str">
        <f>IF(W53&lt;=2,VLOOKUP(W51&amp;W53,tablas!$B$3:$J$92,9,FALSE),"Franja de losa")</f>
        <v>Franja de losa</v>
      </c>
    </row>
    <row r="60" spans="2:23" x14ac:dyDescent="0.25">
      <c r="B60" s="100" t="s">
        <v>2</v>
      </c>
      <c r="C60" s="76">
        <f>IF(C53&lt;=2,VLOOKUP(C51&amp;C53,tablas!$B$3:$J$92,4,FALSE),"Franja de losa")</f>
        <v>0.7</v>
      </c>
      <c r="D60" s="76">
        <f>IF(D53&lt;=2,VLOOKUP(D51&amp;D53,tablas!$B$3:$J$92,4,FALSE),"Franja de losa")</f>
        <v>1.31</v>
      </c>
      <c r="E60" s="76">
        <f>IF(E53&lt;=2,VLOOKUP(E51&amp;E53,tablas!$B$3:$J$92,4,FALSE),"Franja de losa")</f>
        <v>1.31</v>
      </c>
      <c r="F60" s="76">
        <f>IF(F53&lt;=2,VLOOKUP(F51&amp;F53,tablas!$B$3:$J$92,4,FALSE),"Franja de losa")</f>
        <v>1.39</v>
      </c>
      <c r="G60" s="76">
        <f>IF(G53&lt;=2,VLOOKUP(G51&amp;G53,tablas!$B$3:$J$92,4,FALSE),"Franja de losa")</f>
        <v>0.28000000000000003</v>
      </c>
      <c r="H60" s="76">
        <f>IF(H53&lt;=2,VLOOKUP(H51&amp;H53,tablas!$B$3:$J$92,4,FALSE),"Franja de losa")</f>
        <v>1.17</v>
      </c>
      <c r="I60" s="76">
        <f>IF(I53&lt;=2,VLOOKUP(I51&amp;I53,tablas!$B$3:$J$92,4,FALSE),"Franja de losa")</f>
        <v>1.17</v>
      </c>
      <c r="J60" s="76">
        <f>IF(J53&lt;=2,VLOOKUP(J51&amp;J53,tablas!$B$3:$J$92,4,FALSE),"Franja de losa")</f>
        <v>1.31</v>
      </c>
      <c r="K60" s="76">
        <f>IF(K53&lt;=2,VLOOKUP(K51&amp;K53,tablas!$B$3:$J$92,4,FALSE),"Franja de losa")</f>
        <v>0.7</v>
      </c>
      <c r="L60" s="76">
        <f>IF(L53&lt;=2,VLOOKUP(L51&amp;L53,tablas!$B$3:$J$92,4,FALSE),"Franja de losa")</f>
        <v>1.17</v>
      </c>
      <c r="M60" s="76">
        <f>IF(M53&lt;=2,VLOOKUP(M51&amp;M53,tablas!$B$3:$J$92,4,FALSE),"Franja de losa")</f>
        <v>1.17</v>
      </c>
      <c r="N60" s="76">
        <f>IF(N53&lt;=2,VLOOKUP(N51&amp;N53,tablas!$B$3:$J$92,4,FALSE),"Franja de losa")</f>
        <v>1.39</v>
      </c>
      <c r="O60" s="76">
        <f>IF(O53&lt;=2,VLOOKUP(O51&amp;O53,tablas!$B$3:$J$92,4,FALSE),"Franja de losa")</f>
        <v>0.42</v>
      </c>
      <c r="P60" s="76" t="str">
        <f>IF(P53&lt;=2,VLOOKUP(P51&amp;P53,tablas!$B$3:$J$92,4,FALSE),"Franja de losa")</f>
        <v>Franja de losa</v>
      </c>
      <c r="Q60" s="76" t="str">
        <f>IF(Q53&lt;=2,VLOOKUP(Q51&amp;Q53,tablas!$B$3:$J$92,4,FALSE),"Franja de losa")</f>
        <v>Franja de losa</v>
      </c>
      <c r="R60" s="76">
        <f>IF(R53&lt;=2,VLOOKUP(R51&amp;R53,tablas!$B$3:$J$92,4,FALSE),"Franja de losa")</f>
        <v>1.05</v>
      </c>
      <c r="S60" s="76">
        <f>IF(S53&lt;=2,VLOOKUP(S51&amp;S53,tablas!$B$3:$J$92,4,FALSE),"Franja de losa")</f>
        <v>1.1000000000000001</v>
      </c>
      <c r="T60" s="76" t="str">
        <f>IF(T53&lt;=2,VLOOKUP(T51&amp;T53,tablas!$B$3:$J$92,4,FALSE),"Franja de losa")</f>
        <v>Franja de losa</v>
      </c>
      <c r="U60" s="76">
        <f>IF(U53&lt;=2,VLOOKUP(U51&amp;U53,tablas!$B$3:$J$92,4,FALSE),"Franja de losa")</f>
        <v>0.68</v>
      </c>
      <c r="V60" s="76">
        <f>IF(V53&lt;=2,VLOOKUP(V51&amp;V53-0.1,tablas!$B$3:$J$92,4,FALSE),"Franja de losa")</f>
        <v>1.39</v>
      </c>
      <c r="W60" s="76" t="str">
        <f>IF(W53&lt;=2,VLOOKUP(W51&amp;W53,tablas!$B$3:$J$92,4,FALSE),"Franja de losa")</f>
        <v>Franja de losa</v>
      </c>
    </row>
    <row r="61" spans="2:23" ht="15.75" thickBot="1" x14ac:dyDescent="0.3">
      <c r="B61" s="101" t="s">
        <v>3</v>
      </c>
      <c r="C61" s="82">
        <f>IF(C53&lt;=2,VLOOKUP(C51&amp;C53,tablas!$B$3:$J$92,5,FALSE),"Franja de losa")</f>
        <v>0.96</v>
      </c>
      <c r="D61" s="82">
        <f>IF(D53&lt;=2,VLOOKUP(D51&amp;D53,tablas!$B$3:$J$92,5,FALSE),"Franja de losa")</f>
        <v>1.31</v>
      </c>
      <c r="E61" s="82">
        <f>IF(E53&lt;=2,VLOOKUP(E51&amp;E53,tablas!$B$3:$J$92,5,FALSE),"Franja de losa")</f>
        <v>1.31</v>
      </c>
      <c r="F61" s="82">
        <f>IF(F53&lt;=2,VLOOKUP(F51&amp;F53,tablas!$B$3:$J$92,5,FALSE),"Franja de losa")</f>
        <v>1.39</v>
      </c>
      <c r="G61" s="82">
        <f>IF(G53&lt;=2,VLOOKUP(G51&amp;G53,tablas!$B$3:$J$92,5,FALSE),"Franja de losa")</f>
        <v>0.28000000000000003</v>
      </c>
      <c r="H61" s="82">
        <f>IF(H53&lt;=2,VLOOKUP(H51&amp;H53,tablas!$B$3:$J$92,5,FALSE),"Franja de losa")</f>
        <v>1.17</v>
      </c>
      <c r="I61" s="82">
        <f>IF(I53&lt;=2,VLOOKUP(I51&amp;I53,tablas!$B$3:$J$92,5,FALSE),"Franja de losa")</f>
        <v>1.17</v>
      </c>
      <c r="J61" s="82">
        <f>IF(J53&lt;=2,VLOOKUP(J51&amp;J53,tablas!$B$3:$J$92,5,FALSE),"Franja de losa")</f>
        <v>1.31</v>
      </c>
      <c r="K61" s="82">
        <f>IF(K53&lt;=2,VLOOKUP(K51&amp;K53,tablas!$B$3:$J$92,5,FALSE),"Franja de losa")</f>
        <v>0.49</v>
      </c>
      <c r="L61" s="82">
        <f>IF(L53&lt;=2,VLOOKUP(L51&amp;L53,tablas!$B$3:$J$92,5,FALSE),"Franja de losa")</f>
        <v>1.17</v>
      </c>
      <c r="M61" s="82">
        <f>IF(M53&lt;=2,VLOOKUP(M51&amp;M53,tablas!$B$3:$J$92,5,FALSE),"Franja de losa")</f>
        <v>1.17</v>
      </c>
      <c r="N61" s="82">
        <f>IF(N53&lt;=2,VLOOKUP(N51&amp;N53,tablas!$B$3:$J$92,5,FALSE),"Franja de losa")</f>
        <v>1.39</v>
      </c>
      <c r="O61" s="82">
        <f>IF(O53&lt;=2,VLOOKUP(O51&amp;O53,tablas!$B$3:$J$92,5,FALSE),"Franja de losa")</f>
        <v>0.42</v>
      </c>
      <c r="P61" s="82" t="str">
        <f>IF(P53&lt;=2,VLOOKUP(P51&amp;P53,tablas!$B$3:$J$92,5,FALSE),"Franja de losa")</f>
        <v>Franja de losa</v>
      </c>
      <c r="Q61" s="82" t="str">
        <f>IF(Q53&lt;=2,VLOOKUP(Q51&amp;Q53,tablas!$B$3:$J$92,5,FALSE),"Franja de losa")</f>
        <v>Franja de losa</v>
      </c>
      <c r="R61" s="82">
        <f>IF(R53&lt;=2,VLOOKUP(R51&amp;R53,tablas!$B$3:$J$92,5,FALSE),"Franja de losa")</f>
        <v>1.05</v>
      </c>
      <c r="S61" s="82">
        <f>IF(S53&lt;=2,VLOOKUP(S51&amp;S53,tablas!$B$3:$J$92,5,FALSE),"Franja de losa")</f>
        <v>1.1000000000000001</v>
      </c>
      <c r="T61" s="82" t="str">
        <f>IF(T53&lt;=2,VLOOKUP(T51&amp;T53,tablas!$B$3:$J$92,5,FALSE),"Franja de losa")</f>
        <v>Franja de losa</v>
      </c>
      <c r="U61" s="82">
        <f>IF(U53&lt;=2,VLOOKUP(U51&amp;U53,tablas!$B$3:$J$92,5,FALSE),"Franja de losa")</f>
        <v>0.46</v>
      </c>
      <c r="V61" s="82">
        <f>IF(V53&lt;=2,VLOOKUP(V51&amp;V53-0.1,tablas!$B$3:$J$92,5,FALSE),"Franja de losa")</f>
        <v>1.39</v>
      </c>
      <c r="W61" s="82" t="str">
        <f>IF(W53&lt;=2,VLOOKUP(W51&amp;W53,tablas!$B$3:$J$92,5,FALSE),"Franja de losa")</f>
        <v>Franja de losa</v>
      </c>
    </row>
    <row r="62" spans="2:23" ht="15.75" thickBot="1" x14ac:dyDescent="0.3">
      <c r="B62" s="71" t="s">
        <v>87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72"/>
    </row>
    <row r="63" spans="2:23" x14ac:dyDescent="0.25">
      <c r="B63" s="97" t="s">
        <v>83</v>
      </c>
      <c r="C63" s="84">
        <f>VLOOKUP(C$46,$B$16:$H$35,6)</f>
        <v>500</v>
      </c>
      <c r="D63" s="84">
        <f t="shared" ref="D63:W63" si="10">VLOOKUP(D$46,$B$16:$H$35,6)</f>
        <v>500</v>
      </c>
      <c r="E63" s="84">
        <f t="shared" si="10"/>
        <v>500</v>
      </c>
      <c r="F63" s="84">
        <f t="shared" si="10"/>
        <v>500</v>
      </c>
      <c r="G63" s="84">
        <f t="shared" si="10"/>
        <v>500</v>
      </c>
      <c r="H63" s="84">
        <f t="shared" si="10"/>
        <v>500</v>
      </c>
      <c r="I63" s="84">
        <f t="shared" si="10"/>
        <v>500</v>
      </c>
      <c r="J63" s="84">
        <f t="shared" si="10"/>
        <v>500</v>
      </c>
      <c r="K63" s="84">
        <f t="shared" si="10"/>
        <v>500</v>
      </c>
      <c r="L63" s="84">
        <f t="shared" si="10"/>
        <v>400</v>
      </c>
      <c r="M63" s="84">
        <f t="shared" si="10"/>
        <v>500</v>
      </c>
      <c r="N63" s="84">
        <f t="shared" si="10"/>
        <v>500</v>
      </c>
      <c r="O63" s="84">
        <f t="shared" si="10"/>
        <v>400</v>
      </c>
      <c r="P63" s="84">
        <f t="shared" si="10"/>
        <v>400</v>
      </c>
      <c r="Q63" s="84">
        <f t="shared" si="10"/>
        <v>400</v>
      </c>
      <c r="R63" s="84">
        <f t="shared" si="10"/>
        <v>200</v>
      </c>
      <c r="S63" s="84">
        <f t="shared" si="10"/>
        <v>200</v>
      </c>
      <c r="T63" s="84">
        <f t="shared" si="10"/>
        <v>300</v>
      </c>
      <c r="U63" s="84">
        <f t="shared" si="10"/>
        <v>400</v>
      </c>
      <c r="V63" s="84">
        <f t="shared" si="10"/>
        <v>400</v>
      </c>
      <c r="W63" s="84">
        <f t="shared" si="10"/>
        <v>400</v>
      </c>
    </row>
    <row r="64" spans="2:23" x14ac:dyDescent="0.25">
      <c r="B64" s="97" t="s">
        <v>89</v>
      </c>
      <c r="C64" s="76">
        <f>$L$7*($C$4/100)</f>
        <v>400</v>
      </c>
      <c r="D64" s="77">
        <f>$L$7*($C$4/100)</f>
        <v>400</v>
      </c>
      <c r="E64" s="77">
        <f t="shared" ref="E64:W64" si="11">$L$7*($C$4/100)</f>
        <v>400</v>
      </c>
      <c r="F64" s="77">
        <f t="shared" si="11"/>
        <v>400</v>
      </c>
      <c r="G64" s="77">
        <f t="shared" si="11"/>
        <v>400</v>
      </c>
      <c r="H64" s="77">
        <f t="shared" si="11"/>
        <v>400</v>
      </c>
      <c r="I64" s="77">
        <f t="shared" si="11"/>
        <v>400</v>
      </c>
      <c r="J64" s="77">
        <f t="shared" si="11"/>
        <v>400</v>
      </c>
      <c r="K64" s="77">
        <f t="shared" si="11"/>
        <v>400</v>
      </c>
      <c r="L64" s="77">
        <f t="shared" si="11"/>
        <v>400</v>
      </c>
      <c r="M64" s="77">
        <f t="shared" si="11"/>
        <v>400</v>
      </c>
      <c r="N64" s="77">
        <f t="shared" si="11"/>
        <v>400</v>
      </c>
      <c r="O64" s="77">
        <f t="shared" si="11"/>
        <v>400</v>
      </c>
      <c r="P64" s="77">
        <f t="shared" si="11"/>
        <v>400</v>
      </c>
      <c r="Q64" s="77">
        <f t="shared" si="11"/>
        <v>400</v>
      </c>
      <c r="R64" s="77">
        <f t="shared" si="11"/>
        <v>400</v>
      </c>
      <c r="S64" s="77">
        <f t="shared" si="11"/>
        <v>400</v>
      </c>
      <c r="T64" s="77">
        <f t="shared" si="11"/>
        <v>400</v>
      </c>
      <c r="U64" s="77">
        <f t="shared" si="11"/>
        <v>400</v>
      </c>
      <c r="V64" s="77">
        <f t="shared" si="11"/>
        <v>400</v>
      </c>
      <c r="W64" s="77">
        <f t="shared" si="11"/>
        <v>400</v>
      </c>
    </row>
    <row r="65" spans="2:23" x14ac:dyDescent="0.25">
      <c r="B65" s="97" t="s">
        <v>90</v>
      </c>
      <c r="C65" s="76">
        <f>C64+$I$8</f>
        <v>625</v>
      </c>
      <c r="D65" s="77">
        <f>D64+$I$8</f>
        <v>625</v>
      </c>
      <c r="E65" s="77">
        <f t="shared" ref="E65:W65" si="12">E64+$I$8</f>
        <v>625</v>
      </c>
      <c r="F65" s="77">
        <f t="shared" si="12"/>
        <v>625</v>
      </c>
      <c r="G65" s="77">
        <f t="shared" si="12"/>
        <v>625</v>
      </c>
      <c r="H65" s="77">
        <f t="shared" si="12"/>
        <v>625</v>
      </c>
      <c r="I65" s="77">
        <f t="shared" si="12"/>
        <v>625</v>
      </c>
      <c r="J65" s="77">
        <f t="shared" si="12"/>
        <v>625</v>
      </c>
      <c r="K65" s="77">
        <f t="shared" si="12"/>
        <v>625</v>
      </c>
      <c r="L65" s="77">
        <f t="shared" si="12"/>
        <v>625</v>
      </c>
      <c r="M65" s="77">
        <f t="shared" si="12"/>
        <v>625</v>
      </c>
      <c r="N65" s="77">
        <f t="shared" si="12"/>
        <v>625</v>
      </c>
      <c r="O65" s="77">
        <f t="shared" si="12"/>
        <v>625</v>
      </c>
      <c r="P65" s="77">
        <f t="shared" si="12"/>
        <v>625</v>
      </c>
      <c r="Q65" s="77">
        <f t="shared" si="12"/>
        <v>625</v>
      </c>
      <c r="R65" s="77">
        <f t="shared" si="12"/>
        <v>625</v>
      </c>
      <c r="S65" s="77">
        <f t="shared" si="12"/>
        <v>625</v>
      </c>
      <c r="T65" s="77">
        <f t="shared" si="12"/>
        <v>625</v>
      </c>
      <c r="U65" s="77">
        <f t="shared" si="12"/>
        <v>625</v>
      </c>
      <c r="V65" s="77">
        <f t="shared" si="12"/>
        <v>625</v>
      </c>
      <c r="W65" s="77">
        <f t="shared" si="12"/>
        <v>625</v>
      </c>
    </row>
    <row r="66" spans="2:23" x14ac:dyDescent="0.25">
      <c r="B66" s="97" t="s">
        <v>91</v>
      </c>
      <c r="C66" s="76">
        <f>1.2*C65+1.6*C63</f>
        <v>1550</v>
      </c>
      <c r="D66" s="76">
        <f t="shared" ref="D66:W66" si="13">1.2*D65+1.6*D63</f>
        <v>1550</v>
      </c>
      <c r="E66" s="76">
        <f t="shared" si="13"/>
        <v>1550</v>
      </c>
      <c r="F66" s="76">
        <f t="shared" si="13"/>
        <v>1550</v>
      </c>
      <c r="G66" s="76">
        <f t="shared" si="13"/>
        <v>1550</v>
      </c>
      <c r="H66" s="76">
        <f t="shared" si="13"/>
        <v>1550</v>
      </c>
      <c r="I66" s="76">
        <f t="shared" si="13"/>
        <v>1550</v>
      </c>
      <c r="J66" s="76">
        <f t="shared" si="13"/>
        <v>1550</v>
      </c>
      <c r="K66" s="76">
        <f t="shared" si="13"/>
        <v>1550</v>
      </c>
      <c r="L66" s="76">
        <f t="shared" si="13"/>
        <v>1390</v>
      </c>
      <c r="M66" s="76">
        <f t="shared" si="13"/>
        <v>1550</v>
      </c>
      <c r="N66" s="76">
        <f t="shared" si="13"/>
        <v>1550</v>
      </c>
      <c r="O66" s="76">
        <f t="shared" si="13"/>
        <v>1390</v>
      </c>
      <c r="P66" s="76">
        <f t="shared" si="13"/>
        <v>1390</v>
      </c>
      <c r="Q66" s="76">
        <f t="shared" si="13"/>
        <v>1390</v>
      </c>
      <c r="R66" s="76">
        <f t="shared" si="13"/>
        <v>1070</v>
      </c>
      <c r="S66" s="76">
        <f t="shared" si="13"/>
        <v>1070</v>
      </c>
      <c r="T66" s="76">
        <f t="shared" si="13"/>
        <v>1230</v>
      </c>
      <c r="U66" s="76">
        <f t="shared" si="13"/>
        <v>1390</v>
      </c>
      <c r="V66" s="76">
        <f t="shared" si="13"/>
        <v>1390</v>
      </c>
      <c r="W66" s="76">
        <f t="shared" si="13"/>
        <v>1390</v>
      </c>
    </row>
    <row r="67" spans="2:23" x14ac:dyDescent="0.25">
      <c r="B67" s="98" t="s">
        <v>92</v>
      </c>
      <c r="C67" s="85">
        <f>C66*C48*C49</f>
        <v>41307.5</v>
      </c>
      <c r="D67" s="86">
        <f>D66*D48*D49</f>
        <v>55800</v>
      </c>
      <c r="E67" s="86">
        <f t="shared" ref="E67:W67" si="14">E66*E48*E49</f>
        <v>55800</v>
      </c>
      <c r="F67" s="86">
        <f t="shared" si="14"/>
        <v>61147.5</v>
      </c>
      <c r="G67" s="86">
        <f t="shared" si="14"/>
        <v>40729.195</v>
      </c>
      <c r="H67" s="86">
        <f t="shared" si="14"/>
        <v>61826.400000000001</v>
      </c>
      <c r="I67" s="86">
        <f t="shared" si="14"/>
        <v>61826.400000000001</v>
      </c>
      <c r="J67" s="86">
        <f t="shared" si="14"/>
        <v>67751.429999999993</v>
      </c>
      <c r="K67" s="86">
        <f t="shared" si="14"/>
        <v>38212.15</v>
      </c>
      <c r="L67" s="86">
        <f>L66*L48*L49</f>
        <v>36195.600000000006</v>
      </c>
      <c r="M67" s="86">
        <f t="shared" si="14"/>
        <v>40362</v>
      </c>
      <c r="N67" s="86">
        <f t="shared" si="14"/>
        <v>88992.475000000006</v>
      </c>
      <c r="O67" s="86">
        <f t="shared" si="14"/>
        <v>7853.5000000000009</v>
      </c>
      <c r="P67" s="86">
        <f t="shared" si="14"/>
        <v>17903.199999999997</v>
      </c>
      <c r="Q67" s="86">
        <f t="shared" si="14"/>
        <v>25637.16</v>
      </c>
      <c r="R67" s="86">
        <f t="shared" si="14"/>
        <v>26856.999999999996</v>
      </c>
      <c r="S67" s="86">
        <f t="shared" si="14"/>
        <v>40415.826000000008</v>
      </c>
      <c r="T67" s="86">
        <f t="shared" si="14"/>
        <v>11553.882</v>
      </c>
      <c r="U67" s="86">
        <f t="shared" si="14"/>
        <v>11792.76</v>
      </c>
      <c r="V67" s="86">
        <f t="shared" si="14"/>
        <v>13866.639999999998</v>
      </c>
      <c r="W67" s="86">
        <f t="shared" si="14"/>
        <v>13455.199999999999</v>
      </c>
    </row>
    <row r="68" spans="2:23" ht="15.75" thickBot="1" x14ac:dyDescent="0.3">
      <c r="B68" s="99" t="s">
        <v>93</v>
      </c>
      <c r="C68" s="87">
        <f>C63/(2*C66)</f>
        <v>0.16129032258064516</v>
      </c>
      <c r="D68" s="88">
        <f>D63/(2*D66)</f>
        <v>0.16129032258064516</v>
      </c>
      <c r="E68" s="88">
        <f t="shared" ref="E68:V68" si="15">E63/(2*E66)</f>
        <v>0.16129032258064516</v>
      </c>
      <c r="F68" s="88">
        <f t="shared" si="15"/>
        <v>0.16129032258064516</v>
      </c>
      <c r="G68" s="88">
        <f t="shared" si="15"/>
        <v>0.16129032258064516</v>
      </c>
      <c r="H68" s="88">
        <f t="shared" si="15"/>
        <v>0.16129032258064516</v>
      </c>
      <c r="I68" s="88">
        <f t="shared" si="15"/>
        <v>0.16129032258064516</v>
      </c>
      <c r="J68" s="88">
        <f t="shared" si="15"/>
        <v>0.16129032258064516</v>
      </c>
      <c r="K68" s="88">
        <f t="shared" si="15"/>
        <v>0.16129032258064516</v>
      </c>
      <c r="L68" s="88">
        <f t="shared" si="15"/>
        <v>0.14388489208633093</v>
      </c>
      <c r="M68" s="88">
        <f t="shared" si="15"/>
        <v>0.16129032258064516</v>
      </c>
      <c r="N68" s="88">
        <f t="shared" si="15"/>
        <v>0.16129032258064516</v>
      </c>
      <c r="O68" s="88">
        <f t="shared" si="15"/>
        <v>0.14388489208633093</v>
      </c>
      <c r="P68" s="88">
        <f t="shared" si="15"/>
        <v>0.14388489208633093</v>
      </c>
      <c r="Q68" s="88">
        <f t="shared" si="15"/>
        <v>0.14388489208633093</v>
      </c>
      <c r="R68" s="88">
        <f t="shared" si="15"/>
        <v>9.3457943925233641E-2</v>
      </c>
      <c r="S68" s="88">
        <f t="shared" si="15"/>
        <v>9.3457943925233641E-2</v>
      </c>
      <c r="T68" s="88">
        <f t="shared" si="15"/>
        <v>0.12195121951219512</v>
      </c>
      <c r="U68" s="88">
        <f t="shared" si="15"/>
        <v>0.14388489208633093</v>
      </c>
      <c r="V68" s="88">
        <f t="shared" si="15"/>
        <v>0.14388489208633093</v>
      </c>
      <c r="W68" s="88">
        <f t="shared" ref="W68" si="16">W63/(2*W66)</f>
        <v>0.14388489208633093</v>
      </c>
    </row>
    <row r="69" spans="2:23" ht="15.75" thickBot="1" x14ac:dyDescent="0.3">
      <c r="B69" s="71" t="s">
        <v>96</v>
      </c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72"/>
    </row>
    <row r="70" spans="2:23" x14ac:dyDescent="0.25">
      <c r="B70" s="96" t="s">
        <v>97</v>
      </c>
      <c r="C70" s="89">
        <f>IF(C53&lt;=2,C67/C56*(1+C68*C60)*C54,IF(OR(C51=6,C51="5a",C51="3a"),C66*C48^2/17,(IF(OR(C51="2a",C51=4,C51="5b"),C66*C48^2/12,IF(OR(C51=1,C51="2b",C51="3b"),C66*C48^2/8)))))</f>
        <v>640.9453125</v>
      </c>
      <c r="D70" s="89">
        <f t="shared" ref="D70:W70" si="17">IF(D53&lt;=2,D67/D56*(1+D68*D60)*D54,IF(OR(D51=6,D51="5a",D51="3a"),D66*D48^2/17,(IF(OR(D51="2a",D51=4,D51="5b"),D66*D48^2/12,IF(OR(D51=1,D51="2b",D51="3b"),D66*D48^2/8)))))</f>
        <v>882.93243243243251</v>
      </c>
      <c r="E70" s="89">
        <f t="shared" si="17"/>
        <v>882.93243243243251</v>
      </c>
      <c r="F70" s="89">
        <f t="shared" si="17"/>
        <v>941.79387201735346</v>
      </c>
      <c r="G70" s="89">
        <f t="shared" si="17"/>
        <v>809.72838586956516</v>
      </c>
      <c r="H70" s="89">
        <f t="shared" si="17"/>
        <v>910.54067256637165</v>
      </c>
      <c r="I70" s="89">
        <f t="shared" si="17"/>
        <v>910.54067256637165</v>
      </c>
      <c r="J70" s="89">
        <f t="shared" si="17"/>
        <v>1072.0418439189189</v>
      </c>
      <c r="K70" s="89">
        <f t="shared" si="17"/>
        <v>720.78686440677973</v>
      </c>
      <c r="L70" s="89">
        <f t="shared" si="17"/>
        <v>523.93401769911509</v>
      </c>
      <c r="M70" s="89">
        <f t="shared" si="17"/>
        <v>594.42637168141596</v>
      </c>
      <c r="N70" s="89">
        <f>IF(N53&lt;=2,N67/N56*(1+N68*N60)*N54,IF(OR(N51=6,N51="5a",N51="3a"),N66*N48^2/17,(IF(OR(N51="2a",N51=4,N51="5b"),N66*N48^2/12,IF(OR(N51=1,N51="2b",N51="3b"),N66*N48^2/8)))))</f>
        <v>1370.6622120390455</v>
      </c>
      <c r="O70" s="89">
        <f t="shared" si="17"/>
        <v>190.07075075075076</v>
      </c>
      <c r="P70" s="89">
        <f t="shared" si="17"/>
        <v>160.25882352941176</v>
      </c>
      <c r="Q70" s="89">
        <f t="shared" si="17"/>
        <v>687.64117647058822</v>
      </c>
      <c r="R70" s="89">
        <f t="shared" si="17"/>
        <v>319.93836291913209</v>
      </c>
      <c r="S70" s="89">
        <f t="shared" si="17"/>
        <v>528.80520000000013</v>
      </c>
      <c r="T70" s="89">
        <f t="shared" si="17"/>
        <v>184.04900000000001</v>
      </c>
      <c r="U70" s="89">
        <f t="shared" si="17"/>
        <v>258.93168000000003</v>
      </c>
      <c r="V70" s="89">
        <f t="shared" si="17"/>
        <v>197.77011147540981</v>
      </c>
      <c r="W70" s="89">
        <f t="shared" si="17"/>
        <v>209.31764705882355</v>
      </c>
    </row>
    <row r="71" spans="2:23" x14ac:dyDescent="0.25">
      <c r="B71" s="97" t="s">
        <v>15</v>
      </c>
      <c r="C71" s="90">
        <f>C70/(0.9*(0.9*($C$7/100))*($L$9*1000))</f>
        <v>1.3205782864807394</v>
      </c>
      <c r="D71" s="90">
        <f t="shared" ref="D71:W71" si="18">D70/(0.9*(0.9*($C$7/100))*($L$9*1000))</f>
        <v>1.8191589453271693</v>
      </c>
      <c r="E71" s="90">
        <f t="shared" si="18"/>
        <v>1.8191589453271693</v>
      </c>
      <c r="F71" s="90">
        <f t="shared" si="18"/>
        <v>1.9404347195795075</v>
      </c>
      <c r="G71" s="90">
        <f t="shared" si="18"/>
        <v>1.6683322328321815</v>
      </c>
      <c r="H71" s="90">
        <f t="shared" si="18"/>
        <v>1.8760418676885464</v>
      </c>
      <c r="I71" s="90">
        <f t="shared" si="18"/>
        <v>1.8760418676885464</v>
      </c>
      <c r="J71" s="90">
        <f t="shared" si="18"/>
        <v>2.2087924721004932</v>
      </c>
      <c r="K71" s="90">
        <f t="shared" si="18"/>
        <v>1.4850806515823145</v>
      </c>
      <c r="L71" s="90">
        <f t="shared" si="18"/>
        <v>1.0794928581712138</v>
      </c>
      <c r="M71" s="90">
        <f t="shared" si="18"/>
        <v>1.2247325068845205</v>
      </c>
      <c r="N71" s="90">
        <f t="shared" si="18"/>
        <v>2.8240580280683814</v>
      </c>
      <c r="O71" s="90">
        <f t="shared" si="18"/>
        <v>0.3916142320434462</v>
      </c>
      <c r="P71" s="90">
        <f t="shared" si="18"/>
        <v>0.33019092025872299</v>
      </c>
      <c r="Q71" s="90">
        <f t="shared" si="18"/>
        <v>1.4167885915182961</v>
      </c>
      <c r="R71" s="90">
        <f t="shared" si="18"/>
        <v>0.65918830646444637</v>
      </c>
      <c r="S71" s="90">
        <f t="shared" si="18"/>
        <v>1.0895292488750432</v>
      </c>
      <c r="T71" s="90">
        <f t="shared" si="18"/>
        <v>0.37920725576488806</v>
      </c>
      <c r="U71" s="90">
        <f t="shared" si="18"/>
        <v>0.53349255797853923</v>
      </c>
      <c r="V71" s="90">
        <f t="shared" si="18"/>
        <v>0.40747768933765544</v>
      </c>
      <c r="W71" s="90">
        <f t="shared" si="18"/>
        <v>0.43126977339914846</v>
      </c>
    </row>
    <row r="72" spans="2:23" x14ac:dyDescent="0.25">
      <c r="B72" s="97" t="s">
        <v>98</v>
      </c>
      <c r="C72" s="92">
        <f>(C71*($L$9))/(0.85*$L$6*100)</f>
        <v>1.8626050638120169E-2</v>
      </c>
      <c r="D72" s="92">
        <f t="shared" ref="D72:W72" si="19">(D71*($L$9))/(0.85*$L$6*100)</f>
        <v>2.5658264247817714E-2</v>
      </c>
      <c r="E72" s="92">
        <f t="shared" si="19"/>
        <v>2.5658264247817714E-2</v>
      </c>
      <c r="F72" s="92">
        <f t="shared" si="19"/>
        <v>2.7368794199374831E-2</v>
      </c>
      <c r="G72" s="92">
        <f t="shared" si="19"/>
        <v>2.3530934112775539E-2</v>
      </c>
      <c r="H72" s="92">
        <f t="shared" si="19"/>
        <v>2.6460567453310196E-2</v>
      </c>
      <c r="I72" s="92">
        <f t="shared" si="19"/>
        <v>2.6460567453310196E-2</v>
      </c>
      <c r="J72" s="92">
        <f t="shared" si="19"/>
        <v>3.11538368119628E-2</v>
      </c>
      <c r="K72" s="92">
        <f t="shared" si="19"/>
        <v>2.0946268541019303E-2</v>
      </c>
      <c r="L72" s="92">
        <f t="shared" si="19"/>
        <v>1.5225669576446848E-2</v>
      </c>
      <c r="M72" s="92">
        <f t="shared" si="19"/>
        <v>1.7274197164164604E-2</v>
      </c>
      <c r="N72" s="92">
        <f t="shared" si="19"/>
        <v>3.9831828505957068E-2</v>
      </c>
      <c r="O72" s="92">
        <f t="shared" si="19"/>
        <v>5.5235093529278296E-3</v>
      </c>
      <c r="P72" s="92">
        <f t="shared" si="19"/>
        <v>4.6571663822947253E-3</v>
      </c>
      <c r="Q72" s="92">
        <f t="shared" si="19"/>
        <v>1.9983045548519714E-2</v>
      </c>
      <c r="R72" s="92">
        <f t="shared" si="19"/>
        <v>9.2974986049360053E-3</v>
      </c>
      <c r="S72" s="92">
        <f t="shared" si="19"/>
        <v>1.5367227501022195E-2</v>
      </c>
      <c r="T72" s="92">
        <f t="shared" si="19"/>
        <v>5.3485155863362034E-3</v>
      </c>
      <c r="U72" s="92">
        <f t="shared" si="19"/>
        <v>7.5246272801059427E-3</v>
      </c>
      <c r="V72" s="92">
        <f t="shared" si="19"/>
        <v>5.7472549361185215E-3</v>
      </c>
      <c r="W72" s="92">
        <f t="shared" si="19"/>
        <v>6.0828295605482143E-3</v>
      </c>
    </row>
    <row r="73" spans="2:23" ht="15.75" thickBot="1" x14ac:dyDescent="0.3">
      <c r="B73" s="97" t="s">
        <v>15</v>
      </c>
      <c r="C73" s="76">
        <f>ROUNDUP(C70/(0.9*(($C$7-C72/2)/100)*($L$9*1000)),2)</f>
        <v>1.19</v>
      </c>
      <c r="D73" s="76">
        <f t="shared" ref="D73:W73" si="20">ROUNDUP(D70/(0.9*(($C$7-D72/2)/100)*($L$9*1000)),2)</f>
        <v>1.64</v>
      </c>
      <c r="E73" s="76">
        <f t="shared" si="20"/>
        <v>1.64</v>
      </c>
      <c r="F73" s="76">
        <f t="shared" si="20"/>
        <v>1.75</v>
      </c>
      <c r="G73" s="76">
        <f t="shared" si="20"/>
        <v>1.51</v>
      </c>
      <c r="H73" s="76">
        <f t="shared" si="20"/>
        <v>1.7</v>
      </c>
      <c r="I73" s="76">
        <f t="shared" si="20"/>
        <v>1.7</v>
      </c>
      <c r="J73" s="76">
        <f t="shared" si="20"/>
        <v>2</v>
      </c>
      <c r="K73" s="76">
        <f t="shared" si="20"/>
        <v>1.34</v>
      </c>
      <c r="L73" s="76">
        <f t="shared" si="20"/>
        <v>0.98</v>
      </c>
      <c r="M73" s="76">
        <f t="shared" si="20"/>
        <v>1.1100000000000001</v>
      </c>
      <c r="N73" s="76">
        <f t="shared" si="20"/>
        <v>2.5499999999999998</v>
      </c>
      <c r="O73" s="76">
        <f t="shared" si="20"/>
        <v>0.36</v>
      </c>
      <c r="P73" s="76">
        <f t="shared" si="20"/>
        <v>0.3</v>
      </c>
      <c r="Q73" s="76">
        <f t="shared" si="20"/>
        <v>1.28</v>
      </c>
      <c r="R73" s="76">
        <f t="shared" si="20"/>
        <v>0.6</v>
      </c>
      <c r="S73" s="76">
        <f t="shared" si="20"/>
        <v>0.99</v>
      </c>
      <c r="T73" s="76">
        <f t="shared" si="20"/>
        <v>0.35000000000000003</v>
      </c>
      <c r="U73" s="76">
        <f t="shared" si="20"/>
        <v>0.49</v>
      </c>
      <c r="V73" s="76">
        <f t="shared" si="20"/>
        <v>0.37</v>
      </c>
      <c r="W73" s="76">
        <f t="shared" si="20"/>
        <v>0.39</v>
      </c>
    </row>
    <row r="74" spans="2:23" ht="16.5" thickBot="1" x14ac:dyDescent="0.3">
      <c r="B74" s="61" t="s">
        <v>100</v>
      </c>
      <c r="C74" s="134" t="str">
        <f>IF(C73&gt;$C$12,"$\phi"&amp;IF(VLOOKUP(VLOOKUP(C73,tablas!$R$3:$T$66,2,TRUE)&amp;VLOOKUP(C73,tablas!$R$3:$T$66,3,TRUE),tablas!$Q$3:$R$66,2,FALSE)&lt;C73,VLOOKUP(C73+0.1,tablas!$R$3:$T$66,2,TRUE),VLOOKUP(C73,tablas!$R$3:$T$66,2,TRUE))&amp;"@"&amp;IF(VLOOKUP(VLOOKUP(C73,tablas!$R$3:$T$66,2,TRUE)&amp;VLOOKUP(C73,tablas!$R$3:$T$66,3,TRUE),tablas!$Q$3:$R$66,2,FALSE)&lt;C73,VLOOKUP(C73+0.1,tablas!$R$3:$T$66,3,TRUE),VLOOKUP(C73,tablas!$R$3:$T$66,3,TRUE))&amp;"$",$C$13)</f>
        <v>$\phi8@17$</v>
      </c>
      <c r="D74" s="134" t="str">
        <f>IF(D73&gt;$C$12,"$\phi"&amp;IF(VLOOKUP(VLOOKUP(D73,tablas!$R$3:$T$66,2,TRUE)&amp;VLOOKUP(D73,tablas!$R$3:$T$66,3,TRUE),tablas!$Q$3:$R$66,2,FALSE)&lt;D73,VLOOKUP(D73+0.1,tablas!$R$3:$T$66,2,TRUE),VLOOKUP(D73,tablas!$R$3:$T$66,2,TRUE))&amp;"@"&amp;IF(VLOOKUP(VLOOKUP(D73,tablas!$R$3:$T$66,2,TRUE)&amp;VLOOKUP(D73,tablas!$R$3:$T$66,3,TRUE),tablas!$Q$3:$R$66,2,FALSE)&lt;D73,VLOOKUP(D73+0.1,tablas!$R$3:$T$66,3,TRUE),VLOOKUP(D73,tablas!$R$3:$T$66,3,TRUE))&amp;"$",$C$13)</f>
        <v>$\phi8@17$</v>
      </c>
      <c r="E74" s="134" t="str">
        <f>IF(E73&gt;$C$12,"$\phi"&amp;IF(VLOOKUP(VLOOKUP(E73,tablas!$R$3:$T$66,2,TRUE)&amp;VLOOKUP(E73,tablas!$R$3:$T$66,3,TRUE),tablas!$Q$3:$R$66,2,FALSE)&lt;E73,VLOOKUP(E73+0.1,tablas!$R$3:$T$66,2,TRUE),VLOOKUP(E73,tablas!$R$3:$T$66,2,TRUE))&amp;"@"&amp;IF(VLOOKUP(VLOOKUP(E73,tablas!$R$3:$T$66,2,TRUE)&amp;VLOOKUP(E73,tablas!$R$3:$T$66,3,TRUE),tablas!$Q$3:$R$66,2,FALSE)&lt;E73,VLOOKUP(E73+0.1,tablas!$R$3:$T$66,3,TRUE),VLOOKUP(E73,tablas!$R$3:$T$66,3,TRUE))&amp;"$",$C$13)</f>
        <v>$\phi8@17$</v>
      </c>
      <c r="F74" s="134" t="str">
        <f>IF(F73&gt;$C$12,"$\phi"&amp;IF(VLOOKUP(VLOOKUP(F73,tablas!$R$3:$T$66,2,TRUE)&amp;VLOOKUP(F73,tablas!$R$3:$T$66,3,TRUE),tablas!$Q$3:$R$66,2,FALSE)&lt;F73,VLOOKUP(F73+0.1,tablas!$R$3:$T$66,2,TRUE),VLOOKUP(F73,tablas!$R$3:$T$66,2,TRUE))&amp;"@"&amp;IF(VLOOKUP(VLOOKUP(F73,tablas!$R$3:$T$66,2,TRUE)&amp;VLOOKUP(F73,tablas!$R$3:$T$66,3,TRUE),tablas!$Q$3:$R$66,2,FALSE)&lt;F73,VLOOKUP(F73+0.1,tablas!$R$3:$T$66,3,TRUE),VLOOKUP(F73,tablas!$R$3:$T$66,3,TRUE))&amp;"$",$C$13)</f>
        <v>$\phi8@17$</v>
      </c>
      <c r="G74" s="134" t="str">
        <f>IF(G73&gt;$C$12,"$\phi"&amp;IF(VLOOKUP(VLOOKUP(G73,tablas!$R$3:$T$66,2,TRUE)&amp;VLOOKUP(G73,tablas!$R$3:$T$66,3,TRUE),tablas!$Q$3:$R$66,2,FALSE)&lt;G73,VLOOKUP(G73+0.1,tablas!$R$3:$T$66,2,TRUE),VLOOKUP(G73,tablas!$R$3:$T$66,2,TRUE))&amp;"@"&amp;IF(VLOOKUP(VLOOKUP(G73,tablas!$R$3:$T$66,2,TRUE)&amp;VLOOKUP(G73,tablas!$R$3:$T$66,3,TRUE),tablas!$Q$3:$R$66,2,FALSE)&lt;G73,VLOOKUP(G73+0.1,tablas!$R$3:$T$66,3,TRUE),VLOOKUP(G73,tablas!$R$3:$T$66,3,TRUE))&amp;"$",$C$13)</f>
        <v>$\phi8@17$</v>
      </c>
      <c r="H74" s="134" t="str">
        <f>IF(H73&gt;$C$12,"$\phi"&amp;IF(VLOOKUP(VLOOKUP(H73,tablas!$R$3:$T$66,2,TRUE)&amp;VLOOKUP(H73,tablas!$R$3:$T$66,3,TRUE),tablas!$Q$3:$R$66,2,FALSE)&lt;H73,VLOOKUP(H73+0.1,tablas!$R$3:$T$66,2,TRUE),VLOOKUP(H73,tablas!$R$3:$T$66,2,TRUE))&amp;"@"&amp;IF(VLOOKUP(VLOOKUP(H73,tablas!$R$3:$T$66,2,TRUE)&amp;VLOOKUP(H73,tablas!$R$3:$T$66,3,TRUE),tablas!$Q$3:$R$66,2,FALSE)&lt;H73,VLOOKUP(H73+0.1,tablas!$R$3:$T$66,3,TRUE),VLOOKUP(H73,tablas!$R$3:$T$66,3,TRUE))&amp;"$",$C$13)</f>
        <v>$\phi8@17$</v>
      </c>
      <c r="I74" s="134" t="str">
        <f>IF(I73&gt;$C$12,"$\phi"&amp;IF(VLOOKUP(VLOOKUP(I73,tablas!$R$3:$T$66,2,TRUE)&amp;VLOOKUP(I73,tablas!$R$3:$T$66,3,TRUE),tablas!$Q$3:$R$66,2,FALSE)&lt;I73,VLOOKUP(I73+0.1,tablas!$R$3:$T$66,2,TRUE),VLOOKUP(I73,tablas!$R$3:$T$66,2,TRUE))&amp;"@"&amp;IF(VLOOKUP(VLOOKUP(I73,tablas!$R$3:$T$66,2,TRUE)&amp;VLOOKUP(I73,tablas!$R$3:$T$66,3,TRUE),tablas!$Q$3:$R$66,2,FALSE)&lt;I73,VLOOKUP(I73+0.1,tablas!$R$3:$T$66,3,TRUE),VLOOKUP(I73,tablas!$R$3:$T$66,3,TRUE))&amp;"$",$C$13)</f>
        <v>$\phi8@17$</v>
      </c>
      <c r="J74" s="134" t="str">
        <f>IF(J73&gt;$C$12,"$\phi"&amp;IF(VLOOKUP(VLOOKUP(J73,tablas!$R$3:$T$66,2,TRUE)&amp;VLOOKUP(J73,tablas!$R$3:$T$66,3,TRUE),tablas!$Q$3:$R$66,2,FALSE)&lt;J73,VLOOKUP(J73+0.1,tablas!$R$3:$T$66,2,TRUE),VLOOKUP(J73,tablas!$R$3:$T$66,2,TRUE))&amp;"@"&amp;IF(VLOOKUP(VLOOKUP(J73,tablas!$R$3:$T$66,2,TRUE)&amp;VLOOKUP(J73,tablas!$R$3:$T$66,3,TRUE),tablas!$Q$3:$R$66,2,FALSE)&lt;J73,VLOOKUP(J73+0.1,tablas!$R$3:$T$66,3,TRUE),VLOOKUP(J73,tablas!$R$3:$T$66,3,TRUE))&amp;"$",$C$13)</f>
        <v>$\phi8@17$</v>
      </c>
      <c r="K74" s="134" t="str">
        <f>IF(K73&gt;$C$12,"$\phi"&amp;IF(VLOOKUP(VLOOKUP(K73,tablas!$R$3:$T$66,2,TRUE)&amp;VLOOKUP(K73,tablas!$R$3:$T$66,3,TRUE),tablas!$Q$3:$R$66,2,FALSE)&lt;K73,VLOOKUP(K73+0.1,tablas!$R$3:$T$66,2,TRUE),VLOOKUP(K73,tablas!$R$3:$T$66,2,TRUE))&amp;"@"&amp;IF(VLOOKUP(VLOOKUP(K73,tablas!$R$3:$T$66,2,TRUE)&amp;VLOOKUP(K73,tablas!$R$3:$T$66,3,TRUE),tablas!$Q$3:$R$66,2,FALSE)&lt;K73,VLOOKUP(K73+0.1,tablas!$R$3:$T$66,3,TRUE),VLOOKUP(K73,tablas!$R$3:$T$66,3,TRUE))&amp;"$",$C$13)</f>
        <v>$\phi8@17$</v>
      </c>
      <c r="L74" s="134" t="str">
        <f>IF(L73&gt;$C$12,"$\phi"&amp;IF(VLOOKUP(VLOOKUP(L73,tablas!$R$3:$T$66,2,TRUE)&amp;VLOOKUP(L73,tablas!$R$3:$T$66,3,TRUE),tablas!$Q$3:$R$66,2,FALSE)&lt;L73,VLOOKUP(L73+0.1,tablas!$R$3:$T$66,2,TRUE),VLOOKUP(L73,tablas!$R$3:$T$66,2,TRUE))&amp;"@"&amp;IF(VLOOKUP(VLOOKUP(L73,tablas!$R$3:$T$66,2,TRUE)&amp;VLOOKUP(L73,tablas!$R$3:$T$66,3,TRUE),tablas!$Q$3:$R$66,2,FALSE)&lt;L73,VLOOKUP(L73+0.1,tablas!$R$3:$T$66,3,TRUE),VLOOKUP(L73,tablas!$R$3:$T$66,3,TRUE))&amp;"$",$C$13)</f>
        <v>$\phi8@17$</v>
      </c>
      <c r="M74" s="134" t="str">
        <f>IF(M73&gt;$C$12,"$\phi"&amp;IF(VLOOKUP(VLOOKUP(M73,tablas!$R$3:$T$66,2,TRUE)&amp;VLOOKUP(M73,tablas!$R$3:$T$66,3,TRUE),tablas!$Q$3:$R$66,2,FALSE)&lt;M73,VLOOKUP(M73+0.1,tablas!$R$3:$T$66,2,TRUE),VLOOKUP(M73,tablas!$R$3:$T$66,2,TRUE))&amp;"@"&amp;IF(VLOOKUP(VLOOKUP(M73,tablas!$R$3:$T$66,2,TRUE)&amp;VLOOKUP(M73,tablas!$R$3:$T$66,3,TRUE),tablas!$Q$3:$R$66,2,FALSE)&lt;M73,VLOOKUP(M73+0.1,tablas!$R$3:$T$66,3,TRUE),VLOOKUP(M73,tablas!$R$3:$T$66,3,TRUE))&amp;"$",$C$13)</f>
        <v>$\phi8@17$</v>
      </c>
      <c r="N74" s="134" t="str">
        <f>IF(N73&gt;$C$12,"$\phi"&amp;IF(VLOOKUP(VLOOKUP(N73,tablas!$R$3:$T$66,2,TRUE)&amp;VLOOKUP(N73,tablas!$R$3:$T$66,3,TRUE),tablas!$Q$3:$R$66,2,FALSE)&lt;N73,VLOOKUP(N73+0.1,tablas!$R$3:$T$66,2,TRUE),VLOOKUP(N73,tablas!$R$3:$T$66,2,TRUE))&amp;"@"&amp;IF(VLOOKUP(VLOOKUP(N73,tablas!$R$3:$T$66,2,TRUE)&amp;VLOOKUP(N73,tablas!$R$3:$T$66,3,TRUE),tablas!$Q$3:$R$66,2,FALSE)&lt;N73,VLOOKUP(N73+0.1,tablas!$R$3:$T$66,3,TRUE),VLOOKUP(N73,tablas!$R$3:$T$66,3,TRUE))&amp;"$",$C$13)</f>
        <v>$\phi8@17$</v>
      </c>
      <c r="O74" s="134" t="str">
        <f>IF(O73&gt;$C$12,"$\phi"&amp;IF(VLOOKUP(VLOOKUP(O73,tablas!$R$3:$T$66,2,TRUE)&amp;VLOOKUP(O73,tablas!$R$3:$T$66,3,TRUE),tablas!$Q$3:$R$66,2,FALSE)&lt;O73,VLOOKUP(O73+0.1,tablas!$R$3:$T$66,2,TRUE),VLOOKUP(O73,tablas!$R$3:$T$66,2,TRUE))&amp;"@"&amp;IF(VLOOKUP(VLOOKUP(O73,tablas!$R$3:$T$66,2,TRUE)&amp;VLOOKUP(O73,tablas!$R$3:$T$66,3,TRUE),tablas!$Q$3:$R$66,2,FALSE)&lt;O73,VLOOKUP(O73+0.1,tablas!$R$3:$T$66,3,TRUE),VLOOKUP(O73,tablas!$R$3:$T$66,3,TRUE))&amp;"$",$C$13)</f>
        <v>$\phi8@17$</v>
      </c>
      <c r="P74" s="134" t="str">
        <f>IF(P73&gt;$C$12,"$\phi"&amp;IF(VLOOKUP(VLOOKUP(P73,tablas!$R$3:$T$66,2,TRUE)&amp;VLOOKUP(P73,tablas!$R$3:$T$66,3,TRUE),tablas!$Q$3:$R$66,2,FALSE)&lt;P73,VLOOKUP(P73+0.1,tablas!$R$3:$T$66,2,TRUE),VLOOKUP(P73,tablas!$R$3:$T$66,2,TRUE))&amp;"@"&amp;IF(VLOOKUP(VLOOKUP(P73,tablas!$R$3:$T$66,2,TRUE)&amp;VLOOKUP(P73,tablas!$R$3:$T$66,3,TRUE),tablas!$Q$3:$R$66,2,FALSE)&lt;P73,VLOOKUP(P73+0.1,tablas!$R$3:$T$66,3,TRUE),VLOOKUP(P73,tablas!$R$3:$T$66,3,TRUE))&amp;"$",$C$13)</f>
        <v>$\phi8@17$</v>
      </c>
      <c r="Q74" s="134" t="str">
        <f>IF(Q73&gt;$C$12,"$\phi"&amp;IF(VLOOKUP(VLOOKUP(Q73,tablas!$R$3:$T$66,2,TRUE)&amp;VLOOKUP(Q73,tablas!$R$3:$T$66,3,TRUE),tablas!$Q$3:$R$66,2,FALSE)&lt;Q73,VLOOKUP(Q73+0.1,tablas!$R$3:$T$66,2,TRUE),VLOOKUP(Q73,tablas!$R$3:$T$66,2,TRUE))&amp;"@"&amp;IF(VLOOKUP(VLOOKUP(Q73,tablas!$R$3:$T$66,2,TRUE)&amp;VLOOKUP(Q73,tablas!$R$3:$T$66,3,TRUE),tablas!$Q$3:$R$66,2,FALSE)&lt;Q73,VLOOKUP(Q73+0.1,tablas!$R$3:$T$66,3,TRUE),VLOOKUP(Q73,tablas!$R$3:$T$66,3,TRUE))&amp;"$",$C$13)</f>
        <v>$\phi8@17$</v>
      </c>
      <c r="R74" s="134" t="str">
        <f>IF(R73&gt;$C$12,"$\phi"&amp;IF(VLOOKUP(VLOOKUP(R73,tablas!$R$3:$T$66,2,TRUE)&amp;VLOOKUP(R73,tablas!$R$3:$T$66,3,TRUE),tablas!$Q$3:$R$66,2,FALSE)&lt;R73,VLOOKUP(R73+0.1,tablas!$R$3:$T$66,2,TRUE),VLOOKUP(R73,tablas!$R$3:$T$66,2,TRUE))&amp;"@"&amp;IF(VLOOKUP(VLOOKUP(R73,tablas!$R$3:$T$66,2,TRUE)&amp;VLOOKUP(R73,tablas!$R$3:$T$66,3,TRUE),tablas!$Q$3:$R$66,2,FALSE)&lt;R73,VLOOKUP(R73+0.1,tablas!$R$3:$T$66,3,TRUE),VLOOKUP(R73,tablas!$R$3:$T$66,3,TRUE))&amp;"$",$C$13)</f>
        <v>$\phi8@17$</v>
      </c>
      <c r="S74" s="134" t="str">
        <f>IF(S73&gt;$C$12,"$\phi"&amp;IF(VLOOKUP(VLOOKUP(S73,tablas!$R$3:$T$66,2,TRUE)&amp;VLOOKUP(S73,tablas!$R$3:$T$66,3,TRUE),tablas!$Q$3:$R$66,2,FALSE)&lt;S73,VLOOKUP(S73+0.1,tablas!$R$3:$T$66,2,TRUE),VLOOKUP(S73,tablas!$R$3:$T$66,2,TRUE))&amp;"@"&amp;IF(VLOOKUP(VLOOKUP(S73,tablas!$R$3:$T$66,2,TRUE)&amp;VLOOKUP(S73,tablas!$R$3:$T$66,3,TRUE),tablas!$Q$3:$R$66,2,FALSE)&lt;S73,VLOOKUP(S73+0.1,tablas!$R$3:$T$66,3,TRUE),VLOOKUP(S73,tablas!$R$3:$T$66,3,TRUE))&amp;"$",$C$13)</f>
        <v>$\phi8@17$</v>
      </c>
      <c r="T74" s="134" t="str">
        <f>IF(T73&gt;$C$12,"$\phi"&amp;IF(VLOOKUP(VLOOKUP(T73,tablas!$R$3:$T$66,2,TRUE)&amp;VLOOKUP(T73,tablas!$R$3:$T$66,3,TRUE),tablas!$Q$3:$R$66,2,FALSE)&lt;T73,VLOOKUP(T73+0.1,tablas!$R$3:$T$66,2,TRUE),VLOOKUP(T73,tablas!$R$3:$T$66,2,TRUE))&amp;"@"&amp;IF(VLOOKUP(VLOOKUP(T73,tablas!$R$3:$T$66,2,TRUE)&amp;VLOOKUP(T73,tablas!$R$3:$T$66,3,TRUE),tablas!$Q$3:$R$66,2,FALSE)&lt;T73,VLOOKUP(T73+0.1,tablas!$R$3:$T$66,3,TRUE),VLOOKUP(T73,tablas!$R$3:$T$66,3,TRUE))&amp;"$",$C$13)</f>
        <v>$\phi8@17$</v>
      </c>
      <c r="U74" s="134" t="str">
        <f>IF(U73&gt;$C$12,"$\phi"&amp;IF(VLOOKUP(VLOOKUP(U73,tablas!$R$3:$T$66,2,TRUE)&amp;VLOOKUP(U73,tablas!$R$3:$T$66,3,TRUE),tablas!$Q$3:$R$66,2,FALSE)&lt;U73,VLOOKUP(U73+0.1,tablas!$R$3:$T$66,2,TRUE),VLOOKUP(U73,tablas!$R$3:$T$66,2,TRUE))&amp;"@"&amp;IF(VLOOKUP(VLOOKUP(U73,tablas!$R$3:$T$66,2,TRUE)&amp;VLOOKUP(U73,tablas!$R$3:$T$66,3,TRUE),tablas!$Q$3:$R$66,2,FALSE)&lt;U73,VLOOKUP(U73+0.1,tablas!$R$3:$T$66,3,TRUE),VLOOKUP(U73,tablas!$R$3:$T$66,3,TRUE))&amp;"$",$C$13)</f>
        <v>$\phi8@17$</v>
      </c>
      <c r="V74" s="134" t="str">
        <f>IF(V73&gt;$C$12,"$\phi"&amp;IF(VLOOKUP(VLOOKUP(V73,tablas!$R$3:$T$66,2,TRUE)&amp;VLOOKUP(V73,tablas!$R$3:$T$66,3,TRUE),tablas!$Q$3:$R$66,2,FALSE)&lt;V73,VLOOKUP(V73+0.1,tablas!$R$3:$T$66,2,TRUE),VLOOKUP(V73,tablas!$R$3:$T$66,2,TRUE))&amp;"@"&amp;IF(VLOOKUP(VLOOKUP(V73,tablas!$R$3:$T$66,2,TRUE)&amp;VLOOKUP(V73,tablas!$R$3:$T$66,3,TRUE),tablas!$Q$3:$R$66,2,FALSE)&lt;V73,VLOOKUP(V73+0.1,tablas!$R$3:$T$66,3,TRUE),VLOOKUP(V73,tablas!$R$3:$T$66,3,TRUE))&amp;"$",$C$13)</f>
        <v>$\phi8@17$</v>
      </c>
      <c r="W74" s="134" t="str">
        <f>IF(W73&gt;$C$12,"$\phi"&amp;IF(VLOOKUP(VLOOKUP(W73,tablas!$R$3:$T$66,2,TRUE)&amp;VLOOKUP(W73,tablas!$R$3:$T$66,3,TRUE),tablas!$Q$3:$R$66,2,FALSE)&lt;W73,VLOOKUP(W73+0.1,tablas!$R$3:$T$66,2,TRUE),VLOOKUP(W73,tablas!$R$3:$T$66,2,TRUE))&amp;"@"&amp;IF(VLOOKUP(VLOOKUP(W73,tablas!$R$3:$T$66,2,TRUE)&amp;VLOOKUP(W73,tablas!$R$3:$T$66,3,TRUE),tablas!$Q$3:$R$66,2,FALSE)&lt;W73,VLOOKUP(W73+0.1,tablas!$R$3:$T$66,3,TRUE),VLOOKUP(W73,tablas!$R$3:$T$66,3,TRUE))&amp;"$",$C$13)</f>
        <v>$\phi8@17$</v>
      </c>
    </row>
    <row r="75" spans="2:23" x14ac:dyDescent="0.25">
      <c r="B75" s="96" t="s">
        <v>102</v>
      </c>
      <c r="C75" s="89">
        <f>IF(C53&lt;=2,C67/C57*(1+C68*C61)*C54,"0")</f>
        <v>416.06060150375936</v>
      </c>
      <c r="D75" s="89">
        <f>IF(D53&lt;=2,D67/D57*(1+D68*D61)*D54,"0")</f>
        <v>279.01921708185057</v>
      </c>
      <c r="E75" s="89">
        <f>IF(E53&lt;=2,E67/E57*(1+E68*E61)*E54,"0")</f>
        <v>279.01921708185057</v>
      </c>
      <c r="F75" s="89">
        <f>IF(F53&lt;=2,F67/F57*(1+F68*F61)*F54,"0")</f>
        <v>266.36010736196317</v>
      </c>
      <c r="G75" s="89">
        <f>IF(G53&lt;=2,G67/G57*(1+G68*G61)*G54,"0")</f>
        <v>644.9784545454545</v>
      </c>
      <c r="H75" s="89">
        <f>IF(H53&lt;=2,H67/H57*(1+H68*H61)*H54,"0")</f>
        <v>430.50667782426791</v>
      </c>
      <c r="I75" s="89">
        <f>IF(I53&lt;=2,I67/I57*(1+I68*I61)*I54,"0")</f>
        <v>430.50667782426791</v>
      </c>
      <c r="J75" s="89">
        <f>IF(J53&lt;=2,J67/J57*(1+J68*J61)*J54,"0")</f>
        <v>338.78048306049823</v>
      </c>
      <c r="K75" s="89">
        <f>IF(K53&lt;=2,K67/K57*(1+K68*K61)*K54,"0")</f>
        <v>473.15573360655736</v>
      </c>
      <c r="L75" s="89">
        <f>IF(L53&lt;=2,L67/L57*(1+L68*L61)*L54,"0")</f>
        <v>247.71775732217577</v>
      </c>
      <c r="M75" s="89">
        <f>IF(M53&lt;=2,M67/M57*(1+M68*M61)*M54,"0")</f>
        <v>281.04677824267787</v>
      </c>
      <c r="N75" s="89">
        <f>IF(N53&lt;=2,N67/N57*(1+N68*N61)*N54,"0")</f>
        <v>387.65354585889565</v>
      </c>
      <c r="O75" s="89">
        <f>IF(O53&lt;=2,O67/O57*(1+O68*O61)*O54,"0")</f>
        <v>79.514522613065338</v>
      </c>
      <c r="P75" s="89" t="str">
        <f>IF(P53&lt;=2,P67/P57*(1+P68*P61)*P54,"0")</f>
        <v>0</v>
      </c>
      <c r="Q75" s="89" t="str">
        <f>IF(Q53&lt;=2,Q67/Q57*(1+Q68*Q61)*Q54,"0")</f>
        <v>0</v>
      </c>
      <c r="R75" s="89">
        <f>IF(R53&lt;=2,R67/R57*(1+R68*R61)*R54,"0")</f>
        <v>244.65874811463047</v>
      </c>
      <c r="S75" s="89">
        <f>IF(S53&lt;=2,S67/S57*(1+S68*S61)*S54,"0")</f>
        <v>316.34480912547536</v>
      </c>
      <c r="T75" s="89" t="str">
        <f>IF(T53&lt;=2,T67/T57*(1+T68*T61)*T54,"0")</f>
        <v>0</v>
      </c>
      <c r="U75" s="89">
        <f>IF(U53&lt;=2,U67/U57*(1+U68*U61)*U54,"0")</f>
        <v>46.683</v>
      </c>
      <c r="V75" s="89">
        <f>IF(V53&lt;=2,V67/V57*(1+V68*V61)*V54,"0")</f>
        <v>50.795691789473672</v>
      </c>
      <c r="W75" s="89" t="str">
        <f>IF(W53&lt;=2,W67/W57*(1+W68*W61)*W54,"0")</f>
        <v>0</v>
      </c>
    </row>
    <row r="76" spans="2:23" x14ac:dyDescent="0.25">
      <c r="B76" s="97" t="s">
        <v>15</v>
      </c>
      <c r="C76" s="85">
        <f>C75/(0.9*(0.9*($C$7/100))*($L$9*1000))</f>
        <v>0.85723475231122825</v>
      </c>
      <c r="D76" s="85">
        <f>D75/(0.9*(0.9*($C$7/100))*($L$9*1000))</f>
        <v>0.57488012222438656</v>
      </c>
      <c r="E76" s="85">
        <f>E75/(0.9*(0.9*($C$7/100))*($L$9*1000))</f>
        <v>0.57488012222438656</v>
      </c>
      <c r="F76" s="85">
        <f>F75/(0.9*(0.9*($C$7/100))*($L$9*1000))</f>
        <v>0.54879779492402025</v>
      </c>
      <c r="G76" s="85">
        <f>G75/(0.9*(0.9*($C$7/100))*($L$9*1000))</f>
        <v>1.3288880122992268</v>
      </c>
      <c r="H76" s="85">
        <f>H75/(0.9*(0.9*($C$7/100))*($L$9*1000))</f>
        <v>0.88699887468119587</v>
      </c>
      <c r="I76" s="85">
        <f>I75/(0.9*(0.9*($C$7/100))*($L$9*1000))</f>
        <v>0.88699887468119587</v>
      </c>
      <c r="J76" s="85">
        <f>J75/(0.9*(0.9*($C$7/100))*($L$9*1000))</f>
        <v>0.69800986306947976</v>
      </c>
      <c r="K76" s="85">
        <f>K75/(0.9*(0.9*($C$7/100))*($L$9*1000))</f>
        <v>0.97487129672187856</v>
      </c>
      <c r="L76" s="85">
        <f>L75/(0.9*(0.9*($C$7/100))*($L$9*1000))</f>
        <v>0.51038783670856558</v>
      </c>
      <c r="M76" s="85">
        <f>M75/(0.9*(0.9*($C$7/100))*($L$9*1000))</f>
        <v>0.5790576287780369</v>
      </c>
      <c r="N76" s="85">
        <f>N75/(0.9*(0.9*($C$7/100))*($L$9*1000))</f>
        <v>0.79870598217148692</v>
      </c>
      <c r="O76" s="85">
        <f>O75/(0.9*(0.9*($C$7/100))*($L$9*1000))</f>
        <v>0.16382856692269798</v>
      </c>
      <c r="P76" s="85">
        <f>P75/(0.9*(0.9*($C$7/100))*($L$9*1000))</f>
        <v>0</v>
      </c>
      <c r="Q76" s="85">
        <f>Q75/(0.9*(0.9*($C$7/100))*($L$9*1000))</f>
        <v>0</v>
      </c>
      <c r="R76" s="85">
        <f>R75/(0.9*(0.9*($C$7/100))*($L$9*1000))</f>
        <v>0.50408517553163557</v>
      </c>
      <c r="S76" s="85">
        <f>S75/(0.9*(0.9*($C$7/100))*($L$9*1000))</f>
        <v>0.65178429083526035</v>
      </c>
      <c r="T76" s="85">
        <f>T75/(0.9*(0.9*($C$7/100))*($L$9*1000))</f>
        <v>0</v>
      </c>
      <c r="U76" s="85">
        <f>U75/(0.9*(0.9*($C$7/100))*($L$9*1000))</f>
        <v>9.6183800623052929E-2</v>
      </c>
      <c r="V76" s="85">
        <f>V75/(0.9*(0.9*($C$7/100))*($L$9*1000))</f>
        <v>0.10465742757725044</v>
      </c>
      <c r="W76" s="85">
        <f>W75/(0.9*(0.9*($C$7/100))*($L$9*1000))</f>
        <v>0</v>
      </c>
    </row>
    <row r="77" spans="2:23" x14ac:dyDescent="0.25">
      <c r="B77" s="97" t="s">
        <v>98</v>
      </c>
      <c r="C77" s="85">
        <f>(C76*($L$9))/(0.85*$L$6*100)</f>
        <v>1.2090837831247512E-2</v>
      </c>
      <c r="D77" s="85">
        <f>(D76*($L$9))/(0.85*$L$6*100)</f>
        <v>8.1083767445060961E-3</v>
      </c>
      <c r="E77" s="85">
        <f>(E76*($L$9))/(0.85*$L$6*100)</f>
        <v>8.1083767445060961E-3</v>
      </c>
      <c r="F77" s="85">
        <f>(F76*($L$9))/(0.85*$L$6*100)</f>
        <v>7.7404994637495696E-3</v>
      </c>
      <c r="G77" s="85">
        <f>(G76*($L$9))/(0.85*$L$6*100)</f>
        <v>1.8743254877708657E-2</v>
      </c>
      <c r="H77" s="85">
        <f>(H76*($L$9))/(0.85*$L$6*100)</f>
        <v>1.2510644862862148E-2</v>
      </c>
      <c r="I77" s="85">
        <f>(I76*($L$9))/(0.85*$L$6*100)</f>
        <v>1.2510644862862148E-2</v>
      </c>
      <c r="J77" s="85">
        <f>(J76*($L$9))/(0.85*$L$6*100)</f>
        <v>9.8450559035668933E-3</v>
      </c>
      <c r="K77" s="85">
        <f>(K76*($L$9))/(0.85*$L$6*100)</f>
        <v>1.3750038391727271E-2</v>
      </c>
      <c r="L77" s="85">
        <f>(L76*($L$9))/(0.85*$L$6*100)</f>
        <v>7.1987475403284254E-3</v>
      </c>
      <c r="M77" s="85">
        <f>(M76*($L$9))/(0.85*$L$6*100)</f>
        <v>8.1672982407974895E-3</v>
      </c>
      <c r="N77" s="85">
        <f>(N76*($L$9))/(0.85*$L$6*100)</f>
        <v>1.1265320822850434E-2</v>
      </c>
      <c r="O77" s="85">
        <f>(O76*($L$9))/(0.85*$L$6*100)</f>
        <v>2.3107143398554868E-3</v>
      </c>
      <c r="P77" s="85">
        <f>(P76*($L$9))/(0.85*$L$6*100)</f>
        <v>0</v>
      </c>
      <c r="Q77" s="85">
        <f>(Q76*($L$9))/(0.85*$L$6*100)</f>
        <v>0</v>
      </c>
      <c r="R77" s="85">
        <f>(R76*($L$9))/(0.85*$L$6*100)</f>
        <v>7.1098518743628282E-3</v>
      </c>
      <c r="S77" s="85">
        <f>(S76*($L$9))/(0.85*$L$6*100)</f>
        <v>9.1930689232984485E-3</v>
      </c>
      <c r="T77" s="85">
        <f>(T76*($L$9))/(0.85*$L$6*100)</f>
        <v>0</v>
      </c>
      <c r="U77" s="85">
        <f>(U76*($L$9))/(0.85*$L$6*100)</f>
        <v>1.3566210798044705E-3</v>
      </c>
      <c r="V77" s="85">
        <f>(V76*($L$9))/(0.85*$L$6*100)</f>
        <v>1.4761370572767569E-3</v>
      </c>
      <c r="W77" s="85">
        <f>(W76*($L$9))/(0.85*$L$6*100)</f>
        <v>0</v>
      </c>
    </row>
    <row r="78" spans="2:23" ht="15.75" thickBot="1" x14ac:dyDescent="0.3">
      <c r="B78" s="97" t="s">
        <v>15</v>
      </c>
      <c r="C78" s="76">
        <f>ROUNDUP(C75/(0.9*(($C$7-C77/2)/100)*($L$9*1000)),2)</f>
        <v>0.78</v>
      </c>
      <c r="D78" s="76">
        <f>ROUNDUP(D75/(0.9*(($C$7-D77/2)/100)*($L$9*1000)),2)</f>
        <v>0.52</v>
      </c>
      <c r="E78" s="76">
        <f>ROUNDUP(E75/(0.9*(($C$7-E77/2)/100)*($L$9*1000)),2)</f>
        <v>0.52</v>
      </c>
      <c r="F78" s="76">
        <f>ROUNDUP(F75/(0.9*(($C$7-F77/2)/100)*($L$9*1000)),2)</f>
        <v>0.5</v>
      </c>
      <c r="G78" s="76">
        <f>ROUNDUP(G75/(0.9*(($C$7-G77/2)/100)*($L$9*1000)),2)</f>
        <v>1.2</v>
      </c>
      <c r="H78" s="76">
        <f>ROUNDUP(H75/(0.9*(($C$7-H77/2)/100)*($L$9*1000)),2)</f>
        <v>0.8</v>
      </c>
      <c r="I78" s="76">
        <f>ROUNDUP(I75/(0.9*(($C$7-I77/2)/100)*($L$9*1000)),2)</f>
        <v>0.8</v>
      </c>
      <c r="J78" s="76">
        <f>ROUNDUP(J75/(0.9*(($C$7-J77/2)/100)*($L$9*1000)),2)</f>
        <v>0.63</v>
      </c>
      <c r="K78" s="76">
        <f>ROUNDUP(K75/(0.9*(($C$7-K77/2)/100)*($L$9*1000)),2)</f>
        <v>0.88</v>
      </c>
      <c r="L78" s="76">
        <f>ROUNDUP(L75/(0.9*(($C$7-L77/2)/100)*($L$9*1000)),2)</f>
        <v>0.46</v>
      </c>
      <c r="M78" s="76">
        <f>ROUNDUP(M75/(0.9*(($C$7-M77/2)/100)*($L$9*1000)),2)</f>
        <v>0.53</v>
      </c>
      <c r="N78" s="76">
        <f>ROUNDUP(N75/(0.9*(($C$7-N77/2)/100)*($L$9*1000)),2)</f>
        <v>0.72</v>
      </c>
      <c r="O78" s="76">
        <f>ROUNDUP(O75/(0.9*(($C$7-O77/2)/100)*($L$9*1000)),2)</f>
        <v>0.15000000000000002</v>
      </c>
      <c r="P78" s="76">
        <f>ROUNDUP(P75/(0.9*(($C$7-P77/2)/100)*($L$9*1000)),2)</f>
        <v>0</v>
      </c>
      <c r="Q78" s="76">
        <f>ROUNDUP(Q75/(0.9*(($C$7-Q77/2)/100)*($L$9*1000)),2)</f>
        <v>0</v>
      </c>
      <c r="R78" s="76">
        <f>ROUNDUP(R75/(0.9*(($C$7-R77/2)/100)*($L$9*1000)),2)</f>
        <v>0.46</v>
      </c>
      <c r="S78" s="76">
        <f>ROUNDUP(S75/(0.9*(($C$7-S77/2)/100)*($L$9*1000)),2)</f>
        <v>0.59</v>
      </c>
      <c r="T78" s="76">
        <f>ROUNDUP(T75/(0.9*(($C$7-T77/2)/100)*($L$9*1000)),2)</f>
        <v>0</v>
      </c>
      <c r="U78" s="76">
        <f>ROUNDUP(U75/(0.9*(($C$7-U77/2)/100)*($L$9*1000)),2)</f>
        <v>0.09</v>
      </c>
      <c r="V78" s="76">
        <f>ROUNDUP(V75/(0.9*(($C$7-V77/2)/100)*($L$9*1000)),2)</f>
        <v>9.9999999999999992E-2</v>
      </c>
      <c r="W78" s="76">
        <f>ROUNDUP(W75/(0.9*(($C$7-W77/2)/100)*($L$9*1000)),2)</f>
        <v>0</v>
      </c>
    </row>
    <row r="79" spans="2:23" ht="16.5" thickBot="1" x14ac:dyDescent="0.3">
      <c r="B79" s="61" t="s">
        <v>101</v>
      </c>
      <c r="C79" s="134" t="str">
        <f>IF(C78&gt;$C$12,"$\phi"&amp;IF(VLOOKUP(VLOOKUP(C78,tablas!$R$3:$T$66,2,TRUE)&amp;VLOOKUP(C78,tablas!$R$3:$T$66,3,TRUE),tablas!$Q$3:$R$66,2,FALSE)&lt;C78,VLOOKUP(C78+0.1,tablas!$R$3:$T$66,2,TRUE),VLOOKUP(C78,tablas!$R$3:$T$66,2,TRUE))&amp;"@"&amp;IF(VLOOKUP(VLOOKUP(C78,tablas!$R$3:$T$66,2,TRUE)&amp;VLOOKUP(C78,tablas!$R$3:$T$66,3,TRUE),tablas!$Q$3:$R$66,2,FALSE)&lt;C78,VLOOKUP(C78+0.1,tablas!$R$3:$T$66,3,TRUE),VLOOKUP(C78,tablas!$R$3:$T$66,3,TRUE))&amp;"$",$C$13)</f>
        <v>$\phi8@17$</v>
      </c>
      <c r="D79" s="134" t="str">
        <f>IF(D78&gt;$C$12,"$\phi"&amp;IF(VLOOKUP(VLOOKUP(D78,tablas!$R$3:$T$66,2,TRUE)&amp;VLOOKUP(D78,tablas!$R$3:$T$66,3,TRUE),tablas!$Q$3:$R$66,2,FALSE)&lt;D78,VLOOKUP(D78+0.1,tablas!$R$3:$T$66,2,TRUE),VLOOKUP(D78,tablas!$R$3:$T$66,2,TRUE))&amp;"@"&amp;IF(VLOOKUP(VLOOKUP(D78,tablas!$R$3:$T$66,2,TRUE)&amp;VLOOKUP(D78,tablas!$R$3:$T$66,3,TRUE),tablas!$Q$3:$R$66,2,FALSE)&lt;D78,VLOOKUP(D78+0.1,tablas!$R$3:$T$66,3,TRUE),VLOOKUP(D78,tablas!$R$3:$T$66,3,TRUE))&amp;"$",$C$13)</f>
        <v>$\phi8@17$</v>
      </c>
      <c r="E79" s="134" t="str">
        <f>IF(E78&gt;$C$12,"$\phi"&amp;IF(VLOOKUP(VLOOKUP(E78,tablas!$R$3:$T$66,2,TRUE)&amp;VLOOKUP(E78,tablas!$R$3:$T$66,3,TRUE),tablas!$Q$3:$R$66,2,FALSE)&lt;E78,VLOOKUP(E78+0.1,tablas!$R$3:$T$66,2,TRUE),VLOOKUP(E78,tablas!$R$3:$T$66,2,TRUE))&amp;"@"&amp;IF(VLOOKUP(VLOOKUP(E78,tablas!$R$3:$T$66,2,TRUE)&amp;VLOOKUP(E78,tablas!$R$3:$T$66,3,TRUE),tablas!$Q$3:$R$66,2,FALSE)&lt;E78,VLOOKUP(E78+0.1,tablas!$R$3:$T$66,3,TRUE),VLOOKUP(E78,tablas!$R$3:$T$66,3,TRUE))&amp;"$",$C$13)</f>
        <v>$\phi8@17$</v>
      </c>
      <c r="F79" s="134" t="str">
        <f>IF(F78&gt;$C$12,"$\phi"&amp;IF(VLOOKUP(VLOOKUP(F78,tablas!$R$3:$T$66,2,TRUE)&amp;VLOOKUP(F78,tablas!$R$3:$T$66,3,TRUE),tablas!$Q$3:$R$66,2,FALSE)&lt;F78,VLOOKUP(F78+0.1,tablas!$R$3:$T$66,2,TRUE),VLOOKUP(F78,tablas!$R$3:$T$66,2,TRUE))&amp;"@"&amp;IF(VLOOKUP(VLOOKUP(F78,tablas!$R$3:$T$66,2,TRUE)&amp;VLOOKUP(F78,tablas!$R$3:$T$66,3,TRUE),tablas!$Q$3:$R$66,2,FALSE)&lt;F78,VLOOKUP(F78+0.1,tablas!$R$3:$T$66,3,TRUE),VLOOKUP(F78,tablas!$R$3:$T$66,3,TRUE))&amp;"$",$C$13)</f>
        <v>$\phi8@17$</v>
      </c>
      <c r="G79" s="134" t="str">
        <f>IF(G78&gt;$C$12,"$\phi"&amp;IF(VLOOKUP(VLOOKUP(G78,tablas!$R$3:$T$66,2,TRUE)&amp;VLOOKUP(G78,tablas!$R$3:$T$66,3,TRUE),tablas!$Q$3:$R$66,2,FALSE)&lt;G78,VLOOKUP(G78+0.1,tablas!$R$3:$T$66,2,TRUE),VLOOKUP(G78,tablas!$R$3:$T$66,2,TRUE))&amp;"@"&amp;IF(VLOOKUP(VLOOKUP(G78,tablas!$R$3:$T$66,2,TRUE)&amp;VLOOKUP(G78,tablas!$R$3:$T$66,3,TRUE),tablas!$Q$3:$R$66,2,FALSE)&lt;G78,VLOOKUP(G78+0.1,tablas!$R$3:$T$66,3,TRUE),VLOOKUP(G78,tablas!$R$3:$T$66,3,TRUE))&amp;"$",$C$13)</f>
        <v>$\phi8@17$</v>
      </c>
      <c r="H79" s="134" t="str">
        <f>IF(H78&gt;$C$12,"$\phi"&amp;IF(VLOOKUP(VLOOKUP(H78,tablas!$R$3:$T$66,2,TRUE)&amp;VLOOKUP(H78,tablas!$R$3:$T$66,3,TRUE),tablas!$Q$3:$R$66,2,FALSE)&lt;H78,VLOOKUP(H78+0.1,tablas!$R$3:$T$66,2,TRUE),VLOOKUP(H78,tablas!$R$3:$T$66,2,TRUE))&amp;"@"&amp;IF(VLOOKUP(VLOOKUP(H78,tablas!$R$3:$T$66,2,TRUE)&amp;VLOOKUP(H78,tablas!$R$3:$T$66,3,TRUE),tablas!$Q$3:$R$66,2,FALSE)&lt;H78,VLOOKUP(H78+0.1,tablas!$R$3:$T$66,3,TRUE),VLOOKUP(H78,tablas!$R$3:$T$66,3,TRUE))&amp;"$",$C$13)</f>
        <v>$\phi8@17$</v>
      </c>
      <c r="I79" s="134" t="str">
        <f>IF(I78&gt;$C$12,"$\phi"&amp;IF(VLOOKUP(VLOOKUP(I78,tablas!$R$3:$T$66,2,TRUE)&amp;VLOOKUP(I78,tablas!$R$3:$T$66,3,TRUE),tablas!$Q$3:$R$66,2,FALSE)&lt;I78,VLOOKUP(I78+0.1,tablas!$R$3:$T$66,2,TRUE),VLOOKUP(I78,tablas!$R$3:$T$66,2,TRUE))&amp;"@"&amp;IF(VLOOKUP(VLOOKUP(I78,tablas!$R$3:$T$66,2,TRUE)&amp;VLOOKUP(I78,tablas!$R$3:$T$66,3,TRUE),tablas!$Q$3:$R$66,2,FALSE)&lt;I78,VLOOKUP(I78+0.1,tablas!$R$3:$T$66,3,TRUE),VLOOKUP(I78,tablas!$R$3:$T$66,3,TRUE))&amp;"$",$C$13)</f>
        <v>$\phi8@17$</v>
      </c>
      <c r="J79" s="134" t="str">
        <f>IF(J78&gt;$C$12,"$\phi"&amp;IF(VLOOKUP(VLOOKUP(J78,tablas!$R$3:$T$66,2,TRUE)&amp;VLOOKUP(J78,tablas!$R$3:$T$66,3,TRUE),tablas!$Q$3:$R$66,2,FALSE)&lt;J78,VLOOKUP(J78+0.1,tablas!$R$3:$T$66,2,TRUE),VLOOKUP(J78,tablas!$R$3:$T$66,2,TRUE))&amp;"@"&amp;IF(VLOOKUP(VLOOKUP(J78,tablas!$R$3:$T$66,2,TRUE)&amp;VLOOKUP(J78,tablas!$R$3:$T$66,3,TRUE),tablas!$Q$3:$R$66,2,FALSE)&lt;J78,VLOOKUP(J78+0.1,tablas!$R$3:$T$66,3,TRUE),VLOOKUP(J78,tablas!$R$3:$T$66,3,TRUE))&amp;"$",$C$13)</f>
        <v>$\phi8@17$</v>
      </c>
      <c r="K79" s="134" t="str">
        <f>IF(K78&gt;$C$12,"$\phi"&amp;IF(VLOOKUP(VLOOKUP(K78,tablas!$R$3:$T$66,2,TRUE)&amp;VLOOKUP(K78,tablas!$R$3:$T$66,3,TRUE),tablas!$Q$3:$R$66,2,FALSE)&lt;K78,VLOOKUP(K78+0.1,tablas!$R$3:$T$66,2,TRUE),VLOOKUP(K78,tablas!$R$3:$T$66,2,TRUE))&amp;"@"&amp;IF(VLOOKUP(VLOOKUP(K78,tablas!$R$3:$T$66,2,TRUE)&amp;VLOOKUP(K78,tablas!$R$3:$T$66,3,TRUE),tablas!$Q$3:$R$66,2,FALSE)&lt;K78,VLOOKUP(K78+0.1,tablas!$R$3:$T$66,3,TRUE),VLOOKUP(K78,tablas!$R$3:$T$66,3,TRUE))&amp;"$",$C$13)</f>
        <v>$\phi8@17$</v>
      </c>
      <c r="L79" s="134" t="str">
        <f>IF(L78&gt;$C$12,"$\phi"&amp;IF(VLOOKUP(VLOOKUP(L78,tablas!$R$3:$T$66,2,TRUE)&amp;VLOOKUP(L78,tablas!$R$3:$T$66,3,TRUE),tablas!$Q$3:$R$66,2,FALSE)&lt;L78,VLOOKUP(L78+0.1,tablas!$R$3:$T$66,2,TRUE),VLOOKUP(L78,tablas!$R$3:$T$66,2,TRUE))&amp;"@"&amp;IF(VLOOKUP(VLOOKUP(L78,tablas!$R$3:$T$66,2,TRUE)&amp;VLOOKUP(L78,tablas!$R$3:$T$66,3,TRUE),tablas!$Q$3:$R$66,2,FALSE)&lt;L78,VLOOKUP(L78+0.1,tablas!$R$3:$T$66,3,TRUE),VLOOKUP(L78,tablas!$R$3:$T$66,3,TRUE))&amp;"$",$C$13)</f>
        <v>$\phi8@17$</v>
      </c>
      <c r="M79" s="134" t="str">
        <f>IF(M78&gt;$C$12,"$\phi"&amp;IF(VLOOKUP(VLOOKUP(M78,tablas!$R$3:$T$66,2,TRUE)&amp;VLOOKUP(M78,tablas!$R$3:$T$66,3,TRUE),tablas!$Q$3:$R$66,2,FALSE)&lt;M78,VLOOKUP(M78+0.1,tablas!$R$3:$T$66,2,TRUE),VLOOKUP(M78,tablas!$R$3:$T$66,2,TRUE))&amp;"@"&amp;IF(VLOOKUP(VLOOKUP(M78,tablas!$R$3:$T$66,2,TRUE)&amp;VLOOKUP(M78,tablas!$R$3:$T$66,3,TRUE),tablas!$Q$3:$R$66,2,FALSE)&lt;M78,VLOOKUP(M78+0.1,tablas!$R$3:$T$66,3,TRUE),VLOOKUP(M78,tablas!$R$3:$T$66,3,TRUE))&amp;"$",$C$13)</f>
        <v>$\phi8@17$</v>
      </c>
      <c r="N79" s="134" t="str">
        <f>IF(N78&gt;$C$12,"$\phi"&amp;IF(VLOOKUP(VLOOKUP(N78,tablas!$R$3:$T$66,2,TRUE)&amp;VLOOKUP(N78,tablas!$R$3:$T$66,3,TRUE),tablas!$Q$3:$R$66,2,FALSE)&lt;N78,VLOOKUP(N78+0.1,tablas!$R$3:$T$66,2,TRUE),VLOOKUP(N78,tablas!$R$3:$T$66,2,TRUE))&amp;"@"&amp;IF(VLOOKUP(VLOOKUP(N78,tablas!$R$3:$T$66,2,TRUE)&amp;VLOOKUP(N78,tablas!$R$3:$T$66,3,TRUE),tablas!$Q$3:$R$66,2,FALSE)&lt;N78,VLOOKUP(N78+0.1,tablas!$R$3:$T$66,3,TRUE),VLOOKUP(N78,tablas!$R$3:$T$66,3,TRUE))&amp;"$",$C$13)</f>
        <v>$\phi8@17$</v>
      </c>
      <c r="O79" s="134" t="str">
        <f>IF(O78&gt;$C$12,"$\phi"&amp;IF(VLOOKUP(VLOOKUP(O78,tablas!$R$3:$T$66,2,TRUE)&amp;VLOOKUP(O78,tablas!$R$3:$T$66,3,TRUE),tablas!$Q$3:$R$66,2,FALSE)&lt;O78,VLOOKUP(O78+0.1,tablas!$R$3:$T$66,2,TRUE),VLOOKUP(O78,tablas!$R$3:$T$66,2,TRUE))&amp;"@"&amp;IF(VLOOKUP(VLOOKUP(O78,tablas!$R$3:$T$66,2,TRUE)&amp;VLOOKUP(O78,tablas!$R$3:$T$66,3,TRUE),tablas!$Q$3:$R$66,2,FALSE)&lt;O78,VLOOKUP(O78+0.1,tablas!$R$3:$T$66,3,TRUE),VLOOKUP(O78,tablas!$R$3:$T$66,3,TRUE))&amp;"$",$C$13)</f>
        <v>$\phi8@17$</v>
      </c>
      <c r="P79" s="134" t="str">
        <f>IF(P78&gt;$C$12,"$\phi"&amp;IF(VLOOKUP(VLOOKUP(P78,tablas!$R$3:$T$66,2,TRUE)&amp;VLOOKUP(P78,tablas!$R$3:$T$66,3,TRUE),tablas!$Q$3:$R$66,2,FALSE)&lt;P78,VLOOKUP(P78+0.1,tablas!$R$3:$T$66,2,TRUE),VLOOKUP(P78,tablas!$R$3:$T$66,2,TRUE))&amp;"@"&amp;IF(VLOOKUP(VLOOKUP(P78,tablas!$R$3:$T$66,2,TRUE)&amp;VLOOKUP(P78,tablas!$R$3:$T$66,3,TRUE),tablas!$Q$3:$R$66,2,FALSE)&lt;P78,VLOOKUP(P78+0.1,tablas!$R$3:$T$66,3,TRUE),VLOOKUP(P78,tablas!$R$3:$T$66,3,TRUE))&amp;"$",$C$13)</f>
        <v>$\phi8@17$</v>
      </c>
      <c r="Q79" s="134" t="str">
        <f>IF(Q78&gt;$C$12,"$\phi"&amp;IF(VLOOKUP(VLOOKUP(Q78,tablas!$R$3:$T$66,2,TRUE)&amp;VLOOKUP(Q78,tablas!$R$3:$T$66,3,TRUE),tablas!$Q$3:$R$66,2,FALSE)&lt;Q78,VLOOKUP(Q78+0.1,tablas!$R$3:$T$66,2,TRUE),VLOOKUP(Q78,tablas!$R$3:$T$66,2,TRUE))&amp;"@"&amp;IF(VLOOKUP(VLOOKUP(Q78,tablas!$R$3:$T$66,2,TRUE)&amp;VLOOKUP(Q78,tablas!$R$3:$T$66,3,TRUE),tablas!$Q$3:$R$66,2,FALSE)&lt;Q78,VLOOKUP(Q78+0.1,tablas!$R$3:$T$66,3,TRUE),VLOOKUP(Q78,tablas!$R$3:$T$66,3,TRUE))&amp;"$",$C$13)</f>
        <v>$\phi8@17$</v>
      </c>
      <c r="R79" s="134" t="str">
        <f>IF(R78&gt;$C$12,"$\phi"&amp;IF(VLOOKUP(VLOOKUP(R78,tablas!$R$3:$T$66,2,TRUE)&amp;VLOOKUP(R78,tablas!$R$3:$T$66,3,TRUE),tablas!$Q$3:$R$66,2,FALSE)&lt;R78,VLOOKUP(R78+0.1,tablas!$R$3:$T$66,2,TRUE),VLOOKUP(R78,tablas!$R$3:$T$66,2,TRUE))&amp;"@"&amp;IF(VLOOKUP(VLOOKUP(R78,tablas!$R$3:$T$66,2,TRUE)&amp;VLOOKUP(R78,tablas!$R$3:$T$66,3,TRUE),tablas!$Q$3:$R$66,2,FALSE)&lt;R78,VLOOKUP(R78+0.1,tablas!$R$3:$T$66,3,TRUE),VLOOKUP(R78,tablas!$R$3:$T$66,3,TRUE))&amp;"$",$C$13)</f>
        <v>$\phi8@17$</v>
      </c>
      <c r="S79" s="134" t="str">
        <f>IF(S78&gt;$C$12,"$\phi"&amp;IF(VLOOKUP(VLOOKUP(S78,tablas!$R$3:$T$66,2,TRUE)&amp;VLOOKUP(S78,tablas!$R$3:$T$66,3,TRUE),tablas!$Q$3:$R$66,2,FALSE)&lt;S78,VLOOKUP(S78+0.1,tablas!$R$3:$T$66,2,TRUE),VLOOKUP(S78,tablas!$R$3:$T$66,2,TRUE))&amp;"@"&amp;IF(VLOOKUP(VLOOKUP(S78,tablas!$R$3:$T$66,2,TRUE)&amp;VLOOKUP(S78,tablas!$R$3:$T$66,3,TRUE),tablas!$Q$3:$R$66,2,FALSE)&lt;S78,VLOOKUP(S78+0.1,tablas!$R$3:$T$66,3,TRUE),VLOOKUP(S78,tablas!$R$3:$T$66,3,TRUE))&amp;"$",$C$13)</f>
        <v>$\phi8@17$</v>
      </c>
      <c r="T79" s="134" t="str">
        <f>IF(T78&gt;$C$12,"$\phi"&amp;IF(VLOOKUP(VLOOKUP(T78,tablas!$R$3:$T$66,2,TRUE)&amp;VLOOKUP(T78,tablas!$R$3:$T$66,3,TRUE),tablas!$Q$3:$R$66,2,FALSE)&lt;T78,VLOOKUP(T78+0.1,tablas!$R$3:$T$66,2,TRUE),VLOOKUP(T78,tablas!$R$3:$T$66,2,TRUE))&amp;"@"&amp;IF(VLOOKUP(VLOOKUP(T78,tablas!$R$3:$T$66,2,TRUE)&amp;VLOOKUP(T78,tablas!$R$3:$T$66,3,TRUE),tablas!$Q$3:$R$66,2,FALSE)&lt;T78,VLOOKUP(T78+0.1,tablas!$R$3:$T$66,3,TRUE),VLOOKUP(T78,tablas!$R$3:$T$66,3,TRUE))&amp;"$",$C$13)</f>
        <v>$\phi8@17$</v>
      </c>
      <c r="U79" s="134" t="str">
        <f>IF(U78&gt;$C$12,"$\phi"&amp;IF(VLOOKUP(VLOOKUP(U78,tablas!$R$3:$T$66,2,TRUE)&amp;VLOOKUP(U78,tablas!$R$3:$T$66,3,TRUE),tablas!$Q$3:$R$66,2,FALSE)&lt;U78,VLOOKUP(U78+0.1,tablas!$R$3:$T$66,2,TRUE),VLOOKUP(U78,tablas!$R$3:$T$66,2,TRUE))&amp;"@"&amp;IF(VLOOKUP(VLOOKUP(U78,tablas!$R$3:$T$66,2,TRUE)&amp;VLOOKUP(U78,tablas!$R$3:$T$66,3,TRUE),tablas!$Q$3:$R$66,2,FALSE)&lt;U78,VLOOKUP(U78+0.1,tablas!$R$3:$T$66,3,TRUE),VLOOKUP(U78,tablas!$R$3:$T$66,3,TRUE))&amp;"$",$C$13)</f>
        <v>$\phi8@17$</v>
      </c>
      <c r="V79" s="134" t="str">
        <f>IF(V78&gt;$C$12,"$\phi"&amp;IF(VLOOKUP(VLOOKUP(V78,tablas!$R$3:$T$66,2,TRUE)&amp;VLOOKUP(V78,tablas!$R$3:$T$66,3,TRUE),tablas!$Q$3:$R$66,2,FALSE)&lt;V78,VLOOKUP(V78+0.1,tablas!$R$3:$T$66,2,TRUE),VLOOKUP(V78,tablas!$R$3:$T$66,2,TRUE))&amp;"@"&amp;IF(VLOOKUP(VLOOKUP(V78,tablas!$R$3:$T$66,2,TRUE)&amp;VLOOKUP(V78,tablas!$R$3:$T$66,3,TRUE),tablas!$Q$3:$R$66,2,FALSE)&lt;V78,VLOOKUP(V78+0.1,tablas!$R$3:$T$66,3,TRUE),VLOOKUP(V78,tablas!$R$3:$T$66,3,TRUE))&amp;"$",$C$13)</f>
        <v>$\phi8@17$</v>
      </c>
      <c r="W79" s="134" t="str">
        <f>IF(W78&gt;$C$12,"$\phi"&amp;IF(VLOOKUP(VLOOKUP(W78,tablas!$R$3:$T$66,2,TRUE)&amp;VLOOKUP(W78,tablas!$R$3:$T$66,3,TRUE),tablas!$Q$3:$R$66,2,FALSE)&lt;W78,VLOOKUP(W78+0.1,tablas!$R$3:$T$66,2,TRUE),VLOOKUP(W78,tablas!$R$3:$T$66,2,TRUE))&amp;"@"&amp;IF(VLOOKUP(VLOOKUP(W78,tablas!$R$3:$T$66,2,TRUE)&amp;VLOOKUP(W78,tablas!$R$3:$T$66,3,TRUE),tablas!$Q$3:$R$66,2,FALSE)&lt;W78,VLOOKUP(W78+0.1,tablas!$R$3:$T$66,3,TRUE),VLOOKUP(W78,tablas!$R$3:$T$66,3,TRUE))&amp;"$",$C$13)</f>
        <v>$\phi8@17$</v>
      </c>
    </row>
    <row r="80" spans="2:23" x14ac:dyDescent="0.25">
      <c r="B80" s="96" t="s">
        <v>103</v>
      </c>
      <c r="C80" s="89">
        <f>IF(C53&lt;=2,C67/C58,IF(OR(C51=6,C51="5a",C51="3a"),C66*C48^2/12,(IF(OR(C51="2a",C51=4,C51="5b"),C66*C48^2/8,"-"))))</f>
        <v>2534.2024539877298</v>
      </c>
      <c r="D80" s="89">
        <f t="shared" ref="D80:W80" si="21">IF(D53&lt;=2,D67/D58,IF(OR(D51=6,D51="5a",D51="3a"),D66*D48^2/12,(IF(OR(D51="2a",D51=4,D51="5b"),D66*D48^2/8,"-"))))</f>
        <v>2818.181818181818</v>
      </c>
      <c r="E80" s="89">
        <f t="shared" si="21"/>
        <v>2818.181818181818</v>
      </c>
      <c r="F80" s="89">
        <f t="shared" si="21"/>
        <v>2982.8048780487807</v>
      </c>
      <c r="G80" s="89">
        <f t="shared" si="21"/>
        <v>2909.2282142857143</v>
      </c>
      <c r="H80" s="89">
        <f t="shared" si="21"/>
        <v>3288.6382978723404</v>
      </c>
      <c r="I80" s="89">
        <f t="shared" si="21"/>
        <v>3288.6382978723404</v>
      </c>
      <c r="J80" s="89">
        <f t="shared" si="21"/>
        <v>3421.7893939393934</v>
      </c>
      <c r="K80" s="89">
        <f t="shared" si="21"/>
        <v>2418.4905063291139</v>
      </c>
      <c r="L80" s="89">
        <f t="shared" si="21"/>
        <v>1925.2978723404258</v>
      </c>
      <c r="M80" s="89">
        <f t="shared" si="21"/>
        <v>2146.9148936170213</v>
      </c>
      <c r="N80" s="89">
        <f t="shared" si="21"/>
        <v>4341.0963414634152</v>
      </c>
      <c r="O80" s="89">
        <f t="shared" si="21"/>
        <v>545.38194444444446</v>
      </c>
      <c r="P80" s="89">
        <f t="shared" si="21"/>
        <v>227.0333333333333</v>
      </c>
      <c r="Q80" s="89">
        <f t="shared" si="21"/>
        <v>974.1583333333333</v>
      </c>
      <c r="R80" s="89">
        <f t="shared" si="21"/>
        <v>1428.5638297872338</v>
      </c>
      <c r="S80" s="89">
        <f t="shared" si="21"/>
        <v>2172.8938709677423</v>
      </c>
      <c r="T80" s="89">
        <f t="shared" si="21"/>
        <v>276.07350000000002</v>
      </c>
      <c r="U80" s="89">
        <f t="shared" si="21"/>
        <v>670.04318181818178</v>
      </c>
      <c r="V80" s="89">
        <f t="shared" si="21"/>
        <v>630.30181818181802</v>
      </c>
      <c r="W80" s="89">
        <f t="shared" si="21"/>
        <v>296.53333333333336</v>
      </c>
    </row>
    <row r="81" spans="2:28" x14ac:dyDescent="0.25">
      <c r="B81" s="97" t="s">
        <v>15</v>
      </c>
      <c r="C81" s="90">
        <f>C80/(0.9*(0.9*($C$7/100))*($L$9*1000))</f>
        <v>5.2213701684297771</v>
      </c>
      <c r="D81" s="90">
        <f t="shared" ref="D81:W81" si="22">D80/(0.9*(0.9*($C$7/100))*($L$9*1000))</f>
        <v>5.8064699809248079</v>
      </c>
      <c r="E81" s="90">
        <f t="shared" si="22"/>
        <v>5.8064699809248079</v>
      </c>
      <c r="F81" s="90">
        <f t="shared" si="22"/>
        <v>6.1456528005422451</v>
      </c>
      <c r="G81" s="90">
        <f t="shared" si="22"/>
        <v>5.9940583623549788</v>
      </c>
      <c r="H81" s="90">
        <f t="shared" si="22"/>
        <v>6.7757798419957878</v>
      </c>
      <c r="I81" s="90">
        <f t="shared" si="22"/>
        <v>6.7757798419957878</v>
      </c>
      <c r="J81" s="90">
        <f t="shared" si="22"/>
        <v>7.050119076339219</v>
      </c>
      <c r="K81" s="90">
        <f t="shared" si="22"/>
        <v>4.9829618634086463</v>
      </c>
      <c r="L81" s="90">
        <f t="shared" si="22"/>
        <v>3.9668073322875466</v>
      </c>
      <c r="M81" s="90">
        <f t="shared" si="22"/>
        <v>4.4234182482343138</v>
      </c>
      <c r="N81" s="90">
        <f t="shared" si="22"/>
        <v>8.9442226290680047</v>
      </c>
      <c r="O81" s="90">
        <f>O80/(0.9*(0.9*($C$7/100))*($L$9*1000))</f>
        <v>1.1236833152937338</v>
      </c>
      <c r="P81" s="90">
        <f t="shared" si="22"/>
        <v>0.46777047036652414</v>
      </c>
      <c r="Q81" s="90">
        <f t="shared" si="22"/>
        <v>2.0071171713175859</v>
      </c>
      <c r="R81" s="90">
        <f t="shared" si="22"/>
        <v>2.9433562234980659</v>
      </c>
      <c r="S81" s="90">
        <f t="shared" si="22"/>
        <v>4.476944302213119</v>
      </c>
      <c r="T81" s="90">
        <f t="shared" si="22"/>
        <v>0.56881088364733212</v>
      </c>
      <c r="U81" s="90">
        <f t="shared" si="22"/>
        <v>1.3805303816986054</v>
      </c>
      <c r="V81" s="90">
        <f t="shared" si="22"/>
        <v>1.2986488531659863</v>
      </c>
      <c r="W81" s="90">
        <f t="shared" si="22"/>
        <v>0.61096551231546026</v>
      </c>
    </row>
    <row r="82" spans="2:28" x14ac:dyDescent="0.25">
      <c r="B82" s="97" t="s">
        <v>98</v>
      </c>
      <c r="C82" s="92">
        <f>(C81*($L$9))/(0.85*$L$6*100)</f>
        <v>7.36446344402025E-2</v>
      </c>
      <c r="D82" s="92">
        <f t="shared" ref="D82:W82" si="23">(D81*($L$9))/(0.85*$L$6*100)</f>
        <v>8.189715445166644E-2</v>
      </c>
      <c r="E82" s="92">
        <f t="shared" si="23"/>
        <v>8.189715445166644E-2</v>
      </c>
      <c r="F82" s="92">
        <f t="shared" si="23"/>
        <v>8.6681146766586947E-2</v>
      </c>
      <c r="G82" s="92">
        <f t="shared" si="23"/>
        <v>8.4542988271146188E-2</v>
      </c>
      <c r="H82" s="92">
        <f t="shared" si="23"/>
        <v>9.5568751767151017E-2</v>
      </c>
      <c r="I82" s="92">
        <f t="shared" si="23"/>
        <v>9.5568751767151017E-2</v>
      </c>
      <c r="J82" s="92">
        <f t="shared" si="23"/>
        <v>9.943815998263919E-2</v>
      </c>
      <c r="K82" s="92">
        <f t="shared" si="23"/>
        <v>7.0282012771095762E-2</v>
      </c>
      <c r="L82" s="92">
        <f t="shared" si="23"/>
        <v>5.5949696431671449E-2</v>
      </c>
      <c r="M82" s="92">
        <f t="shared" si="23"/>
        <v>6.2389949258338656E-2</v>
      </c>
      <c r="N82" s="92">
        <f t="shared" si="23"/>
        <v>0.12615347784613962</v>
      </c>
      <c r="O82" s="92">
        <f t="shared" si="23"/>
        <v>1.58489523462092E-2</v>
      </c>
      <c r="P82" s="92">
        <f t="shared" si="23"/>
        <v>6.5976523749175274E-3</v>
      </c>
      <c r="Q82" s="92">
        <f t="shared" si="23"/>
        <v>2.8309314527069591E-2</v>
      </c>
      <c r="R82" s="92">
        <f t="shared" si="23"/>
        <v>4.1514465765601333E-2</v>
      </c>
      <c r="S82" s="92">
        <f t="shared" si="23"/>
        <v>6.3144905630160328E-2</v>
      </c>
      <c r="T82" s="92">
        <f t="shared" si="23"/>
        <v>8.0227733795043051E-3</v>
      </c>
      <c r="U82" s="92">
        <f t="shared" si="23"/>
        <v>1.9471642885714392E-2</v>
      </c>
      <c r="V82" s="92">
        <f t="shared" si="23"/>
        <v>1.8316747706542829E-2</v>
      </c>
      <c r="W82" s="92">
        <f t="shared" si="23"/>
        <v>8.6173418774433026E-3</v>
      </c>
    </row>
    <row r="83" spans="2:28" ht="15.75" thickBot="1" x14ac:dyDescent="0.3">
      <c r="B83" s="97" t="s">
        <v>15</v>
      </c>
      <c r="C83" s="76">
        <f>ROUNDUP(C80/(0.9*(($C$7-C82/2)/100)*($L$9*1000)),2)</f>
        <v>4.72</v>
      </c>
      <c r="D83" s="76">
        <f t="shared" ref="D83:W83" si="24">ROUNDUP(D80/(0.9*(($C$7-D82/2)/100)*($L$9*1000)),2)</f>
        <v>5.25</v>
      </c>
      <c r="E83" s="76">
        <f t="shared" si="24"/>
        <v>5.25</v>
      </c>
      <c r="F83" s="76">
        <f t="shared" si="24"/>
        <v>5.55</v>
      </c>
      <c r="G83" s="76">
        <f t="shared" si="24"/>
        <v>5.42</v>
      </c>
      <c r="H83" s="76">
        <f t="shared" si="24"/>
        <v>6.12</v>
      </c>
      <c r="I83" s="76">
        <f t="shared" si="24"/>
        <v>6.12</v>
      </c>
      <c r="J83" s="76">
        <f t="shared" si="24"/>
        <v>6.37</v>
      </c>
      <c r="K83" s="76">
        <f t="shared" si="24"/>
        <v>4.5</v>
      </c>
      <c r="L83" s="76">
        <f t="shared" si="24"/>
        <v>3.5799999999999996</v>
      </c>
      <c r="M83" s="76">
        <f t="shared" si="24"/>
        <v>3.9899999999999998</v>
      </c>
      <c r="N83" s="76">
        <f t="shared" si="24"/>
        <v>8.09</v>
      </c>
      <c r="O83" s="76">
        <f t="shared" si="24"/>
        <v>1.02</v>
      </c>
      <c r="P83" s="76">
        <f t="shared" si="24"/>
        <v>0.43</v>
      </c>
      <c r="Q83" s="76">
        <f t="shared" si="24"/>
        <v>1.81</v>
      </c>
      <c r="R83" s="76">
        <f t="shared" si="24"/>
        <v>2.6599999999999997</v>
      </c>
      <c r="S83" s="76">
        <f t="shared" si="24"/>
        <v>4.04</v>
      </c>
      <c r="T83" s="76">
        <f t="shared" si="24"/>
        <v>0.52</v>
      </c>
      <c r="U83" s="76">
        <f t="shared" si="24"/>
        <v>1.25</v>
      </c>
      <c r="V83" s="76">
        <f t="shared" si="24"/>
        <v>1.17</v>
      </c>
      <c r="W83" s="76">
        <f t="shared" si="24"/>
        <v>0.56000000000000005</v>
      </c>
    </row>
    <row r="84" spans="2:28" ht="16.5" thickBot="1" x14ac:dyDescent="0.3">
      <c r="B84" s="61" t="s">
        <v>105</v>
      </c>
      <c r="C84" s="134" t="str">
        <f>IF(C83&gt;$C$12,"$\phi"&amp;IF(VLOOKUP(VLOOKUP(C83,tablas!$R$3:$T$66,2,TRUE)&amp;VLOOKUP(C83,tablas!$R$3:$T$66,3,TRUE),tablas!$Q$3:$R$66,2,FALSE)&lt;C83,VLOOKUP(C83+0.1,tablas!$R$3:$T$66,2,TRUE),VLOOKUP(C83,tablas!$R$3:$T$66,2,TRUE))&amp;"@"&amp;IF(VLOOKUP(VLOOKUP(C83,tablas!$R$3:$T$66,2,TRUE)&amp;VLOOKUP(C83,tablas!$R$3:$T$66,3,TRUE),tablas!$Q$3:$R$66,2,FALSE)&lt;C83,VLOOKUP(C83+0.1,tablas!$R$3:$T$66,3,TRUE),VLOOKUP(C83,tablas!$R$3:$T$66,3,TRUE))&amp;"$",$C$13)</f>
        <v>$\phi12@24$</v>
      </c>
      <c r="D84" s="134" t="str">
        <f>IF(D83&gt;$C$12,"$\phi"&amp;IF(VLOOKUP(VLOOKUP(D83,tablas!$R$3:$T$66,2,TRUE)&amp;VLOOKUP(D83,tablas!$R$3:$T$66,3,TRUE),tablas!$Q$3:$R$66,2,FALSE)&lt;D83,VLOOKUP(D83+0.1,tablas!$R$3:$T$66,2,TRUE),VLOOKUP(D83,tablas!$R$3:$T$66,2,TRUE))&amp;"@"&amp;IF(VLOOKUP(VLOOKUP(D83,tablas!$R$3:$T$66,2,TRUE)&amp;VLOOKUP(D83,tablas!$R$3:$T$66,3,TRUE),tablas!$Q$3:$R$66,2,FALSE)&lt;D83,VLOOKUP(D83+0.1,tablas!$R$3:$T$66,3,TRUE),VLOOKUP(D83,tablas!$R$3:$T$66,3,TRUE))&amp;"$",$C$13)</f>
        <v>$\phi10@15$</v>
      </c>
      <c r="E84" s="134" t="str">
        <f>IF(E83&gt;$C$12,"$\phi"&amp;IF(VLOOKUP(VLOOKUP(E83,tablas!$R$3:$T$66,2,TRUE)&amp;VLOOKUP(E83,tablas!$R$3:$T$66,3,TRUE),tablas!$Q$3:$R$66,2,FALSE)&lt;E83,VLOOKUP(E83+0.1,tablas!$R$3:$T$66,2,TRUE),VLOOKUP(E83,tablas!$R$3:$T$66,2,TRUE))&amp;"@"&amp;IF(VLOOKUP(VLOOKUP(E83,tablas!$R$3:$T$66,2,TRUE)&amp;VLOOKUP(E83,tablas!$R$3:$T$66,3,TRUE),tablas!$Q$3:$R$66,2,FALSE)&lt;E83,VLOOKUP(E83+0.1,tablas!$R$3:$T$66,3,TRUE),VLOOKUP(E83,tablas!$R$3:$T$66,3,TRUE))&amp;"$",$C$13)</f>
        <v>$\phi10@15$</v>
      </c>
      <c r="F84" s="134" t="str">
        <f>IF(F83&gt;$C$12,"$\phi"&amp;IF(VLOOKUP(VLOOKUP(F83,tablas!$R$3:$T$66,2,TRUE)&amp;VLOOKUP(F83,tablas!$R$3:$T$66,3,TRUE),tablas!$Q$3:$R$66,2,FALSE)&lt;F83,VLOOKUP(F83+0.1,tablas!$R$3:$T$66,2,TRUE),VLOOKUP(F83,tablas!$R$3:$T$66,2,TRUE))&amp;"@"&amp;IF(VLOOKUP(VLOOKUP(F83,tablas!$R$3:$T$66,2,TRUE)&amp;VLOOKUP(F83,tablas!$R$3:$T$66,3,TRUE),tablas!$Q$3:$R$66,2,FALSE)&lt;F83,VLOOKUP(F83+0.1,tablas!$R$3:$T$66,3,TRUE),VLOOKUP(F83,tablas!$R$3:$T$66,3,TRUE))&amp;"$",$C$13)</f>
        <v>$\phi10@14$</v>
      </c>
      <c r="G84" s="134" t="str">
        <f>IF(G83&gt;$C$12,"$\phi"&amp;IF(VLOOKUP(VLOOKUP(G83,tablas!$R$3:$T$66,2,TRUE)&amp;VLOOKUP(G83,tablas!$R$3:$T$66,3,TRUE),tablas!$Q$3:$R$66,2,FALSE)&lt;G83,VLOOKUP(G83+0.1,tablas!$R$3:$T$66,2,TRUE),VLOOKUP(G83,tablas!$R$3:$T$66,2,TRUE))&amp;"@"&amp;IF(VLOOKUP(VLOOKUP(G83,tablas!$R$3:$T$66,2,TRUE)&amp;VLOOKUP(G83,tablas!$R$3:$T$66,3,TRUE),tablas!$Q$3:$R$66,2,FALSE)&lt;G83,VLOOKUP(G83+0.1,tablas!$R$3:$T$66,3,TRUE),VLOOKUP(G83,tablas!$R$3:$T$66,3,TRUE))&amp;"$",$C$13)</f>
        <v>$\phi12@21$</v>
      </c>
      <c r="H84" s="134" t="str">
        <f>IF(H83&gt;$C$12,"$\phi"&amp;IF(VLOOKUP(VLOOKUP(H83,tablas!$R$3:$T$66,2,TRUE)&amp;VLOOKUP(H83,tablas!$R$3:$T$66,3,TRUE),tablas!$Q$3:$R$66,2,FALSE)&lt;H83,VLOOKUP(H83+0.1,tablas!$R$3:$T$66,2,TRUE),VLOOKUP(H83,tablas!$R$3:$T$66,2,TRUE))&amp;"@"&amp;IF(VLOOKUP(VLOOKUP(H83,tablas!$R$3:$T$66,2,TRUE)&amp;VLOOKUP(H83,tablas!$R$3:$T$66,3,TRUE),tablas!$Q$3:$R$66,2,FALSE)&lt;H83,VLOOKUP(H83+0.1,tablas!$R$3:$T$66,3,TRUE),VLOOKUP(H83,tablas!$R$3:$T$66,3,TRUE))&amp;"$",$C$13)</f>
        <v>$\phi10@13$</v>
      </c>
      <c r="I84" s="134" t="str">
        <f>IF(I83&gt;$C$12,"$\phi"&amp;IF(VLOOKUP(VLOOKUP(I83,tablas!$R$3:$T$66,2,TRUE)&amp;VLOOKUP(I83,tablas!$R$3:$T$66,3,TRUE),tablas!$Q$3:$R$66,2,FALSE)&lt;I83,VLOOKUP(I83+0.1,tablas!$R$3:$T$66,2,TRUE),VLOOKUP(I83,tablas!$R$3:$T$66,2,TRUE))&amp;"@"&amp;IF(VLOOKUP(VLOOKUP(I83,tablas!$R$3:$T$66,2,TRUE)&amp;VLOOKUP(I83,tablas!$R$3:$T$66,3,TRUE),tablas!$Q$3:$R$66,2,FALSE)&lt;I83,VLOOKUP(I83+0.1,tablas!$R$3:$T$66,3,TRUE),VLOOKUP(I83,tablas!$R$3:$T$66,3,TRUE))&amp;"$",$C$13)</f>
        <v>$\phi10@13$</v>
      </c>
      <c r="J84" s="134" t="str">
        <f>IF(J83&gt;$C$12,"$\phi"&amp;IF(VLOOKUP(VLOOKUP(J83,tablas!$R$3:$T$66,2,TRUE)&amp;VLOOKUP(J83,tablas!$R$3:$T$66,3,TRUE),tablas!$Q$3:$R$66,2,FALSE)&lt;J83,VLOOKUP(J83+0.1,tablas!$R$3:$T$66,2,TRUE),VLOOKUP(J83,tablas!$R$3:$T$66,2,TRUE))&amp;"@"&amp;IF(VLOOKUP(VLOOKUP(J83,tablas!$R$3:$T$66,2,TRUE)&amp;VLOOKUP(J83,tablas!$R$3:$T$66,3,TRUE),tablas!$Q$3:$R$66,2,FALSE)&lt;J83,VLOOKUP(J83+0.1,tablas!$R$3:$T$66,3,TRUE),VLOOKUP(J83,tablas!$R$3:$T$66,3,TRUE))&amp;"$",$C$13)</f>
        <v>$\phi12@18$</v>
      </c>
      <c r="K84" s="134" t="str">
        <f>IF(K83&gt;$C$12,"$\phi"&amp;IF(VLOOKUP(VLOOKUP(K83,tablas!$R$3:$T$66,2,TRUE)&amp;VLOOKUP(K83,tablas!$R$3:$T$66,3,TRUE),tablas!$Q$3:$R$66,2,FALSE)&lt;K83,VLOOKUP(K83+0.1,tablas!$R$3:$T$66,2,TRUE),VLOOKUP(K83,tablas!$R$3:$T$66,2,TRUE))&amp;"@"&amp;IF(VLOOKUP(VLOOKUP(K83,tablas!$R$3:$T$66,2,TRUE)&amp;VLOOKUP(K83,tablas!$R$3:$T$66,3,TRUE),tablas!$Q$3:$R$66,2,FALSE)&lt;K83,VLOOKUP(K83+0.1,tablas!$R$3:$T$66,3,TRUE),VLOOKUP(K83,tablas!$R$3:$T$66,3,TRUE))&amp;"$",$C$13)</f>
        <v>$\phi8@11$</v>
      </c>
      <c r="L84" s="134" t="str">
        <f>IF(L83&gt;$C$12,"$\phi"&amp;IF(VLOOKUP(VLOOKUP(L83,tablas!$R$3:$T$66,2,TRUE)&amp;VLOOKUP(L83,tablas!$R$3:$T$66,3,TRUE),tablas!$Q$3:$R$66,2,FALSE)&lt;L83,VLOOKUP(L83+0.1,tablas!$R$3:$T$66,2,TRUE),VLOOKUP(L83,tablas!$R$3:$T$66,2,TRUE))&amp;"@"&amp;IF(VLOOKUP(VLOOKUP(L83,tablas!$R$3:$T$66,2,TRUE)&amp;VLOOKUP(L83,tablas!$R$3:$T$66,3,TRUE),tablas!$Q$3:$R$66,2,FALSE)&lt;L83,VLOOKUP(L83+0.1,tablas!$R$3:$T$66,3,TRUE),VLOOKUP(L83,tablas!$R$3:$T$66,3,TRUE))&amp;"$",$C$13)</f>
        <v>$\phi8@14$</v>
      </c>
      <c r="M84" s="134" t="str">
        <f>IF(M83&gt;$C$12,"$\phi"&amp;IF(VLOOKUP(VLOOKUP(M83,tablas!$R$3:$T$66,2,TRUE)&amp;VLOOKUP(M83,tablas!$R$3:$T$66,3,TRUE),tablas!$Q$3:$R$66,2,FALSE)&lt;M83,VLOOKUP(M83+0.1,tablas!$R$3:$T$66,2,TRUE),VLOOKUP(M83,tablas!$R$3:$T$66,2,TRUE))&amp;"@"&amp;IF(VLOOKUP(VLOOKUP(M83,tablas!$R$3:$T$66,2,TRUE)&amp;VLOOKUP(M83,tablas!$R$3:$T$66,3,TRUE),tablas!$Q$3:$R$66,2,FALSE)&lt;M83,VLOOKUP(M83+0.1,tablas!$R$3:$T$66,3,TRUE),VLOOKUP(M83,tablas!$R$3:$T$66,3,TRUE))&amp;"$",$C$13)</f>
        <v>$\phi10@20$</v>
      </c>
      <c r="N84" s="134" t="str">
        <f>IF(N83&gt;$C$12,"$\phi"&amp;IF(VLOOKUP(VLOOKUP(N83,tablas!$R$3:$T$66,2,TRUE)&amp;VLOOKUP(N83,tablas!$R$3:$T$66,3,TRUE),tablas!$Q$3:$R$66,2,FALSE)&lt;N83,VLOOKUP(N83+0.1,tablas!$R$3:$T$66,2,TRUE),VLOOKUP(N83,tablas!$R$3:$T$66,2,TRUE))&amp;"@"&amp;IF(VLOOKUP(VLOOKUP(N83,tablas!$R$3:$T$66,2,TRUE)&amp;VLOOKUP(N83,tablas!$R$3:$T$66,3,TRUE),tablas!$Q$3:$R$66,2,FALSE)&lt;N83,VLOOKUP(N83+0.1,tablas!$R$3:$T$66,3,TRUE),VLOOKUP(N83,tablas!$R$3:$T$66,3,TRUE))&amp;"$",$C$13)</f>
        <v>$\phi12@14$</v>
      </c>
      <c r="O84" s="134" t="str">
        <f>IF(O83&gt;$C$12,"$\phi"&amp;IF(VLOOKUP(VLOOKUP(O83,tablas!$R$3:$T$66,2,TRUE)&amp;VLOOKUP(O83,tablas!$R$3:$T$66,3,TRUE),tablas!$Q$3:$R$66,2,FALSE)&lt;O83,VLOOKUP(O83+0.1,tablas!$R$3:$T$66,2,TRUE),VLOOKUP(O83,tablas!$R$3:$T$66,2,TRUE))&amp;"@"&amp;IF(VLOOKUP(VLOOKUP(O83,tablas!$R$3:$T$66,2,TRUE)&amp;VLOOKUP(O83,tablas!$R$3:$T$66,3,TRUE),tablas!$Q$3:$R$66,2,FALSE)&lt;O83,VLOOKUP(O83+0.1,tablas!$R$3:$T$66,3,TRUE),VLOOKUP(O83,tablas!$R$3:$T$66,3,TRUE))&amp;"$",$C$13)</f>
        <v>$\phi8@17$</v>
      </c>
      <c r="P84" s="134" t="str">
        <f>IF(P83&gt;$C$12,"$\phi"&amp;IF(VLOOKUP(VLOOKUP(P83,tablas!$R$3:$T$66,2,TRUE)&amp;VLOOKUP(P83,tablas!$R$3:$T$66,3,TRUE),tablas!$Q$3:$R$66,2,FALSE)&lt;P83,VLOOKUP(P83+0.1,tablas!$R$3:$T$66,2,TRUE),VLOOKUP(P83,tablas!$R$3:$T$66,2,TRUE))&amp;"@"&amp;IF(VLOOKUP(VLOOKUP(P83,tablas!$R$3:$T$66,2,TRUE)&amp;VLOOKUP(P83,tablas!$R$3:$T$66,3,TRUE),tablas!$Q$3:$R$66,2,FALSE)&lt;P83,VLOOKUP(P83+0.1,tablas!$R$3:$T$66,3,TRUE),VLOOKUP(P83,tablas!$R$3:$T$66,3,TRUE))&amp;"$",$C$13)</f>
        <v>$\phi8@17$</v>
      </c>
      <c r="Q84" s="134" t="str">
        <f>IF(Q83&gt;$C$12,"$\phi"&amp;IF(VLOOKUP(VLOOKUP(Q83,tablas!$R$3:$T$66,2,TRUE)&amp;VLOOKUP(Q83,tablas!$R$3:$T$66,3,TRUE),tablas!$Q$3:$R$66,2,FALSE)&lt;Q83,VLOOKUP(Q83+0.1,tablas!$R$3:$T$66,2,TRUE),VLOOKUP(Q83,tablas!$R$3:$T$66,2,TRUE))&amp;"@"&amp;IF(VLOOKUP(VLOOKUP(Q83,tablas!$R$3:$T$66,2,TRUE)&amp;VLOOKUP(Q83,tablas!$R$3:$T$66,3,TRUE),tablas!$Q$3:$R$66,2,FALSE)&lt;Q83,VLOOKUP(Q83+0.1,tablas!$R$3:$T$66,3,TRUE),VLOOKUP(Q83,tablas!$R$3:$T$66,3,TRUE))&amp;"$",$C$13)</f>
        <v>$\phi8@17$</v>
      </c>
      <c r="R84" s="134" t="str">
        <f>IF(R83&gt;$C$12,"$\phi"&amp;IF(VLOOKUP(VLOOKUP(R83,tablas!$R$3:$T$66,2,TRUE)&amp;VLOOKUP(R83,tablas!$R$3:$T$66,3,TRUE),tablas!$Q$3:$R$66,2,FALSE)&lt;R83,VLOOKUP(R83+0.1,tablas!$R$3:$T$66,2,TRUE),VLOOKUP(R83,tablas!$R$3:$T$66,2,TRUE))&amp;"@"&amp;IF(VLOOKUP(VLOOKUP(R83,tablas!$R$3:$T$66,2,TRUE)&amp;VLOOKUP(R83,tablas!$R$3:$T$66,3,TRUE),tablas!$Q$3:$R$66,2,FALSE)&lt;R83,VLOOKUP(R83+0.1,tablas!$R$3:$T$66,3,TRUE),VLOOKUP(R83,tablas!$R$3:$T$66,3,TRUE))&amp;"$",$C$13)</f>
        <v>$\phi8@17$</v>
      </c>
      <c r="S84" s="134" t="str">
        <f>IF(S83&gt;$C$12,"$\phi"&amp;IF(VLOOKUP(VLOOKUP(S83,tablas!$R$3:$T$66,2,TRUE)&amp;VLOOKUP(S83,tablas!$R$3:$T$66,3,TRUE),tablas!$Q$3:$R$66,2,FALSE)&lt;S83,VLOOKUP(S83+0.1,tablas!$R$3:$T$66,2,TRUE),VLOOKUP(S83,tablas!$R$3:$T$66,2,TRUE))&amp;"@"&amp;IF(VLOOKUP(VLOOKUP(S83,tablas!$R$3:$T$66,2,TRUE)&amp;VLOOKUP(S83,tablas!$R$3:$T$66,3,TRUE),tablas!$Q$3:$R$66,2,FALSE)&lt;S83,VLOOKUP(S83+0.1,tablas!$R$3:$T$66,3,TRUE),VLOOKUP(S83,tablas!$R$3:$T$66,3,TRUE))&amp;"$",$C$13)</f>
        <v>$\phi10@19$</v>
      </c>
      <c r="T84" s="134" t="str">
        <f>IF(T83&gt;$C$12,"$\phi"&amp;IF(VLOOKUP(VLOOKUP(T83,tablas!$R$3:$T$66,2,TRUE)&amp;VLOOKUP(T83,tablas!$R$3:$T$66,3,TRUE),tablas!$Q$3:$R$66,2,FALSE)&lt;T83,VLOOKUP(T83+0.1,tablas!$R$3:$T$66,2,TRUE),VLOOKUP(T83,tablas!$R$3:$T$66,2,TRUE))&amp;"@"&amp;IF(VLOOKUP(VLOOKUP(T83,tablas!$R$3:$T$66,2,TRUE)&amp;VLOOKUP(T83,tablas!$R$3:$T$66,3,TRUE),tablas!$Q$3:$R$66,2,FALSE)&lt;T83,VLOOKUP(T83+0.1,tablas!$R$3:$T$66,3,TRUE),VLOOKUP(T83,tablas!$R$3:$T$66,3,TRUE))&amp;"$",$C$13)</f>
        <v>$\phi8@17$</v>
      </c>
      <c r="U84" s="134" t="str">
        <f>IF(U83&gt;$C$12,"$\phi"&amp;IF(VLOOKUP(VLOOKUP(U83,tablas!$R$3:$T$66,2,TRUE)&amp;VLOOKUP(U83,tablas!$R$3:$T$66,3,TRUE),tablas!$Q$3:$R$66,2,FALSE)&lt;U83,VLOOKUP(U83+0.1,tablas!$R$3:$T$66,2,TRUE),VLOOKUP(U83,tablas!$R$3:$T$66,2,TRUE))&amp;"@"&amp;IF(VLOOKUP(VLOOKUP(U83,tablas!$R$3:$T$66,2,TRUE)&amp;VLOOKUP(U83,tablas!$R$3:$T$66,3,TRUE),tablas!$Q$3:$R$66,2,FALSE)&lt;U83,VLOOKUP(U83+0.1,tablas!$R$3:$T$66,3,TRUE),VLOOKUP(U83,tablas!$R$3:$T$66,3,TRUE))&amp;"$",$C$13)</f>
        <v>$\phi8@17$</v>
      </c>
      <c r="V84" s="134" t="str">
        <f>IF(V83&gt;$C$12,"$\phi"&amp;IF(VLOOKUP(VLOOKUP(V83,tablas!$R$3:$T$66,2,TRUE)&amp;VLOOKUP(V83,tablas!$R$3:$T$66,3,TRUE),tablas!$Q$3:$R$66,2,FALSE)&lt;V83,VLOOKUP(V83+0.1,tablas!$R$3:$T$66,2,TRUE),VLOOKUP(V83,tablas!$R$3:$T$66,2,TRUE))&amp;"@"&amp;IF(VLOOKUP(VLOOKUP(V83,tablas!$R$3:$T$66,2,TRUE)&amp;VLOOKUP(V83,tablas!$R$3:$T$66,3,TRUE),tablas!$Q$3:$R$66,2,FALSE)&lt;V83,VLOOKUP(V83+0.1,tablas!$R$3:$T$66,3,TRUE),VLOOKUP(V83,tablas!$R$3:$T$66,3,TRUE))&amp;"$",$C$13)</f>
        <v>$\phi8@17$</v>
      </c>
      <c r="W84" s="134" t="str">
        <f>IF(W83&gt;$C$12,"$\phi"&amp;IF(VLOOKUP(VLOOKUP(W83,tablas!$R$3:$T$66,2,TRUE)&amp;VLOOKUP(W83,tablas!$R$3:$T$66,3,TRUE),tablas!$Q$3:$R$66,2,FALSE)&lt;W83,VLOOKUP(W83+0.1,tablas!$R$3:$T$66,2,TRUE),VLOOKUP(W83,tablas!$R$3:$T$66,2,TRUE))&amp;"@"&amp;IF(VLOOKUP(VLOOKUP(W83,tablas!$R$3:$T$66,2,TRUE)&amp;VLOOKUP(W83,tablas!$R$3:$T$66,3,TRUE),tablas!$Q$3:$R$66,2,FALSE)&lt;W83,VLOOKUP(W83+0.1,tablas!$R$3:$T$66,3,TRUE),VLOOKUP(W83,tablas!$R$3:$T$66,3,TRUE))&amp;"$",$C$13)</f>
        <v>$\phi8@17$</v>
      </c>
    </row>
    <row r="85" spans="2:28" x14ac:dyDescent="0.25">
      <c r="B85" s="96" t="s">
        <v>104</v>
      </c>
      <c r="C85" s="89">
        <f>IF(C53&lt;=2,C67/C59,IF(OR(C51=6,C51="5a",C51="3a"),C66*C48^2/17.5,(IF(OR(C51="2a",C51=4,C51="5b"),C66*C48^2/11.25,IF(OR(C51=1,C51="2b",C51="3b"),C66*C48^2/8)))))</f>
        <v>2118.3333333333335</v>
      </c>
      <c r="D85" s="89">
        <f t="shared" ref="D85:W85" si="25">IF(D53&lt;=2,D67/D59,IF(OR(D51=6,D51="5a",D51="3a"),D66*D48^2/17.5,(IF(OR(D51="2a",D51=4,D51="5b"),D66*D48^2/11.25,IF(OR(D51=1,D51="2b",D51="3b"),D66*D48^2/8)))))</f>
        <v>2129.7709923664124</v>
      </c>
      <c r="E85" s="89">
        <f t="shared" si="25"/>
        <v>2129.7709923664124</v>
      </c>
      <c r="F85" s="89">
        <f t="shared" si="25"/>
        <v>2191.666666666667</v>
      </c>
      <c r="G85" s="89">
        <f t="shared" si="25"/>
        <v>2715.2796666666668</v>
      </c>
      <c r="H85" s="89">
        <f t="shared" si="25"/>
        <v>2699.8427947598257</v>
      </c>
      <c r="I85" s="89">
        <f t="shared" si="25"/>
        <v>2699.8427947598257</v>
      </c>
      <c r="J85" s="89">
        <f t="shared" si="25"/>
        <v>2585.9324427480915</v>
      </c>
      <c r="K85" s="89">
        <f t="shared" si="25"/>
        <v>2208.7947976878613</v>
      </c>
      <c r="L85" s="89">
        <f t="shared" si="25"/>
        <v>1580.5938864628824</v>
      </c>
      <c r="M85" s="89">
        <f t="shared" si="25"/>
        <v>1762.5327510917032</v>
      </c>
      <c r="N85" s="89">
        <f t="shared" si="25"/>
        <v>3189.6944444444448</v>
      </c>
      <c r="O85" s="89">
        <f t="shared" si="25"/>
        <v>422.23118279569894</v>
      </c>
      <c r="P85" s="89">
        <f t="shared" si="25"/>
        <v>155.67999999999998</v>
      </c>
      <c r="Q85" s="89">
        <f t="shared" si="25"/>
        <v>667.99428571428564</v>
      </c>
      <c r="R85" s="89">
        <f t="shared" si="25"/>
        <v>1323.0049261083741</v>
      </c>
      <c r="S85" s="89">
        <f t="shared" si="25"/>
        <v>1879.8058604651167</v>
      </c>
      <c r="T85" s="89">
        <f t="shared" si="25"/>
        <v>196.31893333333335</v>
      </c>
      <c r="U85" s="89">
        <f t="shared" si="25"/>
        <v>479.38048780487804</v>
      </c>
      <c r="V85" s="89">
        <f t="shared" si="25"/>
        <v>441.61273885350312</v>
      </c>
      <c r="W85" s="89">
        <f t="shared" si="25"/>
        <v>203.33714285714288</v>
      </c>
    </row>
    <row r="86" spans="2:28" x14ac:dyDescent="0.25">
      <c r="B86" s="97" t="s">
        <v>15</v>
      </c>
      <c r="C86" s="90">
        <f>C85/(0.9*(0.9*($C$7/100))*($L$9*1000))</f>
        <v>4.3645299356618139</v>
      </c>
      <c r="D86" s="91">
        <f>D85/(0.9*(0.9*($C$7/100))*($L$9*1000))</f>
        <v>4.3880956344393587</v>
      </c>
      <c r="E86" s="91">
        <f t="shared" ref="E86:W86" si="26">E85/(0.9*(0.9*($C$7/100))*($L$9*1000))</f>
        <v>4.3880956344393587</v>
      </c>
      <c r="F86" s="91">
        <f t="shared" si="26"/>
        <v>4.5156230254880301</v>
      </c>
      <c r="G86" s="91">
        <f t="shared" si="26"/>
        <v>5.5944544715313134</v>
      </c>
      <c r="H86" s="91">
        <f t="shared" si="26"/>
        <v>5.5626489532541843</v>
      </c>
      <c r="I86" s="91">
        <f t="shared" si="26"/>
        <v>5.5626489532541843</v>
      </c>
      <c r="J86" s="91">
        <f t="shared" si="26"/>
        <v>5.3279525844090285</v>
      </c>
      <c r="K86" s="91">
        <f t="shared" si="26"/>
        <v>4.5509131469281279</v>
      </c>
      <c r="L86" s="91">
        <f t="shared" si="26"/>
        <v>3.2565929190832259</v>
      </c>
      <c r="M86" s="91">
        <f t="shared" si="26"/>
        <v>3.6314525356683451</v>
      </c>
      <c r="N86" s="91">
        <f t="shared" si="26"/>
        <v>6.5719198528994296</v>
      </c>
      <c r="O86" s="91">
        <f t="shared" si="26"/>
        <v>0.86994837313063267</v>
      </c>
      <c r="P86" s="91">
        <f t="shared" si="26"/>
        <v>0.32075689396561657</v>
      </c>
      <c r="Q86" s="91">
        <f t="shared" si="26"/>
        <v>1.3763089174749159</v>
      </c>
      <c r="R86" s="91">
        <f t="shared" si="26"/>
        <v>2.7258668473775192</v>
      </c>
      <c r="S86" s="91">
        <f t="shared" si="26"/>
        <v>3.8730773963332101</v>
      </c>
      <c r="T86" s="91">
        <f t="shared" si="26"/>
        <v>0.40448773948254729</v>
      </c>
      <c r="U86" s="91">
        <f t="shared" si="26"/>
        <v>0.98769653324778284</v>
      </c>
      <c r="V86" s="91">
        <f t="shared" si="26"/>
        <v>0.9098813620908186</v>
      </c>
      <c r="W86" s="91">
        <f t="shared" si="26"/>
        <v>0.41894777987345849</v>
      </c>
    </row>
    <row r="87" spans="2:28" x14ac:dyDescent="0.25">
      <c r="B87" s="97" t="s">
        <v>98</v>
      </c>
      <c r="C87" s="92">
        <f>(C86*($L$9))/(0.85*$L$6*100)</f>
        <v>6.1559361096169274E-2</v>
      </c>
      <c r="D87" s="93">
        <f>(D86*($L$9))/(0.85*$L$6*100)</f>
        <v>6.1891742677213563E-2</v>
      </c>
      <c r="E87" s="93">
        <f t="shared" ref="E87:W87" si="27">(E86*($L$9))/(0.85*$L$6*100)</f>
        <v>6.1891742677213563E-2</v>
      </c>
      <c r="F87" s="93">
        <f t="shared" si="27"/>
        <v>6.3690448341040595E-2</v>
      </c>
      <c r="G87" s="93">
        <f t="shared" si="27"/>
        <v>7.8906789053069776E-2</v>
      </c>
      <c r="H87" s="93">
        <f t="shared" si="27"/>
        <v>7.8458189223687302E-2</v>
      </c>
      <c r="I87" s="93">
        <f t="shared" si="27"/>
        <v>7.8458189223687302E-2</v>
      </c>
      <c r="J87" s="93">
        <f t="shared" si="27"/>
        <v>7.5147922429628089E-2</v>
      </c>
      <c r="K87" s="93">
        <f t="shared" si="27"/>
        <v>6.4188196634873587E-2</v>
      </c>
      <c r="L87" s="93">
        <f t="shared" si="27"/>
        <v>4.5932501874035948E-2</v>
      </c>
      <c r="M87" s="93">
        <f t="shared" si="27"/>
        <v>5.1219696334356628E-2</v>
      </c>
      <c r="N87" s="93">
        <f t="shared" si="27"/>
        <v>9.2693415621715486E-2</v>
      </c>
      <c r="O87" s="93">
        <f t="shared" si="27"/>
        <v>1.2270156655129703E-2</v>
      </c>
      <c r="P87" s="93">
        <f t="shared" si="27"/>
        <v>4.5241044856577329E-3</v>
      </c>
      <c r="Q87" s="93">
        <f t="shared" si="27"/>
        <v>1.9412101389990579E-2</v>
      </c>
      <c r="R87" s="93">
        <f t="shared" si="27"/>
        <v>3.8446894403611084E-2</v>
      </c>
      <c r="S87" s="93">
        <f t="shared" si="27"/>
        <v>5.462768580097592E-2</v>
      </c>
      <c r="T87" s="93">
        <f t="shared" si="27"/>
        <v>5.705083292091951E-3</v>
      </c>
      <c r="U87" s="93">
        <f t="shared" si="27"/>
        <v>1.393093149547046E-2</v>
      </c>
      <c r="V87" s="93">
        <f t="shared" si="27"/>
        <v>1.2833390112864405E-2</v>
      </c>
      <c r="W87" s="93">
        <f t="shared" si="27"/>
        <v>5.9090344302468369E-3</v>
      </c>
    </row>
    <row r="88" spans="2:28" ht="15.75" thickBot="1" x14ac:dyDescent="0.3">
      <c r="B88" s="97" t="s">
        <v>15</v>
      </c>
      <c r="C88" s="76">
        <f>ROUNDUP(C85/(0.9*(($C$7-C87/2)/100)*($L$9*1000)),2)</f>
        <v>3.94</v>
      </c>
      <c r="D88" s="77">
        <f>ROUNDUP(D85/(0.9*(($C$7-D87/2)/100)*($L$9*1000)),2)</f>
        <v>3.96</v>
      </c>
      <c r="E88" s="77">
        <f t="shared" ref="E88:W88" si="28">ROUNDUP(E85/(0.9*(($C$7-E87/2)/100)*($L$9*1000)),2)</f>
        <v>3.96</v>
      </c>
      <c r="F88" s="77">
        <f t="shared" si="28"/>
        <v>4.08</v>
      </c>
      <c r="G88" s="77">
        <f t="shared" si="28"/>
        <v>5.05</v>
      </c>
      <c r="H88" s="77">
        <f t="shared" si="28"/>
        <v>5.0299999999999994</v>
      </c>
      <c r="I88" s="77">
        <f t="shared" si="28"/>
        <v>5.0299999999999994</v>
      </c>
      <c r="J88" s="77">
        <f t="shared" si="28"/>
        <v>4.8099999999999996</v>
      </c>
      <c r="K88" s="77">
        <f t="shared" si="28"/>
        <v>4.1099999999999994</v>
      </c>
      <c r="L88" s="77">
        <f t="shared" si="28"/>
        <v>2.94</v>
      </c>
      <c r="M88" s="77">
        <f t="shared" si="28"/>
        <v>3.28</v>
      </c>
      <c r="N88" s="77">
        <f t="shared" si="28"/>
        <v>5.9399999999999995</v>
      </c>
      <c r="O88" s="77">
        <f t="shared" si="28"/>
        <v>0.79</v>
      </c>
      <c r="P88" s="77">
        <f t="shared" si="28"/>
        <v>0.29000000000000004</v>
      </c>
      <c r="Q88" s="77">
        <f t="shared" si="28"/>
        <v>1.24</v>
      </c>
      <c r="R88" s="77">
        <f t="shared" si="28"/>
        <v>2.46</v>
      </c>
      <c r="S88" s="77">
        <f t="shared" si="28"/>
        <v>3.5</v>
      </c>
      <c r="T88" s="77">
        <f t="shared" si="28"/>
        <v>0.37</v>
      </c>
      <c r="U88" s="77">
        <f t="shared" si="28"/>
        <v>0.89</v>
      </c>
      <c r="V88" s="77">
        <f t="shared" si="28"/>
        <v>0.82000000000000006</v>
      </c>
      <c r="W88" s="77">
        <f t="shared" si="28"/>
        <v>0.38</v>
      </c>
    </row>
    <row r="89" spans="2:28" ht="16.5" thickBot="1" x14ac:dyDescent="0.3">
      <c r="B89" s="61" t="s">
        <v>106</v>
      </c>
      <c r="C89" s="134" t="str">
        <f>IF(C88&gt;$C$12,"$\phi"&amp;IF(VLOOKUP(VLOOKUP(C88,tablas!$R$3:$T$66,2,TRUE)&amp;VLOOKUP(C88,tablas!$R$3:$T$66,3,TRUE),tablas!$Q$3:$R$66,2,FALSE)&lt;C88,VLOOKUP(C88+0.1,tablas!$R$3:$T$66,2,TRUE),VLOOKUP(C88,tablas!$R$3:$T$66,2,TRUE))&amp;"@"&amp;IF(VLOOKUP(VLOOKUP(C88,tablas!$R$3:$T$66,2,TRUE)&amp;VLOOKUP(C88,tablas!$R$3:$T$66,3,TRUE),tablas!$Q$3:$R$66,2,FALSE)&lt;C88,VLOOKUP(C88+0.1,tablas!$R$3:$T$66,3,TRUE),VLOOKUP(C88,tablas!$R$3:$T$66,3,TRUE))&amp;"$",$C$13)</f>
        <v>$\phi10@20$</v>
      </c>
      <c r="D89" s="134" t="str">
        <f>IF(D88&gt;$C$12,"$\phi"&amp;IF(VLOOKUP(VLOOKUP(D88,tablas!$R$3:$T$66,2,TRUE)&amp;VLOOKUP(D88,tablas!$R$3:$T$66,3,TRUE),tablas!$Q$3:$R$66,2,FALSE)&lt;D88,VLOOKUP(D88+0.1,tablas!$R$3:$T$66,2,TRUE),VLOOKUP(D88,tablas!$R$3:$T$66,2,TRUE))&amp;"@"&amp;IF(VLOOKUP(VLOOKUP(D88,tablas!$R$3:$T$66,2,TRUE)&amp;VLOOKUP(D88,tablas!$R$3:$T$66,3,TRUE),tablas!$Q$3:$R$66,2,FALSE)&lt;D88,VLOOKUP(D88+0.1,tablas!$R$3:$T$66,3,TRUE),VLOOKUP(D88,tablas!$R$3:$T$66,3,TRUE))&amp;"$",$C$13)</f>
        <v>$\phi10@20$</v>
      </c>
      <c r="E89" s="134" t="str">
        <f>IF(E88&gt;$C$12,"$\phi"&amp;IF(VLOOKUP(VLOOKUP(E88,tablas!$R$3:$T$66,2,TRUE)&amp;VLOOKUP(E88,tablas!$R$3:$T$66,3,TRUE),tablas!$Q$3:$R$66,2,FALSE)&lt;E88,VLOOKUP(E88+0.1,tablas!$R$3:$T$66,2,TRUE),VLOOKUP(E88,tablas!$R$3:$T$66,2,TRUE))&amp;"@"&amp;IF(VLOOKUP(VLOOKUP(E88,tablas!$R$3:$T$66,2,TRUE)&amp;VLOOKUP(E88,tablas!$R$3:$T$66,3,TRUE),tablas!$Q$3:$R$66,2,FALSE)&lt;E88,VLOOKUP(E88+0.1,tablas!$R$3:$T$66,3,TRUE),VLOOKUP(E88,tablas!$R$3:$T$66,3,TRUE))&amp;"$",$C$13)</f>
        <v>$\phi10@20$</v>
      </c>
      <c r="F89" s="134" t="str">
        <f>IF(F88&gt;$C$12,"$\phi"&amp;IF(VLOOKUP(VLOOKUP(F88,tablas!$R$3:$T$66,2,TRUE)&amp;VLOOKUP(F88,tablas!$R$3:$T$66,3,TRUE),tablas!$Q$3:$R$66,2,FALSE)&lt;F88,VLOOKUP(F88+0.1,tablas!$R$3:$T$66,2,TRUE),VLOOKUP(F88,tablas!$R$3:$T$66,2,TRUE))&amp;"@"&amp;IF(VLOOKUP(VLOOKUP(F88,tablas!$R$3:$T$66,2,TRUE)&amp;VLOOKUP(F88,tablas!$R$3:$T$66,3,TRUE),tablas!$Q$3:$R$66,2,FALSE)&lt;F88,VLOOKUP(F88+0.1,tablas!$R$3:$T$66,3,TRUE),VLOOKUP(F88,tablas!$R$3:$T$66,3,TRUE))&amp;"$",$C$13)</f>
        <v>$\phi10@19$</v>
      </c>
      <c r="G89" s="134" t="str">
        <f>IF(G88&gt;$C$12,"$\phi"&amp;IF(VLOOKUP(VLOOKUP(G88,tablas!$R$3:$T$66,2,TRUE)&amp;VLOOKUP(G88,tablas!$R$3:$T$66,3,TRUE),tablas!$Q$3:$R$66,2,FALSE)&lt;G88,VLOOKUP(G88+0.1,tablas!$R$3:$T$66,2,TRUE),VLOOKUP(G88,tablas!$R$3:$T$66,2,TRUE))&amp;"@"&amp;IF(VLOOKUP(VLOOKUP(G88,tablas!$R$3:$T$66,2,TRUE)&amp;VLOOKUP(G88,tablas!$R$3:$T$66,3,TRUE),tablas!$Q$3:$R$66,2,FALSE)&lt;G88,VLOOKUP(G88+0.1,tablas!$R$3:$T$66,3,TRUE),VLOOKUP(G88,tablas!$R$3:$T$66,3,TRUE))&amp;"$",$C$13)</f>
        <v>$\phi12@22$</v>
      </c>
      <c r="H89" s="134" t="str">
        <f>IF(H88&gt;$C$12,"$\phi"&amp;IF(VLOOKUP(VLOOKUP(H88,tablas!$R$3:$T$66,2,TRUE)&amp;VLOOKUP(H88,tablas!$R$3:$T$66,3,TRUE),tablas!$Q$3:$R$66,2,FALSE)&lt;H88,VLOOKUP(H88+0.1,tablas!$R$3:$T$66,2,TRUE),VLOOKUP(H88,tablas!$R$3:$T$66,2,TRUE))&amp;"@"&amp;IF(VLOOKUP(VLOOKUP(H88,tablas!$R$3:$T$66,2,TRUE)&amp;VLOOKUP(H88,tablas!$R$3:$T$66,3,TRUE),tablas!$Q$3:$R$66,2,FALSE)&lt;H88,VLOOKUP(H88+0.1,tablas!$R$3:$T$66,3,TRUE),VLOOKUP(H88,tablas!$R$3:$T$66,3,TRUE))&amp;"$",$C$13)</f>
        <v>$\phi8@10$</v>
      </c>
      <c r="I89" s="134" t="str">
        <f>IF(I88&gt;$C$12,"$\phi"&amp;IF(VLOOKUP(VLOOKUP(I88,tablas!$R$3:$T$66,2,TRUE)&amp;VLOOKUP(I88,tablas!$R$3:$T$66,3,TRUE),tablas!$Q$3:$R$66,2,FALSE)&lt;I88,VLOOKUP(I88+0.1,tablas!$R$3:$T$66,2,TRUE),VLOOKUP(I88,tablas!$R$3:$T$66,2,TRUE))&amp;"@"&amp;IF(VLOOKUP(VLOOKUP(I88,tablas!$R$3:$T$66,2,TRUE)&amp;VLOOKUP(I88,tablas!$R$3:$T$66,3,TRUE),tablas!$Q$3:$R$66,2,FALSE)&lt;I88,VLOOKUP(I88+0.1,tablas!$R$3:$T$66,3,TRUE),VLOOKUP(I88,tablas!$R$3:$T$66,3,TRUE))&amp;"$",$C$13)</f>
        <v>$\phi8@10$</v>
      </c>
      <c r="J89" s="134" t="str">
        <f>IF(J88&gt;$C$12,"$\phi"&amp;IF(VLOOKUP(VLOOKUP(J88,tablas!$R$3:$T$66,2,TRUE)&amp;VLOOKUP(J88,tablas!$R$3:$T$66,3,TRUE),tablas!$Q$3:$R$66,2,FALSE)&lt;J88,VLOOKUP(J88+0.1,tablas!$R$3:$T$66,2,TRUE),VLOOKUP(J88,tablas!$R$3:$T$66,2,TRUE))&amp;"@"&amp;IF(VLOOKUP(VLOOKUP(J88,tablas!$R$3:$T$66,2,TRUE)&amp;VLOOKUP(J88,tablas!$R$3:$T$66,3,TRUE),tablas!$Q$3:$R$66,2,FALSE)&lt;J88,VLOOKUP(J88+0.1,tablas!$R$3:$T$66,3,TRUE),VLOOKUP(J88,tablas!$R$3:$T$66,3,TRUE))&amp;"$",$C$13)</f>
        <v>$\phi12@24$</v>
      </c>
      <c r="K89" s="134" t="str">
        <f>IF(K88&gt;$C$12,"$\phi"&amp;IF(VLOOKUP(VLOOKUP(K88,tablas!$R$3:$T$66,2,TRUE)&amp;VLOOKUP(K88,tablas!$R$3:$T$66,3,TRUE),tablas!$Q$3:$R$66,2,FALSE)&lt;K88,VLOOKUP(K88+0.1,tablas!$R$3:$T$66,2,TRUE),VLOOKUP(K88,tablas!$R$3:$T$66,2,TRUE))&amp;"@"&amp;IF(VLOOKUP(VLOOKUP(K88,tablas!$R$3:$T$66,2,TRUE)&amp;VLOOKUP(K88,tablas!$R$3:$T$66,3,TRUE),tablas!$Q$3:$R$66,2,FALSE)&lt;K88,VLOOKUP(K88+0.1,tablas!$R$3:$T$66,3,TRUE),VLOOKUP(K88,tablas!$R$3:$T$66,3,TRUE))&amp;"$",$C$13)</f>
        <v>$\phi8@12$</v>
      </c>
      <c r="L89" s="134" t="str">
        <f>IF(L88&gt;$C$12,"$\phi"&amp;IF(VLOOKUP(VLOOKUP(L88,tablas!$R$3:$T$66,2,TRUE)&amp;VLOOKUP(L88,tablas!$R$3:$T$66,3,TRUE),tablas!$Q$3:$R$66,2,FALSE)&lt;L88,VLOOKUP(L88+0.1,tablas!$R$3:$T$66,2,TRUE),VLOOKUP(L88,tablas!$R$3:$T$66,2,TRUE))&amp;"@"&amp;IF(VLOOKUP(VLOOKUP(L88,tablas!$R$3:$T$66,2,TRUE)&amp;VLOOKUP(L88,tablas!$R$3:$T$66,3,TRUE),tablas!$Q$3:$R$66,2,FALSE)&lt;L88,VLOOKUP(L88+0.1,tablas!$R$3:$T$66,3,TRUE),VLOOKUP(L88,tablas!$R$3:$T$66,3,TRUE))&amp;"$",$C$13)</f>
        <v>$\phi8@17$</v>
      </c>
      <c r="M89" s="134" t="str">
        <f>IF(M88&gt;$C$12,"$\phi"&amp;IF(VLOOKUP(VLOOKUP(M88,tablas!$R$3:$T$66,2,TRUE)&amp;VLOOKUP(M88,tablas!$R$3:$T$66,3,TRUE),tablas!$Q$3:$R$66,2,FALSE)&lt;M88,VLOOKUP(M88+0.1,tablas!$R$3:$T$66,2,TRUE),VLOOKUP(M88,tablas!$R$3:$T$66,2,TRUE))&amp;"@"&amp;IF(VLOOKUP(VLOOKUP(M88,tablas!$R$3:$T$66,2,TRUE)&amp;VLOOKUP(M88,tablas!$R$3:$T$66,3,TRUE),tablas!$Q$3:$R$66,2,FALSE)&lt;M88,VLOOKUP(M88+0.1,tablas!$R$3:$T$66,3,TRUE),VLOOKUP(M88,tablas!$R$3:$T$66,3,TRUE))&amp;"$",$C$13)</f>
        <v>$\phi8@15$</v>
      </c>
      <c r="N89" s="134" t="str">
        <f>IF(N88&gt;$C$12,"$\phi"&amp;IF(VLOOKUP(VLOOKUP(N88,tablas!$R$3:$T$66,2,TRUE)&amp;VLOOKUP(N88,tablas!$R$3:$T$66,3,TRUE),tablas!$Q$3:$R$66,2,FALSE)&lt;N88,VLOOKUP(N88+0.1,tablas!$R$3:$T$66,2,TRUE),VLOOKUP(N88,tablas!$R$3:$T$66,2,TRUE))&amp;"@"&amp;IF(VLOOKUP(VLOOKUP(N88,tablas!$R$3:$T$66,2,TRUE)&amp;VLOOKUP(N88,tablas!$R$3:$T$66,3,TRUE),tablas!$Q$3:$R$66,2,FALSE)&lt;N88,VLOOKUP(N88+0.1,tablas!$R$3:$T$66,3,TRUE),VLOOKUP(N88,tablas!$R$3:$T$66,3,TRUE))&amp;"$",$C$13)</f>
        <v>$\phi12@19$</v>
      </c>
      <c r="O89" s="134" t="str">
        <f>IF(O88&gt;$C$12,"$\phi"&amp;IF(VLOOKUP(VLOOKUP(O88,tablas!$R$3:$T$66,2,TRUE)&amp;VLOOKUP(O88,tablas!$R$3:$T$66,3,TRUE),tablas!$Q$3:$R$66,2,FALSE)&lt;O88,VLOOKUP(O88+0.1,tablas!$R$3:$T$66,2,TRUE),VLOOKUP(O88,tablas!$R$3:$T$66,2,TRUE))&amp;"@"&amp;IF(VLOOKUP(VLOOKUP(O88,tablas!$R$3:$T$66,2,TRUE)&amp;VLOOKUP(O88,tablas!$R$3:$T$66,3,TRUE),tablas!$Q$3:$R$66,2,FALSE)&lt;O88,VLOOKUP(O88+0.1,tablas!$R$3:$T$66,3,TRUE),VLOOKUP(O88,tablas!$R$3:$T$66,3,TRUE))&amp;"$",$C$13)</f>
        <v>$\phi8@17$</v>
      </c>
      <c r="P89" s="134" t="str">
        <f>IF(P88&gt;$C$12,"$\phi"&amp;IF(VLOOKUP(VLOOKUP(P88,tablas!$R$3:$T$66,2,TRUE)&amp;VLOOKUP(P88,tablas!$R$3:$T$66,3,TRUE),tablas!$Q$3:$R$66,2,FALSE)&lt;P88,VLOOKUP(P88+0.1,tablas!$R$3:$T$66,2,TRUE),VLOOKUP(P88,tablas!$R$3:$T$66,2,TRUE))&amp;"@"&amp;IF(VLOOKUP(VLOOKUP(P88,tablas!$R$3:$T$66,2,TRUE)&amp;VLOOKUP(P88,tablas!$R$3:$T$66,3,TRUE),tablas!$Q$3:$R$66,2,FALSE)&lt;P88,VLOOKUP(P88+0.1,tablas!$R$3:$T$66,3,TRUE),VLOOKUP(P88,tablas!$R$3:$T$66,3,TRUE))&amp;"$",$C$13)</f>
        <v>$\phi8@17$</v>
      </c>
      <c r="Q89" s="134" t="str">
        <f>IF(Q88&gt;$C$12,"$\phi"&amp;IF(VLOOKUP(VLOOKUP(Q88,tablas!$R$3:$T$66,2,TRUE)&amp;VLOOKUP(Q88,tablas!$R$3:$T$66,3,TRUE),tablas!$Q$3:$R$66,2,FALSE)&lt;Q88,VLOOKUP(Q88+0.1,tablas!$R$3:$T$66,2,TRUE),VLOOKUP(Q88,tablas!$R$3:$T$66,2,TRUE))&amp;"@"&amp;IF(VLOOKUP(VLOOKUP(Q88,tablas!$R$3:$T$66,2,TRUE)&amp;VLOOKUP(Q88,tablas!$R$3:$T$66,3,TRUE),tablas!$Q$3:$R$66,2,FALSE)&lt;Q88,VLOOKUP(Q88+0.1,tablas!$R$3:$T$66,3,TRUE),VLOOKUP(Q88,tablas!$R$3:$T$66,3,TRUE))&amp;"$",$C$13)</f>
        <v>$\phi8@17$</v>
      </c>
      <c r="R89" s="134" t="str">
        <f>IF(R88&gt;$C$12,"$\phi"&amp;IF(VLOOKUP(VLOOKUP(R88,tablas!$R$3:$T$66,2,TRUE)&amp;VLOOKUP(R88,tablas!$R$3:$T$66,3,TRUE),tablas!$Q$3:$R$66,2,FALSE)&lt;R88,VLOOKUP(R88+0.1,tablas!$R$3:$T$66,2,TRUE),VLOOKUP(R88,tablas!$R$3:$T$66,2,TRUE))&amp;"@"&amp;IF(VLOOKUP(VLOOKUP(R88,tablas!$R$3:$T$66,2,TRUE)&amp;VLOOKUP(R88,tablas!$R$3:$T$66,3,TRUE),tablas!$Q$3:$R$66,2,FALSE)&lt;R88,VLOOKUP(R88+0.1,tablas!$R$3:$T$66,3,TRUE),VLOOKUP(R88,tablas!$R$3:$T$66,3,TRUE))&amp;"$",$C$13)</f>
        <v>$\phi8@17$</v>
      </c>
      <c r="S89" s="134" t="str">
        <f>IF(S88&gt;$C$12,"$\phi"&amp;IF(VLOOKUP(VLOOKUP(S88,tablas!$R$3:$T$66,2,TRUE)&amp;VLOOKUP(S88,tablas!$R$3:$T$66,3,TRUE),tablas!$Q$3:$R$66,2,FALSE)&lt;S88,VLOOKUP(S88+0.1,tablas!$R$3:$T$66,2,TRUE),VLOOKUP(S88,tablas!$R$3:$T$66,2,TRUE))&amp;"@"&amp;IF(VLOOKUP(VLOOKUP(S88,tablas!$R$3:$T$66,2,TRUE)&amp;VLOOKUP(S88,tablas!$R$3:$T$66,3,TRUE),tablas!$Q$3:$R$66,2,FALSE)&lt;S88,VLOOKUP(S88+0.1,tablas!$R$3:$T$66,3,TRUE),VLOOKUP(S88,tablas!$R$3:$T$66,3,TRUE))&amp;"$",$C$13)</f>
        <v>$\phi8@14$</v>
      </c>
      <c r="T89" s="134" t="str">
        <f>IF(T88&gt;$C$12,"$\phi"&amp;IF(VLOOKUP(VLOOKUP(T88,tablas!$R$3:$T$66,2,TRUE)&amp;VLOOKUP(T88,tablas!$R$3:$T$66,3,TRUE),tablas!$Q$3:$R$66,2,FALSE)&lt;T88,VLOOKUP(T88+0.1,tablas!$R$3:$T$66,2,TRUE),VLOOKUP(T88,tablas!$R$3:$T$66,2,TRUE))&amp;"@"&amp;IF(VLOOKUP(VLOOKUP(T88,tablas!$R$3:$T$66,2,TRUE)&amp;VLOOKUP(T88,tablas!$R$3:$T$66,3,TRUE),tablas!$Q$3:$R$66,2,FALSE)&lt;T88,VLOOKUP(T88+0.1,tablas!$R$3:$T$66,3,TRUE),VLOOKUP(T88,tablas!$R$3:$T$66,3,TRUE))&amp;"$",$C$13)</f>
        <v>$\phi8@17$</v>
      </c>
      <c r="U89" s="134" t="str">
        <f>IF(U88&gt;$C$12,"$\phi"&amp;IF(VLOOKUP(VLOOKUP(U88,tablas!$R$3:$T$66,2,TRUE)&amp;VLOOKUP(U88,tablas!$R$3:$T$66,3,TRUE),tablas!$Q$3:$R$66,2,FALSE)&lt;U88,VLOOKUP(U88+0.1,tablas!$R$3:$T$66,2,TRUE),VLOOKUP(U88,tablas!$R$3:$T$66,2,TRUE))&amp;"@"&amp;IF(VLOOKUP(VLOOKUP(U88,tablas!$R$3:$T$66,2,TRUE)&amp;VLOOKUP(U88,tablas!$R$3:$T$66,3,TRUE),tablas!$Q$3:$R$66,2,FALSE)&lt;U88,VLOOKUP(U88+0.1,tablas!$R$3:$T$66,3,TRUE),VLOOKUP(U88,tablas!$R$3:$T$66,3,TRUE))&amp;"$",$C$13)</f>
        <v>$\phi8@17$</v>
      </c>
      <c r="V89" s="134" t="str">
        <f>IF(V88&gt;$C$12,"$\phi"&amp;IF(VLOOKUP(VLOOKUP(V88,tablas!$R$3:$T$66,2,TRUE)&amp;VLOOKUP(V88,tablas!$R$3:$T$66,3,TRUE),tablas!$Q$3:$R$66,2,FALSE)&lt;V88,VLOOKUP(V88+0.1,tablas!$R$3:$T$66,2,TRUE),VLOOKUP(V88,tablas!$R$3:$T$66,2,TRUE))&amp;"@"&amp;IF(VLOOKUP(VLOOKUP(V88,tablas!$R$3:$T$66,2,TRUE)&amp;VLOOKUP(V88,tablas!$R$3:$T$66,3,TRUE),tablas!$Q$3:$R$66,2,FALSE)&lt;V88,VLOOKUP(V88+0.1,tablas!$R$3:$T$66,3,TRUE),VLOOKUP(V88,tablas!$R$3:$T$66,3,TRUE))&amp;"$",$C$13)</f>
        <v>$\phi8@17$</v>
      </c>
      <c r="W89" s="134" t="str">
        <f>IF(W88&gt;$C$12,"$\phi"&amp;IF(VLOOKUP(VLOOKUP(W88,tablas!$R$3:$T$66,2,TRUE)&amp;VLOOKUP(W88,tablas!$R$3:$T$66,3,TRUE),tablas!$Q$3:$R$66,2,FALSE)&lt;W88,VLOOKUP(W88+0.1,tablas!$R$3:$T$66,2,TRUE),VLOOKUP(W88,tablas!$R$3:$T$66,2,TRUE))&amp;"@"&amp;IF(VLOOKUP(VLOOKUP(W88,tablas!$R$3:$T$66,2,TRUE)&amp;VLOOKUP(W88,tablas!$R$3:$T$66,3,TRUE),tablas!$Q$3:$R$66,2,FALSE)&lt;W88,VLOOKUP(W88+0.1,tablas!$R$3:$T$66,3,TRUE),VLOOKUP(W88,tablas!$R$3:$T$66,3,TRUE))&amp;"$",$C$13)</f>
        <v>$\phi8@17$</v>
      </c>
    </row>
    <row r="90" spans="2:28" x14ac:dyDescent="0.25">
      <c r="P90" s="40"/>
      <c r="T90" s="40"/>
      <c r="U90" s="41"/>
    </row>
    <row r="91" spans="2:28" ht="15.75" thickBot="1" x14ac:dyDescent="0.3">
      <c r="B91" s="219" t="s">
        <v>107</v>
      </c>
      <c r="C91" s="219"/>
      <c r="P91" s="40"/>
      <c r="T91" s="40"/>
      <c r="U91" s="41"/>
    </row>
    <row r="92" spans="2:28" ht="15.75" thickBot="1" x14ac:dyDescent="0.3">
      <c r="B92" s="73" t="s">
        <v>43</v>
      </c>
      <c r="C92" s="74" t="s">
        <v>117</v>
      </c>
      <c r="D92" s="75" t="s">
        <v>118</v>
      </c>
      <c r="E92" s="74" t="s">
        <v>117</v>
      </c>
      <c r="F92" s="75" t="s">
        <v>121</v>
      </c>
      <c r="G92" s="74" t="s">
        <v>118</v>
      </c>
      <c r="H92" s="75" t="s">
        <v>122</v>
      </c>
      <c r="I92" s="74" t="s">
        <v>118</v>
      </c>
      <c r="J92" s="75" t="s">
        <v>119</v>
      </c>
      <c r="K92" s="74" t="s">
        <v>119</v>
      </c>
      <c r="L92" s="75" t="s">
        <v>123</v>
      </c>
      <c r="M92" s="74" t="s">
        <v>119</v>
      </c>
      <c r="N92" s="75" t="s">
        <v>120</v>
      </c>
      <c r="O92" s="74" t="s">
        <v>120</v>
      </c>
      <c r="P92" s="75" t="s">
        <v>124</v>
      </c>
      <c r="Q92" s="74" t="s">
        <v>121</v>
      </c>
      <c r="R92" s="75" t="s">
        <v>122</v>
      </c>
      <c r="S92" s="74" t="s">
        <v>122</v>
      </c>
      <c r="T92" s="75" t="s">
        <v>138</v>
      </c>
      <c r="U92" s="74" t="s">
        <v>122</v>
      </c>
      <c r="V92" s="75" t="s">
        <v>126</v>
      </c>
      <c r="W92" s="74" t="s">
        <v>122</v>
      </c>
      <c r="X92" s="75" t="s">
        <v>123</v>
      </c>
      <c r="Y92" s="74" t="s">
        <v>123</v>
      </c>
      <c r="Z92" s="75" t="s">
        <v>127</v>
      </c>
      <c r="AA92" s="74" t="s">
        <v>123</v>
      </c>
      <c r="AB92" s="75" t="s">
        <v>124</v>
      </c>
    </row>
    <row r="93" spans="2:28" ht="15.75" hidden="1" thickBot="1" x14ac:dyDescent="0.3">
      <c r="B93" s="144"/>
      <c r="C93" s="146" t="str">
        <f>C92&amp;"-"&amp;D92</f>
        <v>101-102</v>
      </c>
      <c r="D93" s="146"/>
      <c r="E93" s="146" t="str">
        <f>E92&amp;"-"&amp;F92</f>
        <v>101-105</v>
      </c>
      <c r="F93" s="145"/>
      <c r="G93" s="146" t="str">
        <f>G92&amp;"-"&amp;H92</f>
        <v>102-106</v>
      </c>
      <c r="H93" s="145"/>
      <c r="I93" s="146" t="str">
        <f>I92&amp;"-"&amp;J92</f>
        <v>102-103</v>
      </c>
      <c r="J93" s="145"/>
      <c r="K93" s="146" t="str">
        <f>K92&amp;"-"&amp;L92</f>
        <v>103-107</v>
      </c>
      <c r="L93" s="145"/>
      <c r="M93" s="146" t="str">
        <f>M92&amp;"-"&amp;N92</f>
        <v>103-104</v>
      </c>
      <c r="N93" s="145"/>
      <c r="O93" s="146" t="str">
        <f>O92&amp;"-"&amp;P92</f>
        <v>104-108</v>
      </c>
      <c r="P93" s="145"/>
      <c r="Q93" s="146" t="str">
        <f>Q92&amp;"-"&amp;R92</f>
        <v>105-106</v>
      </c>
      <c r="R93" s="145"/>
      <c r="S93" s="146" t="str">
        <f>S92&amp;"-"&amp;T92</f>
        <v>106-121</v>
      </c>
      <c r="T93" s="145"/>
      <c r="U93" s="146" t="str">
        <f>U92&amp;"-"&amp;V92</f>
        <v>106-110</v>
      </c>
      <c r="V93" s="145"/>
      <c r="W93" s="146" t="str">
        <f>W92&amp;"-"&amp;X92</f>
        <v>106-107</v>
      </c>
      <c r="X93" s="145"/>
      <c r="Y93" s="146" t="str">
        <f>Y92&amp;"-"&amp;Z92</f>
        <v>107-111</v>
      </c>
      <c r="Z93" s="145"/>
      <c r="AA93" s="146" t="str">
        <f>AA92&amp;"-"&amp;AB92</f>
        <v>107-108</v>
      </c>
      <c r="AB93" s="145"/>
    </row>
    <row r="94" spans="2:28" x14ac:dyDescent="0.25">
      <c r="B94" s="105" t="s">
        <v>114</v>
      </c>
      <c r="C94" s="102" t="s">
        <v>109</v>
      </c>
      <c r="D94" s="103" t="s">
        <v>109</v>
      </c>
      <c r="E94" s="102" t="s">
        <v>108</v>
      </c>
      <c r="F94" s="103" t="s">
        <v>108</v>
      </c>
      <c r="G94" s="102" t="s">
        <v>108</v>
      </c>
      <c r="H94" s="103" t="s">
        <v>108</v>
      </c>
      <c r="I94" s="102" t="s">
        <v>109</v>
      </c>
      <c r="J94" s="103" t="s">
        <v>109</v>
      </c>
      <c r="K94" s="102" t="s">
        <v>108</v>
      </c>
      <c r="L94" s="103" t="s">
        <v>108</v>
      </c>
      <c r="M94" s="102" t="s">
        <v>109</v>
      </c>
      <c r="N94" s="103" t="s">
        <v>109</v>
      </c>
      <c r="O94" s="102" t="s">
        <v>108</v>
      </c>
      <c r="P94" s="103" t="s">
        <v>108</v>
      </c>
      <c r="Q94" s="102" t="s">
        <v>109</v>
      </c>
      <c r="R94" s="103" t="s">
        <v>109</v>
      </c>
      <c r="S94" s="102" t="s">
        <v>108</v>
      </c>
      <c r="T94" s="103" t="s">
        <v>109</v>
      </c>
      <c r="U94" s="102" t="s">
        <v>108</v>
      </c>
      <c r="V94" s="103" t="s">
        <v>108</v>
      </c>
      <c r="W94" s="102" t="s">
        <v>109</v>
      </c>
      <c r="X94" s="103" t="s">
        <v>109</v>
      </c>
      <c r="Y94" s="102" t="s">
        <v>108</v>
      </c>
      <c r="Z94" s="103" t="s">
        <v>108</v>
      </c>
      <c r="AA94" s="102" t="s">
        <v>109</v>
      </c>
      <c r="AB94" s="103" t="s">
        <v>109</v>
      </c>
    </row>
    <row r="95" spans="2:28" x14ac:dyDescent="0.25">
      <c r="B95" s="106" t="s">
        <v>110</v>
      </c>
      <c r="C95" s="104">
        <f t="shared" ref="C95:S95" si="29">HLOOKUP(C92,$B$46:$V$89,IF(C94="x",35,40),FALSE)</f>
        <v>2118.3333333333335</v>
      </c>
      <c r="D95" s="86">
        <f t="shared" si="29"/>
        <v>2129.7709923664124</v>
      </c>
      <c r="E95" s="104">
        <f t="shared" si="29"/>
        <v>2534.2024539877298</v>
      </c>
      <c r="F95" s="86">
        <f t="shared" si="29"/>
        <v>2909.2282142857143</v>
      </c>
      <c r="G95" s="104">
        <f t="shared" si="29"/>
        <v>2818.181818181818</v>
      </c>
      <c r="H95" s="86">
        <f t="shared" si="29"/>
        <v>3288.6382978723404</v>
      </c>
      <c r="I95" s="104">
        <f t="shared" si="29"/>
        <v>2129.7709923664124</v>
      </c>
      <c r="J95" s="86">
        <f t="shared" si="29"/>
        <v>2129.7709923664124</v>
      </c>
      <c r="K95" s="104">
        <f t="shared" si="29"/>
        <v>2818.181818181818</v>
      </c>
      <c r="L95" s="86">
        <f t="shared" si="29"/>
        <v>3288.6382978723404</v>
      </c>
      <c r="M95" s="104">
        <f t="shared" si="29"/>
        <v>2129.7709923664124</v>
      </c>
      <c r="N95" s="86">
        <f t="shared" si="29"/>
        <v>2191.666666666667</v>
      </c>
      <c r="O95" s="104">
        <f t="shared" si="29"/>
        <v>2982.8048780487807</v>
      </c>
      <c r="P95" s="86">
        <f t="shared" si="29"/>
        <v>3421.7893939393934</v>
      </c>
      <c r="Q95" s="104">
        <f t="shared" si="29"/>
        <v>2715.2796666666668</v>
      </c>
      <c r="R95" s="86">
        <f t="shared" si="29"/>
        <v>2699.8427947598257</v>
      </c>
      <c r="S95" s="104">
        <f t="shared" si="29"/>
        <v>3288.6382978723404</v>
      </c>
      <c r="T95" s="86">
        <f>HLOOKUP(T92,$B$46:$W$89,IF(T94="x",35,40),FALSE)</f>
        <v>203.33714285714288</v>
      </c>
      <c r="U95" s="104">
        <f t="shared" ref="U95:AB95" si="30">HLOOKUP(U92,$B$46:$V$89,IF(U94="x",35,40),FALSE)</f>
        <v>3288.6382978723404</v>
      </c>
      <c r="V95" s="86">
        <f t="shared" si="30"/>
        <v>1925.2978723404258</v>
      </c>
      <c r="W95" s="104">
        <f t="shared" si="30"/>
        <v>2699.8427947598257</v>
      </c>
      <c r="X95" s="86">
        <f t="shared" si="30"/>
        <v>2699.8427947598257</v>
      </c>
      <c r="Y95" s="104">
        <f t="shared" si="30"/>
        <v>3288.6382978723404</v>
      </c>
      <c r="Z95" s="86">
        <f t="shared" si="30"/>
        <v>2146.9148936170213</v>
      </c>
      <c r="AA95" s="104">
        <f t="shared" si="30"/>
        <v>2699.8427947598257</v>
      </c>
      <c r="AB95" s="86">
        <f t="shared" si="30"/>
        <v>2585.9324427480915</v>
      </c>
    </row>
    <row r="96" spans="2:28" x14ac:dyDescent="0.25">
      <c r="B96" s="106" t="s">
        <v>111</v>
      </c>
      <c r="C96" s="203">
        <f>(MAX(C95:D95)-MIN(C95:D95))/(MAX(C95:D95))</f>
        <v>5.3703703703703995E-3</v>
      </c>
      <c r="D96" s="204"/>
      <c r="E96" s="203">
        <f>(MAX(E95:F95)-MIN(E95:F95))/(MAX(E95:F95))</f>
        <v>0.12890902076929789</v>
      </c>
      <c r="F96" s="204"/>
      <c r="G96" s="203">
        <f>(MAX(G95:H95)-MIN(G95:H95))/(MAX(G95:H95))</f>
        <v>0.14305509973380015</v>
      </c>
      <c r="H96" s="204"/>
      <c r="I96" s="203">
        <f>(MAX(I95:J95)-MIN(I95:J95))/(MAX(I95:J95))</f>
        <v>0</v>
      </c>
      <c r="J96" s="204"/>
      <c r="K96" s="203">
        <f>(MAX(K95:L95)-MIN(K95:L95))/(MAX(K95:L95))</f>
        <v>0.14305509973380015</v>
      </c>
      <c r="L96" s="204"/>
      <c r="M96" s="203">
        <f>(MAX(M95:N95)-MIN(M95:N95))/(MAX(M95:N95))</f>
        <v>2.8241372304298646E-2</v>
      </c>
      <c r="N96" s="204"/>
      <c r="O96" s="203">
        <f>(MAX(O95:P95)-MIN(O95:P95))/(MAX(O95:P95))</f>
        <v>0.12829092189838848</v>
      </c>
      <c r="P96" s="204"/>
      <c r="Q96" s="203">
        <f>(MAX(Q95:R95)-MIN(Q95:R95))/(MAX(Q95:R95))</f>
        <v>5.685186721775792E-3</v>
      </c>
      <c r="R96" s="204"/>
      <c r="S96" s="203">
        <f>(MAX(S95:T95)-MIN(S95:T95))/(MAX(S95:T95))</f>
        <v>0.93816980633330938</v>
      </c>
      <c r="T96" s="204"/>
      <c r="U96" s="203">
        <f>(MAX(U95:V95)-MIN(U95:V95))/(MAX(U95:V95))</f>
        <v>0.41456077015643794</v>
      </c>
      <c r="V96" s="204"/>
      <c r="W96" s="203">
        <f>(MAX(W95:X95)-MIN(W95:X95))/(MAX(W95:X95))</f>
        <v>0</v>
      </c>
      <c r="X96" s="204"/>
      <c r="Y96" s="203">
        <f>(MAX(Y95:Z95)-MIN(Y95:Z95))/(MAX(Y95:Z95))</f>
        <v>0.34717208182912151</v>
      </c>
      <c r="Z96" s="204"/>
      <c r="AA96" s="203">
        <f>(MAX(AA95:AB95)-MIN(AA95:AB95))/(MAX(AA95:AB95))</f>
        <v>4.219147582697217E-2</v>
      </c>
      <c r="AB96" s="204"/>
    </row>
    <row r="97" spans="2:28" x14ac:dyDescent="0.25">
      <c r="B97" s="106" t="s">
        <v>112</v>
      </c>
      <c r="C97" s="205">
        <f>IF(C96&lt;25%,(C95*0.5+D95*0.5)*0.9,IF(C96&lt;50%,(MAX(C95:D95)*0.6+MIN(C95:D95)*0.4)*0.9,IF(C96&lt;70%,(MAX(C95:D95)*0.65+MIN(C95:D95)*0.35)*0.9,IF(C96&lt;100%,(MAX(C95:D95)*0.7+MIN(C95:D95)*0.3)*0.9,0.7*MAX(C95:D95)))))</f>
        <v>1911.6469465648854</v>
      </c>
      <c r="D97" s="206"/>
      <c r="E97" s="205">
        <f>IF(E96&lt;25%,(E95*0.5+F95*0.5)*0.9,IF(E96&lt;50%,(MAX(E95:F95)*0.6+MIN(E95:F95)*0.4)*0.9,IF(E96&lt;70%,(MAX(E95:F95)*0.65+MIN(E95:F95)*0.35)*0.9,IF(E96&lt;100%,(MAX(E95:F95)*0.7+MIN(E95:F95)*0.3)*0.9,0.7*MAX(E95:F95)))))</f>
        <v>2449.54380072305</v>
      </c>
      <c r="F97" s="206"/>
      <c r="G97" s="205">
        <f>IF(G96&lt;25%,(G95*0.5+H95*0.5)*0.9,IF(G96&lt;50%,(MAX(G95:H95)*0.6+MIN(G95:H95)*0.4)*0.9,IF(G96&lt;70%,(MAX(G95:H95)*0.65+MIN(G95:H95)*0.35)*0.9,IF(G96&lt;100%,(MAX(G95:H95)*0.7+MIN(G95:H95)*0.3)*0.9,0.7*MAX(G95:H95)))))</f>
        <v>2748.0690522243713</v>
      </c>
      <c r="H97" s="206"/>
      <c r="I97" s="205">
        <f>IF(I96&lt;25%,(I95*0.5+J95*0.5)*0.9,IF(I96&lt;50%,(MAX(I95:J95)*0.6+MIN(I95:J95)*0.4)*0.9,IF(I96&lt;70%,(MAX(I95:J95)*0.65+MIN(I95:J95)*0.35)*0.9,IF(I96&lt;100%,(MAX(I95:J95)*0.7+MIN(I95:J95)*0.3)*0.9,0.7*MAX(I95:J95)))))</f>
        <v>1916.7938931297713</v>
      </c>
      <c r="J97" s="206"/>
      <c r="K97" s="205">
        <f>IF(K96&lt;25%,(K95*0.5+L95*0.5)*0.9,IF(K96&lt;50%,(MAX(K95:L95)*0.6+MIN(K95:L95)*0.4)*0.9,IF(K96&lt;70%,(MAX(K95:L95)*0.65+MIN(K95:L95)*0.35)*0.9,IF(K96&lt;100%,(MAX(K95:L95)*0.7+MIN(K95:L95)*0.3)*0.9,0.7*MAX(K95:L95)))))</f>
        <v>2748.0690522243713</v>
      </c>
      <c r="L97" s="206"/>
      <c r="M97" s="205">
        <f>IF(M96&lt;25%,(M95*0.5+N95*0.5)*0.9,IF(M96&lt;50%,(MAX(M95:N95)*0.6+MIN(M95:N95)*0.4)*0.9,IF(M96&lt;70%,(MAX(M95:N95)*0.65+MIN(M95:N95)*0.35)*0.9,IF(M96&lt;100%,(MAX(M95:N95)*0.7+MIN(M95:N95)*0.3)*0.9,0.7*MAX(M95:N95)))))</f>
        <v>1944.6469465648859</v>
      </c>
      <c r="N97" s="206"/>
      <c r="O97" s="205">
        <f>IF(O96&lt;25%,(O95*0.5+P95*0.5)*0.9,IF(O96&lt;50%,(MAX(O95:P95)*0.6+MIN(O95:P95)*0.4)*0.9,IF(O96&lt;70%,(MAX(O95:P95)*0.65+MIN(O95:P95)*0.35)*0.9,IF(O96&lt;100%,(MAX(O95:P95)*0.7+MIN(O95:P95)*0.3)*0.9,0.7*MAX(O95:P95)))))</f>
        <v>2882.0674223946785</v>
      </c>
      <c r="P97" s="206"/>
      <c r="Q97" s="205">
        <f>IF(Q96&lt;25%,(Q95*0.5+R95*0.5)*0.9,IF(Q96&lt;50%,(MAX(Q95:R95)*0.6+MIN(Q95:R95)*0.4)*0.9,IF(Q96&lt;70%,(MAX(Q95:R95)*0.65+MIN(Q95:R95)*0.35)*0.9,IF(Q96&lt;100%,(MAX(Q95:R95)*0.7+MIN(Q95:R95)*0.3)*0.9,0.7*MAX(Q95:R95)))))</f>
        <v>2436.8051076419215</v>
      </c>
      <c r="R97" s="206"/>
      <c r="S97" s="205">
        <f>IF(S96&lt;25%,(S95*0.5+T95*0.5)*0.9,IF(S96&lt;50%,(MAX(S95:T95)*0.6+MIN(S95:T95)*0.4)*0.9,IF(S96&lt;70%,(MAX(S95:T95)*0.65+MIN(S95:T95)*0.35)*0.9,IF(S96&lt;100%,(MAX(S95:T95)*0.7+MIN(S95:T95)*0.3)*0.9,0.7*MAX(S95:T95)))))</f>
        <v>2126.743156231003</v>
      </c>
      <c r="T97" s="206"/>
      <c r="U97" s="205">
        <f>IF(U96&lt;25%,(U95*0.5+V95*0.5)*0.9,IF(U96&lt;50%,(MAX(U95:V95)*0.6+MIN(U95:V95)*0.4)*0.9,IF(U96&lt;70%,(MAX(U95:V95)*0.65+MIN(U95:V95)*0.35)*0.9,IF(U96&lt;100%,(MAX(U95:V95)*0.7+MIN(U95:V95)*0.3)*0.9,0.7*MAX(U95:V95)))))</f>
        <v>2468.9719148936174</v>
      </c>
      <c r="V97" s="206"/>
      <c r="W97" s="205">
        <f>IF(W96&lt;25%,(W95*0.5+X95*0.5)*0.9,IF(W96&lt;50%,(MAX(W95:X95)*0.6+MIN(W95:X95)*0.4)*0.9,IF(W96&lt;70%,(MAX(W95:X95)*0.65+MIN(W95:X95)*0.35)*0.9,IF(W96&lt;100%,(MAX(W95:X95)*0.7+MIN(W95:X95)*0.3)*0.9,0.7*MAX(W95:X95)))))</f>
        <v>2429.8585152838432</v>
      </c>
      <c r="X97" s="206"/>
      <c r="Y97" s="205">
        <f>IF(Y96&lt;25%,(Y95*0.5+Z95*0.5)*0.9,IF(Y96&lt;50%,(MAX(Y95:Z95)*0.6+MIN(Y95:Z95)*0.4)*0.9,IF(Y96&lt;70%,(MAX(Y95:Z95)*0.65+MIN(Y95:Z95)*0.35)*0.9,IF(Y96&lt;100%,(MAX(Y95:Z95)*0.7+MIN(Y95:Z95)*0.3)*0.9,0.7*MAX(Y95:Z95)))))</f>
        <v>2548.7540425531915</v>
      </c>
      <c r="Z97" s="206"/>
      <c r="AA97" s="205">
        <f>IF(AA96&lt;25%,(AA95*0.5+AB95*0.5)*0.9,IF(AA96&lt;50%,(MAX(AA95:AB95)*0.6+MIN(AA95:AB95)*0.4)*0.9,IF(AA96&lt;70%,(MAX(AA95:AB95)*0.65+MIN(AA95:AB95)*0.35)*0.9,IF(AA96&lt;100%,(MAX(AA95:AB95)*0.7+MIN(AA95:AB95)*0.3)*0.9,0.7*MAX(AA95:AB95)))))</f>
        <v>2378.5988568785629</v>
      </c>
      <c r="AB97" s="206"/>
    </row>
    <row r="98" spans="2:28" x14ac:dyDescent="0.25">
      <c r="B98" s="107" t="s">
        <v>15</v>
      </c>
      <c r="C98" s="207">
        <f>C97/(0.9*(0.9*($C$7/100))*($L$9*1000))</f>
        <v>3.9386815065455276</v>
      </c>
      <c r="D98" s="208"/>
      <c r="E98" s="207">
        <f>E97/(0.9*(0.9*($C$7/100))*($L$9*1000))</f>
        <v>5.0469428388531403</v>
      </c>
      <c r="F98" s="208"/>
      <c r="G98" s="207">
        <f>G97/(0.9*(0.9*($C$7/100))*($L$9*1000))</f>
        <v>5.6620124203142677</v>
      </c>
      <c r="H98" s="208"/>
      <c r="I98" s="207">
        <f>I97/(0.9*(0.9*($C$7/100))*($L$9*1000))</f>
        <v>3.9492860709954232</v>
      </c>
      <c r="J98" s="208"/>
      <c r="K98" s="207">
        <f>K97/(0.9*(0.9*($C$7/100))*($L$9*1000))</f>
        <v>5.6620124203142677</v>
      </c>
      <c r="L98" s="208"/>
      <c r="M98" s="207">
        <f>M97/(0.9*(0.9*($C$7/100))*($L$9*1000))</f>
        <v>4.0066733969673249</v>
      </c>
      <c r="N98" s="208"/>
      <c r="O98" s="207">
        <f>O97/(0.9*(0.9*($C$7/100))*($L$9*1000))</f>
        <v>5.9380973445966587</v>
      </c>
      <c r="P98" s="208"/>
      <c r="Q98" s="207">
        <f>Q97/(0.9*(0.9*($C$7/100))*($L$9*1000))</f>
        <v>5.0206965411534741</v>
      </c>
      <c r="R98" s="208"/>
      <c r="S98" s="207">
        <f>S97/(0.9*(0.9*($C$7/100))*($L$9*1000))</f>
        <v>4.3818572010231795</v>
      </c>
      <c r="T98" s="208"/>
      <c r="U98" s="207">
        <f>U97/(0.9*(0.9*($C$7/100))*($L$9*1000))</f>
        <v>5.0869717543012429</v>
      </c>
      <c r="V98" s="208"/>
      <c r="W98" s="207">
        <f>W97/(0.9*(0.9*($C$7/100))*($L$9*1000))</f>
        <v>5.0063840579287664</v>
      </c>
      <c r="X98" s="208"/>
      <c r="Y98" s="207">
        <f>Y97/(0.9*(0.9*($C$7/100))*($L$9*1000))</f>
        <v>5.2513516840420786</v>
      </c>
      <c r="Z98" s="208"/>
      <c r="AA98" s="207">
        <f>AA97/(0.9*(0.9*($C$7/100))*($L$9*1000))</f>
        <v>4.9007706919484457</v>
      </c>
      <c r="AB98" s="208"/>
    </row>
    <row r="99" spans="2:28" x14ac:dyDescent="0.25">
      <c r="B99" s="107" t="s">
        <v>98</v>
      </c>
      <c r="C99" s="209">
        <f>(C98*($L$9))/(0.85*$L$6*100)</f>
        <v>5.5552996698022279E-2</v>
      </c>
      <c r="D99" s="210"/>
      <c r="E99" s="209">
        <f>(E98*($L$9))/(0.85*$L$6*100)</f>
        <v>7.1184430220106912E-2</v>
      </c>
      <c r="F99" s="210"/>
      <c r="G99" s="209">
        <f>(G98*($L$9))/(0.85*$L$6*100)</f>
        <v>7.9859657798467848E-2</v>
      </c>
      <c r="H99" s="210"/>
      <c r="I99" s="209">
        <f>(I98*($L$9))/(0.85*$L$6*100)</f>
        <v>5.5702568409492212E-2</v>
      </c>
      <c r="J99" s="210"/>
      <c r="K99" s="209">
        <f>(K98*($L$9))/(0.85*$L$6*100)</f>
        <v>7.9859657798467848E-2</v>
      </c>
      <c r="L99" s="210"/>
      <c r="M99" s="209">
        <f>(M98*($L$9))/(0.85*$L$6*100)</f>
        <v>5.651198595821437E-2</v>
      </c>
      <c r="N99" s="210"/>
      <c r="O99" s="209">
        <f>(O98*($L$9))/(0.85*$L$6*100)</f>
        <v>8.3753688037151761E-2</v>
      </c>
      <c r="P99" s="210"/>
      <c r="Q99" s="209">
        <f>(Q98*($L$9))/(0.85*$L$6*100)</f>
        <v>7.0814240224540692E-2</v>
      </c>
      <c r="R99" s="210"/>
      <c r="S99" s="209">
        <f>(S98*($L$9))/(0.85*$L$6*100)</f>
        <v>6.1803752909471779E-2</v>
      </c>
      <c r="T99" s="210"/>
      <c r="U99" s="209">
        <f>(U98*($L$9))/(0.85*$L$6*100)</f>
        <v>7.1749016669663268E-2</v>
      </c>
      <c r="V99" s="210"/>
      <c r="W99" s="209">
        <f>(W98*($L$9))/(0.85*$L$6*100)</f>
        <v>7.0612370301318575E-2</v>
      </c>
      <c r="X99" s="210"/>
      <c r="Y99" s="209">
        <f>(Y98*($L$9))/(0.85*$L$6*100)</f>
        <v>7.4067507687263473E-2</v>
      </c>
      <c r="Z99" s="210"/>
      <c r="AA99" s="209">
        <f>(AA98*($L$9))/(0.85*$L$6*100)</f>
        <v>6.9122750243991934E-2</v>
      </c>
      <c r="AB99" s="210"/>
    </row>
    <row r="100" spans="2:28" ht="15.75" thickBot="1" x14ac:dyDescent="0.3">
      <c r="B100" s="108" t="s">
        <v>15</v>
      </c>
      <c r="C100" s="201">
        <f>ROUNDUP(C97/(0.9*(($C$7-C99/2)/100)*($L$9*1000)),2)</f>
        <v>3.5599999999999996</v>
      </c>
      <c r="D100" s="202"/>
      <c r="E100" s="201">
        <f>ROUNDUP(E97/(0.9*(($C$7-E99/2)/100)*($L$9*1000)),2)</f>
        <v>4.5599999999999996</v>
      </c>
      <c r="F100" s="202"/>
      <c r="G100" s="201">
        <f>ROUNDUP(G97/(0.9*(($C$7-G99/2)/100)*($L$9*1000)),2)</f>
        <v>5.12</v>
      </c>
      <c r="H100" s="202"/>
      <c r="I100" s="201">
        <f>ROUNDUP(I97/(0.9*(($C$7-I99/2)/100)*($L$9*1000)),2)</f>
        <v>3.57</v>
      </c>
      <c r="J100" s="202"/>
      <c r="K100" s="201">
        <f>ROUNDUP(K97/(0.9*(($C$7-K99/2)/100)*($L$9*1000)),2)</f>
        <v>5.12</v>
      </c>
      <c r="L100" s="202"/>
      <c r="M100" s="201">
        <f>ROUNDUP(M97/(0.9*(($C$7-M99/2)/100)*($L$9*1000)),2)</f>
        <v>3.6199999999999997</v>
      </c>
      <c r="N100" s="202"/>
      <c r="O100" s="201">
        <f>ROUNDUP(O97/(0.9*(($C$7-O99/2)/100)*($L$9*1000)),2)</f>
        <v>5.37</v>
      </c>
      <c r="P100" s="202"/>
      <c r="Q100" s="201">
        <f>ROUNDUP(Q97/(0.9*(($C$7-Q99/2)/100)*($L$9*1000)),2)</f>
        <v>4.54</v>
      </c>
      <c r="R100" s="202"/>
      <c r="S100" s="201">
        <f>ROUNDUP(S97/(0.9*(($C$7-S99/2)/100)*($L$9*1000)),2)</f>
        <v>3.96</v>
      </c>
      <c r="T100" s="202"/>
      <c r="U100" s="201">
        <f>ROUNDUP(U97/(0.9*(($C$7-U99/2)/100)*($L$9*1000)),2)</f>
        <v>4.5999999999999996</v>
      </c>
      <c r="V100" s="202"/>
      <c r="W100" s="201">
        <f>ROUNDUP(W97/(0.9*(($C$7-W99/2)/100)*($L$9*1000)),2)</f>
        <v>4.5199999999999996</v>
      </c>
      <c r="X100" s="202"/>
      <c r="Y100" s="201">
        <f>ROUNDUP(Y97/(0.9*(($C$7-Y99/2)/100)*($L$9*1000)),2)</f>
        <v>4.74</v>
      </c>
      <c r="Z100" s="202"/>
      <c r="AA100" s="201">
        <f>ROUNDUP(AA97/(0.9*(($C$7-AA99/2)/100)*($L$9*1000)),2)</f>
        <v>4.43</v>
      </c>
      <c r="AB100" s="202"/>
    </row>
    <row r="101" spans="2:28" ht="16.5" thickBot="1" x14ac:dyDescent="0.3">
      <c r="B101" s="61" t="s">
        <v>113</v>
      </c>
      <c r="C101" s="199" t="str">
        <f>IF(C100&gt;$C$12,"$\phi"&amp;IF(VLOOKUP(VLOOKUP(C100,tablas!$R$3:$T$66,2,TRUE)&amp;VLOOKUP(C100,tablas!$R$3:$T$66,3,TRUE),tablas!$Q$3:$R$66,2,FALSE)&lt;C100,VLOOKUP(C100+0.1,tablas!$R$3:$T$66,2,TRUE),VLOOKUP(C100,tablas!$R$3:$T$66,2,TRUE))&amp;"@"&amp;IF(VLOOKUP(VLOOKUP(C100,tablas!$R$3:$T$66,2,TRUE)&amp;VLOOKUP(C100,tablas!$R$3:$T$66,3,TRUE),tablas!$Q$3:$R$66,2,FALSE)&lt;C100,VLOOKUP(C100+0.1,tablas!$R$3:$T$66,3,TRUE)&amp;"$",VLOOKUP(C100,tablas!$R$3:$T$66,3,TRUE)&amp;"$"),$C$13)</f>
        <v>$\phi8@14$</v>
      </c>
      <c r="D101" s="200"/>
      <c r="E101" s="199" t="str">
        <f>IF(E100&gt;$C$12,"$\phi"&amp;IF(VLOOKUP(VLOOKUP(E100,tablas!$R$3:$T$66,2,TRUE)&amp;VLOOKUP(E100,tablas!$R$3:$T$66,3,TRUE),tablas!$Q$3:$R$66,2,FALSE)&lt;E100,VLOOKUP(E100+0.1,tablas!$R$3:$T$66,2,TRUE),VLOOKUP(E100,tablas!$R$3:$T$66,2,TRUE))&amp;"@"&amp;IF(VLOOKUP(VLOOKUP(E100,tablas!$R$3:$T$66,2,TRUE)&amp;VLOOKUP(E100,tablas!$R$3:$T$66,3,TRUE),tablas!$Q$3:$R$66,2,FALSE)&lt;E100,VLOOKUP(E100+0.1,tablas!$R$3:$T$66,3,TRUE)&amp;"$",VLOOKUP(E100,tablas!$R$3:$T$66,3,TRUE)&amp;"$"),$C$13)</f>
        <v>$\phi10@17$</v>
      </c>
      <c r="F101" s="200"/>
      <c r="G101" s="199" t="str">
        <f>IF(G100&gt;$C$12,"$\phi"&amp;IF(VLOOKUP(VLOOKUP(G100,tablas!$R$3:$T$66,2,TRUE)&amp;VLOOKUP(G100,tablas!$R$3:$T$66,3,TRUE),tablas!$Q$3:$R$66,2,FALSE)&lt;G100,VLOOKUP(G100+0.1,tablas!$R$3:$T$66,2,TRUE),VLOOKUP(G100,tablas!$R$3:$T$66,2,TRUE))&amp;"@"&amp;IF(VLOOKUP(VLOOKUP(G100,tablas!$R$3:$T$66,2,TRUE)&amp;VLOOKUP(G100,tablas!$R$3:$T$66,3,TRUE),tablas!$Q$3:$R$66,2,FALSE)&lt;G100,VLOOKUP(G100+0.1,tablas!$R$3:$T$66,3,TRUE)&amp;"$",VLOOKUP(G100,tablas!$R$3:$T$66,3,TRUE)&amp;"$"),$C$13)</f>
        <v>$\phi12@22$</v>
      </c>
      <c r="H101" s="200"/>
      <c r="I101" s="199" t="str">
        <f>IF(I100&gt;$C$12,"$\phi"&amp;IF(VLOOKUP(VLOOKUP(I100,tablas!$R$3:$T$66,2,TRUE)&amp;VLOOKUP(I100,tablas!$R$3:$T$66,3,TRUE),tablas!$Q$3:$R$66,2,FALSE)&lt;I100,VLOOKUP(I100+0.1,tablas!$R$3:$T$66,2,TRUE),VLOOKUP(I100,tablas!$R$3:$T$66,2,TRUE))&amp;"@"&amp;IF(VLOOKUP(VLOOKUP(I100,tablas!$R$3:$T$66,2,TRUE)&amp;VLOOKUP(I100,tablas!$R$3:$T$66,3,TRUE),tablas!$Q$3:$R$66,2,FALSE)&lt;I100,VLOOKUP(I100+0.1,tablas!$R$3:$T$66,3,TRUE)&amp;"$",VLOOKUP(I100,tablas!$R$3:$T$66,3,TRUE)&amp;"$"),$C$13)</f>
        <v>$\phi10@22$</v>
      </c>
      <c r="J101" s="200"/>
      <c r="K101" s="199" t="str">
        <f>IF(K100&gt;$C$12,"$\phi"&amp;IF(VLOOKUP(VLOOKUP(K100,tablas!$R$3:$T$66,2,TRUE)&amp;VLOOKUP(K100,tablas!$R$3:$T$66,3,TRUE),tablas!$Q$3:$R$66,2,FALSE)&lt;K100,VLOOKUP(K100+0.1,tablas!$R$3:$T$66,2,TRUE),VLOOKUP(K100,tablas!$R$3:$T$66,2,TRUE))&amp;"@"&amp;IF(VLOOKUP(VLOOKUP(K100,tablas!$R$3:$T$66,2,TRUE)&amp;VLOOKUP(K100,tablas!$R$3:$T$66,3,TRUE),tablas!$Q$3:$R$66,2,FALSE)&lt;K100,VLOOKUP(K100+0.1,tablas!$R$3:$T$66,3,TRUE)&amp;"$",VLOOKUP(K100,tablas!$R$3:$T$66,3,TRUE)&amp;"$"),$C$13)</f>
        <v>$\phi12@22$</v>
      </c>
      <c r="L101" s="200"/>
      <c r="M101" s="199" t="str">
        <f>IF(M100&gt;$C$12,"$\phi"&amp;IF(VLOOKUP(VLOOKUP(M100,tablas!$R$3:$T$66,2,TRUE)&amp;VLOOKUP(M100,tablas!$R$3:$T$66,3,TRUE),tablas!$Q$3:$R$66,2,FALSE)&lt;M100,VLOOKUP(M100+0.1,tablas!$R$3:$T$66,2,TRUE),VLOOKUP(M100,tablas!$R$3:$T$66,2,TRUE))&amp;"@"&amp;IF(VLOOKUP(VLOOKUP(M100,tablas!$R$3:$T$66,2,TRUE)&amp;VLOOKUP(M100,tablas!$R$3:$T$66,3,TRUE),tablas!$Q$3:$R$66,2,FALSE)&lt;M100,VLOOKUP(M100+0.1,tablas!$R$3:$T$66,3,TRUE)&amp;"$",VLOOKUP(M100,tablas!$R$3:$T$66,3,TRUE)&amp;"$"),$C$13)</f>
        <v>$\phi8@14$</v>
      </c>
      <c r="N101" s="200"/>
      <c r="O101" s="199" t="str">
        <f>IF(O100&gt;$C$12,"$\phi"&amp;IF(VLOOKUP(VLOOKUP(O100,tablas!$R$3:$T$66,2,TRUE)&amp;VLOOKUP(O100,tablas!$R$3:$T$66,3,TRUE),tablas!$Q$3:$R$66,2,FALSE)&lt;O100,VLOOKUP(O100+0.1,tablas!$R$3:$T$66,2,TRUE),VLOOKUP(O100,tablas!$R$3:$T$66,2,TRUE))&amp;"@"&amp;IF(VLOOKUP(VLOOKUP(O100,tablas!$R$3:$T$66,2,TRUE)&amp;VLOOKUP(O100,tablas!$R$3:$T$66,3,TRUE),tablas!$Q$3:$R$66,2,FALSE)&lt;O100,VLOOKUP(O100+0.1,tablas!$R$3:$T$66,3,TRUE)&amp;"$",VLOOKUP(O100,tablas!$R$3:$T$66,3,TRUE)&amp;"$"),$C$13)</f>
        <v>$\phi12@21$</v>
      </c>
      <c r="P101" s="200"/>
      <c r="Q101" s="199" t="str">
        <f>IF(Q100&gt;$C$12,"$\phi"&amp;IF(VLOOKUP(VLOOKUP(Q100,tablas!$R$3:$T$66,2,TRUE)&amp;VLOOKUP(Q100,tablas!$R$3:$T$66,3,TRUE),tablas!$Q$3:$R$66,2,FALSE)&lt;Q100,VLOOKUP(Q100+0.1,tablas!$R$3:$T$66,2,TRUE),VLOOKUP(Q100,tablas!$R$3:$T$66,2,TRUE))&amp;"@"&amp;IF(VLOOKUP(VLOOKUP(Q100,tablas!$R$3:$T$66,2,TRUE)&amp;VLOOKUP(Q100,tablas!$R$3:$T$66,3,TRUE),tablas!$Q$3:$R$66,2,FALSE)&lt;Q100,VLOOKUP(Q100+0.1,tablas!$R$3:$T$66,3,TRUE)&amp;"$",VLOOKUP(Q100,tablas!$R$3:$T$66,3,TRUE)&amp;"$"),$C$13)</f>
        <v>$\phi10@17$</v>
      </c>
      <c r="R101" s="200"/>
      <c r="S101" s="199" t="str">
        <f>IF(S100&gt;$C$12,"$\phi"&amp;IF(VLOOKUP(VLOOKUP(S100,tablas!$R$3:$T$66,2,TRUE)&amp;VLOOKUP(S100,tablas!$R$3:$T$66,3,TRUE),tablas!$Q$3:$R$66,2,FALSE)&lt;S100,VLOOKUP(S100+0.1,tablas!$R$3:$T$66,2,TRUE),VLOOKUP(S100,tablas!$R$3:$T$66,2,TRUE))&amp;"@"&amp;IF(VLOOKUP(VLOOKUP(S100,tablas!$R$3:$T$66,2,TRUE)&amp;VLOOKUP(S100,tablas!$R$3:$T$66,3,TRUE),tablas!$Q$3:$R$66,2,FALSE)&lt;S100,VLOOKUP(S100+0.1,tablas!$R$3:$T$66,3,TRUE)&amp;"$",VLOOKUP(S100,tablas!$R$3:$T$66,3,TRUE)&amp;"$"),$C$13)</f>
        <v>$\phi10@20$</v>
      </c>
      <c r="T101" s="200"/>
      <c r="U101" s="199" t="str">
        <f>IF(U100&gt;$C$12,"$\phi"&amp;IF(VLOOKUP(VLOOKUP(U100,tablas!$R$3:$T$66,2,TRUE)&amp;VLOOKUP(U100,tablas!$R$3:$T$66,3,TRUE),tablas!$Q$3:$R$66,2,FALSE)&lt;U100,VLOOKUP(U100+0.1,tablas!$R$3:$T$66,2,TRUE),VLOOKUP(U100,tablas!$R$3:$T$66,2,TRUE))&amp;"@"&amp;IF(VLOOKUP(VLOOKUP(U100,tablas!$R$3:$T$66,2,TRUE)&amp;VLOOKUP(U100,tablas!$R$3:$T$66,3,TRUE),tablas!$Q$3:$R$66,2,FALSE)&lt;U100,VLOOKUP(U100+0.1,tablas!$R$3:$T$66,3,TRUE)&amp;"$",VLOOKUP(U100,tablas!$R$3:$T$66,3,TRUE)&amp;"$"),$C$13)</f>
        <v>$\phi10@17$</v>
      </c>
      <c r="V101" s="200"/>
      <c r="W101" s="199" t="str">
        <f>IF(W100&gt;$C$12,"$\phi"&amp;IF(VLOOKUP(VLOOKUP(W100,tablas!$R$3:$T$66,2,TRUE)&amp;VLOOKUP(W100,tablas!$R$3:$T$66,3,TRUE),tablas!$Q$3:$R$66,2,FALSE)&lt;W100,VLOOKUP(W100+0.1,tablas!$R$3:$T$66,2,TRUE),VLOOKUP(W100,tablas!$R$3:$T$66,2,TRUE))&amp;"@"&amp;IF(VLOOKUP(VLOOKUP(W100,tablas!$R$3:$T$66,2,TRUE)&amp;VLOOKUP(W100,tablas!$R$3:$T$66,3,TRUE),tablas!$Q$3:$R$66,2,FALSE)&lt;W100,VLOOKUP(W100+0.1,tablas!$R$3:$T$66,3,TRUE)&amp;"$",VLOOKUP(W100,tablas!$R$3:$T$66,3,TRUE)&amp;"$"),$C$13)</f>
        <v>$\phi12@25$</v>
      </c>
      <c r="X101" s="200"/>
      <c r="Y101" s="199" t="str">
        <f>IF(Y100&gt;$C$12,"$\phi"&amp;IF(VLOOKUP(VLOOKUP(Y100,tablas!$R$3:$T$66,2,TRUE)&amp;VLOOKUP(Y100,tablas!$R$3:$T$66,3,TRUE),tablas!$Q$3:$R$66,2,FALSE)&lt;Y100,VLOOKUP(Y100+0.1,tablas!$R$3:$T$66,2,TRUE),VLOOKUP(Y100,tablas!$R$3:$T$66,2,TRUE))&amp;"@"&amp;IF(VLOOKUP(VLOOKUP(Y100,tablas!$R$3:$T$66,2,TRUE)&amp;VLOOKUP(Y100,tablas!$R$3:$T$66,3,TRUE),tablas!$Q$3:$R$66,2,FALSE)&lt;Y100,VLOOKUP(Y100+0.1,tablas!$R$3:$T$66,3,TRUE)&amp;"$",VLOOKUP(Y100,tablas!$R$3:$T$66,3,TRUE)&amp;"$"),$C$13)</f>
        <v>$\phi12@24$</v>
      </c>
      <c r="Z101" s="200"/>
      <c r="AA101" s="199" t="str">
        <f>IF(AA100&gt;$C$12,"$\phi"&amp;IF(VLOOKUP(VLOOKUP(AA100,tablas!$R$3:$T$66,2,TRUE)&amp;VLOOKUP(AA100,tablas!$R$3:$T$66,3,TRUE),tablas!$Q$3:$R$66,2,FALSE)&lt;AA100,VLOOKUP(AA100+0.1,tablas!$R$3:$T$66,2,TRUE),VLOOKUP(AA100,tablas!$R$3:$T$66,2,TRUE))&amp;"@"&amp;IF(VLOOKUP(VLOOKUP(AA100,tablas!$R$3:$T$66,2,TRUE)&amp;VLOOKUP(AA100,tablas!$R$3:$T$66,3,TRUE),tablas!$Q$3:$R$66,2,FALSE)&lt;AA100,VLOOKUP(AA100+0.1,tablas!$R$3:$T$66,3,TRUE)&amp;"$",VLOOKUP(AA100,tablas!$R$3:$T$66,3,TRUE)&amp;"$"),$C$13)</f>
        <v>$\phi12@25$</v>
      </c>
      <c r="AB101" s="200"/>
    </row>
    <row r="102" spans="2:28" ht="15.75" thickBot="1" x14ac:dyDescent="0.3">
      <c r="P102" s="40"/>
      <c r="T102" s="40"/>
      <c r="U102" s="41"/>
    </row>
    <row r="103" spans="2:28" ht="15.75" thickBot="1" x14ac:dyDescent="0.3">
      <c r="B103" s="73" t="s">
        <v>43</v>
      </c>
      <c r="C103" s="74" t="s">
        <v>123</v>
      </c>
      <c r="D103" s="75" t="s">
        <v>128</v>
      </c>
      <c r="E103" s="74" t="s">
        <v>124</v>
      </c>
      <c r="F103" s="75" t="s">
        <v>128</v>
      </c>
      <c r="G103" s="74" t="s">
        <v>124</v>
      </c>
      <c r="H103" s="75" t="s">
        <v>125</v>
      </c>
      <c r="I103" s="74" t="s">
        <v>126</v>
      </c>
      <c r="J103" s="75" t="s">
        <v>138</v>
      </c>
      <c r="K103" s="74" t="s">
        <v>126</v>
      </c>
      <c r="L103" s="75" t="s">
        <v>129</v>
      </c>
      <c r="M103" s="74" t="s">
        <v>126</v>
      </c>
      <c r="N103" s="75" t="s">
        <v>130</v>
      </c>
      <c r="O103" s="74" t="s">
        <v>126</v>
      </c>
      <c r="P103" s="75" t="s">
        <v>126</v>
      </c>
      <c r="Q103" s="74" t="s">
        <v>127</v>
      </c>
      <c r="R103" s="75" t="s">
        <v>130</v>
      </c>
      <c r="S103" s="74" t="s">
        <v>127</v>
      </c>
      <c r="T103" s="75" t="s">
        <v>128</v>
      </c>
      <c r="U103" s="74" t="s">
        <v>128</v>
      </c>
      <c r="V103" s="75" t="s">
        <v>130</v>
      </c>
      <c r="W103" s="74" t="s">
        <v>128</v>
      </c>
      <c r="X103" s="75" t="s">
        <v>132</v>
      </c>
      <c r="Y103" s="74" t="s">
        <v>128</v>
      </c>
      <c r="Z103" s="75" t="s">
        <v>133</v>
      </c>
      <c r="AA103" s="74" t="s">
        <v>129</v>
      </c>
      <c r="AB103" s="75" t="s">
        <v>138</v>
      </c>
    </row>
    <row r="104" spans="2:28" ht="15.75" hidden="1" thickBot="1" x14ac:dyDescent="0.3">
      <c r="B104" s="144"/>
      <c r="C104" s="146" t="str">
        <f>C103&amp;"-"&amp;D103</f>
        <v>107-112</v>
      </c>
      <c r="D104" s="146"/>
      <c r="E104" s="146" t="str">
        <f>E103&amp;"-"&amp;F103</f>
        <v>108-112</v>
      </c>
      <c r="F104" s="145"/>
      <c r="G104" s="146" t="str">
        <f>G103&amp;"-"&amp;H103</f>
        <v>108-109</v>
      </c>
      <c r="H104" s="145"/>
      <c r="I104" s="146" t="str">
        <f>I103&amp;"-"&amp;J103</f>
        <v>110-121</v>
      </c>
      <c r="J104" s="145"/>
      <c r="K104" s="146" t="str">
        <f>K103&amp;"-"&amp;L103</f>
        <v>110-113</v>
      </c>
      <c r="L104" s="145"/>
      <c r="M104" s="146" t="str">
        <f>M103&amp;"-"&amp;N103</f>
        <v>110-114</v>
      </c>
      <c r="N104" s="145"/>
      <c r="O104" s="146" t="str">
        <f>O103&amp;"-"&amp;P103</f>
        <v>110-110</v>
      </c>
      <c r="P104" s="145"/>
      <c r="Q104" s="146" t="str">
        <f>Q103&amp;"-"&amp;R103</f>
        <v>111-114</v>
      </c>
      <c r="R104" s="145"/>
      <c r="S104" s="146" t="str">
        <f>S103&amp;"-"&amp;T103</f>
        <v>111-112</v>
      </c>
      <c r="T104" s="145"/>
      <c r="U104" s="146" t="str">
        <f>U103&amp;"-"&amp;V103</f>
        <v>112-114</v>
      </c>
      <c r="V104" s="145"/>
      <c r="W104" s="146" t="str">
        <f>W103&amp;"-"&amp;X103</f>
        <v>112-116</v>
      </c>
      <c r="X104" s="145"/>
      <c r="Y104" s="146" t="str">
        <f>Y103&amp;"-"&amp;Z103</f>
        <v>112-117</v>
      </c>
      <c r="Z104" s="145"/>
      <c r="AA104" s="146" t="str">
        <f>AA103&amp;"-"&amp;AB103</f>
        <v>113-121</v>
      </c>
      <c r="AB104" s="145"/>
    </row>
    <row r="105" spans="2:28" x14ac:dyDescent="0.25">
      <c r="B105" s="105" t="s">
        <v>114</v>
      </c>
      <c r="C105" s="102" t="s">
        <v>108</v>
      </c>
      <c r="D105" s="103" t="s">
        <v>108</v>
      </c>
      <c r="E105" s="102" t="s">
        <v>108</v>
      </c>
      <c r="F105" s="103" t="s">
        <v>108</v>
      </c>
      <c r="G105" s="102" t="s">
        <v>109</v>
      </c>
      <c r="H105" s="103" t="s">
        <v>108</v>
      </c>
      <c r="I105" s="102" t="s">
        <v>109</v>
      </c>
      <c r="J105" s="103" t="s">
        <v>108</v>
      </c>
      <c r="K105" s="102" t="s">
        <v>108</v>
      </c>
      <c r="L105" s="103" t="s">
        <v>109</v>
      </c>
      <c r="M105" s="102" t="s">
        <v>108</v>
      </c>
      <c r="N105" s="103" t="s">
        <v>108</v>
      </c>
      <c r="O105" s="102" t="s">
        <v>109</v>
      </c>
      <c r="P105" s="103" t="s">
        <v>109</v>
      </c>
      <c r="Q105" s="102" t="s">
        <v>108</v>
      </c>
      <c r="R105" s="103" t="s">
        <v>108</v>
      </c>
      <c r="S105" s="102" t="s">
        <v>109</v>
      </c>
      <c r="T105" s="103" t="s">
        <v>109</v>
      </c>
      <c r="U105" s="102" t="s">
        <v>109</v>
      </c>
      <c r="V105" s="103" t="s">
        <v>109</v>
      </c>
      <c r="W105" s="102" t="s">
        <v>108</v>
      </c>
      <c r="X105" s="103" t="s">
        <v>108</v>
      </c>
      <c r="Y105" s="102" t="s">
        <v>108</v>
      </c>
      <c r="Z105" s="103" t="s">
        <v>108</v>
      </c>
      <c r="AA105" s="102" t="s">
        <v>108</v>
      </c>
      <c r="AB105" s="103" t="s">
        <v>108</v>
      </c>
    </row>
    <row r="106" spans="2:28" x14ac:dyDescent="0.25">
      <c r="B106" s="106" t="s">
        <v>110</v>
      </c>
      <c r="C106" s="104">
        <f t="shared" ref="C106:I106" si="31">HLOOKUP(C103,$B$46:$V$89,IF(C105="x",35,40),FALSE)</f>
        <v>3288.6382978723404</v>
      </c>
      <c r="D106" s="86">
        <f t="shared" si="31"/>
        <v>4341.0963414634152</v>
      </c>
      <c r="E106" s="104">
        <f t="shared" si="31"/>
        <v>3421.7893939393934</v>
      </c>
      <c r="F106" s="86">
        <f t="shared" si="31"/>
        <v>4341.0963414634152</v>
      </c>
      <c r="G106" s="104">
        <f t="shared" si="31"/>
        <v>2585.9324427480915</v>
      </c>
      <c r="H106" s="86">
        <f t="shared" si="31"/>
        <v>2418.4905063291139</v>
      </c>
      <c r="I106" s="104">
        <f t="shared" si="31"/>
        <v>1580.5938864628824</v>
      </c>
      <c r="J106" s="86">
        <f>HLOOKUP(J103,$B$46:$W$89,IF(J105="x",35,40),FALSE)</f>
        <v>296.53333333333336</v>
      </c>
      <c r="K106" s="104">
        <f t="shared" ref="K106:AA106" si="32">HLOOKUP(K103,$B$46:$V$89,IF(K105="x",35,40),FALSE)</f>
        <v>1925.2978723404258</v>
      </c>
      <c r="L106" s="86">
        <f t="shared" si="32"/>
        <v>422.23118279569894</v>
      </c>
      <c r="M106" s="104">
        <f t="shared" si="32"/>
        <v>1925.2978723404258</v>
      </c>
      <c r="N106" s="86">
        <f t="shared" si="32"/>
        <v>227.0333333333333</v>
      </c>
      <c r="O106" s="104">
        <f t="shared" si="32"/>
        <v>1580.5938864628824</v>
      </c>
      <c r="P106" s="86">
        <f t="shared" si="32"/>
        <v>1580.5938864628824</v>
      </c>
      <c r="Q106" s="104">
        <f t="shared" si="32"/>
        <v>2146.9148936170213</v>
      </c>
      <c r="R106" s="86">
        <f t="shared" si="32"/>
        <v>227.0333333333333</v>
      </c>
      <c r="S106" s="104">
        <f t="shared" si="32"/>
        <v>1762.5327510917032</v>
      </c>
      <c r="T106" s="86">
        <f t="shared" si="32"/>
        <v>3189.6944444444448</v>
      </c>
      <c r="U106" s="104">
        <f t="shared" si="32"/>
        <v>3189.6944444444448</v>
      </c>
      <c r="V106" s="86">
        <f t="shared" si="32"/>
        <v>155.67999999999998</v>
      </c>
      <c r="W106" s="104">
        <f t="shared" si="32"/>
        <v>4341.0963414634152</v>
      </c>
      <c r="X106" s="86">
        <f t="shared" si="32"/>
        <v>1428.5638297872338</v>
      </c>
      <c r="Y106" s="104">
        <f t="shared" si="32"/>
        <v>4341.0963414634152</v>
      </c>
      <c r="Z106" s="86">
        <f t="shared" si="32"/>
        <v>2172.8938709677423</v>
      </c>
      <c r="AA106" s="104">
        <f t="shared" si="32"/>
        <v>545.38194444444446</v>
      </c>
      <c r="AB106" s="86">
        <f>HLOOKUP(AB103,$B$46:$W$89,IF(AB105="x",35,40),FALSE)</f>
        <v>296.53333333333336</v>
      </c>
    </row>
    <row r="107" spans="2:28" x14ac:dyDescent="0.25">
      <c r="B107" s="106" t="s">
        <v>111</v>
      </c>
      <c r="C107" s="203">
        <f>(MAX(C106:D106)-MIN(C106:D106))/(MAX(C106:D106))</f>
        <v>0.24244060965398512</v>
      </c>
      <c r="D107" s="204"/>
      <c r="E107" s="203">
        <f>(MAX(E106:F106)-MIN(E106:F106))/(MAX(E106:F106))</f>
        <v>0.21176838181253466</v>
      </c>
      <c r="F107" s="204"/>
      <c r="G107" s="203">
        <f>(MAX(G106:H106)-MIN(G106:H106))/(MAX(G106:H106))</f>
        <v>6.4751086939083227E-2</v>
      </c>
      <c r="H107" s="204"/>
      <c r="I107" s="203">
        <f>(MAX(I106:J106)-MIN(I106:J106))/(MAX(I106:J106))</f>
        <v>0.81239119303635443</v>
      </c>
      <c r="J107" s="204"/>
      <c r="K107" s="203">
        <f>(MAX(K106:L106)-MIN(K106:L106))/(MAX(K106:L106))</f>
        <v>0.78069306113010595</v>
      </c>
      <c r="L107" s="204"/>
      <c r="M107" s="203">
        <f>(MAX(M106:N106)-MIN(M106:N106))/(MAX(M106:N106))</f>
        <v>0.88207885304659506</v>
      </c>
      <c r="N107" s="204"/>
      <c r="O107" s="203">
        <f>(MAX(O106:P106)-MIN(O106:P106))/(MAX(O106:P106))</f>
        <v>0</v>
      </c>
      <c r="P107" s="204"/>
      <c r="Q107" s="203">
        <f>(MAX(Q106:R106)-MIN(Q106:R106))/(MAX(Q106:R106))</f>
        <v>0.89425135853855942</v>
      </c>
      <c r="R107" s="204"/>
      <c r="S107" s="203">
        <f>(MAX(S106:T106)-MIN(S106:T106))/(MAX(S106:T106))</f>
        <v>0.44742896794972259</v>
      </c>
      <c r="T107" s="204"/>
      <c r="U107" s="203">
        <f>(MAX(U106:V106)-MIN(U106:V106))/(MAX(U106:V106))</f>
        <v>0.95119281714549464</v>
      </c>
      <c r="V107" s="204"/>
      <c r="W107" s="203">
        <f>(MAX(W106:X106)-MIN(W106:X106))/(MAX(W106:X106))</f>
        <v>0.67092095696138032</v>
      </c>
      <c r="X107" s="204"/>
      <c r="Y107" s="203">
        <f>(MAX(Y106:Z106)-MIN(Y106:Z106))/(MAX(Y106:Z106))</f>
        <v>0.49945965257356073</v>
      </c>
      <c r="Z107" s="204"/>
      <c r="AA107" s="203">
        <f>(MAX(AA106:AB106)-MIN(AA106:AB106))/(MAX(AA106:AB106))</f>
        <v>0.45628318584070793</v>
      </c>
      <c r="AB107" s="204"/>
    </row>
    <row r="108" spans="2:28" x14ac:dyDescent="0.25">
      <c r="B108" s="106" t="s">
        <v>112</v>
      </c>
      <c r="C108" s="205">
        <f>IF(C107&lt;25%,(C106*0.5+D106*0.5)*0.9,IF(C107&lt;50%,(MAX(C106:D106)*0.6+MIN(C106:D106)*0.4)*0.9,IF(C107&lt;70%,(MAX(C106:D106)*0.65+MIN(C106:D106)*0.35)*0.9,IF(C107&lt;100%,(MAX(C106:D106)*0.7+MIN(C106:D106)*0.3)*0.9,0.7*MAX(C106:D106)))))</f>
        <v>3433.38058770109</v>
      </c>
      <c r="D108" s="206"/>
      <c r="E108" s="205">
        <f>IF(E107&lt;25%,(E106*0.5+F106*0.5)*0.9,IF(E107&lt;50%,(MAX(E106:F106)*0.6+MIN(E106:F106)*0.4)*0.9,IF(E107&lt;70%,(MAX(E106:F106)*0.65+MIN(E106:F106)*0.35)*0.9,IF(E107&lt;100%,(MAX(E106:F106)*0.7+MIN(E106:F106)*0.3)*0.9,0.7*MAX(E106:F106)))))</f>
        <v>3493.298580931264</v>
      </c>
      <c r="F108" s="206"/>
      <c r="G108" s="205">
        <f>IF(G107&lt;25%,(G106*0.5+H106*0.5)*0.9,IF(G107&lt;50%,(MAX(G106:H106)*0.6+MIN(G106:H106)*0.4)*0.9,IF(G107&lt;70%,(MAX(G106:H106)*0.65+MIN(G106:H106)*0.35)*0.9,IF(G107&lt;100%,(MAX(G106:H106)*0.7+MIN(G106:H106)*0.3)*0.9,0.7*MAX(G106:H106)))))</f>
        <v>2251.9903270847421</v>
      </c>
      <c r="H108" s="206"/>
      <c r="I108" s="205">
        <f>IF(I107&lt;25%,(I106*0.5+J106*0.5)*0.9,IF(I107&lt;50%,(MAX(I106:J106)*0.6+MIN(I106:J106)*0.4)*0.9,IF(I107&lt;70%,(MAX(I106:J106)*0.65+MIN(I106:J106)*0.35)*0.9,IF(I107&lt;100%,(MAX(I106:J106)*0.7+MIN(I106:J106)*0.3)*0.9,0.7*MAX(I106:J106)))))</f>
        <v>1075.838148471616</v>
      </c>
      <c r="J108" s="206"/>
      <c r="K108" s="205">
        <f>IF(K107&lt;25%,(K106*0.5+L106*0.5)*0.9,IF(K107&lt;50%,(MAX(K106:L106)*0.6+MIN(K106:L106)*0.4)*0.9,IF(K107&lt;70%,(MAX(K106:L106)*0.65+MIN(K106:L106)*0.35)*0.9,IF(K107&lt;100%,(MAX(K106:L106)*0.7+MIN(K106:L106)*0.3)*0.9,0.7*MAX(K106:L106)))))</f>
        <v>1326.940078929307</v>
      </c>
      <c r="L108" s="206"/>
      <c r="M108" s="205">
        <f>IF(M107&lt;25%,(M106*0.5+N106*0.5)*0.9,IF(M107&lt;50%,(MAX(M106:N106)*0.6+MIN(M106:N106)*0.4)*0.9,IF(M107&lt;70%,(MAX(M106:N106)*0.65+MIN(M106:N106)*0.35)*0.9,IF(M107&lt;100%,(MAX(M106:N106)*0.7+MIN(M106:N106)*0.3)*0.9,0.7*MAX(M106:N106)))))</f>
        <v>1274.2366595744679</v>
      </c>
      <c r="N108" s="206"/>
      <c r="O108" s="205">
        <f>IF(O107&lt;25%,(O106*0.5+P106*0.5)*0.9,IF(O107&lt;50%,(MAX(O106:P106)*0.6+MIN(O106:P106)*0.4)*0.9,IF(O107&lt;70%,(MAX(O106:P106)*0.65+MIN(O106:P106)*0.35)*0.9,IF(O107&lt;100%,(MAX(O106:P106)*0.7+MIN(O106:P106)*0.3)*0.9,0.7*MAX(O106:P106)))))</f>
        <v>1422.5344978165942</v>
      </c>
      <c r="P108" s="206"/>
      <c r="Q108" s="205">
        <f>IF(Q107&lt;25%,(Q106*0.5+R106*0.5)*0.9,IF(Q107&lt;50%,(MAX(Q106:R106)*0.6+MIN(Q106:R106)*0.4)*0.9,IF(Q107&lt;70%,(MAX(Q106:R106)*0.65+MIN(Q106:R106)*0.35)*0.9,IF(Q107&lt;100%,(MAX(Q106:R106)*0.7+MIN(Q106:R106)*0.3)*0.9,0.7*MAX(Q106:R106)))))</f>
        <v>1413.8553829787234</v>
      </c>
      <c r="R108" s="206"/>
      <c r="S108" s="205">
        <f>IF(S107&lt;25%,(S106*0.5+T106*0.5)*0.9,IF(S107&lt;50%,(MAX(S106:T106)*0.6+MIN(S106:T106)*0.4)*0.9,IF(S107&lt;70%,(MAX(S106:T106)*0.65+MIN(S106:T106)*0.35)*0.9,IF(S107&lt;100%,(MAX(S106:T106)*0.7+MIN(S106:T106)*0.3)*0.9,0.7*MAX(S106:T106)))))</f>
        <v>2356.9467903930131</v>
      </c>
      <c r="T108" s="206"/>
      <c r="U108" s="205">
        <f>IF(U107&lt;25%,(U106*0.5+V106*0.5)*0.9,IF(U107&lt;50%,(MAX(U106:V106)*0.6+MIN(U106:V106)*0.4)*0.9,IF(U107&lt;70%,(MAX(U106:V106)*0.65+MIN(U106:V106)*0.35)*0.9,IF(U107&lt;100%,(MAX(U106:V106)*0.7+MIN(U106:V106)*0.3)*0.9,0.7*MAX(U106:V106)))))</f>
        <v>2051.5411000000004</v>
      </c>
      <c r="V108" s="206"/>
      <c r="W108" s="205">
        <f>IF(W107&lt;25%,(W106*0.5+X106*0.5)*0.9,IF(W107&lt;50%,(MAX(W106:X106)*0.6+MIN(W106:X106)*0.4)*0.9,IF(W107&lt;70%,(MAX(W106:X106)*0.65+MIN(W106:X106)*0.35)*0.9,IF(W107&lt;100%,(MAX(W106:X106)*0.7+MIN(W106:X106)*0.3)*0.9,0.7*MAX(W106:X106)))))</f>
        <v>2989.5389661390768</v>
      </c>
      <c r="X108" s="206"/>
      <c r="Y108" s="205">
        <f>IF(Y107&lt;25%,(Y106*0.5+Z106*0.5)*0.9,IF(Y107&lt;50%,(MAX(Y106:Z106)*0.6+MIN(Y106:Z106)*0.4)*0.9,IF(Y107&lt;70%,(MAX(Y106:Z106)*0.65+MIN(Y106:Z106)*0.35)*0.9,IF(Y107&lt;100%,(MAX(Y106:Z106)*0.7+MIN(Y106:Z106)*0.3)*0.9,0.7*MAX(Y106:Z106)))))</f>
        <v>3126.4338179386314</v>
      </c>
      <c r="Z108" s="206"/>
      <c r="AA108" s="205">
        <f>IF(AA107&lt;25%,(AA106*0.5+AB106*0.5)*0.9,IF(AA107&lt;50%,(MAX(AA106:AB106)*0.6+MIN(AA106:AB106)*0.4)*0.9,IF(AA107&lt;70%,(MAX(AA106:AB106)*0.65+MIN(AA106:AB106)*0.35)*0.9,IF(AA107&lt;100%,(MAX(AA106:AB106)*0.7+MIN(AA106:AB106)*0.3)*0.9,0.7*MAX(AA106:AB106)))))</f>
        <v>401.25825000000003</v>
      </c>
      <c r="AB108" s="206"/>
    </row>
    <row r="109" spans="2:28" x14ac:dyDescent="0.25">
      <c r="B109" s="107" t="s">
        <v>15</v>
      </c>
      <c r="C109" s="207">
        <f>C108/(0.9*(0.9*($C$7/100))*($L$9*1000))</f>
        <v>7.0740011119787063</v>
      </c>
      <c r="D109" s="208"/>
      <c r="E109" s="207">
        <f>E108/(0.9*(0.9*($C$7/100))*($L$9*1000))</f>
        <v>7.1974537674332506</v>
      </c>
      <c r="F109" s="208"/>
      <c r="G109" s="207">
        <f>G108/(0.9*(0.9*($C$7/100))*($L$9*1000))</f>
        <v>4.6399115015179531</v>
      </c>
      <c r="H109" s="208"/>
      <c r="I109" s="207">
        <f>I108/(0.9*(0.9*($C$7/100))*($L$9*1000))</f>
        <v>2.2166142273476068</v>
      </c>
      <c r="J109" s="208"/>
      <c r="K109" s="207">
        <f>K108/(0.9*(0.9*($C$7/100))*($L$9*1000))</f>
        <v>2.7339746800864253</v>
      </c>
      <c r="L109" s="208"/>
      <c r="M109" s="207">
        <f>M108/(0.9*(0.9*($C$7/100))*($L$9*1000))</f>
        <v>2.625386646340115</v>
      </c>
      <c r="N109" s="208"/>
      <c r="O109" s="207">
        <f>O108/(0.9*(0.9*($C$7/100))*($L$9*1000))</f>
        <v>2.9309336271749036</v>
      </c>
      <c r="P109" s="208"/>
      <c r="Q109" s="207">
        <f>Q108/(0.9*(0.9*($C$7/100))*($L$9*1000))</f>
        <v>2.9130515233865792</v>
      </c>
      <c r="R109" s="208"/>
      <c r="S109" s="207">
        <f>S108/(0.9*(0.9*($C$7/100))*($L$9*1000))</f>
        <v>4.8561596334062953</v>
      </c>
      <c r="T109" s="208"/>
      <c r="U109" s="207">
        <f>U108/(0.9*(0.9*($C$7/100))*($L$9*1000))</f>
        <v>4.2269138686973573</v>
      </c>
      <c r="V109" s="208"/>
      <c r="W109" s="207">
        <f>W108/(0.9*(0.9*($C$7/100))*($L$9*1000))</f>
        <v>6.1595274484066733</v>
      </c>
      <c r="X109" s="208"/>
      <c r="Y109" s="207">
        <f>Y108/(0.9*(0.9*($C$7/100))*($L$9*1000))</f>
        <v>6.4415801684934451</v>
      </c>
      <c r="Z109" s="208"/>
      <c r="AA109" s="207">
        <f>AA108/(0.9*(0.9*($C$7/100))*($L$9*1000))</f>
        <v>0.82673657469218198</v>
      </c>
      <c r="AB109" s="208"/>
    </row>
    <row r="110" spans="2:28" x14ac:dyDescent="0.25">
      <c r="B110" s="107" t="s">
        <v>98</v>
      </c>
      <c r="C110" s="209">
        <f>(C109*($L$9))/(0.85*$L$6*100)</f>
        <v>9.9775003325980785E-2</v>
      </c>
      <c r="D110" s="210"/>
      <c r="E110" s="209">
        <f>(E109*($L$9))/(0.85*$L$6*100)</f>
        <v>0.10151623702295046</v>
      </c>
      <c r="F110" s="210"/>
      <c r="G110" s="209">
        <f>(G109*($L$9))/(0.85*$L$6*100)</f>
        <v>6.5443470840325729E-2</v>
      </c>
      <c r="H110" s="210"/>
      <c r="I110" s="209">
        <f>(I109*($L$9))/(0.85*$L$6*100)</f>
        <v>3.1264158487552339E-2</v>
      </c>
      <c r="J110" s="210"/>
      <c r="K110" s="209">
        <f>(K109*($L$9))/(0.85*$L$6*100)</f>
        <v>3.8561251048838036E-2</v>
      </c>
      <c r="L110" s="210"/>
      <c r="M110" s="209">
        <f>(M109*($L$9))/(0.85*$L$6*100)</f>
        <v>3.7029674893180729E-2</v>
      </c>
      <c r="N110" s="210"/>
      <c r="O110" s="209">
        <f>(O109*($L$9))/(0.85*$L$6*100)</f>
        <v>4.1339251686632356E-2</v>
      </c>
      <c r="P110" s="210"/>
      <c r="Q110" s="209">
        <f>(Q109*($L$9))/(0.85*$L$6*100)</f>
        <v>4.1087034173981081E-2</v>
      </c>
      <c r="R110" s="210"/>
      <c r="S110" s="209">
        <f>(S109*($L$9))/(0.85*$L$6*100)</f>
        <v>6.8493535116094725E-2</v>
      </c>
      <c r="T110" s="210"/>
      <c r="U110" s="209">
        <f>(U109*($L$9))/(0.85*$L$6*100)</f>
        <v>5.9618360052808343E-2</v>
      </c>
      <c r="V110" s="210"/>
      <c r="W110" s="209">
        <f>(W109*($L$9))/(0.85*$L$6*100)</f>
        <v>8.6876841256156093E-2</v>
      </c>
      <c r="X110" s="210"/>
      <c r="Y110" s="209">
        <f>(Y109*($L$9))/(0.85*$L$6*100)</f>
        <v>9.0855044063773108E-2</v>
      </c>
      <c r="Z110" s="210"/>
      <c r="AA110" s="209">
        <f>(AA109*($L$9))/(0.85*$L$6*100)</f>
        <v>1.1660677342832555E-2</v>
      </c>
      <c r="AB110" s="210"/>
    </row>
    <row r="111" spans="2:28" ht="15.75" thickBot="1" x14ac:dyDescent="0.3">
      <c r="B111" s="108" t="s">
        <v>15</v>
      </c>
      <c r="C111" s="201">
        <f>ROUNDUP(C108/(0.9*(($C$7-C110/2)/100)*($L$9*1000)),2)</f>
        <v>6.39</v>
      </c>
      <c r="D111" s="202"/>
      <c r="E111" s="201">
        <f>ROUNDUP(E108/(0.9*(($C$7-E110/2)/100)*($L$9*1000)),2)</f>
        <v>6.51</v>
      </c>
      <c r="F111" s="202"/>
      <c r="G111" s="201">
        <f>ROUNDUP(G108/(0.9*(($C$7-G110/2)/100)*($L$9*1000)),2)</f>
        <v>4.1899999999999995</v>
      </c>
      <c r="H111" s="202"/>
      <c r="I111" s="201">
        <f>ROUNDUP(I108/(0.9*(($C$7-I110/2)/100)*($L$9*1000)),2)</f>
        <v>2</v>
      </c>
      <c r="J111" s="202"/>
      <c r="K111" s="201">
        <f>ROUNDUP(K108/(0.9*(($C$7-K110/2)/100)*($L$9*1000)),2)</f>
        <v>2.4699999999999998</v>
      </c>
      <c r="L111" s="202"/>
      <c r="M111" s="201">
        <f>ROUNDUP(M108/(0.9*(($C$7-M110/2)/100)*($L$9*1000)),2)</f>
        <v>2.3699999999999997</v>
      </c>
      <c r="N111" s="202"/>
      <c r="O111" s="201">
        <f>ROUNDUP(O108/(0.9*(($C$7-O110/2)/100)*($L$9*1000)),2)</f>
        <v>2.65</v>
      </c>
      <c r="P111" s="202"/>
      <c r="Q111" s="201">
        <f>ROUNDUP(Q108/(0.9*(($C$7-Q110/2)/100)*($L$9*1000)),2)</f>
        <v>2.63</v>
      </c>
      <c r="R111" s="202"/>
      <c r="S111" s="201">
        <f>ROUNDUP(S108/(0.9*(($C$7-S110/2)/100)*($L$9*1000)),2)</f>
        <v>4.3899999999999997</v>
      </c>
      <c r="T111" s="202"/>
      <c r="U111" s="201">
        <f>ROUNDUP(U108/(0.9*(($C$7-U110/2)/100)*($L$9*1000)),2)</f>
        <v>3.82</v>
      </c>
      <c r="V111" s="202"/>
      <c r="W111" s="201">
        <f>ROUNDUP(W108/(0.9*(($C$7-W110/2)/100)*($L$9*1000)),2)</f>
        <v>5.5699999999999994</v>
      </c>
      <c r="X111" s="202"/>
      <c r="Y111" s="201">
        <f>ROUNDUP(Y108/(0.9*(($C$7-Y110/2)/100)*($L$9*1000)),2)</f>
        <v>5.8199999999999994</v>
      </c>
      <c r="Z111" s="202"/>
      <c r="AA111" s="201">
        <f>ROUNDUP(AA108/(0.9*(($C$7-AA110/2)/100)*($L$9*1000)),2)</f>
        <v>0.75</v>
      </c>
      <c r="AB111" s="202"/>
    </row>
    <row r="112" spans="2:28" ht="16.5" thickBot="1" x14ac:dyDescent="0.3">
      <c r="B112" s="61" t="s">
        <v>113</v>
      </c>
      <c r="C112" s="199" t="str">
        <f>IF(C111&gt;$C$12,"$\phi"&amp;IF(VLOOKUP(VLOOKUP(C111,tablas!$R$3:$T$66,2,TRUE)&amp;VLOOKUP(C111,tablas!$R$3:$T$66,3,TRUE),tablas!$Q$3:$R$66,2,FALSE)&lt;C111,VLOOKUP(C111+0.1,tablas!$R$3:$T$66,2,TRUE),VLOOKUP(C111,tablas!$R$3:$T$66,2,TRUE))&amp;"@"&amp;IF(VLOOKUP(VLOOKUP(C111,tablas!$R$3:$T$66,2,TRUE)&amp;VLOOKUP(C111,tablas!$R$3:$T$66,3,TRUE),tablas!$Q$3:$R$66,2,FALSE)&lt;C111,VLOOKUP(C111+0.1,tablas!$R$3:$T$66,3,TRUE)&amp;"$",VLOOKUP(C111,tablas!$R$3:$T$66,3,TRUE)&amp;"$"),$C$13)</f>
        <v>$\phi12@18$</v>
      </c>
      <c r="D112" s="200"/>
      <c r="E112" s="199" t="str">
        <f>IF(E111&gt;$C$12,"$\phi"&amp;IF(VLOOKUP(VLOOKUP(E111,tablas!$R$3:$T$66,2,TRUE)&amp;VLOOKUP(E111,tablas!$R$3:$T$66,3,TRUE),tablas!$Q$3:$R$66,2,FALSE)&lt;E111,VLOOKUP(E111+0.1,tablas!$R$3:$T$66,2,TRUE),VLOOKUP(E111,tablas!$R$3:$T$66,2,TRUE))&amp;"@"&amp;IF(VLOOKUP(VLOOKUP(E111,tablas!$R$3:$T$66,2,TRUE)&amp;VLOOKUP(E111,tablas!$R$3:$T$66,3,TRUE),tablas!$Q$3:$R$66,2,FALSE)&lt;E111,VLOOKUP(E111+0.1,tablas!$R$3:$T$66,3,TRUE)&amp;"$",VLOOKUP(E111,tablas!$R$3:$T$66,3,TRUE)&amp;"$"),$C$13)</f>
        <v>$\phi10@12$</v>
      </c>
      <c r="F112" s="200"/>
      <c r="G112" s="199" t="str">
        <f>IF(G111&gt;$C$12,"$\phi"&amp;IF(VLOOKUP(VLOOKUP(G111,tablas!$R$3:$T$66,2,TRUE)&amp;VLOOKUP(G111,tablas!$R$3:$T$66,3,TRUE),tablas!$Q$3:$R$66,2,FALSE)&lt;G111,VLOOKUP(G111+0.1,tablas!$R$3:$T$66,2,TRUE),VLOOKUP(G111,tablas!$R$3:$T$66,2,TRUE))&amp;"@"&amp;IF(VLOOKUP(VLOOKUP(G111,tablas!$R$3:$T$66,2,TRUE)&amp;VLOOKUP(G111,tablas!$R$3:$T$66,3,TRUE),tablas!$Q$3:$R$66,2,FALSE)&lt;G111,VLOOKUP(G111+0.1,tablas!$R$3:$T$66,3,TRUE)&amp;"$",VLOOKUP(G111,tablas!$R$3:$T$66,3,TRUE)&amp;"$"),$C$13)</f>
        <v>$\phi8@12$</v>
      </c>
      <c r="H112" s="200"/>
      <c r="I112" s="199" t="str">
        <f>IF(I111&gt;$C$12,"$\phi"&amp;IF(VLOOKUP(VLOOKUP(I111,tablas!$R$3:$T$66,2,TRUE)&amp;VLOOKUP(I111,tablas!$R$3:$T$66,3,TRUE),tablas!$Q$3:$R$66,2,FALSE)&lt;I111,VLOOKUP(I111+0.1,tablas!$R$3:$T$66,2,TRUE),VLOOKUP(I111,tablas!$R$3:$T$66,2,TRUE))&amp;"@"&amp;IF(VLOOKUP(VLOOKUP(I111,tablas!$R$3:$T$66,2,TRUE)&amp;VLOOKUP(I111,tablas!$R$3:$T$66,3,TRUE),tablas!$Q$3:$R$66,2,FALSE)&lt;I111,VLOOKUP(I111+0.1,tablas!$R$3:$T$66,3,TRUE)&amp;"$",VLOOKUP(I111,tablas!$R$3:$T$66,3,TRUE)&amp;"$"),$C$13)</f>
        <v>$\phi8@17$</v>
      </c>
      <c r="J112" s="200"/>
      <c r="K112" s="199" t="str">
        <f>IF(K111&gt;$C$12,"$\phi"&amp;IF(VLOOKUP(VLOOKUP(K111,tablas!$R$3:$T$66,2,TRUE)&amp;VLOOKUP(K111,tablas!$R$3:$T$66,3,TRUE),tablas!$Q$3:$R$66,2,FALSE)&lt;K111,VLOOKUP(K111+0.1,tablas!$R$3:$T$66,2,TRUE),VLOOKUP(K111,tablas!$R$3:$T$66,2,TRUE))&amp;"@"&amp;IF(VLOOKUP(VLOOKUP(K111,tablas!$R$3:$T$66,2,TRUE)&amp;VLOOKUP(K111,tablas!$R$3:$T$66,3,TRUE),tablas!$Q$3:$R$66,2,FALSE)&lt;K111,VLOOKUP(K111+0.1,tablas!$R$3:$T$66,3,TRUE)&amp;"$",VLOOKUP(K111,tablas!$R$3:$T$66,3,TRUE)&amp;"$"),$C$13)</f>
        <v>$\phi8@17$</v>
      </c>
      <c r="L112" s="200"/>
      <c r="M112" s="199" t="str">
        <f>IF(M111&gt;$C$12,"$\phi"&amp;IF(VLOOKUP(VLOOKUP(M111,tablas!$R$3:$T$66,2,TRUE)&amp;VLOOKUP(M111,tablas!$R$3:$T$66,3,TRUE),tablas!$Q$3:$R$66,2,FALSE)&lt;M111,VLOOKUP(M111+0.1,tablas!$R$3:$T$66,2,TRUE),VLOOKUP(M111,tablas!$R$3:$T$66,2,TRUE))&amp;"@"&amp;IF(VLOOKUP(VLOOKUP(M111,tablas!$R$3:$T$66,2,TRUE)&amp;VLOOKUP(M111,tablas!$R$3:$T$66,3,TRUE),tablas!$Q$3:$R$66,2,FALSE)&lt;M111,VLOOKUP(M111+0.1,tablas!$R$3:$T$66,3,TRUE)&amp;"$",VLOOKUP(M111,tablas!$R$3:$T$66,3,TRUE)&amp;"$"),$C$13)</f>
        <v>$\phi8@17$</v>
      </c>
      <c r="N112" s="200"/>
      <c r="O112" s="199" t="str">
        <f>IF(O111&gt;$C$12,"$\phi"&amp;IF(VLOOKUP(VLOOKUP(O111,tablas!$R$3:$T$66,2,TRUE)&amp;VLOOKUP(O111,tablas!$R$3:$T$66,3,TRUE),tablas!$Q$3:$R$66,2,FALSE)&lt;O111,VLOOKUP(O111+0.1,tablas!$R$3:$T$66,2,TRUE),VLOOKUP(O111,tablas!$R$3:$T$66,2,TRUE))&amp;"@"&amp;IF(VLOOKUP(VLOOKUP(O111,tablas!$R$3:$T$66,2,TRUE)&amp;VLOOKUP(O111,tablas!$R$3:$T$66,3,TRUE),tablas!$Q$3:$R$66,2,FALSE)&lt;O111,VLOOKUP(O111+0.1,tablas!$R$3:$T$66,3,TRUE)&amp;"$",VLOOKUP(O111,tablas!$R$3:$T$66,3,TRUE)&amp;"$"),$C$13)</f>
        <v>$\phi8@17$</v>
      </c>
      <c r="P112" s="200"/>
      <c r="Q112" s="199" t="str">
        <f>IF(Q111&gt;$C$12,"$\phi"&amp;IF(VLOOKUP(VLOOKUP(Q111,tablas!$R$3:$T$66,2,TRUE)&amp;VLOOKUP(Q111,tablas!$R$3:$T$66,3,TRUE),tablas!$Q$3:$R$66,2,FALSE)&lt;Q111,VLOOKUP(Q111+0.1,tablas!$R$3:$T$66,2,TRUE),VLOOKUP(Q111,tablas!$R$3:$T$66,2,TRUE))&amp;"@"&amp;IF(VLOOKUP(VLOOKUP(Q111,tablas!$R$3:$T$66,2,TRUE)&amp;VLOOKUP(Q111,tablas!$R$3:$T$66,3,TRUE),tablas!$Q$3:$R$66,2,FALSE)&lt;Q111,VLOOKUP(Q111+0.1,tablas!$R$3:$T$66,3,TRUE)&amp;"$",VLOOKUP(Q111,tablas!$R$3:$T$66,3,TRUE)&amp;"$"),$C$13)</f>
        <v>$\phi8@17$</v>
      </c>
      <c r="R112" s="200"/>
      <c r="S112" s="199" t="str">
        <f>IF(S111&gt;$C$12,"$\phi"&amp;IF(VLOOKUP(VLOOKUP(S111,tablas!$R$3:$T$66,2,TRUE)&amp;VLOOKUP(S111,tablas!$R$3:$T$66,3,TRUE),tablas!$Q$3:$R$66,2,FALSE)&lt;S111,VLOOKUP(S111+0.1,tablas!$R$3:$T$66,2,TRUE),VLOOKUP(S111,tablas!$R$3:$T$66,2,TRUE))&amp;"@"&amp;IF(VLOOKUP(VLOOKUP(S111,tablas!$R$3:$T$66,2,TRUE)&amp;VLOOKUP(S111,tablas!$R$3:$T$66,3,TRUE),tablas!$Q$3:$R$66,2,FALSE)&lt;S111,VLOOKUP(S111+0.1,tablas!$R$3:$T$66,3,TRUE)&amp;"$",VLOOKUP(S111,tablas!$R$3:$T$66,3,TRUE)&amp;"$"),$C$13)</f>
        <v>$\phi10@18$</v>
      </c>
      <c r="T112" s="200"/>
      <c r="U112" s="199" t="str">
        <f>IF(U111&gt;$C$12,"$\phi"&amp;IF(VLOOKUP(VLOOKUP(U111,tablas!$R$3:$T$66,2,TRUE)&amp;VLOOKUP(U111,tablas!$R$3:$T$66,3,TRUE),tablas!$Q$3:$R$66,2,FALSE)&lt;U111,VLOOKUP(U111+0.1,tablas!$R$3:$T$66,2,TRUE),VLOOKUP(U111,tablas!$R$3:$T$66,2,TRUE))&amp;"@"&amp;IF(VLOOKUP(VLOOKUP(U111,tablas!$R$3:$T$66,2,TRUE)&amp;VLOOKUP(U111,tablas!$R$3:$T$66,3,TRUE),tablas!$Q$3:$R$66,2,FALSE)&lt;U111,VLOOKUP(U111+0.1,tablas!$R$3:$T$66,3,TRUE)&amp;"$",VLOOKUP(U111,tablas!$R$3:$T$66,3,TRUE)&amp;"$"),$C$13)</f>
        <v>$\phi8@13$</v>
      </c>
      <c r="V112" s="200"/>
      <c r="W112" s="199" t="str">
        <f>IF(W111&gt;$C$12,"$\phi"&amp;IF(VLOOKUP(VLOOKUP(W111,tablas!$R$3:$T$66,2,TRUE)&amp;VLOOKUP(W111,tablas!$R$3:$T$66,3,TRUE),tablas!$Q$3:$R$66,2,FALSE)&lt;W111,VLOOKUP(W111+0.1,tablas!$R$3:$T$66,2,TRUE),VLOOKUP(W111,tablas!$R$3:$T$66,2,TRUE))&amp;"@"&amp;IF(VLOOKUP(VLOOKUP(W111,tablas!$R$3:$T$66,2,TRUE)&amp;VLOOKUP(W111,tablas!$R$3:$T$66,3,TRUE),tablas!$Q$3:$R$66,2,FALSE)&lt;W111,VLOOKUP(W111+0.1,tablas!$R$3:$T$66,3,TRUE)&amp;"$",VLOOKUP(W111,tablas!$R$3:$T$66,3,TRUE)&amp;"$"),$C$13)</f>
        <v>$\phi12@20$</v>
      </c>
      <c r="X112" s="200"/>
      <c r="Y112" s="199" t="str">
        <f>IF(Y111&gt;$C$12,"$\phi"&amp;IF(VLOOKUP(VLOOKUP(Y111,tablas!$R$3:$T$66,2,TRUE)&amp;VLOOKUP(Y111,tablas!$R$3:$T$66,3,TRUE),tablas!$Q$3:$R$66,2,FALSE)&lt;Y111,VLOOKUP(Y111+0.1,tablas!$R$3:$T$66,2,TRUE),VLOOKUP(Y111,tablas!$R$3:$T$66,2,TRUE))&amp;"@"&amp;IF(VLOOKUP(VLOOKUP(Y111,tablas!$R$3:$T$66,2,TRUE)&amp;VLOOKUP(Y111,tablas!$R$3:$T$66,3,TRUE),tablas!$Q$3:$R$66,2,FALSE)&lt;Y111,VLOOKUP(Y111+0.1,tablas!$R$3:$T$66,3,TRUE)&amp;"$",VLOOKUP(Y111,tablas!$R$3:$T$66,3,TRUE)&amp;"$"),$C$13)</f>
        <v>$\phi12@20$</v>
      </c>
      <c r="Z112" s="200"/>
      <c r="AA112" s="199" t="str">
        <f>IF(AA111&gt;$C$12,"$\phi"&amp;IF(VLOOKUP(VLOOKUP(AA111,tablas!$R$3:$T$66,2,TRUE)&amp;VLOOKUP(AA111,tablas!$R$3:$T$66,3,TRUE),tablas!$Q$3:$R$66,2,FALSE)&lt;AA111,VLOOKUP(AA111+0.1,tablas!$R$3:$T$66,2,TRUE),VLOOKUP(AA111,tablas!$R$3:$T$66,2,TRUE))&amp;"@"&amp;IF(VLOOKUP(VLOOKUP(AA111,tablas!$R$3:$T$66,2,TRUE)&amp;VLOOKUP(AA111,tablas!$R$3:$T$66,3,TRUE),tablas!$Q$3:$R$66,2,FALSE)&lt;AA111,VLOOKUP(AA111+0.1,tablas!$R$3:$T$66,3,TRUE)&amp;"$",VLOOKUP(AA111,tablas!$R$3:$T$66,3,TRUE)&amp;"$"),$C$13)</f>
        <v>$\phi8@17$</v>
      </c>
      <c r="AB112" s="200"/>
    </row>
    <row r="113" spans="2:24" ht="15.75" thickBot="1" x14ac:dyDescent="0.3">
      <c r="P113" s="40"/>
      <c r="T113" s="40"/>
      <c r="U113" s="41"/>
    </row>
    <row r="114" spans="2:24" ht="15.75" thickBot="1" x14ac:dyDescent="0.3">
      <c r="B114" s="73" t="s">
        <v>43</v>
      </c>
      <c r="C114" s="74" t="s">
        <v>129</v>
      </c>
      <c r="D114" s="75" t="s">
        <v>130</v>
      </c>
      <c r="E114" s="74" t="s">
        <v>129</v>
      </c>
      <c r="F114" s="75" t="s">
        <v>135</v>
      </c>
      <c r="G114" s="74" t="s">
        <v>130</v>
      </c>
      <c r="H114" s="75" t="s">
        <v>135</v>
      </c>
      <c r="I114" s="74" t="s">
        <v>130</v>
      </c>
      <c r="J114" s="75" t="s">
        <v>131</v>
      </c>
      <c r="K114" s="74" t="s">
        <v>130</v>
      </c>
      <c r="L114" s="75" t="s">
        <v>132</v>
      </c>
      <c r="M114" s="74" t="s">
        <v>131</v>
      </c>
      <c r="N114" s="75" t="s">
        <v>136</v>
      </c>
      <c r="O114" s="74" t="s">
        <v>131</v>
      </c>
      <c r="P114" s="75" t="s">
        <v>132</v>
      </c>
      <c r="Q114" s="74" t="s">
        <v>132</v>
      </c>
      <c r="R114" s="75" t="s">
        <v>134</v>
      </c>
      <c r="S114" s="74" t="s">
        <v>132</v>
      </c>
      <c r="T114" s="75" t="s">
        <v>133</v>
      </c>
      <c r="U114" s="74" t="s">
        <v>133</v>
      </c>
      <c r="V114" s="75" t="s">
        <v>134</v>
      </c>
      <c r="W114" s="74" t="s">
        <v>135</v>
      </c>
      <c r="X114" s="75" t="s">
        <v>136</v>
      </c>
    </row>
    <row r="115" spans="2:24" ht="15.75" hidden="1" thickBot="1" x14ac:dyDescent="0.3">
      <c r="B115" s="144"/>
      <c r="C115" s="146" t="str">
        <f>C114&amp;"-"&amp;D114</f>
        <v>113-114</v>
      </c>
      <c r="D115" s="146"/>
      <c r="E115" s="146" t="str">
        <f>E114&amp;"-"&amp;F114</f>
        <v>113-119</v>
      </c>
      <c r="F115" s="145"/>
      <c r="G115" s="146" t="str">
        <f>G114&amp;"-"&amp;H114</f>
        <v>114-119</v>
      </c>
      <c r="H115" s="145"/>
      <c r="I115" s="146" t="str">
        <f>I114&amp;"-"&amp;J114</f>
        <v>114-115</v>
      </c>
      <c r="J115" s="145"/>
      <c r="K115" s="146" t="str">
        <f>K114&amp;"-"&amp;L114</f>
        <v>114-116</v>
      </c>
      <c r="L115" s="145"/>
      <c r="M115" s="146" t="str">
        <f>M114&amp;"-"&amp;N114</f>
        <v>115-120</v>
      </c>
      <c r="N115" s="145"/>
      <c r="O115" s="146" t="str">
        <f>O114&amp;"-"&amp;P114</f>
        <v>115-116</v>
      </c>
      <c r="P115" s="145"/>
      <c r="Q115" s="146" t="str">
        <f>Q114&amp;"-"&amp;R114</f>
        <v>116-118</v>
      </c>
      <c r="R115" s="145"/>
      <c r="S115" s="146" t="str">
        <f>S114&amp;"-"&amp;T114</f>
        <v>116-117</v>
      </c>
      <c r="T115" s="145"/>
      <c r="U115" s="146" t="str">
        <f>U114&amp;"-"&amp;V114</f>
        <v>117-118</v>
      </c>
      <c r="V115" s="145"/>
      <c r="W115" s="146" t="str">
        <f>W114&amp;"-"&amp;X114</f>
        <v>119-120</v>
      </c>
      <c r="X115" s="145"/>
    </row>
    <row r="116" spans="2:24" x14ac:dyDescent="0.25">
      <c r="B116" s="105" t="s">
        <v>114</v>
      </c>
      <c r="C116" s="102" t="s">
        <v>108</v>
      </c>
      <c r="D116" s="103" t="s">
        <v>109</v>
      </c>
      <c r="E116" s="102" t="s">
        <v>108</v>
      </c>
      <c r="F116" s="103" t="s">
        <v>108</v>
      </c>
      <c r="G116" s="102" t="s">
        <v>108</v>
      </c>
      <c r="H116" s="103" t="s">
        <v>109</v>
      </c>
      <c r="I116" s="102" t="s">
        <v>108</v>
      </c>
      <c r="J116" s="103" t="s">
        <v>109</v>
      </c>
      <c r="K116" s="102" t="s">
        <v>108</v>
      </c>
      <c r="L116" s="103" t="s">
        <v>108</v>
      </c>
      <c r="M116" s="102" t="s">
        <v>108</v>
      </c>
      <c r="N116" s="103" t="s">
        <v>109</v>
      </c>
      <c r="O116" s="102" t="s">
        <v>108</v>
      </c>
      <c r="P116" s="103" t="s">
        <v>109</v>
      </c>
      <c r="Q116" s="102" t="s">
        <v>108</v>
      </c>
      <c r="R116" s="103" t="s">
        <v>108</v>
      </c>
      <c r="S116" s="102" t="s">
        <v>109</v>
      </c>
      <c r="T116" s="103" t="s">
        <v>109</v>
      </c>
      <c r="U116" s="102" t="s">
        <v>108</v>
      </c>
      <c r="V116" s="103" t="s">
        <v>108</v>
      </c>
      <c r="W116" s="102" t="s">
        <v>109</v>
      </c>
      <c r="X116" s="103" t="s">
        <v>108</v>
      </c>
    </row>
    <row r="117" spans="2:24" x14ac:dyDescent="0.25">
      <c r="B117" s="106" t="s">
        <v>110</v>
      </c>
      <c r="C117" s="104">
        <f t="shared" ref="C117:X117" si="33">HLOOKUP(C114,$B$46:$V$89,IF(C116="x",35,40),FALSE)</f>
        <v>545.38194444444446</v>
      </c>
      <c r="D117" s="86">
        <f t="shared" si="33"/>
        <v>155.67999999999998</v>
      </c>
      <c r="E117" s="104">
        <f t="shared" si="33"/>
        <v>545.38194444444446</v>
      </c>
      <c r="F117" s="86">
        <f t="shared" si="33"/>
        <v>670.04318181818178</v>
      </c>
      <c r="G117" s="104">
        <f t="shared" si="33"/>
        <v>227.0333333333333</v>
      </c>
      <c r="H117" s="86">
        <f t="shared" si="33"/>
        <v>479.38048780487804</v>
      </c>
      <c r="I117" s="104">
        <f t="shared" si="33"/>
        <v>227.0333333333333</v>
      </c>
      <c r="J117" s="86">
        <f t="shared" si="33"/>
        <v>667.99428571428564</v>
      </c>
      <c r="K117" s="104">
        <f t="shared" si="33"/>
        <v>227.0333333333333</v>
      </c>
      <c r="L117" s="86">
        <f t="shared" si="33"/>
        <v>1428.5638297872338</v>
      </c>
      <c r="M117" s="104">
        <f t="shared" si="33"/>
        <v>974.1583333333333</v>
      </c>
      <c r="N117" s="86">
        <f t="shared" si="33"/>
        <v>441.61273885350312</v>
      </c>
      <c r="O117" s="104">
        <f t="shared" si="33"/>
        <v>974.1583333333333</v>
      </c>
      <c r="P117" s="86">
        <f t="shared" si="33"/>
        <v>1323.0049261083741</v>
      </c>
      <c r="Q117" s="104">
        <f t="shared" si="33"/>
        <v>1428.5638297872338</v>
      </c>
      <c r="R117" s="86">
        <f t="shared" si="33"/>
        <v>276.07350000000002</v>
      </c>
      <c r="S117" s="104">
        <f t="shared" si="33"/>
        <v>1323.0049261083741</v>
      </c>
      <c r="T117" s="86">
        <f t="shared" si="33"/>
        <v>1879.8058604651167</v>
      </c>
      <c r="U117" s="104">
        <f t="shared" si="33"/>
        <v>2172.8938709677423</v>
      </c>
      <c r="V117" s="86">
        <f t="shared" si="33"/>
        <v>276.07350000000002</v>
      </c>
      <c r="W117" s="104">
        <f t="shared" si="33"/>
        <v>479.38048780487804</v>
      </c>
      <c r="X117" s="86">
        <f t="shared" si="33"/>
        <v>630.30181818181802</v>
      </c>
    </row>
    <row r="118" spans="2:24" x14ac:dyDescent="0.25">
      <c r="B118" s="106" t="s">
        <v>111</v>
      </c>
      <c r="C118" s="203">
        <f>(MAX(C117:D117)-MIN(C117:D117))/(MAX(C117:D117))</f>
        <v>0.71454867256637178</v>
      </c>
      <c r="D118" s="204"/>
      <c r="E118" s="203">
        <f>(MAX(E117:F117)-MIN(E117:F117))/(MAX(E117:F117))</f>
        <v>0.18604955733668599</v>
      </c>
      <c r="F118" s="204"/>
      <c r="G118" s="203">
        <f>(MAX(G117:H117)-MIN(G117:H117))/(MAX(G117:H117))</f>
        <v>0.5264026402640265</v>
      </c>
      <c r="H118" s="204"/>
      <c r="I118" s="203">
        <f>(MAX(I117:J117)-MIN(I117:J117))/(MAX(I117:J117))</f>
        <v>0.66012683313515652</v>
      </c>
      <c r="J118" s="204"/>
      <c r="K118" s="203">
        <f>(MAX(K117:L117)-MIN(K117:L117))/(MAX(K117:L117))</f>
        <v>0.84107582132529068</v>
      </c>
      <c r="L118" s="204"/>
      <c r="M118" s="203">
        <f>(MAX(M117:N117)-MIN(M117:N117))/(MAX(M117:N117))</f>
        <v>0.5466725236108062</v>
      </c>
      <c r="N118" s="204"/>
      <c r="O118" s="203">
        <f>(MAX(O117:P117)-MIN(O117:P117))/(MAX(O117:P117))</f>
        <v>0.26367747080214954</v>
      </c>
      <c r="P118" s="204"/>
      <c r="Q118" s="203">
        <f>(MAX(Q117:R117)-MIN(Q117:R117))/(MAX(Q117:R117))</f>
        <v>0.80674752206128753</v>
      </c>
      <c r="R118" s="204"/>
      <c r="S118" s="203">
        <f>(MAX(S117:T117)-MIN(S117:T117))/(MAX(S117:T117))</f>
        <v>0.29620129720149635</v>
      </c>
      <c r="T118" s="204"/>
      <c r="U118" s="203">
        <f>(MAX(U117:V117)-MIN(U117:V117))/(MAX(U117:V117))</f>
        <v>0.87294662491866437</v>
      </c>
      <c r="V118" s="204"/>
      <c r="W118" s="203">
        <f>(MAX(W117:X117)-MIN(W117:X117))/(MAX(W117:X117))</f>
        <v>0.23944295577679095</v>
      </c>
      <c r="X118" s="204"/>
    </row>
    <row r="119" spans="2:24" x14ac:dyDescent="0.25">
      <c r="B119" s="106" t="s">
        <v>112</v>
      </c>
      <c r="C119" s="205">
        <f>IF(C118&lt;25%,(C117*0.5+D117*0.5)*0.9,IF(C118&lt;50%,(MAX(C117:D117)*0.6+MIN(C117:D117)*0.4)*0.9,IF(C118&lt;70%,(MAX(C117:D117)*0.65+MIN(C117:D117)*0.35)*0.9,IF(C118&lt;100%,(MAX(C117:D117)*0.7+MIN(C117:D117)*0.3)*0.9,0.7*MAX(C117:D117)))))</f>
        <v>385.62422499999997</v>
      </c>
      <c r="D119" s="206"/>
      <c r="E119" s="205">
        <f>IF(E118&lt;25%,(E117*0.5+F117*0.5)*0.9,IF(E118&lt;50%,(MAX(E117:F117)*0.6+MIN(E117:F117)*0.4)*0.9,IF(E118&lt;70%,(MAX(E117:F117)*0.65+MIN(E117:F117)*0.35)*0.9,IF(E118&lt;100%,(MAX(E117:F117)*0.7+MIN(E117:F117)*0.3)*0.9,0.7*MAX(E117:F117)))))</f>
        <v>546.94130681818183</v>
      </c>
      <c r="F119" s="206"/>
      <c r="G119" s="205">
        <f>IF(G118&lt;25%,(G117*0.5+H117*0.5)*0.9,IF(G118&lt;50%,(MAX(G117:H117)*0.6+MIN(G117:H117)*0.4)*0.9,IF(G118&lt;70%,(MAX(G117:H117)*0.65+MIN(G117:H117)*0.35)*0.9,IF(G118&lt;100%,(MAX(G117:H117)*0.7+MIN(G117:H117)*0.3)*0.9,0.7*MAX(G117:H117)))))</f>
        <v>351.95308536585367</v>
      </c>
      <c r="H119" s="206"/>
      <c r="I119" s="205">
        <f>IF(I118&lt;25%,(I117*0.5+J117*0.5)*0.9,IF(I118&lt;50%,(MAX(I117:J117)*0.6+MIN(I117:J117)*0.4)*0.9,IF(I118&lt;70%,(MAX(I117:J117)*0.65+MIN(I117:J117)*0.35)*0.9,IF(I118&lt;100%,(MAX(I117:J117)*0.7+MIN(I117:J117)*0.3)*0.9,0.7*MAX(I117:J117)))))</f>
        <v>462.29215714285709</v>
      </c>
      <c r="J119" s="206"/>
      <c r="K119" s="205">
        <f>IF(K118&lt;25%,(K117*0.5+L117*0.5)*0.9,IF(K118&lt;50%,(MAX(K117:L117)*0.6+MIN(K117:L117)*0.4)*0.9,IF(K118&lt;70%,(MAX(K117:L117)*0.65+MIN(K117:L117)*0.35)*0.9,IF(K118&lt;100%,(MAX(K117:L117)*0.7+MIN(K117:L117)*0.3)*0.9,0.7*MAX(K117:L117)))))</f>
        <v>961.29421276595713</v>
      </c>
      <c r="L119" s="206"/>
      <c r="M119" s="205">
        <f>IF(M118&lt;25%,(M117*0.5+N117*0.5)*0.9,IF(M118&lt;50%,(MAX(M117:N117)*0.6+MIN(M117:N117)*0.4)*0.9,IF(M118&lt;70%,(MAX(M117:N117)*0.65+MIN(M117:N117)*0.35)*0.9,IF(M118&lt;100%,(MAX(M117:N117)*0.7+MIN(M117:N117)*0.3)*0.9,0.7*MAX(M117:N117)))))</f>
        <v>708.99063773885348</v>
      </c>
      <c r="N119" s="206"/>
      <c r="O119" s="205">
        <f>IF(O118&lt;25%,(O117*0.5+P117*0.5)*0.9,IF(O118&lt;50%,(MAX(O117:P117)*0.6+MIN(O117:P117)*0.4)*0.9,IF(O118&lt;70%,(MAX(O117:P117)*0.65+MIN(O117:P117)*0.35)*0.9,IF(O118&lt;100%,(MAX(O117:P117)*0.7+MIN(O117:P117)*0.3)*0.9,0.7*MAX(O117:P117)))))</f>
        <v>1065.1196600985222</v>
      </c>
      <c r="P119" s="206"/>
      <c r="Q119" s="205">
        <f>IF(Q118&lt;25%,(Q117*0.5+R117*0.5)*0.9,IF(Q118&lt;50%,(MAX(Q117:R117)*0.6+MIN(Q117:R117)*0.4)*0.9,IF(Q118&lt;70%,(MAX(Q117:R117)*0.65+MIN(Q117:R117)*0.35)*0.9,IF(Q118&lt;100%,(MAX(Q117:R117)*0.7+MIN(Q117:R117)*0.3)*0.9,0.7*MAX(Q117:R117)))))</f>
        <v>974.53505776595716</v>
      </c>
      <c r="R119" s="206"/>
      <c r="S119" s="205">
        <f>IF(S118&lt;25%,(S117*0.5+T117*0.5)*0.9,IF(S118&lt;50%,(MAX(S117:T117)*0.6+MIN(S117:T117)*0.4)*0.9,IF(S118&lt;70%,(MAX(S117:T117)*0.65+MIN(S117:T117)*0.35)*0.9,IF(S118&lt;100%,(MAX(S117:T117)*0.7+MIN(S117:T117)*0.3)*0.9,0.7*MAX(S117:T117)))))</f>
        <v>1491.3769380501776</v>
      </c>
      <c r="T119" s="206"/>
      <c r="U119" s="205">
        <f>IF(U118&lt;25%,(U117*0.5+V117*0.5)*0.9,IF(U118&lt;50%,(MAX(U117:V117)*0.6+MIN(U117:V117)*0.4)*0.9,IF(U118&lt;70%,(MAX(U117:V117)*0.65+MIN(U117:V117)*0.35)*0.9,IF(U118&lt;100%,(MAX(U117:V117)*0.7+MIN(U117:V117)*0.3)*0.9,0.7*MAX(U117:V117)))))</f>
        <v>1443.4629837096775</v>
      </c>
      <c r="V119" s="206"/>
      <c r="W119" s="205">
        <f>IF(W118&lt;25%,(W117*0.5+X117*0.5)*0.9,IF(W118&lt;50%,(MAX(W117:X117)*0.6+MIN(W117:X117)*0.4)*0.9,IF(W118&lt;70%,(MAX(W117:X117)*0.65+MIN(W117:X117)*0.35)*0.9,IF(W118&lt;100%,(MAX(W117:X117)*0.7+MIN(W117:X117)*0.3)*0.9,0.7*MAX(W117:X117)))))</f>
        <v>499.35703769401323</v>
      </c>
      <c r="X119" s="206"/>
    </row>
    <row r="120" spans="2:24" x14ac:dyDescent="0.25">
      <c r="B120" s="107" t="s">
        <v>15</v>
      </c>
      <c r="C120" s="207">
        <f>C119/(0.9*(0.9*($C$7/100))*($L$9*1000))</f>
        <v>0.79452485000576867</v>
      </c>
      <c r="D120" s="208"/>
      <c r="E120" s="207">
        <f>E119/(0.9*(0.9*($C$7/100))*($L$9*1000))</f>
        <v>1.1268961636465527</v>
      </c>
      <c r="F120" s="208"/>
      <c r="G120" s="207">
        <f>G119/(0.9*(0.9*($C$7/100))*($L$9*1000))</f>
        <v>0.72515017011540817</v>
      </c>
      <c r="H120" s="208"/>
      <c r="I120" s="207">
        <f>I119/(0.9*(0.9*($C$7/100))*($L$9*1000))</f>
        <v>0.95248841488828095</v>
      </c>
      <c r="J120" s="208"/>
      <c r="K120" s="207">
        <f>K119/(0.9*(0.9*($C$7/100))*($L$9*1000))</f>
        <v>1.9806124478027429</v>
      </c>
      <c r="L120" s="208"/>
      <c r="M120" s="207">
        <f>M119/(0.9*(0.9*($C$7/100))*($L$9*1000))</f>
        <v>1.4607761742793957</v>
      </c>
      <c r="N120" s="208"/>
      <c r="O120" s="207">
        <f>O119/(0.9*(0.9*($C$7/100))*($L$9*1000))</f>
        <v>2.194530279258192</v>
      </c>
      <c r="P120" s="208"/>
      <c r="Q120" s="207">
        <f>Q119/(0.9*(0.9*($C$7/100))*($L$9*1000))</f>
        <v>2.0078933593885608</v>
      </c>
      <c r="R120" s="208"/>
      <c r="S120" s="207">
        <f>S119/(0.9*(0.9*($C$7/100))*($L$9*1000))</f>
        <v>3.07277385907584</v>
      </c>
      <c r="T120" s="208"/>
      <c r="U120" s="207">
        <f>U119/(0.9*(0.9*($C$7/100))*($L$9*1000))</f>
        <v>2.974053848979044</v>
      </c>
      <c r="V120" s="208"/>
      <c r="W120" s="207">
        <f>W119/(0.9*(0.9*($C$7/100))*($L$9*1000))</f>
        <v>1.0288554238861962</v>
      </c>
      <c r="X120" s="208"/>
    </row>
    <row r="121" spans="2:24" x14ac:dyDescent="0.25">
      <c r="B121" s="107" t="s">
        <v>98</v>
      </c>
      <c r="C121" s="209">
        <f>(C120*($L$9))/(0.85*$L$6*100)</f>
        <v>1.1206348189239383E-2</v>
      </c>
      <c r="D121" s="210"/>
      <c r="E121" s="209">
        <f>(E120*($L$9))/(0.85*$L$6*100)</f>
        <v>1.5894267854365613E-2</v>
      </c>
      <c r="F121" s="210"/>
      <c r="G121" s="209">
        <f>(G120*($L$9))/(0.85*$L$6*100)</f>
        <v>1.0227855422949241E-2</v>
      </c>
      <c r="H121" s="210"/>
      <c r="I121" s="209">
        <f>(I120*($L$9))/(0.85*$L$6*100)</f>
        <v>1.3434339811243508E-2</v>
      </c>
      <c r="J121" s="210"/>
      <c r="K121" s="209">
        <f>(K120*($L$9))/(0.85*$L$6*100)</f>
        <v>2.7935479573556569E-2</v>
      </c>
      <c r="L121" s="210"/>
      <c r="M121" s="209">
        <f>(M120*($L$9))/(0.85*$L$6*100)</f>
        <v>2.0603466883888002E-2</v>
      </c>
      <c r="N121" s="210"/>
      <c r="O121" s="209">
        <f>(O120*($L$9))/(0.85*$L$6*100)</f>
        <v>3.0952676207695051E-2</v>
      </c>
      <c r="P121" s="210"/>
      <c r="Q121" s="209">
        <f>(Q120*($L$9))/(0.85*$L$6*100)</f>
        <v>2.8320262244794996E-2</v>
      </c>
      <c r="R121" s="210"/>
      <c r="S121" s="209">
        <f>(S120*($L$9))/(0.85*$L$6*100)</f>
        <v>4.3339832317826982E-2</v>
      </c>
      <c r="T121" s="210"/>
      <c r="U121" s="209">
        <f>(U120*($L$9))/(0.85*$L$6*100)</f>
        <v>4.194743935946716E-2</v>
      </c>
      <c r="V121" s="210"/>
      <c r="W121" s="209">
        <f>(W120*($L$9))/(0.85*$L$6*100)</f>
        <v>1.4511455640905981E-2</v>
      </c>
      <c r="X121" s="210"/>
    </row>
    <row r="122" spans="2:24" ht="15.75" thickBot="1" x14ac:dyDescent="0.3">
      <c r="B122" s="108" t="s">
        <v>15</v>
      </c>
      <c r="C122" s="201">
        <f>ROUNDUP(C119/(0.9*(($C$7-C121/2)/100)*($L$9*1000)),2)</f>
        <v>0.72</v>
      </c>
      <c r="D122" s="202"/>
      <c r="E122" s="201">
        <f>ROUNDUP(E119/(0.9*(($C$7-E121/2)/100)*($L$9*1000)),2)</f>
        <v>1.02</v>
      </c>
      <c r="F122" s="202"/>
      <c r="G122" s="201">
        <f>ROUNDUP(G119/(0.9*(($C$7-G121/2)/100)*($L$9*1000)),2)</f>
        <v>0.66</v>
      </c>
      <c r="H122" s="202"/>
      <c r="I122" s="201">
        <f>ROUNDUP(I119/(0.9*(($C$7-I121/2)/100)*($L$9*1000)),2)</f>
        <v>0.86</v>
      </c>
      <c r="J122" s="202"/>
      <c r="K122" s="201">
        <f>ROUNDUP(K119/(0.9*(($C$7-K121/2)/100)*($L$9*1000)),2)</f>
        <v>1.79</v>
      </c>
      <c r="L122" s="202"/>
      <c r="M122" s="201">
        <f>ROUNDUP(M119/(0.9*(($C$7-M121/2)/100)*($L$9*1000)),2)</f>
        <v>1.32</v>
      </c>
      <c r="N122" s="202"/>
      <c r="O122" s="201">
        <f>ROUNDUP(O119/(0.9*(($C$7-O121/2)/100)*($L$9*1000)),2)</f>
        <v>1.98</v>
      </c>
      <c r="P122" s="202"/>
      <c r="Q122" s="201">
        <f>ROUNDUP(Q119/(0.9*(($C$7-Q121/2)/100)*($L$9*1000)),2)</f>
        <v>1.81</v>
      </c>
      <c r="R122" s="202"/>
      <c r="S122" s="201">
        <f>ROUNDUP(S119/(0.9*(($C$7-S121/2)/100)*($L$9*1000)),2)</f>
        <v>2.7699999999999996</v>
      </c>
      <c r="T122" s="202"/>
      <c r="U122" s="201">
        <f>ROUNDUP(U119/(0.9*(($C$7-U121/2)/100)*($L$9*1000)),2)</f>
        <v>2.69</v>
      </c>
      <c r="V122" s="202"/>
      <c r="W122" s="201">
        <f>ROUNDUP(W119/(0.9*(($C$7-W121/2)/100)*($L$9*1000)),2)</f>
        <v>0.93</v>
      </c>
      <c r="X122" s="202"/>
    </row>
    <row r="123" spans="2:24" ht="16.5" thickBot="1" x14ac:dyDescent="0.3">
      <c r="B123" s="61" t="s">
        <v>113</v>
      </c>
      <c r="C123" s="199" t="str">
        <f>IF(C122&gt;$C$12,"$\phi"&amp;IF(VLOOKUP(VLOOKUP(C122,tablas!$R$3:$T$66,2,TRUE)&amp;VLOOKUP(C122,tablas!$R$3:$T$66,3,TRUE),tablas!$Q$3:$R$66,2,FALSE)&lt;C122,VLOOKUP(C122+0.1,tablas!$R$3:$T$66,2,TRUE),VLOOKUP(C122,tablas!$R$3:$T$66,2,TRUE))&amp;"@"&amp;IF(VLOOKUP(VLOOKUP(C122,tablas!$R$3:$T$66,2,TRUE)&amp;VLOOKUP(C122,tablas!$R$3:$T$66,3,TRUE),tablas!$Q$3:$R$66,2,FALSE)&lt;C122,VLOOKUP(C122+0.1,tablas!$R$3:$T$66,3,TRUE)&amp;"$",VLOOKUP(C122,tablas!$R$3:$T$66,3,TRUE)&amp;"$"),$C$13)</f>
        <v>$\phi8@17$</v>
      </c>
      <c r="D123" s="200"/>
      <c r="E123" s="199" t="str">
        <f>IF(E122&gt;$C$12,"$\phi"&amp;IF(VLOOKUP(VLOOKUP(E122,tablas!$R$3:$T$66,2,TRUE)&amp;VLOOKUP(E122,tablas!$R$3:$T$66,3,TRUE),tablas!$Q$3:$R$66,2,FALSE)&lt;E122,VLOOKUP(E122+0.1,tablas!$R$3:$T$66,2,TRUE),VLOOKUP(E122,tablas!$R$3:$T$66,2,TRUE))&amp;"@"&amp;IF(VLOOKUP(VLOOKUP(E122,tablas!$R$3:$T$66,2,TRUE)&amp;VLOOKUP(E122,tablas!$R$3:$T$66,3,TRUE),tablas!$Q$3:$R$66,2,FALSE)&lt;E122,VLOOKUP(E122+0.1,tablas!$R$3:$T$66,3,TRUE)&amp;"$",VLOOKUP(E122,tablas!$R$3:$T$66,3,TRUE)&amp;"$"),$C$13)</f>
        <v>$\phi8@17$</v>
      </c>
      <c r="F123" s="200"/>
      <c r="G123" s="199" t="str">
        <f>IF(G122&gt;$C$12,"$\phi"&amp;IF(VLOOKUP(VLOOKUP(G122,tablas!$R$3:$T$66,2,TRUE)&amp;VLOOKUP(G122,tablas!$R$3:$T$66,3,TRUE),tablas!$Q$3:$R$66,2,FALSE)&lt;G122,VLOOKUP(G122+0.1,tablas!$R$3:$T$66,2,TRUE),VLOOKUP(G122,tablas!$R$3:$T$66,2,TRUE))&amp;"@"&amp;IF(VLOOKUP(VLOOKUP(G122,tablas!$R$3:$T$66,2,TRUE)&amp;VLOOKUP(G122,tablas!$R$3:$T$66,3,TRUE),tablas!$Q$3:$R$66,2,FALSE)&lt;G122,VLOOKUP(G122+0.1,tablas!$R$3:$T$66,3,TRUE)&amp;"$",VLOOKUP(G122,tablas!$R$3:$T$66,3,TRUE)&amp;"$"),$C$13)</f>
        <v>$\phi8@17$</v>
      </c>
      <c r="H123" s="200"/>
      <c r="I123" s="199" t="str">
        <f>IF(I122&gt;$C$12,"$\phi"&amp;IF(VLOOKUP(VLOOKUP(I122,tablas!$R$3:$T$66,2,TRUE)&amp;VLOOKUP(I122,tablas!$R$3:$T$66,3,TRUE),tablas!$Q$3:$R$66,2,FALSE)&lt;I122,VLOOKUP(I122+0.1,tablas!$R$3:$T$66,2,TRUE),VLOOKUP(I122,tablas!$R$3:$T$66,2,TRUE))&amp;"@"&amp;IF(VLOOKUP(VLOOKUP(I122,tablas!$R$3:$T$66,2,TRUE)&amp;VLOOKUP(I122,tablas!$R$3:$T$66,3,TRUE),tablas!$Q$3:$R$66,2,FALSE)&lt;I122,VLOOKUP(I122+0.1,tablas!$R$3:$T$66,3,TRUE)&amp;"$",VLOOKUP(I122,tablas!$R$3:$T$66,3,TRUE)&amp;"$"),$C$13)</f>
        <v>$\phi8@17$</v>
      </c>
      <c r="J123" s="200"/>
      <c r="K123" s="199" t="str">
        <f>IF(K122&gt;$C$12,"$\phi"&amp;IF(VLOOKUP(VLOOKUP(K122,tablas!$R$3:$T$66,2,TRUE)&amp;VLOOKUP(K122,tablas!$R$3:$T$66,3,TRUE),tablas!$Q$3:$R$66,2,FALSE)&lt;K122,VLOOKUP(K122+0.1,tablas!$R$3:$T$66,2,TRUE),VLOOKUP(K122,tablas!$R$3:$T$66,2,TRUE))&amp;"@"&amp;IF(VLOOKUP(VLOOKUP(K122,tablas!$R$3:$T$66,2,TRUE)&amp;VLOOKUP(K122,tablas!$R$3:$T$66,3,TRUE),tablas!$Q$3:$R$66,2,FALSE)&lt;K122,VLOOKUP(K122+0.1,tablas!$R$3:$T$66,3,TRUE)&amp;"$",VLOOKUP(K122,tablas!$R$3:$T$66,3,TRUE)&amp;"$"),$C$13)</f>
        <v>$\phi8@17$</v>
      </c>
      <c r="L123" s="200"/>
      <c r="M123" s="199" t="str">
        <f>IF(M122&gt;$C$12,"$\phi"&amp;IF(VLOOKUP(VLOOKUP(M122,tablas!$R$3:$T$66,2,TRUE)&amp;VLOOKUP(M122,tablas!$R$3:$T$66,3,TRUE),tablas!$Q$3:$R$66,2,FALSE)&lt;M122,VLOOKUP(M122+0.1,tablas!$R$3:$T$66,2,TRUE),VLOOKUP(M122,tablas!$R$3:$T$66,2,TRUE))&amp;"@"&amp;IF(VLOOKUP(VLOOKUP(M122,tablas!$R$3:$T$66,2,TRUE)&amp;VLOOKUP(M122,tablas!$R$3:$T$66,3,TRUE),tablas!$Q$3:$R$66,2,FALSE)&lt;M122,VLOOKUP(M122+0.1,tablas!$R$3:$T$66,3,TRUE)&amp;"$",VLOOKUP(M122,tablas!$R$3:$T$66,3,TRUE)&amp;"$"),$C$13)</f>
        <v>$\phi8@17$</v>
      </c>
      <c r="N123" s="200"/>
      <c r="O123" s="199" t="str">
        <f>IF(O122&gt;$C$12,"$\phi"&amp;IF(VLOOKUP(VLOOKUP(O122,tablas!$R$3:$T$66,2,TRUE)&amp;VLOOKUP(O122,tablas!$R$3:$T$66,3,TRUE),tablas!$Q$3:$R$66,2,FALSE)&lt;O122,VLOOKUP(O122+0.1,tablas!$R$3:$T$66,2,TRUE),VLOOKUP(O122,tablas!$R$3:$T$66,2,TRUE))&amp;"@"&amp;IF(VLOOKUP(VLOOKUP(O122,tablas!$R$3:$T$66,2,TRUE)&amp;VLOOKUP(O122,tablas!$R$3:$T$66,3,TRUE),tablas!$Q$3:$R$66,2,FALSE)&lt;O122,VLOOKUP(O122+0.1,tablas!$R$3:$T$66,3,TRUE)&amp;"$",VLOOKUP(O122,tablas!$R$3:$T$66,3,TRUE)&amp;"$"),$C$13)</f>
        <v>$\phi8@17$</v>
      </c>
      <c r="P123" s="200"/>
      <c r="Q123" s="199" t="str">
        <f>IF(Q122&gt;$C$12,"$\phi"&amp;IF(VLOOKUP(VLOOKUP(Q122,tablas!$R$3:$T$66,2,TRUE)&amp;VLOOKUP(Q122,tablas!$R$3:$T$66,3,TRUE),tablas!$Q$3:$R$66,2,FALSE)&lt;Q122,VLOOKUP(Q122+0.1,tablas!$R$3:$T$66,2,TRUE),VLOOKUP(Q122,tablas!$R$3:$T$66,2,TRUE))&amp;"@"&amp;IF(VLOOKUP(VLOOKUP(Q122,tablas!$R$3:$T$66,2,TRUE)&amp;VLOOKUP(Q122,tablas!$R$3:$T$66,3,TRUE),tablas!$Q$3:$R$66,2,FALSE)&lt;Q122,VLOOKUP(Q122+0.1,tablas!$R$3:$T$66,3,TRUE)&amp;"$",VLOOKUP(Q122,tablas!$R$3:$T$66,3,TRUE)&amp;"$"),$C$13)</f>
        <v>$\phi8@17$</v>
      </c>
      <c r="R123" s="200"/>
      <c r="S123" s="199" t="str">
        <f>IF(S122&gt;$C$12,"$\phi"&amp;IF(VLOOKUP(VLOOKUP(S122,tablas!$R$3:$T$66,2,TRUE)&amp;VLOOKUP(S122,tablas!$R$3:$T$66,3,TRUE),tablas!$Q$3:$R$66,2,FALSE)&lt;S122,VLOOKUP(S122+0.1,tablas!$R$3:$T$66,2,TRUE),VLOOKUP(S122,tablas!$R$3:$T$66,2,TRUE))&amp;"@"&amp;IF(VLOOKUP(VLOOKUP(S122,tablas!$R$3:$T$66,2,TRUE)&amp;VLOOKUP(S122,tablas!$R$3:$T$66,3,TRUE),tablas!$Q$3:$R$66,2,FALSE)&lt;S122,VLOOKUP(S122+0.1,tablas!$R$3:$T$66,3,TRUE)&amp;"$",VLOOKUP(S122,tablas!$R$3:$T$66,3,TRUE)&amp;"$"),$C$13)</f>
        <v>$\phi8@17$</v>
      </c>
      <c r="T123" s="200"/>
      <c r="U123" s="199" t="str">
        <f>IF(U122&gt;$C$12,"$\phi"&amp;IF(VLOOKUP(VLOOKUP(U122,tablas!$R$3:$T$66,2,TRUE)&amp;VLOOKUP(U122,tablas!$R$3:$T$66,3,TRUE),tablas!$Q$3:$R$66,2,FALSE)&lt;U122,VLOOKUP(U122+0.1,tablas!$R$3:$T$66,2,TRUE),VLOOKUP(U122,tablas!$R$3:$T$66,2,TRUE))&amp;"@"&amp;IF(VLOOKUP(VLOOKUP(U122,tablas!$R$3:$T$66,2,TRUE)&amp;VLOOKUP(U122,tablas!$R$3:$T$66,3,TRUE),tablas!$Q$3:$R$66,2,FALSE)&lt;U122,VLOOKUP(U122+0.1,tablas!$R$3:$T$66,3,TRUE)&amp;"$",VLOOKUP(U122,tablas!$R$3:$T$66,3,TRUE)&amp;"$"),$C$13)</f>
        <v>$\phi8@17$</v>
      </c>
      <c r="V123" s="200"/>
      <c r="W123" s="199" t="str">
        <f>IF(W122&gt;$C$12,"$\phi"&amp;IF(VLOOKUP(VLOOKUP(W122,tablas!$R$3:$T$66,2,TRUE)&amp;VLOOKUP(W122,tablas!$R$3:$T$66,3,TRUE),tablas!$Q$3:$R$66,2,FALSE)&lt;W122,VLOOKUP(W122+0.1,tablas!$R$3:$T$66,2,TRUE),VLOOKUP(W122,tablas!$R$3:$T$66,2,TRUE))&amp;"@"&amp;IF(VLOOKUP(VLOOKUP(W122,tablas!$R$3:$T$66,2,TRUE)&amp;VLOOKUP(W122,tablas!$R$3:$T$66,3,TRUE),tablas!$Q$3:$R$66,2,FALSE)&lt;W122,VLOOKUP(W122+0.1,tablas!$R$3:$T$66,3,TRUE)&amp;"$",VLOOKUP(W122,tablas!$R$3:$T$66,3,TRUE)&amp;"$"),$C$13)</f>
        <v>$\phi8@17$</v>
      </c>
      <c r="X123" s="200"/>
    </row>
  </sheetData>
  <mergeCells count="232">
    <mergeCell ref="E4:F4"/>
    <mergeCell ref="H4:I4"/>
    <mergeCell ref="K4:L4"/>
    <mergeCell ref="S96:T96"/>
    <mergeCell ref="U96:V96"/>
    <mergeCell ref="W96:X96"/>
    <mergeCell ref="B91:C91"/>
    <mergeCell ref="C96:D96"/>
    <mergeCell ref="E96:F96"/>
    <mergeCell ref="G96:H96"/>
    <mergeCell ref="I96:J96"/>
    <mergeCell ref="K96:L96"/>
    <mergeCell ref="M96:N96"/>
    <mergeCell ref="O96:P96"/>
    <mergeCell ref="Q96:R96"/>
    <mergeCell ref="J15:K15"/>
    <mergeCell ref="M15:N15"/>
    <mergeCell ref="J16:K16"/>
    <mergeCell ref="M16:N16"/>
    <mergeCell ref="J22:K22"/>
    <mergeCell ref="K98:L98"/>
    <mergeCell ref="M98:N98"/>
    <mergeCell ref="U97:V97"/>
    <mergeCell ref="W97:X97"/>
    <mergeCell ref="C97:D97"/>
    <mergeCell ref="E97:F97"/>
    <mergeCell ref="G97:H97"/>
    <mergeCell ref="I97:J97"/>
    <mergeCell ref="K97:L97"/>
    <mergeCell ref="M97:N97"/>
    <mergeCell ref="O97:P97"/>
    <mergeCell ref="Q97:R97"/>
    <mergeCell ref="S97:T97"/>
    <mergeCell ref="Y96:Z96"/>
    <mergeCell ref="AA96:AB96"/>
    <mergeCell ref="C107:D107"/>
    <mergeCell ref="E107:F107"/>
    <mergeCell ref="G107:H107"/>
    <mergeCell ref="I107:J107"/>
    <mergeCell ref="U101:V101"/>
    <mergeCell ref="W101:X101"/>
    <mergeCell ref="C101:D101"/>
    <mergeCell ref="E101:F101"/>
    <mergeCell ref="G101:H101"/>
    <mergeCell ref="I101:J101"/>
    <mergeCell ref="K101:L101"/>
    <mergeCell ref="M101:N101"/>
    <mergeCell ref="O101:P101"/>
    <mergeCell ref="Q101:R101"/>
    <mergeCell ref="S101:T101"/>
    <mergeCell ref="S100:T100"/>
    <mergeCell ref="U100:V100"/>
    <mergeCell ref="W100:X100"/>
    <mergeCell ref="C100:D100"/>
    <mergeCell ref="E100:F100"/>
    <mergeCell ref="G100:H100"/>
    <mergeCell ref="I100:J100"/>
    <mergeCell ref="Y97:Z97"/>
    <mergeCell ref="AA97:AB97"/>
    <mergeCell ref="C108:D108"/>
    <mergeCell ref="E108:F108"/>
    <mergeCell ref="G108:H108"/>
    <mergeCell ref="I108:J108"/>
    <mergeCell ref="K108:L108"/>
    <mergeCell ref="K107:L107"/>
    <mergeCell ref="M107:N107"/>
    <mergeCell ref="O107:P107"/>
    <mergeCell ref="Q107:R107"/>
    <mergeCell ref="S107:T107"/>
    <mergeCell ref="K100:L100"/>
    <mergeCell ref="M100:N100"/>
    <mergeCell ref="O100:P100"/>
    <mergeCell ref="Q100:R100"/>
    <mergeCell ref="Q99:R99"/>
    <mergeCell ref="S99:T99"/>
    <mergeCell ref="U99:V99"/>
    <mergeCell ref="W99:X99"/>
    <mergeCell ref="C99:D99"/>
    <mergeCell ref="E99:F99"/>
    <mergeCell ref="G99:H99"/>
    <mergeCell ref="I99:J99"/>
    <mergeCell ref="Y98:Z98"/>
    <mergeCell ref="AA98:AB98"/>
    <mergeCell ref="C109:D109"/>
    <mergeCell ref="E109:F109"/>
    <mergeCell ref="G109:H109"/>
    <mergeCell ref="I109:J109"/>
    <mergeCell ref="K109:L109"/>
    <mergeCell ref="M109:N109"/>
    <mergeCell ref="M108:N108"/>
    <mergeCell ref="O108:P108"/>
    <mergeCell ref="Q108:R108"/>
    <mergeCell ref="S108:T108"/>
    <mergeCell ref="K99:L99"/>
    <mergeCell ref="M99:N99"/>
    <mergeCell ref="O99:P99"/>
    <mergeCell ref="O98:P98"/>
    <mergeCell ref="Q98:R98"/>
    <mergeCell ref="S98:T98"/>
    <mergeCell ref="U98:V98"/>
    <mergeCell ref="W98:X98"/>
    <mergeCell ref="C98:D98"/>
    <mergeCell ref="E98:F98"/>
    <mergeCell ref="G98:H98"/>
    <mergeCell ref="I98:J98"/>
    <mergeCell ref="Y100:Z100"/>
    <mergeCell ref="AA100:AB100"/>
    <mergeCell ref="C111:D111"/>
    <mergeCell ref="E111:F111"/>
    <mergeCell ref="G111:H111"/>
    <mergeCell ref="I111:J111"/>
    <mergeCell ref="Q110:R110"/>
    <mergeCell ref="S110:T110"/>
    <mergeCell ref="Y99:Z99"/>
    <mergeCell ref="AA99:AB99"/>
    <mergeCell ref="C110:D110"/>
    <mergeCell ref="E110:F110"/>
    <mergeCell ref="G110:H110"/>
    <mergeCell ref="I110:J110"/>
    <mergeCell ref="K110:L110"/>
    <mergeCell ref="M110:N110"/>
    <mergeCell ref="O110:P110"/>
    <mergeCell ref="O109:P109"/>
    <mergeCell ref="Q109:R109"/>
    <mergeCell ref="S109:T109"/>
    <mergeCell ref="Y101:Z101"/>
    <mergeCell ref="AA101:AB101"/>
    <mergeCell ref="S111:T111"/>
    <mergeCell ref="U107:V107"/>
    <mergeCell ref="W107:X107"/>
    <mergeCell ref="Y107:Z107"/>
    <mergeCell ref="AA107:AB107"/>
    <mergeCell ref="C118:D118"/>
    <mergeCell ref="E118:F118"/>
    <mergeCell ref="G118:H118"/>
    <mergeCell ref="I118:J118"/>
    <mergeCell ref="M112:N112"/>
    <mergeCell ref="O112:P112"/>
    <mergeCell ref="Q112:R112"/>
    <mergeCell ref="S112:T112"/>
    <mergeCell ref="U109:V109"/>
    <mergeCell ref="W109:X109"/>
    <mergeCell ref="Y109:Z109"/>
    <mergeCell ref="AA109:AB109"/>
    <mergeCell ref="C112:D112"/>
    <mergeCell ref="E112:F112"/>
    <mergeCell ref="G112:H112"/>
    <mergeCell ref="I112:J112"/>
    <mergeCell ref="K112:L112"/>
    <mergeCell ref="K111:L111"/>
    <mergeCell ref="M111:N111"/>
    <mergeCell ref="O111:P111"/>
    <mergeCell ref="Q111:R111"/>
    <mergeCell ref="Y108:Z108"/>
    <mergeCell ref="AA108:AB108"/>
    <mergeCell ref="C119:D119"/>
    <mergeCell ref="E119:F119"/>
    <mergeCell ref="G119:H119"/>
    <mergeCell ref="I119:J119"/>
    <mergeCell ref="K119:L119"/>
    <mergeCell ref="K118:L118"/>
    <mergeCell ref="M118:N118"/>
    <mergeCell ref="O118:P118"/>
    <mergeCell ref="U110:V110"/>
    <mergeCell ref="W110:X110"/>
    <mergeCell ref="Y110:Z110"/>
    <mergeCell ref="AA110:AB110"/>
    <mergeCell ref="W111:X111"/>
    <mergeCell ref="Y111:Z111"/>
    <mergeCell ref="AA111:AB111"/>
    <mergeCell ref="AA112:AB112"/>
    <mergeCell ref="W118:X118"/>
    <mergeCell ref="W112:X112"/>
    <mergeCell ref="Y112:Z112"/>
    <mergeCell ref="G121:H121"/>
    <mergeCell ref="G120:H120"/>
    <mergeCell ref="I120:J120"/>
    <mergeCell ref="K120:L120"/>
    <mergeCell ref="M120:N120"/>
    <mergeCell ref="O120:P120"/>
    <mergeCell ref="U111:V111"/>
    <mergeCell ref="C120:D120"/>
    <mergeCell ref="E120:F120"/>
    <mergeCell ref="M119:N119"/>
    <mergeCell ref="O119:P119"/>
    <mergeCell ref="S118:T118"/>
    <mergeCell ref="U118:V118"/>
    <mergeCell ref="U112:V112"/>
    <mergeCell ref="S120:T120"/>
    <mergeCell ref="U120:V120"/>
    <mergeCell ref="Q118:R118"/>
    <mergeCell ref="O121:P121"/>
    <mergeCell ref="C121:D121"/>
    <mergeCell ref="E121:F121"/>
    <mergeCell ref="C123:D123"/>
    <mergeCell ref="E123:F123"/>
    <mergeCell ref="G123:H123"/>
    <mergeCell ref="I123:J123"/>
    <mergeCell ref="K123:L123"/>
    <mergeCell ref="K122:L122"/>
    <mergeCell ref="M122:N122"/>
    <mergeCell ref="O122:P122"/>
    <mergeCell ref="M123:N123"/>
    <mergeCell ref="O123:P123"/>
    <mergeCell ref="C122:D122"/>
    <mergeCell ref="E122:F122"/>
    <mergeCell ref="G122:H122"/>
    <mergeCell ref="I122:J122"/>
    <mergeCell ref="J33:K33"/>
    <mergeCell ref="S123:T123"/>
    <mergeCell ref="U123:V123"/>
    <mergeCell ref="W123:X123"/>
    <mergeCell ref="Q122:R122"/>
    <mergeCell ref="S122:T122"/>
    <mergeCell ref="U122:V122"/>
    <mergeCell ref="W122:X122"/>
    <mergeCell ref="Q121:R121"/>
    <mergeCell ref="S121:T121"/>
    <mergeCell ref="U121:V121"/>
    <mergeCell ref="W121:X121"/>
    <mergeCell ref="W120:X120"/>
    <mergeCell ref="S119:T119"/>
    <mergeCell ref="U119:V119"/>
    <mergeCell ref="W119:X119"/>
    <mergeCell ref="Q123:R123"/>
    <mergeCell ref="Q120:R120"/>
    <mergeCell ref="Q119:R119"/>
    <mergeCell ref="I121:J121"/>
    <mergeCell ref="K121:L121"/>
    <mergeCell ref="M121:N121"/>
    <mergeCell ref="U108:V108"/>
    <mergeCell ref="W108:X108"/>
  </mergeCells>
  <conditionalFormatting sqref="K21">
    <cfRule type="cellIs" dxfId="1" priority="2" operator="greaterThan">
      <formula>$C$4</formula>
    </cfRule>
  </conditionalFormatting>
  <conditionalFormatting sqref="K19:K20">
    <cfRule type="cellIs" dxfId="0" priority="1" operator="greaterThan">
      <formula>$C$4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E1F7-9451-45B0-A62C-1F8A316BC610}">
  <dimension ref="B1:M66"/>
  <sheetViews>
    <sheetView tabSelected="1" zoomScale="85" zoomScaleNormal="85" workbookViewId="0">
      <selection activeCell="C3" sqref="C3:C5"/>
    </sheetView>
  </sheetViews>
  <sheetFormatPr defaultColWidth="11.42578125" defaultRowHeight="15" x14ac:dyDescent="0.25"/>
  <cols>
    <col min="1" max="1" width="2.85546875" customWidth="1"/>
    <col min="5" max="5" width="13.28515625" customWidth="1"/>
    <col min="6" max="6" width="12.42578125" customWidth="1"/>
    <col min="7" max="7" width="13.5703125" customWidth="1"/>
    <col min="8" max="8" width="12.7109375" bestFit="1" customWidth="1"/>
    <col min="9" max="9" width="13.5703125" customWidth="1"/>
    <col min="10" max="10" width="12.7109375" bestFit="1" customWidth="1"/>
    <col min="11" max="11" width="13.5703125" customWidth="1"/>
    <col min="12" max="12" width="12.7109375" bestFit="1" customWidth="1"/>
    <col min="13" max="13" width="13.5703125" customWidth="1"/>
    <col min="15" max="15" width="9.7109375" bestFit="1" customWidth="1"/>
    <col min="16" max="16" width="20.7109375" bestFit="1" customWidth="1"/>
    <col min="17" max="17" width="14.28515625" bestFit="1" customWidth="1"/>
    <col min="18" max="18" width="15.28515625" customWidth="1"/>
  </cols>
  <sheetData>
    <row r="1" spans="2:13" ht="15.75" thickBot="1" x14ac:dyDescent="0.3"/>
    <row r="2" spans="2:13" ht="15.75" thickBot="1" x14ac:dyDescent="0.3">
      <c r="B2" s="222" t="s">
        <v>249</v>
      </c>
      <c r="C2" s="223"/>
      <c r="D2" s="223"/>
      <c r="E2" s="223"/>
      <c r="F2" s="223"/>
      <c r="G2" s="224"/>
      <c r="H2" s="225"/>
      <c r="I2" s="225"/>
      <c r="J2" s="225"/>
      <c r="K2" s="225"/>
      <c r="L2" s="225"/>
      <c r="M2" s="225"/>
    </row>
    <row r="3" spans="2:13" ht="15.75" thickBot="1" x14ac:dyDescent="0.3">
      <c r="B3" s="245" t="s">
        <v>43</v>
      </c>
      <c r="C3" s="238" t="s">
        <v>19</v>
      </c>
      <c r="D3" s="238" t="s">
        <v>246</v>
      </c>
      <c r="E3" s="238" t="s">
        <v>244</v>
      </c>
      <c r="F3" s="265" t="s">
        <v>240</v>
      </c>
      <c r="G3" s="266"/>
      <c r="H3" s="265" t="s">
        <v>241</v>
      </c>
      <c r="I3" s="266"/>
      <c r="J3" s="265" t="s">
        <v>247</v>
      </c>
      <c r="K3" s="266"/>
      <c r="L3" s="265" t="s">
        <v>248</v>
      </c>
      <c r="M3" s="264"/>
    </row>
    <row r="4" spans="2:13" ht="30" customHeight="1" thickBot="1" x14ac:dyDescent="0.3">
      <c r="B4" s="248"/>
      <c r="C4" s="239"/>
      <c r="D4" s="239"/>
      <c r="E4" s="239"/>
      <c r="F4" s="267" t="s">
        <v>245</v>
      </c>
      <c r="G4" s="268" t="s">
        <v>242</v>
      </c>
      <c r="H4" s="267" t="s">
        <v>245</v>
      </c>
      <c r="I4" s="268" t="s">
        <v>242</v>
      </c>
      <c r="J4" s="267" t="s">
        <v>245</v>
      </c>
      <c r="K4" s="268" t="s">
        <v>242</v>
      </c>
      <c r="L4" s="267" t="s">
        <v>245</v>
      </c>
      <c r="M4" s="269" t="s">
        <v>242</v>
      </c>
    </row>
    <row r="5" spans="2:13" x14ac:dyDescent="0.25">
      <c r="B5" s="251" t="str">
        <f>'1'!C46</f>
        <v>101</v>
      </c>
      <c r="C5" s="285">
        <f>'1'!$C$4</f>
        <v>16</v>
      </c>
      <c r="D5" s="270">
        <f>'1'!$C$12</f>
        <v>2.88</v>
      </c>
      <c r="E5" s="270">
        <f>HLOOKUP($B5,'1'!$C$46:$AE$89,21)</f>
        <v>1550</v>
      </c>
      <c r="F5" s="270">
        <f>HLOOKUP($B5,'1'!$C$46:$AE$89,28)</f>
        <v>1.19</v>
      </c>
      <c r="G5" s="270" t="str">
        <f>HLOOKUP($B5,'1'!$C$46:$AE$89,29)</f>
        <v>$\phi8@17$</v>
      </c>
      <c r="H5" s="270">
        <f>HLOOKUP($B5,'1'!$C$46:$AE$89,33)</f>
        <v>0.78</v>
      </c>
      <c r="I5" s="270" t="str">
        <f>HLOOKUP($B5,'1'!$C$46:$AE$89,34)</f>
        <v>$\phi8@17$</v>
      </c>
      <c r="J5" s="270">
        <f>HLOOKUP($B5,'1'!$C$46:$AE$89,38)</f>
        <v>4.72</v>
      </c>
      <c r="K5" s="270" t="str">
        <f>HLOOKUP($B5,'1'!$C$46:$AE$89,39)</f>
        <v>$\phi12@24$</v>
      </c>
      <c r="L5" s="270">
        <f>HLOOKUP($B5,'1'!$C$46:$AE$89,43)</f>
        <v>3.94</v>
      </c>
      <c r="M5" s="271" t="str">
        <f>HLOOKUP($B5,'1'!$C$46:$AE$89,44)</f>
        <v>$\phi10@20$</v>
      </c>
    </row>
    <row r="6" spans="2:13" x14ac:dyDescent="0.25">
      <c r="B6" s="255" t="str">
        <f>'1'!D46</f>
        <v>102</v>
      </c>
      <c r="C6" s="287">
        <f>'1'!$C$4</f>
        <v>16</v>
      </c>
      <c r="D6" s="236">
        <f>'1'!$C$12</f>
        <v>2.88</v>
      </c>
      <c r="E6" s="236">
        <f>HLOOKUP($B6,'1'!$C$46:$AE$89,21)</f>
        <v>1550</v>
      </c>
      <c r="F6" s="236">
        <f>HLOOKUP($B6,'1'!$C$46:$AE$89,28)</f>
        <v>1.64</v>
      </c>
      <c r="G6" s="236" t="str">
        <f>HLOOKUP($B6,'1'!$C$46:$AE$89,29)</f>
        <v>$\phi8@17$</v>
      </c>
      <c r="H6" s="236">
        <f>HLOOKUP($B6,'1'!$C$46:$AE$89,33)</f>
        <v>0.52</v>
      </c>
      <c r="I6" s="236" t="str">
        <f>HLOOKUP($B6,'1'!$C$46:$AE$89,34)</f>
        <v>$\phi8@17$</v>
      </c>
      <c r="J6" s="236">
        <f>HLOOKUP($B6,'1'!$C$46:$AE$89,38)</f>
        <v>5.25</v>
      </c>
      <c r="K6" s="236" t="str">
        <f>HLOOKUP($B6,'1'!$C$46:$AE$89,39)</f>
        <v>$\phi10@15$</v>
      </c>
      <c r="L6" s="236">
        <f>HLOOKUP($B6,'1'!$C$46:$AE$89,43)</f>
        <v>3.96</v>
      </c>
      <c r="M6" s="272" t="str">
        <f>HLOOKUP($B6,'1'!$C$46:$AE$89,44)</f>
        <v>$\phi10@20$</v>
      </c>
    </row>
    <row r="7" spans="2:13" x14ac:dyDescent="0.25">
      <c r="B7" s="255" t="str">
        <f>'1'!E46</f>
        <v>103</v>
      </c>
      <c r="C7" s="287">
        <f>'1'!$C$4</f>
        <v>16</v>
      </c>
      <c r="D7" s="236">
        <f>'1'!$C$12</f>
        <v>2.88</v>
      </c>
      <c r="E7" s="236">
        <f>HLOOKUP($B7,'1'!$C$46:$AE$89,21)</f>
        <v>1550</v>
      </c>
      <c r="F7" s="236">
        <f>HLOOKUP($B7,'1'!$C$46:$AE$89,28)</f>
        <v>1.64</v>
      </c>
      <c r="G7" s="236" t="str">
        <f>HLOOKUP($B7,'1'!$C$46:$AE$89,29)</f>
        <v>$\phi8@17$</v>
      </c>
      <c r="H7" s="236">
        <f>HLOOKUP($B7,'1'!$C$46:$AE$89,33)</f>
        <v>0.52</v>
      </c>
      <c r="I7" s="236" t="str">
        <f>HLOOKUP($B7,'1'!$C$46:$AE$89,34)</f>
        <v>$\phi8@17$</v>
      </c>
      <c r="J7" s="236">
        <f>HLOOKUP($B7,'1'!$C$46:$AE$89,38)</f>
        <v>5.25</v>
      </c>
      <c r="K7" s="236" t="str">
        <f>HLOOKUP($B7,'1'!$C$46:$AE$89,39)</f>
        <v>$\phi10@15$</v>
      </c>
      <c r="L7" s="236">
        <f>HLOOKUP($B7,'1'!$C$46:$AE$89,43)</f>
        <v>3.96</v>
      </c>
      <c r="M7" s="272" t="str">
        <f>HLOOKUP($B7,'1'!$C$46:$AE$89,44)</f>
        <v>$\phi10@20$</v>
      </c>
    </row>
    <row r="8" spans="2:13" x14ac:dyDescent="0.25">
      <c r="B8" s="255" t="str">
        <f>'1'!F46</f>
        <v>104</v>
      </c>
      <c r="C8" s="287">
        <f>'1'!$C$4</f>
        <v>16</v>
      </c>
      <c r="D8" s="236">
        <f>'1'!$C$12</f>
        <v>2.88</v>
      </c>
      <c r="E8" s="236">
        <f>HLOOKUP($B8,'1'!$C$46:$AE$89,21)</f>
        <v>1550</v>
      </c>
      <c r="F8" s="236">
        <f>HLOOKUP($B8,'1'!$C$46:$AE$89,28)</f>
        <v>1.75</v>
      </c>
      <c r="G8" s="236" t="str">
        <f>HLOOKUP($B8,'1'!$C$46:$AE$89,29)</f>
        <v>$\phi8@17$</v>
      </c>
      <c r="H8" s="236">
        <f>HLOOKUP($B8,'1'!$C$46:$AE$89,33)</f>
        <v>0.5</v>
      </c>
      <c r="I8" s="236" t="str">
        <f>HLOOKUP($B8,'1'!$C$46:$AE$89,34)</f>
        <v>$\phi8@17$</v>
      </c>
      <c r="J8" s="236">
        <f>HLOOKUP($B8,'1'!$C$46:$AE$89,38)</f>
        <v>5.55</v>
      </c>
      <c r="K8" s="236" t="str">
        <f>HLOOKUP($B8,'1'!$C$46:$AE$89,39)</f>
        <v>$\phi10@14$</v>
      </c>
      <c r="L8" s="236">
        <f>HLOOKUP($B8,'1'!$C$46:$AE$89,43)</f>
        <v>4.08</v>
      </c>
      <c r="M8" s="272" t="str">
        <f>HLOOKUP($B8,'1'!$C$46:$AE$89,44)</f>
        <v>$\phi10@19$</v>
      </c>
    </row>
    <row r="9" spans="2:13" x14ac:dyDescent="0.25">
      <c r="B9" s="255" t="str">
        <f>'1'!G46</f>
        <v>105</v>
      </c>
      <c r="C9" s="287">
        <f>'1'!$C$4</f>
        <v>16</v>
      </c>
      <c r="D9" s="236">
        <f>'1'!$C$12</f>
        <v>2.88</v>
      </c>
      <c r="E9" s="236">
        <f>HLOOKUP($B9,'1'!$C$46:$AE$89,21)</f>
        <v>1550</v>
      </c>
      <c r="F9" s="236">
        <f>HLOOKUP($B9,'1'!$C$46:$AE$89,28)</f>
        <v>1.51</v>
      </c>
      <c r="G9" s="236" t="str">
        <f>HLOOKUP($B9,'1'!$C$46:$AE$89,29)</f>
        <v>$\phi8@17$</v>
      </c>
      <c r="H9" s="236">
        <f>HLOOKUP($B9,'1'!$C$46:$AE$89,33)</f>
        <v>1.2</v>
      </c>
      <c r="I9" s="236" t="str">
        <f>HLOOKUP($B9,'1'!$C$46:$AE$89,34)</f>
        <v>$\phi8@17$</v>
      </c>
      <c r="J9" s="236">
        <f>HLOOKUP($B9,'1'!$C$46:$AE$89,38)</f>
        <v>5.42</v>
      </c>
      <c r="K9" s="236" t="str">
        <f>HLOOKUP($B9,'1'!$C$46:$AE$89,39)</f>
        <v>$\phi12@21$</v>
      </c>
      <c r="L9" s="236">
        <f>HLOOKUP($B9,'1'!$C$46:$AE$89,43)</f>
        <v>5.05</v>
      </c>
      <c r="M9" s="272" t="str">
        <f>HLOOKUP($B9,'1'!$C$46:$AE$89,44)</f>
        <v>$\phi12@22$</v>
      </c>
    </row>
    <row r="10" spans="2:13" x14ac:dyDescent="0.25">
      <c r="B10" s="255" t="str">
        <f>'1'!H46</f>
        <v>106</v>
      </c>
      <c r="C10" s="287">
        <f>'1'!$C$4</f>
        <v>16</v>
      </c>
      <c r="D10" s="236">
        <f>'1'!$C$12</f>
        <v>2.88</v>
      </c>
      <c r="E10" s="236">
        <f>HLOOKUP($B10,'1'!$C$46:$AE$89,21)</f>
        <v>1550</v>
      </c>
      <c r="F10" s="236">
        <f>HLOOKUP($B10,'1'!$C$46:$AE$89,28)</f>
        <v>1.7</v>
      </c>
      <c r="G10" s="236" t="str">
        <f>HLOOKUP($B10,'1'!$C$46:$AE$89,29)</f>
        <v>$\phi8@17$</v>
      </c>
      <c r="H10" s="236">
        <f>HLOOKUP($B10,'1'!$C$46:$AE$89,33)</f>
        <v>0.8</v>
      </c>
      <c r="I10" s="236" t="str">
        <f>HLOOKUP($B10,'1'!$C$46:$AE$89,34)</f>
        <v>$\phi8@17$</v>
      </c>
      <c r="J10" s="236">
        <f>HLOOKUP($B10,'1'!$C$46:$AE$89,38)</f>
        <v>6.12</v>
      </c>
      <c r="K10" s="236" t="str">
        <f>HLOOKUP($B10,'1'!$C$46:$AE$89,39)</f>
        <v>$\phi10@13$</v>
      </c>
      <c r="L10" s="236">
        <f>HLOOKUP($B10,'1'!$C$46:$AE$89,43)</f>
        <v>5.0299999999999994</v>
      </c>
      <c r="M10" s="272" t="str">
        <f>HLOOKUP($B10,'1'!$C$46:$AE$89,44)</f>
        <v>$\phi8@10$</v>
      </c>
    </row>
    <row r="11" spans="2:13" x14ac:dyDescent="0.25">
      <c r="B11" s="255" t="str">
        <f>'1'!I46</f>
        <v>107</v>
      </c>
      <c r="C11" s="287">
        <f>'1'!$C$4</f>
        <v>16</v>
      </c>
      <c r="D11" s="236">
        <f>'1'!$C$12</f>
        <v>2.88</v>
      </c>
      <c r="E11" s="236">
        <f>HLOOKUP($B11,'1'!$C$46:$AE$89,21)</f>
        <v>1550</v>
      </c>
      <c r="F11" s="236">
        <f>HLOOKUP($B11,'1'!$C$46:$AE$89,28)</f>
        <v>1.7</v>
      </c>
      <c r="G11" s="236" t="str">
        <f>HLOOKUP($B11,'1'!$C$46:$AE$89,29)</f>
        <v>$\phi8@17$</v>
      </c>
      <c r="H11" s="236">
        <f>HLOOKUP($B11,'1'!$C$46:$AE$89,33)</f>
        <v>0.8</v>
      </c>
      <c r="I11" s="236" t="str">
        <f>HLOOKUP($B11,'1'!$C$46:$AE$89,34)</f>
        <v>$\phi8@17$</v>
      </c>
      <c r="J11" s="236">
        <f>HLOOKUP($B11,'1'!$C$46:$AE$89,38)</f>
        <v>6.12</v>
      </c>
      <c r="K11" s="236" t="str">
        <f>HLOOKUP($B11,'1'!$C$46:$AE$89,39)</f>
        <v>$\phi10@13$</v>
      </c>
      <c r="L11" s="236">
        <f>HLOOKUP($B11,'1'!$C$46:$AE$89,43)</f>
        <v>5.0299999999999994</v>
      </c>
      <c r="M11" s="272" t="str">
        <f>HLOOKUP($B11,'1'!$C$46:$AE$89,44)</f>
        <v>$\phi8@10$</v>
      </c>
    </row>
    <row r="12" spans="2:13" x14ac:dyDescent="0.25">
      <c r="B12" s="255" t="str">
        <f>'1'!J46</f>
        <v>108</v>
      </c>
      <c r="C12" s="287">
        <f>'1'!$C$4</f>
        <v>16</v>
      </c>
      <c r="D12" s="236">
        <f>'1'!$C$12</f>
        <v>2.88</v>
      </c>
      <c r="E12" s="236">
        <f>HLOOKUP($B12,'1'!$C$46:$AE$89,21)</f>
        <v>1550</v>
      </c>
      <c r="F12" s="236">
        <f>HLOOKUP($B12,'1'!$C$46:$AE$89,28)</f>
        <v>2</v>
      </c>
      <c r="G12" s="236" t="str">
        <f>HLOOKUP($B12,'1'!$C$46:$AE$89,29)</f>
        <v>$\phi8@17$</v>
      </c>
      <c r="H12" s="236">
        <f>HLOOKUP($B12,'1'!$C$46:$AE$89,33)</f>
        <v>0.63</v>
      </c>
      <c r="I12" s="236" t="str">
        <f>HLOOKUP($B12,'1'!$C$46:$AE$89,34)</f>
        <v>$\phi8@17$</v>
      </c>
      <c r="J12" s="236">
        <f>HLOOKUP($B12,'1'!$C$46:$AE$89,38)</f>
        <v>6.37</v>
      </c>
      <c r="K12" s="236" t="str">
        <f>HLOOKUP($B12,'1'!$C$46:$AE$89,39)</f>
        <v>$\phi12@18$</v>
      </c>
      <c r="L12" s="236">
        <f>HLOOKUP($B12,'1'!$C$46:$AE$89,43)</f>
        <v>4.8099999999999996</v>
      </c>
      <c r="M12" s="272" t="str">
        <f>HLOOKUP($B12,'1'!$C$46:$AE$89,44)</f>
        <v>$\phi12@24$</v>
      </c>
    </row>
    <row r="13" spans="2:13" x14ac:dyDescent="0.25">
      <c r="B13" s="255" t="str">
        <f>'1'!K46</f>
        <v>109</v>
      </c>
      <c r="C13" s="287">
        <f>'1'!$C$4</f>
        <v>16</v>
      </c>
      <c r="D13" s="236">
        <f>'1'!$C$12</f>
        <v>2.88</v>
      </c>
      <c r="E13" s="236">
        <f>HLOOKUP($B13,'1'!$C$46:$AE$89,21)</f>
        <v>1550</v>
      </c>
      <c r="F13" s="236">
        <f>HLOOKUP($B13,'1'!$C$46:$AE$89,28)</f>
        <v>1.34</v>
      </c>
      <c r="G13" s="236" t="str">
        <f>HLOOKUP($B13,'1'!$C$46:$AE$89,29)</f>
        <v>$\phi8@17$</v>
      </c>
      <c r="H13" s="236">
        <f>HLOOKUP($B13,'1'!$C$46:$AE$89,33)</f>
        <v>0.88</v>
      </c>
      <c r="I13" s="236" t="str">
        <f>HLOOKUP($B13,'1'!$C$46:$AE$89,34)</f>
        <v>$\phi8@17$</v>
      </c>
      <c r="J13" s="236">
        <f>HLOOKUP($B13,'1'!$C$46:$AE$89,38)</f>
        <v>4.5</v>
      </c>
      <c r="K13" s="236" t="str">
        <f>HLOOKUP($B13,'1'!$C$46:$AE$89,39)</f>
        <v>$\phi8@11$</v>
      </c>
      <c r="L13" s="236">
        <f>HLOOKUP($B13,'1'!$C$46:$AE$89,43)</f>
        <v>4.1099999999999994</v>
      </c>
      <c r="M13" s="272" t="str">
        <f>HLOOKUP($B13,'1'!$C$46:$AE$89,44)</f>
        <v>$\phi8@12$</v>
      </c>
    </row>
    <row r="14" spans="2:13" x14ac:dyDescent="0.25">
      <c r="B14" s="255" t="str">
        <f>'1'!L46</f>
        <v>110</v>
      </c>
      <c r="C14" s="287">
        <f>'1'!$C$4</f>
        <v>16</v>
      </c>
      <c r="D14" s="236">
        <f>'1'!$C$12</f>
        <v>2.88</v>
      </c>
      <c r="E14" s="236">
        <f>HLOOKUP($B14,'1'!$C$46:$AE$89,21)</f>
        <v>1390</v>
      </c>
      <c r="F14" s="236">
        <f>HLOOKUP($B14,'1'!$C$46:$AE$89,28)</f>
        <v>0.98</v>
      </c>
      <c r="G14" s="236" t="str">
        <f>HLOOKUP($B14,'1'!$C$46:$AE$89,29)</f>
        <v>$\phi8@17$</v>
      </c>
      <c r="H14" s="236">
        <f>HLOOKUP($B14,'1'!$C$46:$AE$89,33)</f>
        <v>0.46</v>
      </c>
      <c r="I14" s="236" t="str">
        <f>HLOOKUP($B14,'1'!$C$46:$AE$89,34)</f>
        <v>$\phi8@17$</v>
      </c>
      <c r="J14" s="236">
        <f>HLOOKUP($B14,'1'!$C$46:$AE$89,38)</f>
        <v>3.5799999999999996</v>
      </c>
      <c r="K14" s="236" t="str">
        <f>HLOOKUP($B14,'1'!$C$46:$AE$89,39)</f>
        <v>$\phi8@14$</v>
      </c>
      <c r="L14" s="236">
        <f>HLOOKUP($B14,'1'!$C$46:$AE$89,43)</f>
        <v>2.94</v>
      </c>
      <c r="M14" s="272" t="str">
        <f>HLOOKUP($B14,'1'!$C$46:$AE$89,44)</f>
        <v>$\phi8@17$</v>
      </c>
    </row>
    <row r="15" spans="2:13" x14ac:dyDescent="0.25">
      <c r="B15" s="255" t="str">
        <f>'1'!M46</f>
        <v>111</v>
      </c>
      <c r="C15" s="287">
        <f>'1'!$C$4</f>
        <v>16</v>
      </c>
      <c r="D15" s="236">
        <f>'1'!$C$12</f>
        <v>2.88</v>
      </c>
      <c r="E15" s="236">
        <f>HLOOKUP($B15,'1'!$C$46:$AE$89,21)</f>
        <v>1550</v>
      </c>
      <c r="F15" s="236">
        <f>HLOOKUP($B15,'1'!$C$46:$AE$89,28)</f>
        <v>1.1100000000000001</v>
      </c>
      <c r="G15" s="236" t="str">
        <f>HLOOKUP($B15,'1'!$C$46:$AE$89,29)</f>
        <v>$\phi8@17$</v>
      </c>
      <c r="H15" s="236">
        <f>HLOOKUP($B15,'1'!$C$46:$AE$89,33)</f>
        <v>0.53</v>
      </c>
      <c r="I15" s="236" t="str">
        <f>HLOOKUP($B15,'1'!$C$46:$AE$89,34)</f>
        <v>$\phi8@17$</v>
      </c>
      <c r="J15" s="236">
        <f>HLOOKUP($B15,'1'!$C$46:$AE$89,38)</f>
        <v>3.9899999999999998</v>
      </c>
      <c r="K15" s="236" t="str">
        <f>HLOOKUP($B15,'1'!$C$46:$AE$89,39)</f>
        <v>$\phi10@20$</v>
      </c>
      <c r="L15" s="236">
        <f>HLOOKUP($B15,'1'!$C$46:$AE$89,43)</f>
        <v>3.28</v>
      </c>
      <c r="M15" s="272" t="str">
        <f>HLOOKUP($B15,'1'!$C$46:$AE$89,44)</f>
        <v>$\phi8@15$</v>
      </c>
    </row>
    <row r="16" spans="2:13" x14ac:dyDescent="0.25">
      <c r="B16" s="255" t="str">
        <f>'1'!N46</f>
        <v>112</v>
      </c>
      <c r="C16" s="287">
        <f>'1'!$C$4</f>
        <v>16</v>
      </c>
      <c r="D16" s="236">
        <f>'1'!$C$12</f>
        <v>2.88</v>
      </c>
      <c r="E16" s="236">
        <f>HLOOKUP($B16,'1'!$C$46:$AE$89,21)</f>
        <v>1550</v>
      </c>
      <c r="F16" s="236">
        <f>HLOOKUP($B16,'1'!$C$46:$AE$89,28)</f>
        <v>2.5499999999999998</v>
      </c>
      <c r="G16" s="236" t="str">
        <f>HLOOKUP($B16,'1'!$C$46:$AE$89,29)</f>
        <v>$\phi8@17$</v>
      </c>
      <c r="H16" s="236">
        <f>HLOOKUP($B16,'1'!$C$46:$AE$89,33)</f>
        <v>0.72</v>
      </c>
      <c r="I16" s="236" t="str">
        <f>HLOOKUP($B16,'1'!$C$46:$AE$89,34)</f>
        <v>$\phi8@17$</v>
      </c>
      <c r="J16" s="236">
        <f>HLOOKUP($B16,'1'!$C$46:$AE$89,38)</f>
        <v>8.09</v>
      </c>
      <c r="K16" s="236" t="str">
        <f>HLOOKUP($B16,'1'!$C$46:$AE$89,39)</f>
        <v>$\phi12@14$</v>
      </c>
      <c r="L16" s="236">
        <f>HLOOKUP($B16,'1'!$C$46:$AE$89,43)</f>
        <v>5.9399999999999995</v>
      </c>
      <c r="M16" s="272" t="str">
        <f>HLOOKUP($B16,'1'!$C$46:$AE$89,44)</f>
        <v>$\phi12@19$</v>
      </c>
    </row>
    <row r="17" spans="2:13" x14ac:dyDescent="0.25">
      <c r="B17" s="255" t="str">
        <f>'1'!$O$46</f>
        <v>113</v>
      </c>
      <c r="C17" s="287">
        <f>'1'!$C$4</f>
        <v>16</v>
      </c>
      <c r="D17" s="236">
        <f>'1'!$C$12</f>
        <v>2.88</v>
      </c>
      <c r="E17" s="236">
        <f>HLOOKUP($B17,'1'!$C$46:$AE$89,21)</f>
        <v>1390</v>
      </c>
      <c r="F17" s="236">
        <f>HLOOKUP($B17,'1'!$C$46:$AE$89,28)</f>
        <v>0.36</v>
      </c>
      <c r="G17" s="236" t="str">
        <f>HLOOKUP($B17,'1'!$C$46:$AE$89,29)</f>
        <v>$\phi8@17$</v>
      </c>
      <c r="H17" s="236">
        <f>HLOOKUP($B17,'1'!$C$46:$AE$89,33)</f>
        <v>0.15000000000000002</v>
      </c>
      <c r="I17" s="236" t="str">
        <f>HLOOKUP($B17,'1'!$C$46:$AE$89,34)</f>
        <v>$\phi8@17$</v>
      </c>
      <c r="J17" s="236">
        <f>HLOOKUP($B17,'1'!$C$46:$AE$89,38)</f>
        <v>1.02</v>
      </c>
      <c r="K17" s="236" t="str">
        <f>HLOOKUP($B17,'1'!$C$46:$AE$89,39)</f>
        <v>$\phi8@17$</v>
      </c>
      <c r="L17" s="236">
        <f>HLOOKUP($B17,'1'!$C$46:$AE$89,43)</f>
        <v>0.79</v>
      </c>
      <c r="M17" s="272" t="str">
        <f>HLOOKUP($B17,'1'!$C$46:$AE$89,44)</f>
        <v>$\phi8@17$</v>
      </c>
    </row>
    <row r="18" spans="2:13" x14ac:dyDescent="0.25">
      <c r="B18" s="255" t="str">
        <f>'1'!$P$46</f>
        <v>114</v>
      </c>
      <c r="C18" s="287">
        <f>'1'!$C$4</f>
        <v>16</v>
      </c>
      <c r="D18" s="236">
        <f>'1'!$C$12</f>
        <v>2.88</v>
      </c>
      <c r="E18" s="236">
        <f>HLOOKUP($B18,'1'!$C$46:$AE$89,21)</f>
        <v>1390</v>
      </c>
      <c r="F18" s="236">
        <f>HLOOKUP($B18,'1'!$C$46:$AE$89,28)</f>
        <v>0.3</v>
      </c>
      <c r="G18" s="236" t="str">
        <f>HLOOKUP($B18,'1'!$C$46:$AE$89,29)</f>
        <v>$\phi8@17$</v>
      </c>
      <c r="H18" s="236">
        <f>HLOOKUP($B18,'1'!$C$46:$AE$89,33)</f>
        <v>0</v>
      </c>
      <c r="I18" s="236" t="str">
        <f>HLOOKUP($B18,'1'!$C$46:$AE$89,34)</f>
        <v>$\phi8@17$</v>
      </c>
      <c r="J18" s="236">
        <f>HLOOKUP($B18,'1'!$C$46:$AE$89,38)</f>
        <v>0.43</v>
      </c>
      <c r="K18" s="236" t="str">
        <f>HLOOKUP($B18,'1'!$C$46:$AE$89,39)</f>
        <v>$\phi8@17$</v>
      </c>
      <c r="L18" s="236">
        <f>HLOOKUP($B18,'1'!$C$46:$AE$89,43)</f>
        <v>0.29000000000000004</v>
      </c>
      <c r="M18" s="272" t="str">
        <f>HLOOKUP($B18,'1'!$C$46:$AE$89,44)</f>
        <v>$\phi8@17$</v>
      </c>
    </row>
    <row r="19" spans="2:13" x14ac:dyDescent="0.25">
      <c r="B19" s="255" t="str">
        <f>'1'!$Q$46</f>
        <v>115</v>
      </c>
      <c r="C19" s="287">
        <f>'1'!$C$4</f>
        <v>16</v>
      </c>
      <c r="D19" s="236">
        <f>'1'!$C$12</f>
        <v>2.88</v>
      </c>
      <c r="E19" s="236">
        <f>HLOOKUP($B19,'1'!$C$46:$AE$89,21)</f>
        <v>1390</v>
      </c>
      <c r="F19" s="236">
        <f>HLOOKUP($B19,'1'!$C$46:$AE$89,28)</f>
        <v>1.28</v>
      </c>
      <c r="G19" s="236" t="str">
        <f>HLOOKUP($B19,'1'!$C$46:$AE$89,29)</f>
        <v>$\phi8@17$</v>
      </c>
      <c r="H19" s="236">
        <f>HLOOKUP($B19,'1'!$C$46:$AE$89,33)</f>
        <v>0</v>
      </c>
      <c r="I19" s="236" t="str">
        <f>HLOOKUP($B19,'1'!$C$46:$AE$89,34)</f>
        <v>$\phi8@17$</v>
      </c>
      <c r="J19" s="236">
        <f>HLOOKUP($B19,'1'!$C$46:$AE$89,38)</f>
        <v>1.81</v>
      </c>
      <c r="K19" s="236" t="str">
        <f>HLOOKUP($B19,'1'!$C$46:$AE$89,39)</f>
        <v>$\phi8@17$</v>
      </c>
      <c r="L19" s="236">
        <f>HLOOKUP($B19,'1'!$C$46:$AE$89,43)</f>
        <v>1.24</v>
      </c>
      <c r="M19" s="272" t="str">
        <f>HLOOKUP($B19,'1'!$C$46:$AE$89,44)</f>
        <v>$\phi8@17$</v>
      </c>
    </row>
    <row r="20" spans="2:13" x14ac:dyDescent="0.25">
      <c r="B20" s="255" t="str">
        <f>'1'!$R$46</f>
        <v>116</v>
      </c>
      <c r="C20" s="287">
        <f>'1'!$C$4</f>
        <v>16</v>
      </c>
      <c r="D20" s="236">
        <f>'1'!$C$12</f>
        <v>2.88</v>
      </c>
      <c r="E20" s="236">
        <f>HLOOKUP($B20,'1'!$C$46:$AE$89,21)</f>
        <v>1070</v>
      </c>
      <c r="F20" s="236">
        <f>HLOOKUP($B20,'1'!$C$46:$AE$89,28)</f>
        <v>0.6</v>
      </c>
      <c r="G20" s="236" t="str">
        <f>HLOOKUP($B20,'1'!$C$46:$AE$89,29)</f>
        <v>$\phi8@17$</v>
      </c>
      <c r="H20" s="236">
        <f>HLOOKUP($B20,'1'!$C$46:$AE$89,33)</f>
        <v>0.46</v>
      </c>
      <c r="I20" s="236" t="str">
        <f>HLOOKUP($B20,'1'!$C$46:$AE$89,34)</f>
        <v>$\phi8@17$</v>
      </c>
      <c r="J20" s="236">
        <f>HLOOKUP($B20,'1'!$C$46:$AE$89,38)</f>
        <v>2.6599999999999997</v>
      </c>
      <c r="K20" s="236" t="str">
        <f>HLOOKUP($B20,'1'!$C$46:$AE$89,39)</f>
        <v>$\phi8@17$</v>
      </c>
      <c r="L20" s="236">
        <f>HLOOKUP($B20,'1'!$C$46:$AE$89,43)</f>
        <v>2.46</v>
      </c>
      <c r="M20" s="272" t="str">
        <f>HLOOKUP($B20,'1'!$C$46:$AE$89,44)</f>
        <v>$\phi8@17$</v>
      </c>
    </row>
    <row r="21" spans="2:13" x14ac:dyDescent="0.25">
      <c r="B21" s="255" t="str">
        <f>'1'!$S$46</f>
        <v>117</v>
      </c>
      <c r="C21" s="287">
        <f>'1'!$C$4</f>
        <v>16</v>
      </c>
      <c r="D21" s="236">
        <f>'1'!$C$12</f>
        <v>2.88</v>
      </c>
      <c r="E21" s="236">
        <f>HLOOKUP($B21,'1'!$C$46:$AE$89,21)</f>
        <v>1070</v>
      </c>
      <c r="F21" s="236">
        <f>HLOOKUP($B21,'1'!$C$46:$AE$89,28)</f>
        <v>0.99</v>
      </c>
      <c r="G21" s="236" t="str">
        <f>HLOOKUP($B21,'1'!$C$46:$AE$89,29)</f>
        <v>$\phi8@17$</v>
      </c>
      <c r="H21" s="236">
        <f>HLOOKUP($B21,'1'!$C$46:$AE$89,33)</f>
        <v>0.59</v>
      </c>
      <c r="I21" s="236" t="str">
        <f>HLOOKUP($B21,'1'!$C$46:$AE$89,34)</f>
        <v>$\phi8@17$</v>
      </c>
      <c r="J21" s="236">
        <f>HLOOKUP($B21,'1'!$C$46:$AE$89,38)</f>
        <v>4.04</v>
      </c>
      <c r="K21" s="236" t="str">
        <f>HLOOKUP($B21,'1'!$C$46:$AE$89,39)</f>
        <v>$\phi10@19$</v>
      </c>
      <c r="L21" s="236">
        <f>HLOOKUP($B21,'1'!$C$46:$AE$89,43)</f>
        <v>3.5</v>
      </c>
      <c r="M21" s="272" t="str">
        <f>HLOOKUP($B21,'1'!$C$46:$AE$89,44)</f>
        <v>$\phi8@14$</v>
      </c>
    </row>
    <row r="22" spans="2:13" x14ac:dyDescent="0.25">
      <c r="B22" s="255" t="str">
        <f>'1'!T46</f>
        <v>118</v>
      </c>
      <c r="C22" s="287">
        <f>'1'!$C$4</f>
        <v>16</v>
      </c>
      <c r="D22" s="236">
        <f>'1'!$C$12</f>
        <v>2.88</v>
      </c>
      <c r="E22" s="236">
        <f>HLOOKUP($B22,'1'!$C$46:$AE$89,21)</f>
        <v>1230</v>
      </c>
      <c r="F22" s="236">
        <f>HLOOKUP($B22,'1'!$C$46:$AE$89,28)</f>
        <v>0.35000000000000003</v>
      </c>
      <c r="G22" s="236" t="str">
        <f>HLOOKUP($B22,'1'!$C$46:$AE$89,29)</f>
        <v>$\phi8@17$</v>
      </c>
      <c r="H22" s="236">
        <f>HLOOKUP($B22,'1'!$C$46:$AE$89,33)</f>
        <v>0</v>
      </c>
      <c r="I22" s="236" t="str">
        <f>HLOOKUP($B22,'1'!$C$46:$AE$89,34)</f>
        <v>$\phi8@17$</v>
      </c>
      <c r="J22" s="236">
        <f>HLOOKUP($B22,'1'!$C$46:$AE$89,38)</f>
        <v>0.52</v>
      </c>
      <c r="K22" s="236" t="str">
        <f>HLOOKUP($B22,'1'!$C$46:$AE$89,39)</f>
        <v>$\phi8@17$</v>
      </c>
      <c r="L22" s="236">
        <f>HLOOKUP($B22,'1'!$C$46:$AE$89,43)</f>
        <v>0.37</v>
      </c>
      <c r="M22" s="272" t="str">
        <f>HLOOKUP($B22,'1'!$C$46:$AE$89,44)</f>
        <v>$\phi8@17$</v>
      </c>
    </row>
    <row r="23" spans="2:13" x14ac:dyDescent="0.25">
      <c r="B23" s="255" t="str">
        <f>'1'!$U$46</f>
        <v>119</v>
      </c>
      <c r="C23" s="287">
        <f>'1'!$C$4</f>
        <v>16</v>
      </c>
      <c r="D23" s="236">
        <f>'1'!$C$12</f>
        <v>2.88</v>
      </c>
      <c r="E23" s="236">
        <f>HLOOKUP($B23,'1'!$C$46:$AE$89,21)</f>
        <v>1390</v>
      </c>
      <c r="F23" s="236">
        <f>HLOOKUP($B23,'1'!$C$46:$AE$89,28)</f>
        <v>0.49</v>
      </c>
      <c r="G23" s="236" t="str">
        <f>HLOOKUP($B23,'1'!$C$46:$AE$89,29)</f>
        <v>$\phi8@17$</v>
      </c>
      <c r="H23" s="236">
        <f>HLOOKUP($B23,'1'!$C$46:$AE$89,33)</f>
        <v>0.09</v>
      </c>
      <c r="I23" s="236" t="str">
        <f>HLOOKUP($B23,'1'!$C$46:$AE$89,34)</f>
        <v>$\phi8@17$</v>
      </c>
      <c r="J23" s="236">
        <f>HLOOKUP($B23,'1'!$C$46:$AE$89,38)</f>
        <v>1.25</v>
      </c>
      <c r="K23" s="236" t="str">
        <f>HLOOKUP($B23,'1'!$C$46:$AE$89,39)</f>
        <v>$\phi8@17$</v>
      </c>
      <c r="L23" s="236">
        <f>HLOOKUP($B23,'1'!$C$46:$AE$89,43)</f>
        <v>0.89</v>
      </c>
      <c r="M23" s="272" t="str">
        <f>HLOOKUP($B23,'1'!$C$46:$AE$89,44)</f>
        <v>$\phi8@17$</v>
      </c>
    </row>
    <row r="24" spans="2:13" x14ac:dyDescent="0.25">
      <c r="B24" s="255" t="str">
        <f>'1'!$V$46</f>
        <v>120</v>
      </c>
      <c r="C24" s="287">
        <f>'1'!$C$4</f>
        <v>16</v>
      </c>
      <c r="D24" s="236">
        <f>'1'!$C$12</f>
        <v>2.88</v>
      </c>
      <c r="E24" s="236">
        <f>HLOOKUP($B24,'1'!$C$46:$AE$89,21)</f>
        <v>1390</v>
      </c>
      <c r="F24" s="236">
        <f>HLOOKUP($B24,'1'!$C$46:$AE$89,28)</f>
        <v>0.37</v>
      </c>
      <c r="G24" s="236" t="str">
        <f>HLOOKUP($B24,'1'!$C$46:$AE$89,29)</f>
        <v>$\phi8@17$</v>
      </c>
      <c r="H24" s="236">
        <f>HLOOKUP($B24,'1'!$C$46:$AE$89,33)</f>
        <v>9.9999999999999992E-2</v>
      </c>
      <c r="I24" s="236" t="str">
        <f>HLOOKUP($B24,'1'!$C$46:$AE$89,34)</f>
        <v>$\phi8@17$</v>
      </c>
      <c r="J24" s="236">
        <f>HLOOKUP($B24,'1'!$C$46:$AE$89,38)</f>
        <v>1.17</v>
      </c>
      <c r="K24" s="236" t="str">
        <f>HLOOKUP($B24,'1'!$C$46:$AE$89,39)</f>
        <v>$\phi8@17$</v>
      </c>
      <c r="L24" s="236">
        <f>HLOOKUP($B24,'1'!$C$46:$AE$89,43)</f>
        <v>0.82000000000000006</v>
      </c>
      <c r="M24" s="272" t="str">
        <f>HLOOKUP($B24,'1'!$C$46:$AE$89,44)</f>
        <v>$\phi8@17$</v>
      </c>
    </row>
    <row r="25" spans="2:13" ht="15.75" thickBot="1" x14ac:dyDescent="0.3">
      <c r="B25" s="261" t="str">
        <f>'1'!$W$46</f>
        <v>121</v>
      </c>
      <c r="C25" s="286">
        <f>'1'!$C$4</f>
        <v>16</v>
      </c>
      <c r="D25" s="237">
        <f>'1'!$C$12</f>
        <v>2.88</v>
      </c>
      <c r="E25" s="237">
        <f>HLOOKUP($B25,'1'!$C$46:$AE$89,21)</f>
        <v>1390</v>
      </c>
      <c r="F25" s="237">
        <f>HLOOKUP($B25,'1'!$C$46:$AE$89,28)</f>
        <v>0.39</v>
      </c>
      <c r="G25" s="237" t="str">
        <f>HLOOKUP($B25,'1'!$C$46:$AE$89,29)</f>
        <v>$\phi8@17$</v>
      </c>
      <c r="H25" s="237">
        <f>HLOOKUP($B25,'1'!$C$46:$AE$89,33)</f>
        <v>0</v>
      </c>
      <c r="I25" s="237" t="str">
        <f>HLOOKUP($B25,'1'!$C$46:$AE$89,34)</f>
        <v>$\phi8@17$</v>
      </c>
      <c r="J25" s="237">
        <f>HLOOKUP($B25,'1'!$C$46:$AE$89,38)</f>
        <v>0.56000000000000005</v>
      </c>
      <c r="K25" s="237" t="str">
        <f>HLOOKUP($B25,'1'!$C$46:$AE$89,39)</f>
        <v>$\phi8@17$</v>
      </c>
      <c r="L25" s="237">
        <f>HLOOKUP($B25,'1'!$C$46:$AE$89,43)</f>
        <v>0.38</v>
      </c>
      <c r="M25" s="273" t="str">
        <f>HLOOKUP($B25,'1'!$C$46:$AE$89,44)</f>
        <v>$\phi8@17$</v>
      </c>
    </row>
    <row r="26" spans="2:13" ht="15.75" thickBot="1" x14ac:dyDescent="0.3">
      <c r="B26" s="243"/>
      <c r="C26" s="243"/>
      <c r="D26" s="244"/>
      <c r="E26" s="235"/>
      <c r="F26" s="235"/>
      <c r="G26" s="235"/>
      <c r="H26" s="235"/>
      <c r="I26" s="235"/>
      <c r="J26" s="235"/>
      <c r="K26" s="235"/>
      <c r="L26" s="235"/>
      <c r="M26" s="235"/>
    </row>
    <row r="27" spans="2:13" ht="15.75" thickBot="1" x14ac:dyDescent="0.3">
      <c r="B27" s="243"/>
      <c r="C27" s="243"/>
      <c r="D27" s="220" t="s">
        <v>107</v>
      </c>
      <c r="E27" s="221"/>
      <c r="F27" s="124"/>
      <c r="G27" s="124"/>
      <c r="H27" s="235"/>
      <c r="I27" s="235"/>
      <c r="J27" s="235"/>
      <c r="K27" s="235"/>
      <c r="L27" s="235"/>
      <c r="M27" s="235"/>
    </row>
    <row r="28" spans="2:13" s="279" customFormat="1" ht="30" customHeight="1" thickBot="1" x14ac:dyDescent="0.3">
      <c r="B28" s="243"/>
      <c r="C28" s="243"/>
      <c r="D28" s="136" t="s">
        <v>278</v>
      </c>
      <c r="E28" s="137" t="str">
        <f>'-1'!B97</f>
        <v>Mu $[kgf \cdot m/m]$</v>
      </c>
      <c r="F28" s="137" t="str">
        <f>'-1'!B100</f>
        <v>As $[cm^2/m]$</v>
      </c>
      <c r="G28" s="138" t="str">
        <f>'-1'!B101</f>
        <v>F'</v>
      </c>
      <c r="H28" s="235"/>
      <c r="I28" s="235"/>
      <c r="J28" s="235"/>
      <c r="K28" s="235"/>
      <c r="L28" s="235"/>
      <c r="M28" s="235"/>
    </row>
    <row r="29" spans="2:13" x14ac:dyDescent="0.25">
      <c r="B29" s="243"/>
      <c r="C29" s="243"/>
      <c r="D29" s="147" t="str">
        <f>'1'!C92&amp;"-"&amp;'1'!D92</f>
        <v>101-102</v>
      </c>
      <c r="E29" s="155">
        <f>HLOOKUP($D29,'1'!$C$93:$AF$101,E$66,FALSE)</f>
        <v>1911.6469465648854</v>
      </c>
      <c r="F29" s="155">
        <f>HLOOKUP($D29,'1'!$C$93:$AF$101,F$66,FALSE)</f>
        <v>3.5599999999999996</v>
      </c>
      <c r="G29" s="156" t="str">
        <f>HLOOKUP($D29,'1'!$C$93:$AF$101,G$66,FALSE)</f>
        <v>$\phi8@14$</v>
      </c>
      <c r="H29" s="235"/>
      <c r="I29" s="235"/>
      <c r="J29" s="235"/>
      <c r="K29" s="235"/>
      <c r="L29" s="235"/>
      <c r="M29" s="235"/>
    </row>
    <row r="30" spans="2:13" x14ac:dyDescent="0.25">
      <c r="B30" s="243"/>
      <c r="C30" s="243"/>
      <c r="D30" s="148" t="str">
        <f>'1'!E92&amp;"-"&amp;'1'!F92</f>
        <v>101-105</v>
      </c>
      <c r="E30" s="149">
        <f>HLOOKUP($D30,'1'!$C$93:$AF$101,E$66,FALSE)</f>
        <v>2449.54380072305</v>
      </c>
      <c r="F30" s="149">
        <f>HLOOKUP($D30,'1'!$C$93:$AF$101,F$66,FALSE)</f>
        <v>4.5599999999999996</v>
      </c>
      <c r="G30" s="150" t="str">
        <f>HLOOKUP($D30,'1'!$C$93:$AF$101,G$66,FALSE)</f>
        <v>$\phi10@17$</v>
      </c>
      <c r="H30" s="235"/>
      <c r="I30" s="235"/>
      <c r="J30" s="235"/>
      <c r="K30" s="235"/>
      <c r="L30" s="235"/>
      <c r="M30" s="235"/>
    </row>
    <row r="31" spans="2:13" x14ac:dyDescent="0.25">
      <c r="B31" s="243"/>
      <c r="C31" s="243"/>
      <c r="D31" s="148" t="str">
        <f>'1'!G92&amp;"-"&amp;'1'!H92</f>
        <v>102-106</v>
      </c>
      <c r="E31" s="149">
        <f>HLOOKUP($D31,'1'!$C$93:$AF$101,E$66,FALSE)</f>
        <v>2748.0690522243713</v>
      </c>
      <c r="F31" s="149">
        <f>HLOOKUP($D31,'1'!$C$93:$AF$101,F$66,FALSE)</f>
        <v>5.12</v>
      </c>
      <c r="G31" s="150" t="str">
        <f>HLOOKUP($D31,'1'!$C$93:$AF$101,G$66,FALSE)</f>
        <v>$\phi12@22$</v>
      </c>
      <c r="H31" s="235"/>
      <c r="I31" s="235"/>
      <c r="J31" s="235"/>
      <c r="K31" s="235"/>
      <c r="L31" s="235"/>
      <c r="M31" s="235"/>
    </row>
    <row r="32" spans="2:13" x14ac:dyDescent="0.25">
      <c r="B32" s="243"/>
      <c r="C32" s="243"/>
      <c r="D32" s="148" t="str">
        <f>'1'!I92&amp;"-"&amp;'1'!J92</f>
        <v>102-103</v>
      </c>
      <c r="E32" s="149">
        <f>HLOOKUP($D32,'1'!$C$93:$AF$101,E$66,FALSE)</f>
        <v>1916.7938931297713</v>
      </c>
      <c r="F32" s="149">
        <f>HLOOKUP($D32,'1'!$C$93:$AF$101,F$66,FALSE)</f>
        <v>3.57</v>
      </c>
      <c r="G32" s="150" t="str">
        <f>HLOOKUP($D32,'1'!$C$93:$AF$101,G$66,FALSE)</f>
        <v>$\phi10@22$</v>
      </c>
      <c r="H32" s="235"/>
      <c r="I32" s="235"/>
      <c r="J32" s="235"/>
      <c r="K32" s="235"/>
      <c r="L32" s="235"/>
      <c r="M32" s="235"/>
    </row>
    <row r="33" spans="2:13" x14ac:dyDescent="0.25">
      <c r="B33" s="243"/>
      <c r="C33" s="243"/>
      <c r="D33" s="148" t="str">
        <f>'1'!K92&amp;"-"&amp;'1'!L92</f>
        <v>103-107</v>
      </c>
      <c r="E33" s="149">
        <f>HLOOKUP($D33,'1'!$C$93:$AF$101,E$66,FALSE)</f>
        <v>2748.0690522243713</v>
      </c>
      <c r="F33" s="149">
        <f>HLOOKUP($D33,'1'!$C$93:$AF$101,F$66,FALSE)</f>
        <v>5.12</v>
      </c>
      <c r="G33" s="150" t="str">
        <f>HLOOKUP($D33,'1'!$C$93:$AF$101,G$66,FALSE)</f>
        <v>$\phi12@22$</v>
      </c>
      <c r="H33" s="235"/>
      <c r="I33" s="235"/>
      <c r="J33" s="235"/>
      <c r="K33" s="235"/>
      <c r="L33" s="235"/>
      <c r="M33" s="235"/>
    </row>
    <row r="34" spans="2:13" x14ac:dyDescent="0.25">
      <c r="B34" s="39"/>
      <c r="C34" s="39"/>
      <c r="D34" s="148" t="str">
        <f>'1'!M92&amp;"-"&amp;'1'!N92</f>
        <v>103-104</v>
      </c>
      <c r="E34" s="149">
        <f>HLOOKUP($D34,'1'!$C$93:$AF$101,E$66,FALSE)</f>
        <v>1944.6469465648859</v>
      </c>
      <c r="F34" s="149">
        <f>HLOOKUP($D34,'1'!$C$93:$AF$101,F$66,FALSE)</f>
        <v>3.6199999999999997</v>
      </c>
      <c r="G34" s="150" t="str">
        <f>HLOOKUP($D34,'1'!$C$93:$AF$101,G$66,FALSE)</f>
        <v>$\phi8@14$</v>
      </c>
      <c r="H34" s="39"/>
      <c r="I34" s="39"/>
      <c r="J34" s="39"/>
      <c r="K34" s="39"/>
      <c r="L34" s="39"/>
      <c r="M34" s="39"/>
    </row>
    <row r="35" spans="2:13" x14ac:dyDescent="0.25">
      <c r="D35" s="148" t="str">
        <f>'1'!O92&amp;"-"&amp;'1'!P92</f>
        <v>104-108</v>
      </c>
      <c r="E35" s="149">
        <f>HLOOKUP($D35,'1'!$C$93:$AF$101,E$66,FALSE)</f>
        <v>2882.0674223946785</v>
      </c>
      <c r="F35" s="149">
        <f>HLOOKUP($D35,'1'!$C$93:$AF$101,F$66,FALSE)</f>
        <v>5.37</v>
      </c>
      <c r="G35" s="150" t="str">
        <f>HLOOKUP($D35,'1'!$C$93:$AF$101,G$66,FALSE)</f>
        <v>$\phi12@21$</v>
      </c>
    </row>
    <row r="36" spans="2:13" x14ac:dyDescent="0.25">
      <c r="D36" s="148" t="str">
        <f>'1'!Q92&amp;"-"&amp;'1'!R92</f>
        <v>105-106</v>
      </c>
      <c r="E36" s="149">
        <f>HLOOKUP($D36,'1'!$C$93:$AF$101,E$66,FALSE)</f>
        <v>2436.8051076419215</v>
      </c>
      <c r="F36" s="149">
        <f>HLOOKUP($D36,'1'!$C$93:$AF$101,F$66,FALSE)</f>
        <v>4.54</v>
      </c>
      <c r="G36" s="150" t="str">
        <f>HLOOKUP($D36,'1'!$C$93:$AF$101,G$66,FALSE)</f>
        <v>$\phi10@17$</v>
      </c>
    </row>
    <row r="37" spans="2:13" x14ac:dyDescent="0.25">
      <c r="D37" s="148" t="str">
        <f>'1'!S92&amp;"-"&amp;'1'!T92</f>
        <v>106-121</v>
      </c>
      <c r="E37" s="149">
        <f>HLOOKUP($D37,'1'!$C$93:$AF$101,E$66,FALSE)</f>
        <v>2126.743156231003</v>
      </c>
      <c r="F37" s="149">
        <f>HLOOKUP($D37,'1'!$C$93:$AF$101,F$66,FALSE)</f>
        <v>3.96</v>
      </c>
      <c r="G37" s="150" t="str">
        <f>HLOOKUP($D37,'1'!$C$93:$AF$101,G$66,FALSE)</f>
        <v>$\phi10@20$</v>
      </c>
    </row>
    <row r="38" spans="2:13" x14ac:dyDescent="0.25">
      <c r="D38" s="148" t="str">
        <f>'1'!U92&amp;"-"&amp;'1'!V92</f>
        <v>106-110</v>
      </c>
      <c r="E38" s="149">
        <f>HLOOKUP($D38,'1'!$C$93:$AF$101,E$66,FALSE)</f>
        <v>2468.9719148936174</v>
      </c>
      <c r="F38" s="149">
        <f>HLOOKUP($D38,'1'!$C$93:$AF$101,F$66,FALSE)</f>
        <v>4.5999999999999996</v>
      </c>
      <c r="G38" s="150" t="str">
        <f>HLOOKUP($D38,'1'!$C$93:$AF$101,G$66,FALSE)</f>
        <v>$\phi10@17$</v>
      </c>
    </row>
    <row r="39" spans="2:13" x14ac:dyDescent="0.25">
      <c r="D39" s="148" t="str">
        <f>'1'!W92&amp;"-"&amp;'1'!X92</f>
        <v>106-107</v>
      </c>
      <c r="E39" s="149">
        <f>HLOOKUP($D39,'1'!$C$93:$AF$101,E$66,FALSE)</f>
        <v>2429.8585152838432</v>
      </c>
      <c r="F39" s="149">
        <f>HLOOKUP($D39,'1'!$C$93:$AF$101,F$66,FALSE)</f>
        <v>4.5199999999999996</v>
      </c>
      <c r="G39" s="150" t="str">
        <f>HLOOKUP($D39,'1'!$C$93:$AF$101,G$66,FALSE)</f>
        <v>$\phi12@25$</v>
      </c>
    </row>
    <row r="40" spans="2:13" x14ac:dyDescent="0.25">
      <c r="D40" s="148" t="str">
        <f>'1'!Y92&amp;"-"&amp;'1'!Z92</f>
        <v>107-111</v>
      </c>
      <c r="E40" s="149">
        <f>HLOOKUP($D40,'1'!$C$93:$AF$101,E$66,FALSE)</f>
        <v>2548.7540425531915</v>
      </c>
      <c r="F40" s="149">
        <f>HLOOKUP($D40,'1'!$C$93:$AF$101,F$66,FALSE)</f>
        <v>4.74</v>
      </c>
      <c r="G40" s="150" t="str">
        <f>HLOOKUP($D40,'1'!$C$93:$AF$101,G$66,FALSE)</f>
        <v>$\phi12@24$</v>
      </c>
    </row>
    <row r="41" spans="2:13" x14ac:dyDescent="0.25">
      <c r="D41" s="148" t="str">
        <f>'1'!AA92&amp;"-"&amp;'1'!AB92</f>
        <v>107-108</v>
      </c>
      <c r="E41" s="149">
        <f>HLOOKUP($D41,'1'!$C$93:$AF$101,E$66,FALSE)</f>
        <v>2378.5988568785629</v>
      </c>
      <c r="F41" s="149">
        <f>HLOOKUP($D41,'1'!$C$93:$AF$101,F$66,FALSE)</f>
        <v>4.43</v>
      </c>
      <c r="G41" s="150" t="str">
        <f>HLOOKUP($D41,'1'!$C$93:$AF$101,G$66,FALSE)</f>
        <v>$\phi12@25$</v>
      </c>
    </row>
    <row r="42" spans="2:13" x14ac:dyDescent="0.25">
      <c r="D42" s="148" t="str">
        <f>'1'!C103&amp;"-"&amp;'1'!D103</f>
        <v>107-112</v>
      </c>
      <c r="E42" s="149">
        <f>HLOOKUP($D42,'1'!$C$104:$AF$112,E$66,FALSE)</f>
        <v>3433.38058770109</v>
      </c>
      <c r="F42" s="149">
        <f>HLOOKUP($D42,'1'!$C$104:$AF$112,F$66,FALSE)</f>
        <v>6.39</v>
      </c>
      <c r="G42" s="150" t="str">
        <f>HLOOKUP($D42,'1'!$C$104:$AF$112,G$66,FALSE)</f>
        <v>$\phi12@18$</v>
      </c>
    </row>
    <row r="43" spans="2:13" x14ac:dyDescent="0.25">
      <c r="D43" s="148" t="str">
        <f>'1'!E103&amp;"-"&amp;'1'!F103</f>
        <v>108-112</v>
      </c>
      <c r="E43" s="149">
        <f>HLOOKUP($D43,'1'!$C$104:$AF$112,E$66,FALSE)</f>
        <v>3493.298580931264</v>
      </c>
      <c r="F43" s="149">
        <f>HLOOKUP($D43,'1'!$C$104:$AF$112,F$66,FALSE)</f>
        <v>6.51</v>
      </c>
      <c r="G43" s="150" t="str">
        <f>HLOOKUP($D43,'1'!$C$104:$AF$112,G$66,FALSE)</f>
        <v>$\phi10@12$</v>
      </c>
    </row>
    <row r="44" spans="2:13" x14ac:dyDescent="0.25">
      <c r="D44" s="148" t="str">
        <f>'1'!G103&amp;"-"&amp;'1'!H103</f>
        <v>108-109</v>
      </c>
      <c r="E44" s="149">
        <f>HLOOKUP($D44,'1'!$C$104:$AF$112,E$66,FALSE)</f>
        <v>2251.9903270847421</v>
      </c>
      <c r="F44" s="149">
        <f>HLOOKUP($D44,'1'!$C$104:$AF$112,F$66,FALSE)</f>
        <v>4.1899999999999995</v>
      </c>
      <c r="G44" s="150" t="str">
        <f>HLOOKUP($D44,'1'!$C$104:$AF$112,G$66,FALSE)</f>
        <v>$\phi8@12$</v>
      </c>
    </row>
    <row r="45" spans="2:13" x14ac:dyDescent="0.25">
      <c r="D45" s="148" t="str">
        <f>'1'!I103&amp;"-"&amp;'1'!J103</f>
        <v>110-121</v>
      </c>
      <c r="E45" s="149">
        <f>HLOOKUP($D45,'1'!$C$104:$AF$112,E$66,FALSE)</f>
        <v>1075.838148471616</v>
      </c>
      <c r="F45" s="149">
        <f>HLOOKUP($D45,'1'!$C$104:$AF$112,F$66,FALSE)</f>
        <v>2</v>
      </c>
      <c r="G45" s="150" t="str">
        <f>HLOOKUP($D45,'1'!$C$104:$AF$112,G$66,FALSE)</f>
        <v>$\phi8@17$</v>
      </c>
    </row>
    <row r="46" spans="2:13" x14ac:dyDescent="0.25">
      <c r="D46" s="148" t="str">
        <f>'1'!K103&amp;"-"&amp;'1'!L103</f>
        <v>110-113</v>
      </c>
      <c r="E46" s="149">
        <f>HLOOKUP($D46,'1'!$C$104:$AF$112,E$66,FALSE)</f>
        <v>1326.940078929307</v>
      </c>
      <c r="F46" s="149">
        <f>HLOOKUP($D46,'1'!$C$104:$AF$112,F$66,FALSE)</f>
        <v>2.4699999999999998</v>
      </c>
      <c r="G46" s="150" t="str">
        <f>HLOOKUP($D46,'1'!$C$104:$AF$112,G$66,FALSE)</f>
        <v>$\phi8@17$</v>
      </c>
    </row>
    <row r="47" spans="2:13" x14ac:dyDescent="0.25">
      <c r="D47" s="148" t="str">
        <f>'1'!M103&amp;"-"&amp;'1'!N103</f>
        <v>110-114</v>
      </c>
      <c r="E47" s="149">
        <f>HLOOKUP($D47,'1'!$C$104:$AF$112,E$66,FALSE)</f>
        <v>1274.2366595744679</v>
      </c>
      <c r="F47" s="149">
        <f>HLOOKUP($D47,'1'!$C$104:$AF$112,F$66,FALSE)</f>
        <v>2.3699999999999997</v>
      </c>
      <c r="G47" s="150" t="str">
        <f>HLOOKUP($D47,'1'!$C$104:$AF$112,G$66,FALSE)</f>
        <v>$\phi8@17$</v>
      </c>
    </row>
    <row r="48" spans="2:13" x14ac:dyDescent="0.25">
      <c r="D48" s="148" t="str">
        <f>'1'!O103&amp;"-"&amp;'1'!P103</f>
        <v>110-110</v>
      </c>
      <c r="E48" s="149">
        <f>HLOOKUP($D48,'1'!$C$104:$AF$112,E$66,FALSE)</f>
        <v>1422.5344978165942</v>
      </c>
      <c r="F48" s="149">
        <f>HLOOKUP($D48,'1'!$C$104:$AF$112,F$66,FALSE)</f>
        <v>2.65</v>
      </c>
      <c r="G48" s="150" t="str">
        <f>HLOOKUP($D48,'1'!$C$104:$AF$112,G$66,FALSE)</f>
        <v>$\phi8@17$</v>
      </c>
    </row>
    <row r="49" spans="4:7" x14ac:dyDescent="0.25">
      <c r="D49" s="148" t="str">
        <f>'1'!Q103&amp;"-"&amp;'1'!R103</f>
        <v>111-114</v>
      </c>
      <c r="E49" s="149">
        <f>HLOOKUP($D49,'1'!$C$104:$AF$112,E$66,FALSE)</f>
        <v>1413.8553829787234</v>
      </c>
      <c r="F49" s="149">
        <f>HLOOKUP($D49,'1'!$C$104:$AF$112,F$66,FALSE)</f>
        <v>2.63</v>
      </c>
      <c r="G49" s="150" t="str">
        <f>HLOOKUP($D49,'1'!$C$104:$AF$112,G$66,FALSE)</f>
        <v>$\phi8@17$</v>
      </c>
    </row>
    <row r="50" spans="4:7" x14ac:dyDescent="0.25">
      <c r="D50" s="148" t="str">
        <f>'1'!S103&amp;"-"&amp;'1'!T103</f>
        <v>111-112</v>
      </c>
      <c r="E50" s="149">
        <f>HLOOKUP($D50,'1'!$C$104:$AF$112,E$66,FALSE)</f>
        <v>2356.9467903930131</v>
      </c>
      <c r="F50" s="149">
        <f>HLOOKUP($D50,'1'!$C$104:$AF$112,F$66,FALSE)</f>
        <v>4.3899999999999997</v>
      </c>
      <c r="G50" s="150" t="str">
        <f>HLOOKUP($D50,'1'!$C$104:$AF$112,G$66,FALSE)</f>
        <v>$\phi10@18$</v>
      </c>
    </row>
    <row r="51" spans="4:7" x14ac:dyDescent="0.25">
      <c r="D51" s="148" t="str">
        <f>'1'!U103&amp;"-"&amp;'1'!V103</f>
        <v>112-114</v>
      </c>
      <c r="E51" s="149">
        <f>HLOOKUP($D51,'1'!$C$104:$AF$112,E$66,FALSE)</f>
        <v>2051.5411000000004</v>
      </c>
      <c r="F51" s="149">
        <f>HLOOKUP($D51,'1'!$C$104:$AF$112,F$66,FALSE)</f>
        <v>3.82</v>
      </c>
      <c r="G51" s="150" t="str">
        <f>HLOOKUP($D51,'1'!$C$104:$AF$112,G$66,FALSE)</f>
        <v>$\phi8@13$</v>
      </c>
    </row>
    <row r="52" spans="4:7" x14ac:dyDescent="0.25">
      <c r="D52" s="148" t="str">
        <f>'1'!W103&amp;"-"&amp;'1'!X103</f>
        <v>112-116</v>
      </c>
      <c r="E52" s="149">
        <f>HLOOKUP($D52,'1'!$C$104:$AF$112,E$66,FALSE)</f>
        <v>2989.5389661390768</v>
      </c>
      <c r="F52" s="149">
        <f>HLOOKUP($D52,'1'!$C$104:$AF$112,F$66,FALSE)</f>
        <v>5.5699999999999994</v>
      </c>
      <c r="G52" s="150" t="str">
        <f>HLOOKUP($D52,'1'!$C$104:$AF$112,G$66,FALSE)</f>
        <v>$\phi12@20$</v>
      </c>
    </row>
    <row r="53" spans="4:7" x14ac:dyDescent="0.25">
      <c r="D53" s="148" t="str">
        <f>'1'!Y103&amp;"-"&amp;'1'!Z103</f>
        <v>112-117</v>
      </c>
      <c r="E53" s="149">
        <f>HLOOKUP($D53,'1'!$C$104:$AF$112,E$66,FALSE)</f>
        <v>3126.4338179386314</v>
      </c>
      <c r="F53" s="149">
        <f>HLOOKUP($D53,'1'!$C$104:$AF$112,F$66,FALSE)</f>
        <v>5.8199999999999994</v>
      </c>
      <c r="G53" s="150" t="str">
        <f>HLOOKUP($D53,'1'!$C$104:$AF$112,G$66,FALSE)</f>
        <v>$\phi12@20$</v>
      </c>
    </row>
    <row r="54" spans="4:7" x14ac:dyDescent="0.25">
      <c r="D54" s="148" t="str">
        <f>'1'!AA103&amp;"-"&amp;'1'!AB103</f>
        <v>113-121</v>
      </c>
      <c r="E54" s="149">
        <f>HLOOKUP($D54,'1'!$C$104:$AF$112,E$66,FALSE)</f>
        <v>401.25825000000003</v>
      </c>
      <c r="F54" s="149">
        <f>HLOOKUP($D54,'1'!$C$104:$AF$112,F$66,FALSE)</f>
        <v>0.75</v>
      </c>
      <c r="G54" s="150" t="str">
        <f>HLOOKUP($D54,'1'!$C$104:$AF$112,G$66,FALSE)</f>
        <v>$\phi8@17$</v>
      </c>
    </row>
    <row r="55" spans="4:7" x14ac:dyDescent="0.25">
      <c r="D55" s="148" t="str">
        <f>'1'!C114&amp;"-"&amp;'1'!D114</f>
        <v>113-114</v>
      </c>
      <c r="E55" s="149">
        <f>HLOOKUP($D55,'1'!$C$115:$AF$123,E$66,FALSE)</f>
        <v>385.62422499999997</v>
      </c>
      <c r="F55" s="149">
        <f>HLOOKUP($D55,'1'!$C$115:$AF$123,F$66,FALSE)</f>
        <v>0.72</v>
      </c>
      <c r="G55" s="150" t="str">
        <f>HLOOKUP($D55,'1'!$C$115:$AF$123,G$66,FALSE)</f>
        <v>$\phi8@17$</v>
      </c>
    </row>
    <row r="56" spans="4:7" x14ac:dyDescent="0.25">
      <c r="D56" s="148" t="str">
        <f>'1'!E114&amp;"-"&amp;'1'!F114</f>
        <v>113-119</v>
      </c>
      <c r="E56" s="149">
        <f>HLOOKUP($D56,'1'!$C$115:$AF$123,E$66,FALSE)</f>
        <v>546.94130681818183</v>
      </c>
      <c r="F56" s="149">
        <f>HLOOKUP($D56,'1'!$C$115:$AF$123,F$66,FALSE)</f>
        <v>1.02</v>
      </c>
      <c r="G56" s="150" t="str">
        <f>HLOOKUP($D56,'1'!$C$115:$AF$123,G$66,FALSE)</f>
        <v>$\phi8@17$</v>
      </c>
    </row>
    <row r="57" spans="4:7" x14ac:dyDescent="0.25">
      <c r="D57" s="148" t="str">
        <f>'1'!G114&amp;"-"&amp;'1'!H114</f>
        <v>114-119</v>
      </c>
      <c r="E57" s="149">
        <f>HLOOKUP($D57,'1'!$C$115:$AF$123,E$66,FALSE)</f>
        <v>351.95308536585367</v>
      </c>
      <c r="F57" s="149">
        <f>HLOOKUP($D57,'1'!$C$115:$AF$123,F$66,FALSE)</f>
        <v>0.66</v>
      </c>
      <c r="G57" s="150" t="str">
        <f>HLOOKUP($D57,'1'!$C$115:$AF$123,G$66,FALSE)</f>
        <v>$\phi8@17$</v>
      </c>
    </row>
    <row r="58" spans="4:7" x14ac:dyDescent="0.25">
      <c r="D58" s="148" t="str">
        <f>'1'!I114&amp;"-"&amp;'1'!J114</f>
        <v>114-115</v>
      </c>
      <c r="E58" s="149">
        <f>HLOOKUP($D58,'1'!$C$115:$AF$123,E$66,FALSE)</f>
        <v>462.29215714285709</v>
      </c>
      <c r="F58" s="149">
        <f>HLOOKUP($D58,'1'!$C$115:$AF$123,F$66,FALSE)</f>
        <v>0.86</v>
      </c>
      <c r="G58" s="150" t="str">
        <f>HLOOKUP($D58,'1'!$C$115:$AF$123,G$66,FALSE)</f>
        <v>$\phi8@17$</v>
      </c>
    </row>
    <row r="59" spans="4:7" x14ac:dyDescent="0.25">
      <c r="D59" s="148" t="str">
        <f>'1'!K114&amp;"-"&amp;'1'!L114</f>
        <v>114-116</v>
      </c>
      <c r="E59" s="149">
        <f>HLOOKUP($D59,'1'!$C$115:$AF$123,E$66,FALSE)</f>
        <v>961.29421276595713</v>
      </c>
      <c r="F59" s="149">
        <f>HLOOKUP($D59,'1'!$C$115:$AF$123,F$66,FALSE)</f>
        <v>1.79</v>
      </c>
      <c r="G59" s="150" t="str">
        <f>HLOOKUP($D59,'1'!$C$115:$AF$123,G$66,FALSE)</f>
        <v>$\phi8@17$</v>
      </c>
    </row>
    <row r="60" spans="4:7" x14ac:dyDescent="0.25">
      <c r="D60" s="148" t="str">
        <f>'1'!M114&amp;"-"&amp;'1'!N114</f>
        <v>115-120</v>
      </c>
      <c r="E60" s="149">
        <f>HLOOKUP($D60,'1'!$C$115:$AF$123,E$66,FALSE)</f>
        <v>708.99063773885348</v>
      </c>
      <c r="F60" s="149">
        <f>HLOOKUP($D60,'1'!$C$115:$AF$123,F$66,FALSE)</f>
        <v>1.32</v>
      </c>
      <c r="G60" s="150" t="str">
        <f>HLOOKUP($D60,'1'!$C$115:$AF$123,G$66,FALSE)</f>
        <v>$\phi8@17$</v>
      </c>
    </row>
    <row r="61" spans="4:7" x14ac:dyDescent="0.25">
      <c r="D61" s="148" t="str">
        <f>'1'!O114&amp;"-"&amp;'1'!P114</f>
        <v>115-116</v>
      </c>
      <c r="E61" s="149">
        <f>HLOOKUP($D61,'1'!$C$115:$AF$123,E$66,FALSE)</f>
        <v>1065.1196600985222</v>
      </c>
      <c r="F61" s="149">
        <f>HLOOKUP($D61,'1'!$C$115:$AF$123,F$66,FALSE)</f>
        <v>1.98</v>
      </c>
      <c r="G61" s="150" t="str">
        <f>HLOOKUP($D61,'1'!$C$115:$AF$123,G$66,FALSE)</f>
        <v>$\phi8@17$</v>
      </c>
    </row>
    <row r="62" spans="4:7" hidden="1" x14ac:dyDescent="0.25">
      <c r="D62" s="148" t="str">
        <f>'1'!Q114&amp;"-"&amp;'1'!R114</f>
        <v>116-118</v>
      </c>
      <c r="E62" s="149">
        <f>HLOOKUP($D62,'1'!$C$115:$AF$123,E$66,FALSE)</f>
        <v>974.53505776595716</v>
      </c>
      <c r="F62" s="149">
        <f>HLOOKUP($D62,'1'!$C$115:$AF$123,F$66,FALSE)</f>
        <v>1.81</v>
      </c>
      <c r="G62" s="150" t="str">
        <f>HLOOKUP($D62,'1'!$C$115:$AF$123,G$66,FALSE)</f>
        <v>$\phi8@17$</v>
      </c>
    </row>
    <row r="63" spans="4:7" ht="15.75" thickBot="1" x14ac:dyDescent="0.3">
      <c r="D63" s="151" t="str">
        <f>'1'!S114&amp;"-"&amp;'1'!T114</f>
        <v>116-117</v>
      </c>
      <c r="E63" s="152">
        <f>HLOOKUP($D63,'1'!$C$115:$AF$123,E$66,FALSE)</f>
        <v>1491.3769380501776</v>
      </c>
      <c r="F63" s="152">
        <f>HLOOKUP($D63,'1'!$C$115:$AF$123,F$66,FALSE)</f>
        <v>2.7699999999999996</v>
      </c>
      <c r="G63" s="153" t="str">
        <f>HLOOKUP($D63,'1'!$C$115:$AF$123,G$66,FALSE)</f>
        <v>$\phi8@17$</v>
      </c>
    </row>
    <row r="64" spans="4:7" ht="15.75" hidden="1" thickBot="1" x14ac:dyDescent="0.3">
      <c r="D64" s="151" t="str">
        <f>'1'!U114&amp;"-"&amp;'1'!V114</f>
        <v>117-118</v>
      </c>
      <c r="E64" s="152">
        <f>HLOOKUP($D64,'1'!$C$115:$AF$123,E$66,FALSE)</f>
        <v>1443.4629837096775</v>
      </c>
      <c r="F64" s="152">
        <f>HLOOKUP($D64,'1'!$C$115:$AF$123,F$66,FALSE)</f>
        <v>2.69</v>
      </c>
      <c r="G64" s="153" t="str">
        <f>HLOOKUP($D64,'1'!$C$115:$AF$123,G$66,FALSE)</f>
        <v>$\phi8@17$</v>
      </c>
    </row>
    <row r="65" spans="4:7" ht="15.75" hidden="1" thickBot="1" x14ac:dyDescent="0.3">
      <c r="D65" s="151" t="str">
        <f>'1'!W114&amp;"-"&amp;'1'!X114</f>
        <v>119-120</v>
      </c>
      <c r="E65" s="152">
        <f>HLOOKUP($D65,'1'!$C$115:$AF$123,E$66,FALSE)</f>
        <v>499.35703769401323</v>
      </c>
      <c r="F65" s="152">
        <f>HLOOKUP($D65,'1'!$C$115:$AF$123,F$66,FALSE)</f>
        <v>0.93</v>
      </c>
      <c r="G65" s="153" t="str">
        <f>HLOOKUP($D65,'1'!$C$115:$AF$123,G$66,FALSE)</f>
        <v>$\phi8@17$</v>
      </c>
    </row>
    <row r="66" spans="4:7" x14ac:dyDescent="0.25">
      <c r="D66" s="124"/>
      <c r="E66" s="124">
        <v>5</v>
      </c>
      <c r="F66" s="124">
        <v>8</v>
      </c>
      <c r="G66" s="124">
        <v>9</v>
      </c>
    </row>
  </sheetData>
  <mergeCells count="12">
    <mergeCell ref="D27:E27"/>
    <mergeCell ref="B2:G2"/>
    <mergeCell ref="H2:J2"/>
    <mergeCell ref="K2:M2"/>
    <mergeCell ref="B3:B4"/>
    <mergeCell ref="D3:D4"/>
    <mergeCell ref="E3:E4"/>
    <mergeCell ref="F3:G3"/>
    <mergeCell ref="H3:I3"/>
    <mergeCell ref="J3:K3"/>
    <mergeCell ref="L3:M3"/>
    <mergeCell ref="C3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4204-6196-4517-B7F8-8D15C521CC45}">
  <dimension ref="A2:AF123"/>
  <sheetViews>
    <sheetView showGridLines="0" topLeftCell="B63" zoomScale="70" zoomScaleNormal="70" workbookViewId="0">
      <selection activeCell="C75" sqref="C75:C78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24" width="17.140625" customWidth="1"/>
  </cols>
  <sheetData>
    <row r="2" spans="2:21" ht="18.75" x14ac:dyDescent="0.3">
      <c r="B2" s="52" t="s">
        <v>140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4" t="s">
        <v>19</v>
      </c>
      <c r="C4" s="113">
        <v>16</v>
      </c>
      <c r="E4" s="217" t="s">
        <v>29</v>
      </c>
      <c r="F4" s="218"/>
      <c r="H4" s="217" t="s">
        <v>30</v>
      </c>
      <c r="I4" s="218"/>
      <c r="K4" s="217" t="s">
        <v>39</v>
      </c>
      <c r="L4" s="218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41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3.57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&amp;"$"</f>
        <v>$\phi8@17$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25">
      <c r="B16" s="63" t="s">
        <v>139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41</v>
      </c>
      <c r="I16" s="7">
        <v>3.57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141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41</v>
      </c>
      <c r="I17" s="7">
        <v>3.57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25">
      <c r="B18" s="63" t="s">
        <v>142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41</v>
      </c>
      <c r="I18" s="7">
        <v>3.57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3" t="s">
        <v>143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41</v>
      </c>
      <c r="I19" s="7">
        <v>3.57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3" t="s">
        <v>144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41</v>
      </c>
      <c r="I20" s="7">
        <v>3.57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3" t="s">
        <v>145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41</v>
      </c>
      <c r="I21" s="7">
        <v>3.57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3" t="s">
        <v>146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41</v>
      </c>
      <c r="I22" s="7">
        <v>3.57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3" t="s">
        <v>147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41</v>
      </c>
      <c r="I23" s="7">
        <v>3.57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3" t="s">
        <v>148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41</v>
      </c>
      <c r="I24" s="7">
        <v>3.57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3" t="s">
        <v>149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41</v>
      </c>
      <c r="I25" s="7">
        <v>3.57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3" t="s">
        <v>150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41</v>
      </c>
      <c r="I26" s="7">
        <v>3.57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3" t="s">
        <v>151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41</v>
      </c>
      <c r="I27" s="7">
        <v>3.57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3" t="s">
        <v>152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41</v>
      </c>
      <c r="I28" s="7">
        <v>3.57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3" t="s">
        <v>153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41</v>
      </c>
      <c r="I29" s="7">
        <v>3.57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3" t="s">
        <v>154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41</v>
      </c>
      <c r="I30" s="7">
        <v>3.57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3" t="s">
        <v>155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41</v>
      </c>
      <c r="I31" s="7">
        <v>3.57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3" t="s">
        <v>156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41</v>
      </c>
      <c r="I32" s="7">
        <v>3.57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1:24" hidden="1" x14ac:dyDescent="0.25">
      <c r="B33" s="63" t="s">
        <v>157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41</v>
      </c>
      <c r="I33" s="7">
        <v>3.57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1:24" hidden="1" x14ac:dyDescent="0.25">
      <c r="B34" s="63" t="s">
        <v>158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41</v>
      </c>
      <c r="I34" s="7">
        <v>3.57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1:24" hidden="1" x14ac:dyDescent="0.25">
      <c r="B35" s="63" t="s">
        <v>159</v>
      </c>
      <c r="C35" s="6">
        <v>0.74</v>
      </c>
      <c r="D35" s="6">
        <v>3.83</v>
      </c>
      <c r="E35" s="6">
        <v>16</v>
      </c>
      <c r="F35" s="112" t="s">
        <v>8</v>
      </c>
      <c r="G35" s="6">
        <v>300</v>
      </c>
      <c r="H35" s="6" t="s">
        <v>41</v>
      </c>
      <c r="I35" s="7">
        <v>3.57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1:24" hidden="1" x14ac:dyDescent="0.25">
      <c r="B36" s="63" t="s">
        <v>160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41</v>
      </c>
      <c r="I36" s="7">
        <v>3.57</v>
      </c>
      <c r="J36" s="64"/>
      <c r="K36" s="6"/>
      <c r="L36" s="6"/>
      <c r="M36" s="6"/>
      <c r="N36" s="112"/>
      <c r="O36" s="6"/>
      <c r="P36" s="6"/>
      <c r="Q36" s="6"/>
      <c r="T36" s="40"/>
      <c r="U36" s="41"/>
    </row>
    <row r="37" spans="1:24" ht="15.75" hidden="1" thickBot="1" x14ac:dyDescent="0.3">
      <c r="B37" s="66" t="s">
        <v>161</v>
      </c>
      <c r="C37" s="9">
        <v>2.3199999999999998</v>
      </c>
      <c r="D37" s="9">
        <v>4.3</v>
      </c>
      <c r="E37" s="9">
        <v>16</v>
      </c>
      <c r="F37" s="109" t="s">
        <v>10</v>
      </c>
      <c r="G37" s="9">
        <v>400</v>
      </c>
      <c r="H37" s="9" t="s">
        <v>41</v>
      </c>
      <c r="I37" s="10">
        <v>3.57</v>
      </c>
      <c r="P37" s="40"/>
      <c r="T37" s="40"/>
      <c r="U37" s="41"/>
    </row>
    <row r="38" spans="1:24" hidden="1" x14ac:dyDescent="0.25">
      <c r="A38" s="39"/>
      <c r="B38" s="64"/>
      <c r="C38" s="6"/>
      <c r="D38" s="6"/>
      <c r="E38" s="6"/>
      <c r="F38" s="112"/>
      <c r="G38" s="6"/>
      <c r="H38" s="6"/>
      <c r="I38" s="6"/>
      <c r="P38" s="40"/>
      <c r="T38" s="40"/>
      <c r="U38" s="41"/>
    </row>
    <row r="39" spans="1:24" hidden="1" x14ac:dyDescent="0.25">
      <c r="A39" s="39"/>
      <c r="B39" s="64"/>
      <c r="C39" s="6"/>
      <c r="D39" s="6"/>
      <c r="E39" s="6"/>
      <c r="F39" s="112"/>
      <c r="G39" s="6"/>
      <c r="H39" s="6"/>
      <c r="I39" s="6"/>
      <c r="P39" s="40"/>
      <c r="T39" s="40"/>
      <c r="U39" s="41"/>
    </row>
    <row r="40" spans="1:24" hidden="1" x14ac:dyDescent="0.25">
      <c r="A40" s="39"/>
      <c r="B40" s="64"/>
      <c r="C40" s="6"/>
      <c r="D40" s="6"/>
      <c r="E40" s="6"/>
      <c r="F40" s="112"/>
      <c r="G40" s="6"/>
      <c r="H40" s="6"/>
      <c r="I40" s="6"/>
      <c r="P40" s="40"/>
      <c r="T40" s="40"/>
      <c r="U40" s="41"/>
    </row>
    <row r="41" spans="1:24" hidden="1" x14ac:dyDescent="0.25">
      <c r="A41" s="39"/>
      <c r="B41" s="64"/>
      <c r="C41" s="6"/>
      <c r="D41" s="6"/>
      <c r="E41" s="6"/>
      <c r="F41" s="112"/>
      <c r="G41" s="6"/>
      <c r="H41" s="6"/>
      <c r="I41" s="6"/>
      <c r="P41" s="40"/>
      <c r="T41" s="40"/>
      <c r="U41" s="41"/>
    </row>
    <row r="42" spans="1:24" hidden="1" x14ac:dyDescent="0.25">
      <c r="A42" s="39"/>
      <c r="B42" s="64"/>
      <c r="C42" s="6"/>
      <c r="D42" s="6"/>
      <c r="E42" s="6"/>
      <c r="F42" s="112"/>
      <c r="G42" s="6"/>
      <c r="H42" s="6"/>
      <c r="I42" s="6"/>
      <c r="P42" s="40"/>
      <c r="T42" s="40"/>
      <c r="U42" s="41"/>
    </row>
    <row r="43" spans="1:24" hidden="1" x14ac:dyDescent="0.25">
      <c r="A43" s="39"/>
      <c r="B43" s="64"/>
      <c r="C43" s="6"/>
      <c r="D43" s="6"/>
      <c r="E43" s="6"/>
      <c r="F43" s="112"/>
      <c r="G43" s="6"/>
      <c r="H43" s="6"/>
      <c r="I43" s="6"/>
      <c r="P43" s="40"/>
      <c r="T43" s="40"/>
      <c r="U43" s="41"/>
    </row>
    <row r="44" spans="1:24" hidden="1" x14ac:dyDescent="0.25">
      <c r="A44" s="39"/>
      <c r="B44" s="64"/>
      <c r="C44" s="6"/>
      <c r="D44" s="6"/>
      <c r="E44" s="6"/>
      <c r="F44" s="112"/>
      <c r="G44" s="6"/>
      <c r="H44" s="6"/>
      <c r="I44" s="6"/>
      <c r="P44" s="40"/>
      <c r="T44" s="40"/>
      <c r="U44" s="41"/>
    </row>
    <row r="45" spans="1:24" ht="15.75" thickBot="1" x14ac:dyDescent="0.3">
      <c r="B45" s="67"/>
      <c r="C45" s="9"/>
      <c r="D45" s="9"/>
      <c r="E45" s="9"/>
      <c r="F45" s="109"/>
      <c r="G45" s="9"/>
      <c r="H45" s="9"/>
      <c r="I45" s="9"/>
      <c r="P45" s="40"/>
      <c r="T45" s="40"/>
      <c r="U45" s="41"/>
    </row>
    <row r="46" spans="1:24" ht="15.75" thickBot="1" x14ac:dyDescent="0.3">
      <c r="B46" s="73" t="s">
        <v>43</v>
      </c>
      <c r="C46" s="74" t="s">
        <v>139</v>
      </c>
      <c r="D46" s="74" t="s">
        <v>141</v>
      </c>
      <c r="E46" s="74" t="s">
        <v>142</v>
      </c>
      <c r="F46" s="74" t="s">
        <v>143</v>
      </c>
      <c r="G46" s="74" t="s">
        <v>144</v>
      </c>
      <c r="H46" s="74" t="s">
        <v>145</v>
      </c>
      <c r="I46" s="74" t="s">
        <v>146</v>
      </c>
      <c r="J46" s="74" t="s">
        <v>147</v>
      </c>
      <c r="K46" s="74" t="s">
        <v>148</v>
      </c>
      <c r="L46" s="74" t="s">
        <v>149</v>
      </c>
      <c r="M46" s="74" t="s">
        <v>150</v>
      </c>
      <c r="N46" s="74" t="s">
        <v>151</v>
      </c>
      <c r="O46" s="74" t="s">
        <v>152</v>
      </c>
      <c r="P46" s="74" t="s">
        <v>153</v>
      </c>
      <c r="Q46" s="74" t="s">
        <v>154</v>
      </c>
      <c r="R46" s="74" t="s">
        <v>155</v>
      </c>
      <c r="S46" s="74" t="s">
        <v>156</v>
      </c>
      <c r="T46" s="74" t="s">
        <v>157</v>
      </c>
      <c r="U46" s="74" t="s">
        <v>158</v>
      </c>
      <c r="V46" s="74" t="s">
        <v>159</v>
      </c>
      <c r="W46" s="74" t="s">
        <v>160</v>
      </c>
      <c r="X46" s="74" t="s">
        <v>161</v>
      </c>
    </row>
    <row r="47" spans="1:24" ht="15.75" thickBot="1" x14ac:dyDescent="0.3">
      <c r="B47" s="71" t="s">
        <v>95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72"/>
      <c r="X47" s="72"/>
    </row>
    <row r="48" spans="1:24" x14ac:dyDescent="0.25">
      <c r="B48" s="97" t="s">
        <v>81</v>
      </c>
      <c r="C48" s="76">
        <f t="shared" ref="C48:X48" si="0">VLOOKUP(C$46,$B$16:$H$37,2)</f>
        <v>6.05</v>
      </c>
      <c r="D48" s="76">
        <f t="shared" si="0"/>
        <v>4.6500000000000004</v>
      </c>
      <c r="E48" s="76">
        <f t="shared" si="0"/>
        <v>4.6500000000000004</v>
      </c>
      <c r="F48" s="76">
        <f t="shared" si="0"/>
        <v>6.05</v>
      </c>
      <c r="G48" s="76">
        <f t="shared" si="0"/>
        <v>5.82</v>
      </c>
      <c r="H48" s="76">
        <f t="shared" si="0"/>
        <v>5</v>
      </c>
      <c r="I48" s="76">
        <f t="shared" si="0"/>
        <v>2.1</v>
      </c>
      <c r="J48" s="76">
        <f t="shared" si="0"/>
        <v>1.4</v>
      </c>
      <c r="K48" s="76">
        <f t="shared" si="0"/>
        <v>2.9</v>
      </c>
      <c r="L48" s="76">
        <f t="shared" si="0"/>
        <v>5</v>
      </c>
      <c r="M48" s="76">
        <f t="shared" si="0"/>
        <v>5.82</v>
      </c>
      <c r="N48" s="76">
        <f t="shared" si="0"/>
        <v>1.51</v>
      </c>
      <c r="O48" s="76">
        <f t="shared" si="0"/>
        <v>1.51</v>
      </c>
      <c r="P48" s="76">
        <f t="shared" si="0"/>
        <v>1.51</v>
      </c>
      <c r="Q48" s="76">
        <f t="shared" si="0"/>
        <v>1.51</v>
      </c>
      <c r="R48" s="76">
        <f t="shared" si="0"/>
        <v>1.04</v>
      </c>
      <c r="S48" s="76">
        <f t="shared" si="0"/>
        <v>1.04</v>
      </c>
      <c r="T48" s="76">
        <f t="shared" si="0"/>
        <v>1.34</v>
      </c>
      <c r="U48" s="76">
        <f t="shared" si="0"/>
        <v>1.34</v>
      </c>
      <c r="V48" s="76">
        <f t="shared" si="0"/>
        <v>0.74</v>
      </c>
      <c r="W48" s="76">
        <f t="shared" si="0"/>
        <v>0.7</v>
      </c>
      <c r="X48" s="76">
        <f t="shared" si="0"/>
        <v>2.3199999999999998</v>
      </c>
    </row>
    <row r="49" spans="2:24" x14ac:dyDescent="0.25">
      <c r="B49" s="97" t="s">
        <v>82</v>
      </c>
      <c r="C49" s="76">
        <f t="shared" ref="C49:X49" si="1">VLOOKUP(C$46,$B$16:$H$37,3)</f>
        <v>10</v>
      </c>
      <c r="D49" s="76">
        <f t="shared" si="1"/>
        <v>5.6</v>
      </c>
      <c r="E49" s="76">
        <f t="shared" si="1"/>
        <v>5.6</v>
      </c>
      <c r="F49" s="76">
        <f t="shared" si="1"/>
        <v>7.89</v>
      </c>
      <c r="G49" s="76">
        <f t="shared" si="1"/>
        <v>6.96</v>
      </c>
      <c r="H49" s="76">
        <f t="shared" si="1"/>
        <v>5.0199999999999996</v>
      </c>
      <c r="I49" s="76">
        <f t="shared" si="1"/>
        <v>4.04</v>
      </c>
      <c r="J49" s="76">
        <f t="shared" si="1"/>
        <v>11.2</v>
      </c>
      <c r="K49" s="76">
        <f t="shared" si="1"/>
        <v>6.36</v>
      </c>
      <c r="L49" s="76">
        <f t="shared" si="1"/>
        <v>5.0199999999999996</v>
      </c>
      <c r="M49" s="76">
        <f t="shared" si="1"/>
        <v>6.49</v>
      </c>
      <c r="N49" s="76">
        <f t="shared" si="1"/>
        <v>5.33</v>
      </c>
      <c r="O49" s="76">
        <f t="shared" si="1"/>
        <v>5.6</v>
      </c>
      <c r="P49" s="76">
        <f t="shared" si="1"/>
        <v>5.6</v>
      </c>
      <c r="Q49" s="76">
        <f t="shared" si="1"/>
        <v>5.25</v>
      </c>
      <c r="R49" s="76">
        <f t="shared" si="1"/>
        <v>3.83</v>
      </c>
      <c r="S49" s="76">
        <f t="shared" si="1"/>
        <v>3.83</v>
      </c>
      <c r="T49" s="76">
        <f t="shared" si="1"/>
        <v>7.01</v>
      </c>
      <c r="U49" s="76">
        <f t="shared" si="1"/>
        <v>7.09</v>
      </c>
      <c r="V49" s="76">
        <f t="shared" si="1"/>
        <v>3.83</v>
      </c>
      <c r="W49" s="76">
        <f t="shared" si="1"/>
        <v>3.83</v>
      </c>
      <c r="X49" s="76">
        <f t="shared" si="1"/>
        <v>4.3</v>
      </c>
    </row>
    <row r="50" spans="2:24" x14ac:dyDescent="0.25">
      <c r="B50" s="100" t="s">
        <v>86</v>
      </c>
      <c r="C50" s="76">
        <f>ROUNDUP((C54*C48*100)/C55+$C$5,0)</f>
        <v>13</v>
      </c>
      <c r="D50" s="76">
        <f t="shared" ref="D50:X50" si="2">ROUNDUP((D54*D48*100)/D55+$C$5,0)</f>
        <v>10</v>
      </c>
      <c r="E50" s="76">
        <f t="shared" si="2"/>
        <v>10</v>
      </c>
      <c r="F50" s="76">
        <f t="shared" si="2"/>
        <v>12</v>
      </c>
      <c r="G50" s="76">
        <f t="shared" si="2"/>
        <v>11</v>
      </c>
      <c r="H50" s="76">
        <f t="shared" si="2"/>
        <v>10</v>
      </c>
      <c r="I50" s="76">
        <f t="shared" si="2"/>
        <v>6</v>
      </c>
      <c r="J50" s="76">
        <f t="shared" si="2"/>
        <v>4</v>
      </c>
      <c r="K50" s="76">
        <f t="shared" si="2"/>
        <v>7</v>
      </c>
      <c r="L50" s="76">
        <f t="shared" si="2"/>
        <v>9</v>
      </c>
      <c r="M50" s="76">
        <f t="shared" si="2"/>
        <v>10</v>
      </c>
      <c r="N50" s="76">
        <f t="shared" si="2"/>
        <v>5</v>
      </c>
      <c r="O50" s="76">
        <f t="shared" si="2"/>
        <v>5</v>
      </c>
      <c r="P50" s="76">
        <f t="shared" si="2"/>
        <v>5</v>
      </c>
      <c r="Q50" s="76">
        <f t="shared" si="2"/>
        <v>5</v>
      </c>
      <c r="R50" s="76">
        <f t="shared" si="2"/>
        <v>4</v>
      </c>
      <c r="S50" s="76">
        <f t="shared" si="2"/>
        <v>4</v>
      </c>
      <c r="T50" s="76">
        <f t="shared" si="2"/>
        <v>5</v>
      </c>
      <c r="U50" s="76">
        <f t="shared" si="2"/>
        <v>5</v>
      </c>
      <c r="V50" s="76">
        <f t="shared" si="2"/>
        <v>4</v>
      </c>
      <c r="W50" s="76">
        <f t="shared" si="2"/>
        <v>4</v>
      </c>
      <c r="X50" s="76">
        <f t="shared" si="2"/>
        <v>6</v>
      </c>
    </row>
    <row r="51" spans="2:24" ht="15.75" thickBot="1" x14ac:dyDescent="0.3">
      <c r="B51" s="101" t="s">
        <v>0</v>
      </c>
      <c r="C51" s="116">
        <f t="shared" ref="C51:X51" si="3">VLOOKUP(C$46,$B$16:$I$37,5)</f>
        <v>6</v>
      </c>
      <c r="D51" s="116">
        <f t="shared" si="3"/>
        <v>6</v>
      </c>
      <c r="E51" s="116">
        <f t="shared" si="3"/>
        <v>6</v>
      </c>
      <c r="F51" s="116">
        <f t="shared" si="3"/>
        <v>6</v>
      </c>
      <c r="G51" s="116">
        <f t="shared" si="3"/>
        <v>6</v>
      </c>
      <c r="H51" s="116">
        <f t="shared" si="3"/>
        <v>6</v>
      </c>
      <c r="I51" s="116" t="str">
        <f t="shared" si="3"/>
        <v>5b</v>
      </c>
      <c r="J51" s="116">
        <f t="shared" si="3"/>
        <v>6</v>
      </c>
      <c r="K51" s="116">
        <f t="shared" si="3"/>
        <v>6</v>
      </c>
      <c r="L51" s="116">
        <f t="shared" si="3"/>
        <v>6</v>
      </c>
      <c r="M51" s="116">
        <f t="shared" si="3"/>
        <v>6</v>
      </c>
      <c r="N51" s="116" t="str">
        <f t="shared" si="3"/>
        <v>2a</v>
      </c>
      <c r="O51" s="116" t="str">
        <f t="shared" si="3"/>
        <v>5b</v>
      </c>
      <c r="P51" s="116" t="str">
        <f t="shared" si="3"/>
        <v>5b</v>
      </c>
      <c r="Q51" s="116" t="str">
        <f t="shared" si="3"/>
        <v>2a</v>
      </c>
      <c r="R51" s="116" t="str">
        <f t="shared" si="3"/>
        <v>2a</v>
      </c>
      <c r="S51" s="116" t="str">
        <f t="shared" si="3"/>
        <v>2a</v>
      </c>
      <c r="T51" s="116" t="str">
        <f t="shared" si="3"/>
        <v>2a</v>
      </c>
      <c r="U51" s="116" t="str">
        <f t="shared" si="3"/>
        <v>2a</v>
      </c>
      <c r="V51" s="116" t="str">
        <f t="shared" si="3"/>
        <v>2a</v>
      </c>
      <c r="W51" s="116" t="str">
        <f t="shared" si="3"/>
        <v>2a</v>
      </c>
      <c r="X51" s="116" t="str">
        <f t="shared" si="3"/>
        <v>5b</v>
      </c>
    </row>
    <row r="52" spans="2:24" ht="15.75" thickBot="1" x14ac:dyDescent="0.3">
      <c r="B52" s="71" t="s">
        <v>94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72"/>
      <c r="X52" s="72"/>
    </row>
    <row r="53" spans="2:24" x14ac:dyDescent="0.25">
      <c r="B53" s="100" t="s">
        <v>84</v>
      </c>
      <c r="C53" s="80">
        <f>ROUNDUP(C49/C48,1)</f>
        <v>1.7000000000000002</v>
      </c>
      <c r="D53" s="81">
        <f>ROUNDUP(D49/D48,1)</f>
        <v>1.3</v>
      </c>
      <c r="E53" s="81">
        <f t="shared" ref="E53:W53" si="4">ROUNDUP(E49/E48,1)</f>
        <v>1.3</v>
      </c>
      <c r="F53" s="81">
        <f t="shared" si="4"/>
        <v>1.4000000000000001</v>
      </c>
      <c r="G53" s="81">
        <f t="shared" si="4"/>
        <v>1.2000000000000002</v>
      </c>
      <c r="H53" s="81">
        <f t="shared" si="4"/>
        <v>1.1000000000000001</v>
      </c>
      <c r="I53" s="81">
        <f t="shared" si="4"/>
        <v>2</v>
      </c>
      <c r="J53" s="81">
        <f t="shared" si="4"/>
        <v>8</v>
      </c>
      <c r="K53" s="81">
        <f t="shared" si="4"/>
        <v>2.2000000000000002</v>
      </c>
      <c r="L53" s="81">
        <f t="shared" si="4"/>
        <v>1.1000000000000001</v>
      </c>
      <c r="M53" s="81">
        <f t="shared" si="4"/>
        <v>1.2000000000000002</v>
      </c>
      <c r="N53" s="81">
        <f t="shared" si="4"/>
        <v>3.6</v>
      </c>
      <c r="O53" s="81">
        <f t="shared" si="4"/>
        <v>3.8000000000000003</v>
      </c>
      <c r="P53" s="81">
        <f t="shared" si="4"/>
        <v>3.8000000000000003</v>
      </c>
      <c r="Q53" s="81">
        <f t="shared" si="4"/>
        <v>3.5</v>
      </c>
      <c r="R53" s="81">
        <f t="shared" si="4"/>
        <v>3.7</v>
      </c>
      <c r="S53" s="81">
        <f t="shared" si="4"/>
        <v>3.7</v>
      </c>
      <c r="T53" s="81">
        <f t="shared" si="4"/>
        <v>5.3</v>
      </c>
      <c r="U53" s="81">
        <f t="shared" si="4"/>
        <v>5.3</v>
      </c>
      <c r="V53" s="81">
        <f t="shared" si="4"/>
        <v>5.1999999999999993</v>
      </c>
      <c r="W53" s="81">
        <f t="shared" si="4"/>
        <v>5.5</v>
      </c>
      <c r="X53" s="81">
        <f t="shared" ref="X53" si="5">ROUNDUP(X49/X48,1)</f>
        <v>1.9000000000000001</v>
      </c>
    </row>
    <row r="54" spans="2:24" x14ac:dyDescent="0.25">
      <c r="B54" s="100" t="s">
        <v>11</v>
      </c>
      <c r="C54" s="76">
        <f>IF(C53&gt;1.5,VLOOKUP(C51&amp;1.5,tablas!$L$3:$O$56,4,FALSE),VLOOKUP(C51&amp;C53,tablas!$L$3:$O$56,4,FALSE))</f>
        <v>0.57999999999999996</v>
      </c>
      <c r="D54" s="77">
        <f>IF(D53&gt;1.5,VLOOKUP(D51&amp;1.5,tablas!$L$3:$O$56,4,FALSE),VLOOKUP(D51&amp;D53,tablas!$L$3:$O$56,4,FALSE))</f>
        <v>0.56000000000000005</v>
      </c>
      <c r="E54" s="77">
        <f>IF(E53&gt;1.5,VLOOKUP(E51&amp;1.5,tablas!$L$3:$O$56,4,FALSE),VLOOKUP(E51&amp;E53,tablas!$L$3:$O$56,4,FALSE))</f>
        <v>0.56000000000000005</v>
      </c>
      <c r="F54" s="77">
        <f>IF(F53&gt;1.5,VLOOKUP(F51&amp;1.5,tablas!$L$3:$O$56,4,FALSE),VLOOKUP(F51&amp;F53,tablas!$L$3:$O$56,4,FALSE))</f>
        <v>0.56999999999999995</v>
      </c>
      <c r="G54" s="77">
        <f>IF(G53&gt;1.5,VLOOKUP(G51&amp;1.5,tablas!$L$3:$O$56,4,FALSE),VLOOKUP(G51&amp;G53,tablas!$L$3:$O$56,4,FALSE))</f>
        <v>0.56000000000000005</v>
      </c>
      <c r="H54" s="77">
        <f>IF(H53&gt;1.5,VLOOKUP(H51&amp;1.5,tablas!$L$3:$O$56,4,FALSE),VLOOKUP(H51&amp;H53,tablas!$L$3:$O$56,4,FALSE))</f>
        <v>0.55000000000000004</v>
      </c>
      <c r="I54" s="77">
        <f>IF(I53&gt;1.5,VLOOKUP(I51&amp;1.5,tablas!$L$3:$O$56,4,FALSE),VLOOKUP(I51&amp;I53,tablas!$L$3:$O$56,4,FALSE))</f>
        <v>0.75</v>
      </c>
      <c r="J54" s="77">
        <f>IF(J53&gt;1.5,VLOOKUP(J51&amp;1.5,tablas!$L$3:$O$56,4,FALSE),VLOOKUP(J51&amp;J53,tablas!$L$3:$O$56,4,FALSE))</f>
        <v>0.57999999999999996</v>
      </c>
      <c r="K54" s="77">
        <f>IF(K53&gt;1.5,VLOOKUP(K51&amp;1.5,tablas!$L$3:$O$56,4,FALSE),VLOOKUP(K51&amp;K53,tablas!$L$3:$O$56,4,FALSE))</f>
        <v>0.57999999999999996</v>
      </c>
      <c r="L54" s="77">
        <f>IF(L53&gt;1.5,VLOOKUP(L51&amp;1.5,tablas!$L$3:$O$56,4,FALSE),VLOOKUP(L51&amp;L53,tablas!$L$3:$O$56,4,FALSE))</f>
        <v>0.55000000000000004</v>
      </c>
      <c r="M54" s="77">
        <f>IF(M53&gt;1.5,VLOOKUP(M51&amp;1.5,tablas!$L$3:$O$56,4,FALSE),VLOOKUP(M51&amp;M53,tablas!$L$3:$O$56,4,FALSE))</f>
        <v>0.56000000000000005</v>
      </c>
      <c r="N54" s="77">
        <f>IF(N53&gt;1.5,VLOOKUP(N51&amp;1.5,tablas!$L$3:$O$56,4,FALSE),VLOOKUP(N51&amp;N53,tablas!$L$3:$O$56,4,FALSE))</f>
        <v>0.8</v>
      </c>
      <c r="O54" s="77">
        <f>IF(O53&gt;1.5,VLOOKUP(O51&amp;1.5,tablas!$L$3:$O$56,4,FALSE),VLOOKUP(O51&amp;O53,tablas!$L$3:$O$56,4,FALSE))</f>
        <v>0.75</v>
      </c>
      <c r="P54" s="77">
        <f>IF(P53&gt;1.5,VLOOKUP(P51&amp;1.5,tablas!$L$3:$O$56,4,FALSE),VLOOKUP(P51&amp;P53,tablas!$L$3:$O$56,4,FALSE))</f>
        <v>0.75</v>
      </c>
      <c r="Q54" s="77">
        <f>IF(Q53&gt;1.5,VLOOKUP(Q51&amp;1.5,tablas!$L$3:$O$56,4,FALSE),VLOOKUP(Q51&amp;Q53,tablas!$L$3:$O$56,4,FALSE))</f>
        <v>0.8</v>
      </c>
      <c r="R54" s="77">
        <f>IF(R53&gt;1.5,VLOOKUP(R51&amp;1.5,tablas!$L$3:$O$56,4,FALSE),VLOOKUP(R51&amp;R53,tablas!$L$3:$O$56,4,FALSE))</f>
        <v>0.8</v>
      </c>
      <c r="S54" s="77">
        <f>IF(S53&gt;1.5,VLOOKUP(S51&amp;1.5,tablas!$L$3:$O$56,4,FALSE),VLOOKUP(S51&amp;S53,tablas!$L$3:$O$56,4,FALSE))</f>
        <v>0.8</v>
      </c>
      <c r="T54" s="77">
        <f>IF(T53&gt;1.5,VLOOKUP(T51&amp;1.5,tablas!$L$3:$O$56,4,FALSE),VLOOKUP(T51&amp;T53,tablas!$L$3:$O$56,4,FALSE))</f>
        <v>0.8</v>
      </c>
      <c r="U54" s="77">
        <f>IF(U53&gt;1.5,VLOOKUP(U51&amp;1.5,tablas!$L$3:$O$56,4,FALSE),VLOOKUP(U51&amp;U53,tablas!$L$3:$O$56,4,FALSE))</f>
        <v>0.8</v>
      </c>
      <c r="V54" s="77">
        <f>IF(V53&gt;1.5,VLOOKUP(V51&amp;1.5,tablas!$L$3:$O$56,4,FALSE),VLOOKUP(V51&amp;V53,tablas!$L$3:$O$56,4,FALSE))</f>
        <v>0.8</v>
      </c>
      <c r="W54" s="77">
        <f>IF(W53&gt;1.5,VLOOKUP(W51&amp;1.5,tablas!$L$3:$O$56,4,FALSE),VLOOKUP(W51&amp;W53,tablas!$L$3:$O$56,4,FALSE))</f>
        <v>0.8</v>
      </c>
      <c r="X54" s="77">
        <f>IF(X53&gt;1.5,VLOOKUP(X51&amp;1.5,tablas!$L$3:$O$56,4,FALSE),VLOOKUP(X51&amp;X53,tablas!$L$3:$O$56,4,FALSE))</f>
        <v>0.75</v>
      </c>
    </row>
    <row r="55" spans="2:24" x14ac:dyDescent="0.25">
      <c r="B55" s="100" t="s">
        <v>85</v>
      </c>
      <c r="C55" s="76">
        <v>35</v>
      </c>
      <c r="D55" s="77">
        <v>35</v>
      </c>
      <c r="E55" s="77">
        <v>36</v>
      </c>
      <c r="F55" s="77">
        <v>37</v>
      </c>
      <c r="G55" s="77">
        <v>38</v>
      </c>
      <c r="H55" s="77">
        <v>39</v>
      </c>
      <c r="I55" s="77">
        <v>40</v>
      </c>
      <c r="J55" s="77">
        <v>41</v>
      </c>
      <c r="K55" s="77">
        <v>42</v>
      </c>
      <c r="L55" s="77">
        <v>43</v>
      </c>
      <c r="M55" s="77">
        <v>44</v>
      </c>
      <c r="N55" s="77">
        <v>45</v>
      </c>
      <c r="O55" s="77">
        <v>46</v>
      </c>
      <c r="P55" s="77">
        <v>47</v>
      </c>
      <c r="Q55" s="77">
        <v>48</v>
      </c>
      <c r="R55" s="77">
        <v>49</v>
      </c>
      <c r="S55" s="77">
        <v>50</v>
      </c>
      <c r="T55" s="77">
        <v>51</v>
      </c>
      <c r="U55" s="77">
        <v>52</v>
      </c>
      <c r="V55" s="77">
        <v>53</v>
      </c>
      <c r="W55" s="77">
        <v>54</v>
      </c>
      <c r="X55" s="77">
        <v>55</v>
      </c>
    </row>
    <row r="56" spans="2:24" x14ac:dyDescent="0.25">
      <c r="B56" s="97" t="s">
        <v>4</v>
      </c>
      <c r="C56" s="76">
        <f>IF(C53&lt;=2,VLOOKUP(C51&amp;C53-0.1,tablas!$B$3:$J$92,6,FALSE),"Franja de losa")</f>
        <v>46.1</v>
      </c>
      <c r="D56" s="77">
        <f>IF(D53&lt;=2,VLOOKUP(D51&amp;D53,tablas!$B$3:$J$92,6,FALSE),"Franja de losa")</f>
        <v>45.2</v>
      </c>
      <c r="E56" s="77">
        <f>IF(E53&lt;=2,VLOOKUP(E51&amp;E53,tablas!$B$3:$J$92,6,FALSE),"Franja de losa")</f>
        <v>45.2</v>
      </c>
      <c r="F56" s="77">
        <f>IF(F53&lt;=2,VLOOKUP(F51&amp;F53,tablas!$B$3:$J$92,6,FALSE),"Franja de losa")</f>
        <v>44.6</v>
      </c>
      <c r="G56" s="77">
        <f>IF(G53&lt;=2,VLOOKUP(G51&amp;G53,tablas!$B$3:$J$92,6,FALSE),"Franja de losa")</f>
        <v>47.2</v>
      </c>
      <c r="H56" s="77">
        <f>IF(H53&lt;=2,VLOOKUP(H51&amp;H53,tablas!$B$3:$J$92,6,FALSE),"Franja de losa")</f>
        <v>50.7</v>
      </c>
      <c r="I56" s="77">
        <f>IF(I53&lt;=2,VLOOKUP(I51&amp;I53,tablas!$B$3:$J$92,6,FALSE),"Franja de losa")</f>
        <v>37.5</v>
      </c>
      <c r="J56" s="77" t="str">
        <f>IF(J53&lt;=2,VLOOKUP(J51&amp;J53,tablas!$B$3:$J$92,6,FALSE),"Franja de losa")</f>
        <v>Franja de losa</v>
      </c>
      <c r="K56" s="77" t="str">
        <f>IF(K53&lt;=2,VLOOKUP(K51&amp;K53,tablas!$B$3:$J$92,6,FALSE),"Franja de losa")</f>
        <v>Franja de losa</v>
      </c>
      <c r="L56" s="77">
        <f>IF(L53&lt;=2,VLOOKUP(L51&amp;L53,tablas!$B$3:$J$92,6,FALSE),"Franja de losa")</f>
        <v>50.7</v>
      </c>
      <c r="M56" s="77">
        <f>IF(M53&lt;=2,VLOOKUP(M51&amp;M53,tablas!$B$3:$J$92,6,FALSE),"Franja de losa")</f>
        <v>47.2</v>
      </c>
      <c r="N56" s="77" t="str">
        <f>IF(N53&lt;=2,VLOOKUP(N51&amp;N53,tablas!$B$3:$J$92,6,FALSE),"Franja de losa")</f>
        <v>Franja de losa</v>
      </c>
      <c r="O56" s="77" t="str">
        <f>IF(O53&lt;=2,VLOOKUP(O51&amp;O53,tablas!$B$3:$J$92,6,FALSE),"Franja de losa")</f>
        <v>Franja de losa</v>
      </c>
      <c r="P56" s="77" t="str">
        <f>IF(P53&lt;=2,VLOOKUP(P51&amp;P53,tablas!$B$3:$J$92,6,FALSE),"Franja de losa")</f>
        <v>Franja de losa</v>
      </c>
      <c r="Q56" s="77" t="str">
        <f>IF(Q53&lt;=2,VLOOKUP(Q51&amp;Q53,tablas!$B$3:$J$92,6,FALSE),"Franja de losa")</f>
        <v>Franja de losa</v>
      </c>
      <c r="R56" s="77" t="str">
        <f>IF(R53&lt;=2,VLOOKUP(R51&amp;R53,tablas!$B$3:$J$92,6,FALSE),"Franja de losa")</f>
        <v>Franja de losa</v>
      </c>
      <c r="S56" s="77" t="str">
        <f>IF(S53&lt;=2,VLOOKUP(S51&amp;S53,tablas!$B$3:$J$92,6,FALSE),"Franja de losa")</f>
        <v>Franja de losa</v>
      </c>
      <c r="T56" s="77" t="str">
        <f>IF(T53&lt;=2,VLOOKUP(T51&amp;T53,tablas!$B$3:$J$92,6,FALSE),"Franja de losa")</f>
        <v>Franja de losa</v>
      </c>
      <c r="U56" s="77" t="str">
        <f>IF(U53&lt;=2,VLOOKUP(U51&amp;U53,tablas!$B$3:$J$92,6,FALSE),"Franja de losa")</f>
        <v>Franja de losa</v>
      </c>
      <c r="V56" s="77" t="str">
        <f>IF(V53&lt;=2,VLOOKUP(V51&amp;V53,tablas!$B$3:$J$92,6,FALSE),"Franja de losa")</f>
        <v>Franja de losa</v>
      </c>
      <c r="W56" s="77" t="str">
        <f>IF(W53&lt;=2,VLOOKUP(W51&amp;W53,tablas!$B$3:$J$92,6,FALSE),"Franja de losa")</f>
        <v>Franja de losa</v>
      </c>
      <c r="X56" s="77">
        <f>IF(X53&lt;=2,VLOOKUP(X51&amp;X53-0.1,tablas!$B$3:$J$92,6,FALSE),"Franja de losa")</f>
        <v>37.6</v>
      </c>
    </row>
    <row r="57" spans="2:24" x14ac:dyDescent="0.25">
      <c r="B57" s="97" t="s">
        <v>5</v>
      </c>
      <c r="C57" s="76">
        <f>IF(C53&lt;=2,VLOOKUP(C51&amp;C53-0.1,tablas!$B$3:$J$92,7,FALSE),"Franja de losa")</f>
        <v>163</v>
      </c>
      <c r="D57" s="77">
        <f>IF(D53&lt;=2,VLOOKUP(D51&amp;D53,tablas!$B$3:$J$92,7,FALSE),"Franja de losa")</f>
        <v>95.6</v>
      </c>
      <c r="E57" s="77">
        <f>IF(E53&lt;=2,VLOOKUP(E51&amp;E53,tablas!$B$3:$J$92,7,FALSE),"Franja de losa")</f>
        <v>95.6</v>
      </c>
      <c r="F57" s="77">
        <f>IF(F53&lt;=2,VLOOKUP(F51&amp;F53,tablas!$B$3:$J$92,7,FALSE),"Franja de losa")</f>
        <v>116.6</v>
      </c>
      <c r="G57" s="77">
        <f>IF(G53&lt;=2,VLOOKUP(G51&amp;G53,tablas!$B$3:$J$92,7,FALSE),"Franja de losa")</f>
        <v>78.900000000000006</v>
      </c>
      <c r="H57" s="77">
        <f>IF(H53&lt;=2,VLOOKUP(H51&amp;H53,tablas!$B$3:$J$92,7,FALSE),"Franja de losa")</f>
        <v>66.3</v>
      </c>
      <c r="I57" s="77">
        <f>IF(I53&lt;=2,VLOOKUP(I51&amp;I53,tablas!$B$3:$J$92,7,FALSE),"Franja de losa")</f>
        <v>202</v>
      </c>
      <c r="J57" s="77" t="str">
        <f>IF(J53&lt;=2,VLOOKUP(J51&amp;J53,tablas!$B$3:$J$92,7,FALSE),"Franja de losa")</f>
        <v>Franja de losa</v>
      </c>
      <c r="K57" s="77" t="str">
        <f>IF(K53&lt;=2,VLOOKUP(K51&amp;K53,tablas!$B$3:$J$92,7,FALSE),"Franja de losa")</f>
        <v>Franja de losa</v>
      </c>
      <c r="L57" s="77">
        <f>IF(L53&lt;=2,VLOOKUP(L51&amp;L53,tablas!$B$3:$J$92,7,FALSE),"Franja de losa")</f>
        <v>66.3</v>
      </c>
      <c r="M57" s="77">
        <f>IF(M53&lt;=2,VLOOKUP(M51&amp;M53,tablas!$B$3:$J$92,7,FALSE),"Franja de losa")</f>
        <v>78.900000000000006</v>
      </c>
      <c r="N57" s="77" t="str">
        <f>IF(N53&lt;=2,VLOOKUP(N51&amp;N53,tablas!$B$3:$J$92,7,FALSE),"Franja de losa")</f>
        <v>Franja de losa</v>
      </c>
      <c r="O57" s="77" t="str">
        <f>IF(O53&lt;=2,VLOOKUP(O51&amp;O53,tablas!$B$3:$J$92,7,FALSE),"Franja de losa")</f>
        <v>Franja de losa</v>
      </c>
      <c r="P57" s="77" t="str">
        <f>IF(P53&lt;=2,VLOOKUP(P51&amp;P53,tablas!$B$3:$J$92,7,FALSE),"Franja de losa")</f>
        <v>Franja de losa</v>
      </c>
      <c r="Q57" s="77" t="str">
        <f>IF(Q53&lt;=2,VLOOKUP(Q51&amp;Q53,tablas!$B$3:$J$92,7,FALSE),"Franja de losa")</f>
        <v>Franja de losa</v>
      </c>
      <c r="R57" s="77" t="str">
        <f>IF(R53&lt;=2,VLOOKUP(R51&amp;R53,tablas!$B$3:$J$92,7,FALSE),"Franja de losa")</f>
        <v>Franja de losa</v>
      </c>
      <c r="S57" s="77" t="str">
        <f>IF(S53&lt;=2,VLOOKUP(S51&amp;S53,tablas!$B$3:$J$92,7,FALSE),"Franja de losa")</f>
        <v>Franja de losa</v>
      </c>
      <c r="T57" s="77" t="str">
        <f>IF(T53&lt;=2,VLOOKUP(T51&amp;T53,tablas!$B$3:$J$92,7,FALSE),"Franja de losa")</f>
        <v>Franja de losa</v>
      </c>
      <c r="U57" s="77" t="str">
        <f>IF(U53&lt;=2,VLOOKUP(U51&amp;U53,tablas!$B$3:$J$92,7,FALSE),"Franja de losa")</f>
        <v>Franja de losa</v>
      </c>
      <c r="V57" s="77" t="str">
        <f>IF(V53&lt;=2,VLOOKUP(V51&amp;V53,tablas!$B$3:$J$92,7,FALSE),"Franja de losa")</f>
        <v>Franja de losa</v>
      </c>
      <c r="W57" s="77" t="str">
        <f>IF(W53&lt;=2,VLOOKUP(W51&amp;W53,tablas!$B$3:$J$92,7,FALSE),"Franja de losa")</f>
        <v>Franja de losa</v>
      </c>
      <c r="X57" s="77">
        <f>IF(X53&lt;=2,VLOOKUP(X51&amp;X53-0.1,tablas!$B$3:$J$92,7,FALSE),"Franja de losa")</f>
        <v>143</v>
      </c>
    </row>
    <row r="58" spans="2:24" x14ac:dyDescent="0.25">
      <c r="B58" s="97" t="s">
        <v>6</v>
      </c>
      <c r="C58" s="76">
        <f>IF(C53&lt;=2,VLOOKUP(C51&amp;C53-0.1,tablas!$B$3:$J$92,8,FALSE),"Franja de losa")</f>
        <v>20.5</v>
      </c>
      <c r="D58" s="77">
        <f>IF(D53&lt;=2,VLOOKUP(D51&amp;D53,tablas!$B$3:$J$92,8,FALSE),"Franja de losa")</f>
        <v>18.8</v>
      </c>
      <c r="E58" s="77">
        <f>IF(E53&lt;=2,VLOOKUP(E51&amp;E53,tablas!$B$3:$J$92,8,FALSE),"Franja de losa")</f>
        <v>18.8</v>
      </c>
      <c r="F58" s="77">
        <f>IF(F53&lt;=2,VLOOKUP(F51&amp;F53,tablas!$B$3:$J$92,8,FALSE),"Franja de losa")</f>
        <v>19.2</v>
      </c>
      <c r="G58" s="77">
        <f>IF(G53&lt;=2,VLOOKUP(G51&amp;G53,tablas!$B$3:$J$92,8,FALSE),"Franja de losa")</f>
        <v>18.600000000000001</v>
      </c>
      <c r="H58" s="77">
        <f>IF(H53&lt;=2,VLOOKUP(H51&amp;H53,tablas!$B$3:$J$92,8,FALSE),"Franja de losa")</f>
        <v>18.8</v>
      </c>
      <c r="I58" s="77">
        <f>IF(I53&lt;=2,VLOOKUP(I51&amp;I53,tablas!$B$3:$J$92,8,FALSE),"Franja de losa")</f>
        <v>17.600000000000001</v>
      </c>
      <c r="J58" s="77" t="str">
        <f>IF(J53&lt;=2,VLOOKUP(J51&amp;J53,tablas!$B$3:$J$92,8,FALSE),"Franja de losa")</f>
        <v>Franja de losa</v>
      </c>
      <c r="K58" s="77" t="str">
        <f>IF(K53&lt;=2,VLOOKUP(K51&amp;K53,tablas!$B$3:$J$92,8,FALSE),"Franja de losa")</f>
        <v>Franja de losa</v>
      </c>
      <c r="L58" s="77">
        <f>IF(L53&lt;=2,VLOOKUP(L51&amp;L53,tablas!$B$3:$J$92,8,FALSE),"Franja de losa")</f>
        <v>18.8</v>
      </c>
      <c r="M58" s="77">
        <f>IF(M53&lt;=2,VLOOKUP(M51&amp;M53,tablas!$B$3:$J$92,8,FALSE),"Franja de losa")</f>
        <v>18.600000000000001</v>
      </c>
      <c r="N58" s="77" t="str">
        <f>IF(N53&lt;=2,VLOOKUP(N51&amp;N53,tablas!$B$3:$J$92,8,FALSE),"Franja de losa")</f>
        <v>Franja de losa</v>
      </c>
      <c r="O58" s="77" t="str">
        <f>IF(O53&lt;=2,VLOOKUP(O51&amp;O53,tablas!$B$3:$J$92,8,FALSE),"Franja de losa")</f>
        <v>Franja de losa</v>
      </c>
      <c r="P58" s="77" t="str">
        <f>IF(P53&lt;=2,VLOOKUP(P51&amp;P53,tablas!$B$3:$J$92,8,FALSE),"Franja de losa")</f>
        <v>Franja de losa</v>
      </c>
      <c r="Q58" s="77" t="str">
        <f>IF(Q53&lt;=2,VLOOKUP(Q51&amp;Q53,tablas!$B$3:$J$92,8,FALSE),"Franja de losa")</f>
        <v>Franja de losa</v>
      </c>
      <c r="R58" s="77" t="str">
        <f>IF(R53&lt;=2,VLOOKUP(R51&amp;R53,tablas!$B$3:$J$92,8,FALSE),"Franja de losa")</f>
        <v>Franja de losa</v>
      </c>
      <c r="S58" s="77" t="str">
        <f>IF(S53&lt;=2,VLOOKUP(S51&amp;S53,tablas!$B$3:$J$92,8,FALSE),"Franja de losa")</f>
        <v>Franja de losa</v>
      </c>
      <c r="T58" s="77" t="str">
        <f>IF(T53&lt;=2,VLOOKUP(T51&amp;T53,tablas!$B$3:$J$92,8,FALSE),"Franja de losa")</f>
        <v>Franja de losa</v>
      </c>
      <c r="U58" s="77" t="str">
        <f>IF(U53&lt;=2,VLOOKUP(U51&amp;U53,tablas!$B$3:$J$92,8,FALSE),"Franja de losa")</f>
        <v>Franja de losa</v>
      </c>
      <c r="V58" s="77" t="str">
        <f>IF(V53&lt;=2,VLOOKUP(V51&amp;V53,tablas!$B$3:$J$92,8,FALSE),"Franja de losa")</f>
        <v>Franja de losa</v>
      </c>
      <c r="W58" s="77" t="str">
        <f>IF(W53&lt;=2,VLOOKUP(W51&amp;W53,tablas!$B$3:$J$92,8,FALSE),"Franja de losa")</f>
        <v>Franja de losa</v>
      </c>
      <c r="X58" s="77">
        <f>IF(X53&lt;=2,VLOOKUP(X51&amp;X53-0.1,tablas!$B$3:$J$92,8,FALSE),"Franja de losa")</f>
        <v>16.7</v>
      </c>
    </row>
    <row r="59" spans="2:24" x14ac:dyDescent="0.25">
      <c r="B59" s="97" t="s">
        <v>7</v>
      </c>
      <c r="C59" s="76">
        <f>IF(C53&lt;=2,VLOOKUP(C51&amp;C53-0.1,tablas!$B$3:$J$92,9,FALSE),"Franja de losa")</f>
        <v>27.9</v>
      </c>
      <c r="D59" s="77">
        <f>IF(D53&lt;=2,VLOOKUP(D51&amp;D53,tablas!$B$3:$J$92,9,FALSE),"Franja de losa")</f>
        <v>22.9</v>
      </c>
      <c r="E59" s="77">
        <f>IF(E53&lt;=2,VLOOKUP(E51&amp;E53,tablas!$B$3:$J$92,9,FALSE),"Franja de losa")</f>
        <v>22.9</v>
      </c>
      <c r="F59" s="77">
        <f>IF(F53&lt;=2,VLOOKUP(F51&amp;F53,tablas!$B$3:$J$92,9,FALSE),"Franja de losa")</f>
        <v>24.5</v>
      </c>
      <c r="G59" s="77">
        <f>IF(G53&lt;=2,VLOOKUP(G51&amp;G53,tablas!$B$3:$J$92,9,FALSE),"Franja de losa")</f>
        <v>21.5</v>
      </c>
      <c r="H59" s="77">
        <f>IF(H53&lt;=2,VLOOKUP(H51&amp;H53,tablas!$B$3:$J$92,9,FALSE),"Franja de losa")</f>
        <v>20.3</v>
      </c>
      <c r="I59" s="77">
        <f>IF(I53&lt;=2,VLOOKUP(I51&amp;I53,tablas!$B$3:$J$92,9,FALSE),"Franja de losa")</f>
        <v>24.6</v>
      </c>
      <c r="J59" s="77" t="str">
        <f>IF(J53&lt;=2,VLOOKUP(J51&amp;J53,tablas!$B$3:$J$92,9,FALSE),"Franja de losa")</f>
        <v>Franja de losa</v>
      </c>
      <c r="K59" s="77" t="str">
        <f>IF(K53&lt;=2,VLOOKUP(K51&amp;K53,tablas!$B$3:$J$92,9,FALSE),"Franja de losa")</f>
        <v>Franja de losa</v>
      </c>
      <c r="L59" s="77">
        <f>IF(L53&lt;=2,VLOOKUP(L51&amp;L53,tablas!$B$3:$J$92,9,FALSE),"Franja de losa")</f>
        <v>20.3</v>
      </c>
      <c r="M59" s="77">
        <f>IF(M53&lt;=2,VLOOKUP(M51&amp;M53,tablas!$B$3:$J$92,9,FALSE),"Franja de losa")</f>
        <v>21.5</v>
      </c>
      <c r="N59" s="77" t="str">
        <f>IF(N53&lt;=2,VLOOKUP(N51&amp;N53,tablas!$B$3:$J$92,9,FALSE),"Franja de losa")</f>
        <v>Franja de losa</v>
      </c>
      <c r="O59" s="77" t="str">
        <f>IF(O53&lt;=2,VLOOKUP(O51&amp;O53,tablas!$B$3:$J$92,9,FALSE),"Franja de losa")</f>
        <v>Franja de losa</v>
      </c>
      <c r="P59" s="77" t="str">
        <f>IF(P53&lt;=2,VLOOKUP(P51&amp;P53,tablas!$B$3:$J$92,9,FALSE),"Franja de losa")</f>
        <v>Franja de losa</v>
      </c>
      <c r="Q59" s="77" t="str">
        <f>IF(Q53&lt;=2,VLOOKUP(Q51&amp;Q53,tablas!$B$3:$J$92,9,FALSE),"Franja de losa")</f>
        <v>Franja de losa</v>
      </c>
      <c r="R59" s="77" t="str">
        <f>IF(R53&lt;=2,VLOOKUP(R51&amp;R53,tablas!$B$3:$J$92,9,FALSE),"Franja de losa")</f>
        <v>Franja de losa</v>
      </c>
      <c r="S59" s="77" t="str">
        <f>IF(S53&lt;=2,VLOOKUP(S51&amp;S53,tablas!$B$3:$J$92,9,FALSE),"Franja de losa")</f>
        <v>Franja de losa</v>
      </c>
      <c r="T59" s="77" t="str">
        <f>IF(T53&lt;=2,VLOOKUP(T51&amp;T53,tablas!$B$3:$J$92,9,FALSE),"Franja de losa")</f>
        <v>Franja de losa</v>
      </c>
      <c r="U59" s="77" t="str">
        <f>IF(U53&lt;=2,VLOOKUP(U51&amp;U53,tablas!$B$3:$J$92,9,FALSE),"Franja de losa")</f>
        <v>Franja de losa</v>
      </c>
      <c r="V59" s="77" t="str">
        <f>IF(V53&lt;=2,VLOOKUP(V51&amp;V53,tablas!$B$3:$J$92,9,FALSE),"Franja de losa")</f>
        <v>Franja de losa</v>
      </c>
      <c r="W59" s="77" t="str">
        <f>IF(W53&lt;=2,VLOOKUP(W51&amp;W53,tablas!$B$3:$J$92,9,FALSE),"Franja de losa")</f>
        <v>Franja de losa</v>
      </c>
      <c r="X59" s="77">
        <f>IF(X53&lt;=2,VLOOKUP(X51&amp;X53-0.1,tablas!$B$3:$J$92,9,FALSE),"Franja de losa")</f>
        <v>22.1</v>
      </c>
    </row>
    <row r="60" spans="2:24" x14ac:dyDescent="0.25">
      <c r="B60" s="100" t="s">
        <v>2</v>
      </c>
      <c r="C60" s="76">
        <f>IF(C53&lt;=2,VLOOKUP(C51&amp;C53-0.1,tablas!$B$3:$J$92,4,FALSE),"Franja de losa")</f>
        <v>1.39</v>
      </c>
      <c r="D60" s="77">
        <f>IF(D53&lt;=2,VLOOKUP(D51&amp;D53,tablas!$B$3:$J$92,4,FALSE),"Franja de losa")</f>
        <v>1.17</v>
      </c>
      <c r="E60" s="77">
        <f>IF(E53&lt;=2,VLOOKUP(E51&amp;E53,tablas!$B$3:$J$92,4,FALSE),"Franja de losa")</f>
        <v>1.17</v>
      </c>
      <c r="F60" s="77">
        <f>IF(F53&lt;=2,VLOOKUP(F51&amp;F53,tablas!$B$3:$J$92,4,FALSE),"Franja de losa")</f>
        <v>1.24</v>
      </c>
      <c r="G60" s="77">
        <f>IF(G53&lt;=2,VLOOKUP(G51&amp;G53,tablas!$B$3:$J$92,4,FALSE),"Franja de losa")</f>
        <v>1.1000000000000001</v>
      </c>
      <c r="H60" s="77">
        <f>IF(H53&lt;=2,VLOOKUP(H51&amp;H53,tablas!$B$3:$J$92,4,FALSE),"Franja de losa")</f>
        <v>1.05</v>
      </c>
      <c r="I60" s="77">
        <f>IF(I53&lt;=2,VLOOKUP(I51&amp;I53,tablas!$B$3:$J$92,4,FALSE),"Franja de losa")</f>
        <v>0.68</v>
      </c>
      <c r="J60" s="77" t="str">
        <f>IF(J53&lt;=2,VLOOKUP(J51&amp;J53,tablas!$B$3:$J$92,4,FALSE),"Franja de losa")</f>
        <v>Franja de losa</v>
      </c>
      <c r="K60" s="77" t="str">
        <f>IF(K53&lt;=2,VLOOKUP(K51&amp;K53,tablas!$B$3:$J$92,4,FALSE),"Franja de losa")</f>
        <v>Franja de losa</v>
      </c>
      <c r="L60" s="77">
        <f>IF(L53&lt;=2,VLOOKUP(L51&amp;L53,tablas!$B$3:$J$92,4,FALSE),"Franja de losa")</f>
        <v>1.05</v>
      </c>
      <c r="M60" s="77">
        <f>IF(M53&lt;=2,VLOOKUP(M51&amp;M53,tablas!$B$3:$J$92,4,FALSE),"Franja de losa")</f>
        <v>1.1000000000000001</v>
      </c>
      <c r="N60" s="77" t="str">
        <f>IF(N53&lt;=2,VLOOKUP(N51&amp;N53,tablas!$B$3:$J$92,4,FALSE),"Franja de losa")</f>
        <v>Franja de losa</v>
      </c>
      <c r="O60" s="77" t="str">
        <f>IF(O53&lt;=2,VLOOKUP(O51&amp;O53,tablas!$B$3:$J$92,4,FALSE),"Franja de losa")</f>
        <v>Franja de losa</v>
      </c>
      <c r="P60" s="77" t="str">
        <f>IF(P53&lt;=2,VLOOKUP(P51&amp;P53,tablas!$B$3:$J$92,4,FALSE),"Franja de losa")</f>
        <v>Franja de losa</v>
      </c>
      <c r="Q60" s="77" t="str">
        <f>IF(Q53&lt;=2,VLOOKUP(Q51&amp;Q53,tablas!$B$3:$J$92,4,FALSE),"Franja de losa")</f>
        <v>Franja de losa</v>
      </c>
      <c r="R60" s="77" t="str">
        <f>IF(R53&lt;=2,VLOOKUP(R51&amp;R53,tablas!$B$3:$J$92,4,FALSE),"Franja de losa")</f>
        <v>Franja de losa</v>
      </c>
      <c r="S60" s="77" t="str">
        <f>IF(S53&lt;=2,VLOOKUP(S51&amp;S53,tablas!$B$3:$J$92,4,FALSE),"Franja de losa")</f>
        <v>Franja de losa</v>
      </c>
      <c r="T60" s="77" t="str">
        <f>IF(T53&lt;=2,VLOOKUP(T51&amp;T53,tablas!$B$3:$J$92,4,FALSE),"Franja de losa")</f>
        <v>Franja de losa</v>
      </c>
      <c r="U60" s="77" t="str">
        <f>IF(U53&lt;=2,VLOOKUP(U51&amp;U53,tablas!$B$3:$J$92,4,FALSE),"Franja de losa")</f>
        <v>Franja de losa</v>
      </c>
      <c r="V60" s="77" t="str">
        <f>IF(V53&lt;=2,VLOOKUP(V51&amp;V53,tablas!$B$3:$J$92,4,FALSE),"Franja de losa")</f>
        <v>Franja de losa</v>
      </c>
      <c r="W60" s="77" t="str">
        <f>IF(W53&lt;=2,VLOOKUP(W51&amp;W53,tablas!$B$3:$J$92,4,FALSE),"Franja de losa")</f>
        <v>Franja de losa</v>
      </c>
      <c r="X60" s="77">
        <f>IF(X53&lt;=2,VLOOKUP(X51&amp;X53-0.1,tablas!$B$3:$J$92,4,FALSE),"Franja de losa")</f>
        <v>0.68</v>
      </c>
    </row>
    <row r="61" spans="2:24" ht="15.75" thickBot="1" x14ac:dyDescent="0.3">
      <c r="B61" s="101" t="s">
        <v>3</v>
      </c>
      <c r="C61" s="82">
        <f>IF(C53&lt;=2,VLOOKUP(C51&amp;C53-0.1,tablas!$B$3:$J$92,5,FALSE),"Franja de losa")</f>
        <v>1.39</v>
      </c>
      <c r="D61" s="83">
        <f>IF(D53&lt;=2,VLOOKUP(D51&amp;D53,tablas!$B$3:$J$92,5,FALSE),"Franja de losa")</f>
        <v>1.17</v>
      </c>
      <c r="E61" s="83">
        <f>IF(E53&lt;=2,VLOOKUP(E51&amp;E53,tablas!$B$3:$J$92,5,FALSE),"Franja de losa")</f>
        <v>1.17</v>
      </c>
      <c r="F61" s="83">
        <f>IF(F53&lt;=2,VLOOKUP(F51&amp;F53,tablas!$B$3:$J$92,5,FALSE),"Franja de losa")</f>
        <v>1.24</v>
      </c>
      <c r="G61" s="83">
        <f>IF(G53&lt;=2,VLOOKUP(G51&amp;G53,tablas!$B$3:$J$92,5,FALSE),"Franja de losa")</f>
        <v>1.1000000000000001</v>
      </c>
      <c r="H61" s="83">
        <f>IF(H53&lt;=2,VLOOKUP(H51&amp;H53,tablas!$B$3:$J$92,5,FALSE),"Franja de losa")</f>
        <v>1.05</v>
      </c>
      <c r="I61" s="83">
        <f>IF(I53&lt;=2,VLOOKUP(I51&amp;I53,tablas!$B$3:$J$92,5,FALSE),"Franja de losa")</f>
        <v>0.46</v>
      </c>
      <c r="J61" s="83" t="str">
        <f>IF(J53&lt;=2,VLOOKUP(J51&amp;J53,tablas!$B$3:$J$92,5,FALSE),"Franja de losa")</f>
        <v>Franja de losa</v>
      </c>
      <c r="K61" s="83" t="str">
        <f>IF(K53&lt;=2,VLOOKUP(K51&amp;K53,tablas!$B$3:$J$92,5,FALSE),"Franja de losa")</f>
        <v>Franja de losa</v>
      </c>
      <c r="L61" s="83">
        <f>IF(L53&lt;=2,VLOOKUP(L51&amp;L53,tablas!$B$3:$J$92,5,FALSE),"Franja de losa")</f>
        <v>1.05</v>
      </c>
      <c r="M61" s="83">
        <f>IF(M53&lt;=2,VLOOKUP(M51&amp;M53,tablas!$B$3:$J$92,5,FALSE),"Franja de losa")</f>
        <v>1.1000000000000001</v>
      </c>
      <c r="N61" s="83" t="str">
        <f>IF(N53&lt;=2,VLOOKUP(N51&amp;N53,tablas!$B$3:$J$92,5,FALSE),"Franja de losa")</f>
        <v>Franja de losa</v>
      </c>
      <c r="O61" s="83" t="str">
        <f>IF(O53&lt;=2,VLOOKUP(O51&amp;O53,tablas!$B$3:$J$92,5,FALSE),"Franja de losa")</f>
        <v>Franja de losa</v>
      </c>
      <c r="P61" s="83" t="str">
        <f>IF(P53&lt;=2,VLOOKUP(P51&amp;P53,tablas!$B$3:$J$92,5,FALSE),"Franja de losa")</f>
        <v>Franja de losa</v>
      </c>
      <c r="Q61" s="83" t="str">
        <f>IF(Q53&lt;=2,VLOOKUP(Q51&amp;Q53,tablas!$B$3:$J$92,5,FALSE),"Franja de losa")</f>
        <v>Franja de losa</v>
      </c>
      <c r="R61" s="83" t="str">
        <f>IF(R53&lt;=2,VLOOKUP(R51&amp;R53,tablas!$B$3:$J$92,5,FALSE),"Franja de losa")</f>
        <v>Franja de losa</v>
      </c>
      <c r="S61" s="83" t="str">
        <f>IF(S53&lt;=2,VLOOKUP(S51&amp;S53,tablas!$B$3:$J$92,5,FALSE),"Franja de losa")</f>
        <v>Franja de losa</v>
      </c>
      <c r="T61" s="83" t="str">
        <f>IF(T53&lt;=2,VLOOKUP(T51&amp;T53,tablas!$B$3:$J$92,5,FALSE),"Franja de losa")</f>
        <v>Franja de losa</v>
      </c>
      <c r="U61" s="83" t="str">
        <f>IF(U53&lt;=2,VLOOKUP(U51&amp;U53,tablas!$B$3:$J$92,5,FALSE),"Franja de losa")</f>
        <v>Franja de losa</v>
      </c>
      <c r="V61" s="83" t="str">
        <f>IF(V53&lt;=2,VLOOKUP(V51&amp;V53,tablas!$B$3:$J$92,5,FALSE),"Franja de losa")</f>
        <v>Franja de losa</v>
      </c>
      <c r="W61" s="83" t="str">
        <f>IF(W53&lt;=2,VLOOKUP(W51&amp;W53,tablas!$B$3:$J$92,5,FALSE),"Franja de losa")</f>
        <v>Franja de losa</v>
      </c>
      <c r="X61" s="83">
        <f>IF(X53&lt;=2,VLOOKUP(X51&amp;X53-0.1,tablas!$B$3:$J$92,5,FALSE),"Franja de losa")</f>
        <v>0.46</v>
      </c>
    </row>
    <row r="62" spans="2:24" ht="15.75" thickBot="1" x14ac:dyDescent="0.3">
      <c r="B62" s="71" t="s">
        <v>87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72"/>
      <c r="X62" s="72"/>
    </row>
    <row r="63" spans="2:24" x14ac:dyDescent="0.25">
      <c r="B63" s="97" t="s">
        <v>83</v>
      </c>
      <c r="C63" s="84">
        <f t="shared" ref="C63:X63" si="6">VLOOKUP(C$46,$B$16:$H$35,6)</f>
        <v>200</v>
      </c>
      <c r="D63" s="84">
        <f t="shared" si="6"/>
        <v>200</v>
      </c>
      <c r="E63" s="84">
        <f t="shared" si="6"/>
        <v>200</v>
      </c>
      <c r="F63" s="84">
        <f t="shared" si="6"/>
        <v>200</v>
      </c>
      <c r="G63" s="84">
        <f t="shared" si="6"/>
        <v>200</v>
      </c>
      <c r="H63" s="84">
        <f t="shared" si="6"/>
        <v>200</v>
      </c>
      <c r="I63" s="84">
        <f t="shared" si="6"/>
        <v>400</v>
      </c>
      <c r="J63" s="84">
        <f t="shared" si="6"/>
        <v>400</v>
      </c>
      <c r="K63" s="84">
        <f t="shared" si="6"/>
        <v>400</v>
      </c>
      <c r="L63" s="84">
        <f t="shared" si="6"/>
        <v>200</v>
      </c>
      <c r="M63" s="84">
        <f t="shared" si="6"/>
        <v>200</v>
      </c>
      <c r="N63" s="84">
        <f t="shared" si="6"/>
        <v>300</v>
      </c>
      <c r="O63" s="84">
        <f t="shared" si="6"/>
        <v>300</v>
      </c>
      <c r="P63" s="84">
        <f t="shared" si="6"/>
        <v>300</v>
      </c>
      <c r="Q63" s="84">
        <f t="shared" si="6"/>
        <v>300</v>
      </c>
      <c r="R63" s="84">
        <f t="shared" si="6"/>
        <v>300</v>
      </c>
      <c r="S63" s="84">
        <f t="shared" si="6"/>
        <v>300</v>
      </c>
      <c r="T63" s="84">
        <f t="shared" si="6"/>
        <v>300</v>
      </c>
      <c r="U63" s="84">
        <f t="shared" si="6"/>
        <v>300</v>
      </c>
      <c r="V63" s="84">
        <f t="shared" si="6"/>
        <v>300</v>
      </c>
      <c r="W63" s="84">
        <f t="shared" si="6"/>
        <v>300</v>
      </c>
      <c r="X63" s="84">
        <f t="shared" si="6"/>
        <v>300</v>
      </c>
    </row>
    <row r="64" spans="2:24" x14ac:dyDescent="0.25">
      <c r="B64" s="97" t="s">
        <v>89</v>
      </c>
      <c r="C64" s="76">
        <f>$L$7*($C$4/100)</f>
        <v>400</v>
      </c>
      <c r="D64" s="77">
        <f>$L$7*($C$4/100)</f>
        <v>400</v>
      </c>
      <c r="E64" s="77">
        <f t="shared" ref="E64:X64" si="7">$L$7*($C$4/100)</f>
        <v>400</v>
      </c>
      <c r="F64" s="77">
        <f t="shared" si="7"/>
        <v>400</v>
      </c>
      <c r="G64" s="77">
        <f t="shared" si="7"/>
        <v>400</v>
      </c>
      <c r="H64" s="77">
        <f t="shared" si="7"/>
        <v>400</v>
      </c>
      <c r="I64" s="77">
        <f t="shared" si="7"/>
        <v>400</v>
      </c>
      <c r="J64" s="77">
        <f t="shared" si="7"/>
        <v>400</v>
      </c>
      <c r="K64" s="77">
        <f t="shared" si="7"/>
        <v>400</v>
      </c>
      <c r="L64" s="77">
        <f t="shared" si="7"/>
        <v>400</v>
      </c>
      <c r="M64" s="77">
        <f t="shared" si="7"/>
        <v>400</v>
      </c>
      <c r="N64" s="77">
        <f t="shared" si="7"/>
        <v>400</v>
      </c>
      <c r="O64" s="77">
        <f t="shared" si="7"/>
        <v>400</v>
      </c>
      <c r="P64" s="77">
        <f>$L$7*($C$4/100)</f>
        <v>400</v>
      </c>
      <c r="Q64" s="77">
        <f t="shared" si="7"/>
        <v>400</v>
      </c>
      <c r="R64" s="77">
        <f t="shared" si="7"/>
        <v>400</v>
      </c>
      <c r="S64" s="77">
        <f t="shared" si="7"/>
        <v>400</v>
      </c>
      <c r="T64" s="77">
        <f t="shared" si="7"/>
        <v>400</v>
      </c>
      <c r="U64" s="77">
        <f t="shared" si="7"/>
        <v>400</v>
      </c>
      <c r="V64" s="77">
        <f t="shared" si="7"/>
        <v>400</v>
      </c>
      <c r="W64" s="77">
        <f t="shared" si="7"/>
        <v>400</v>
      </c>
      <c r="X64" s="77">
        <f t="shared" si="7"/>
        <v>400</v>
      </c>
    </row>
    <row r="65" spans="2:24" x14ac:dyDescent="0.25">
      <c r="B65" s="97" t="s">
        <v>90</v>
      </c>
      <c r="C65" s="76">
        <f>C64+$I$8</f>
        <v>625</v>
      </c>
      <c r="D65" s="77">
        <f>D64+$I$8</f>
        <v>625</v>
      </c>
      <c r="E65" s="77">
        <f t="shared" ref="E65:X65" si="8">E64+$I$8</f>
        <v>625</v>
      </c>
      <c r="F65" s="77">
        <f t="shared" si="8"/>
        <v>625</v>
      </c>
      <c r="G65" s="77">
        <f t="shared" si="8"/>
        <v>625</v>
      </c>
      <c r="H65" s="77">
        <f t="shared" si="8"/>
        <v>625</v>
      </c>
      <c r="I65" s="77">
        <f t="shared" si="8"/>
        <v>625</v>
      </c>
      <c r="J65" s="77">
        <f t="shared" si="8"/>
        <v>625</v>
      </c>
      <c r="K65" s="77">
        <f t="shared" si="8"/>
        <v>625</v>
      </c>
      <c r="L65" s="77">
        <f t="shared" si="8"/>
        <v>625</v>
      </c>
      <c r="M65" s="77">
        <f t="shared" si="8"/>
        <v>625</v>
      </c>
      <c r="N65" s="77">
        <f t="shared" si="8"/>
        <v>625</v>
      </c>
      <c r="O65" s="77">
        <f t="shared" si="8"/>
        <v>625</v>
      </c>
      <c r="P65" s="77">
        <f t="shared" si="8"/>
        <v>625</v>
      </c>
      <c r="Q65" s="77">
        <f t="shared" si="8"/>
        <v>625</v>
      </c>
      <c r="R65" s="77">
        <f t="shared" si="8"/>
        <v>625</v>
      </c>
      <c r="S65" s="77">
        <f t="shared" si="8"/>
        <v>625</v>
      </c>
      <c r="T65" s="77">
        <f t="shared" si="8"/>
        <v>625</v>
      </c>
      <c r="U65" s="77">
        <f t="shared" si="8"/>
        <v>625</v>
      </c>
      <c r="V65" s="77">
        <f t="shared" si="8"/>
        <v>625</v>
      </c>
      <c r="W65" s="77">
        <f t="shared" si="8"/>
        <v>625</v>
      </c>
      <c r="X65" s="77">
        <f t="shared" si="8"/>
        <v>625</v>
      </c>
    </row>
    <row r="66" spans="2:24" x14ac:dyDescent="0.25">
      <c r="B66" s="97" t="s">
        <v>91</v>
      </c>
      <c r="C66" s="76">
        <f>1.2*C65+1.6*C63</f>
        <v>1070</v>
      </c>
      <c r="D66" s="76">
        <f t="shared" ref="D66:X66" si="9">1.2*D65+1.6*D63</f>
        <v>1070</v>
      </c>
      <c r="E66" s="76">
        <f t="shared" si="9"/>
        <v>1070</v>
      </c>
      <c r="F66" s="76">
        <f t="shared" si="9"/>
        <v>1070</v>
      </c>
      <c r="G66" s="76">
        <f t="shared" si="9"/>
        <v>1070</v>
      </c>
      <c r="H66" s="76">
        <f t="shared" si="9"/>
        <v>1070</v>
      </c>
      <c r="I66" s="76">
        <f t="shared" si="9"/>
        <v>1390</v>
      </c>
      <c r="J66" s="76">
        <f t="shared" si="9"/>
        <v>1390</v>
      </c>
      <c r="K66" s="76">
        <f t="shared" si="9"/>
        <v>1390</v>
      </c>
      <c r="L66" s="76">
        <f t="shared" si="9"/>
        <v>1070</v>
      </c>
      <c r="M66" s="76">
        <f t="shared" si="9"/>
        <v>1070</v>
      </c>
      <c r="N66" s="76">
        <f t="shared" si="9"/>
        <v>1230</v>
      </c>
      <c r="O66" s="76">
        <f t="shared" si="9"/>
        <v>1230</v>
      </c>
      <c r="P66" s="76">
        <f t="shared" si="9"/>
        <v>1230</v>
      </c>
      <c r="Q66" s="76">
        <f t="shared" si="9"/>
        <v>1230</v>
      </c>
      <c r="R66" s="76">
        <f t="shared" si="9"/>
        <v>1230</v>
      </c>
      <c r="S66" s="76">
        <f t="shared" si="9"/>
        <v>1230</v>
      </c>
      <c r="T66" s="76">
        <f t="shared" si="9"/>
        <v>1230</v>
      </c>
      <c r="U66" s="76">
        <f t="shared" si="9"/>
        <v>1230</v>
      </c>
      <c r="V66" s="76">
        <f t="shared" si="9"/>
        <v>1230</v>
      </c>
      <c r="W66" s="76">
        <f t="shared" si="9"/>
        <v>1230</v>
      </c>
      <c r="X66" s="76">
        <f t="shared" si="9"/>
        <v>1230</v>
      </c>
    </row>
    <row r="67" spans="2:24" x14ac:dyDescent="0.25">
      <c r="B67" s="98" t="s">
        <v>92</v>
      </c>
      <c r="C67" s="85">
        <f>C66*C48*C49</f>
        <v>64735</v>
      </c>
      <c r="D67" s="86">
        <f>D66*D48*D49</f>
        <v>27862.799999999999</v>
      </c>
      <c r="E67" s="86">
        <f t="shared" ref="E67:X67" si="10">E66*E48*E49</f>
        <v>27862.799999999999</v>
      </c>
      <c r="F67" s="86">
        <f t="shared" si="10"/>
        <v>51075.915000000001</v>
      </c>
      <c r="G67" s="86">
        <f t="shared" si="10"/>
        <v>43342.704000000005</v>
      </c>
      <c r="H67" s="86">
        <f t="shared" si="10"/>
        <v>26856.999999999996</v>
      </c>
      <c r="I67" s="86">
        <f t="shared" si="10"/>
        <v>11792.76</v>
      </c>
      <c r="J67" s="86">
        <f t="shared" si="10"/>
        <v>21795.199999999997</v>
      </c>
      <c r="K67" s="86">
        <f t="shared" si="10"/>
        <v>25637.16</v>
      </c>
      <c r="L67" s="86">
        <f>L66*L48*L49</f>
        <v>26856.999999999996</v>
      </c>
      <c r="M67" s="86">
        <f t="shared" si="10"/>
        <v>40415.826000000008</v>
      </c>
      <c r="N67" s="86">
        <f t="shared" si="10"/>
        <v>9899.4089999999997</v>
      </c>
      <c r="O67" s="86">
        <f t="shared" si="10"/>
        <v>10400.879999999999</v>
      </c>
      <c r="P67" s="86">
        <f t="shared" si="10"/>
        <v>10400.879999999999</v>
      </c>
      <c r="Q67" s="86">
        <f t="shared" si="10"/>
        <v>9750.8249999999989</v>
      </c>
      <c r="R67" s="86">
        <f t="shared" si="10"/>
        <v>4899.3360000000002</v>
      </c>
      <c r="S67" s="86">
        <f t="shared" si="10"/>
        <v>4899.3360000000002</v>
      </c>
      <c r="T67" s="86">
        <f t="shared" si="10"/>
        <v>11553.882</v>
      </c>
      <c r="U67" s="86">
        <f t="shared" si="10"/>
        <v>11685.737999999999</v>
      </c>
      <c r="V67" s="86">
        <f t="shared" si="10"/>
        <v>3486.0660000000003</v>
      </c>
      <c r="W67" s="86">
        <f t="shared" si="10"/>
        <v>3297.63</v>
      </c>
      <c r="X67" s="86">
        <f t="shared" si="10"/>
        <v>12270.48</v>
      </c>
    </row>
    <row r="68" spans="2:24" ht="15.75" thickBot="1" x14ac:dyDescent="0.3">
      <c r="B68" s="99" t="s">
        <v>93</v>
      </c>
      <c r="C68" s="87">
        <f>C63/(2*C66)</f>
        <v>9.3457943925233641E-2</v>
      </c>
      <c r="D68" s="88">
        <f>D63/(2*D66)</f>
        <v>9.3457943925233641E-2</v>
      </c>
      <c r="E68" s="88">
        <f t="shared" ref="E68:W68" si="11">E63/(2*E66)</f>
        <v>9.3457943925233641E-2</v>
      </c>
      <c r="F68" s="88">
        <f t="shared" si="11"/>
        <v>9.3457943925233641E-2</v>
      </c>
      <c r="G68" s="88">
        <f t="shared" si="11"/>
        <v>9.3457943925233641E-2</v>
      </c>
      <c r="H68" s="88">
        <f t="shared" si="11"/>
        <v>9.3457943925233641E-2</v>
      </c>
      <c r="I68" s="88">
        <f t="shared" si="11"/>
        <v>0.14388489208633093</v>
      </c>
      <c r="J68" s="88">
        <f t="shared" si="11"/>
        <v>0.14388489208633093</v>
      </c>
      <c r="K68" s="88">
        <f t="shared" si="11"/>
        <v>0.14388489208633093</v>
      </c>
      <c r="L68" s="88">
        <f t="shared" si="11"/>
        <v>9.3457943925233641E-2</v>
      </c>
      <c r="M68" s="88">
        <f t="shared" si="11"/>
        <v>9.3457943925233641E-2</v>
      </c>
      <c r="N68" s="88">
        <f t="shared" si="11"/>
        <v>0.12195121951219512</v>
      </c>
      <c r="O68" s="88">
        <f t="shared" si="11"/>
        <v>0.12195121951219512</v>
      </c>
      <c r="P68" s="88">
        <f t="shared" si="11"/>
        <v>0.12195121951219512</v>
      </c>
      <c r="Q68" s="88">
        <f t="shared" si="11"/>
        <v>0.12195121951219512</v>
      </c>
      <c r="R68" s="88">
        <f t="shared" si="11"/>
        <v>0.12195121951219512</v>
      </c>
      <c r="S68" s="88">
        <f t="shared" si="11"/>
        <v>0.12195121951219512</v>
      </c>
      <c r="T68" s="88">
        <f t="shared" si="11"/>
        <v>0.12195121951219512</v>
      </c>
      <c r="U68" s="88">
        <f t="shared" si="11"/>
        <v>0.12195121951219512</v>
      </c>
      <c r="V68" s="88">
        <f t="shared" si="11"/>
        <v>0.12195121951219512</v>
      </c>
      <c r="W68" s="88">
        <f t="shared" si="11"/>
        <v>0.12195121951219512</v>
      </c>
      <c r="X68" s="88">
        <f t="shared" ref="X68" si="12">X63/(2*X66)</f>
        <v>0.12195121951219512</v>
      </c>
    </row>
    <row r="69" spans="2:24" ht="15.75" thickBot="1" x14ac:dyDescent="0.3">
      <c r="B69" s="71" t="s">
        <v>96</v>
      </c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72"/>
      <c r="X69" s="72"/>
    </row>
    <row r="70" spans="2:24" x14ac:dyDescent="0.25">
      <c r="B70" s="96" t="s">
        <v>97</v>
      </c>
      <c r="C70" s="89">
        <f>IF(C53&lt;=2,C67/C56*(1+C68*C60)*C54,IF(OR(C51=6,C51="5a",C51="3a"),C66*C48^2/17,(IF(OR(C51="2a",C51=4,C51="5b"),C66*C48^2/12,IF(OR(C51=1,C51="2b",C51="3b"),C66*C48^2/8)))))</f>
        <v>920.25618221258128</v>
      </c>
      <c r="D70" s="89">
        <f t="shared" ref="D70:X70" si="13">IF(D53&lt;=2,D67/D56*(1+D68*D60)*D54,IF(OR(D51=6,D51="5a",D51="3a"),D66*D48^2/17,(IF(OR(D51="2a",D51=4,D51="5b"),D66*D48^2/12,IF(OR(D51=1,D51="2b",D51="3b"),D66*D48^2/8)))))</f>
        <v>382.94930973451329</v>
      </c>
      <c r="E70" s="89">
        <f t="shared" si="13"/>
        <v>382.94930973451329</v>
      </c>
      <c r="F70" s="89">
        <f t="shared" si="13"/>
        <v>728.41134551569496</v>
      </c>
      <c r="G70" s="89">
        <f t="shared" si="13"/>
        <v>567.10080000000005</v>
      </c>
      <c r="H70" s="89">
        <f t="shared" si="13"/>
        <v>319.93836291913209</v>
      </c>
      <c r="I70" s="89">
        <f t="shared" si="13"/>
        <v>258.93168000000003</v>
      </c>
      <c r="J70" s="89">
        <f t="shared" si="13"/>
        <v>160.25882352941176</v>
      </c>
      <c r="K70" s="89">
        <f t="shared" si="13"/>
        <v>687.64117647058822</v>
      </c>
      <c r="L70" s="89">
        <f t="shared" si="13"/>
        <v>319.93836291913209</v>
      </c>
      <c r="M70" s="89">
        <f t="shared" si="13"/>
        <v>528.80520000000013</v>
      </c>
      <c r="N70" s="89">
        <f t="shared" si="13"/>
        <v>233.71025</v>
      </c>
      <c r="O70" s="89">
        <f t="shared" si="13"/>
        <v>233.71025</v>
      </c>
      <c r="P70" s="89">
        <f t="shared" si="13"/>
        <v>233.71025</v>
      </c>
      <c r="Q70" s="89">
        <f t="shared" si="13"/>
        <v>233.71025</v>
      </c>
      <c r="R70" s="89">
        <f t="shared" si="13"/>
        <v>110.86400000000002</v>
      </c>
      <c r="S70" s="89">
        <f t="shared" si="13"/>
        <v>110.86400000000002</v>
      </c>
      <c r="T70" s="89">
        <f t="shared" si="13"/>
        <v>184.04900000000001</v>
      </c>
      <c r="U70" s="89">
        <f t="shared" si="13"/>
        <v>184.04900000000001</v>
      </c>
      <c r="V70" s="89">
        <f t="shared" si="13"/>
        <v>56.128999999999998</v>
      </c>
      <c r="W70" s="89">
        <f t="shared" si="13"/>
        <v>50.224999999999994</v>
      </c>
      <c r="X70" s="89">
        <f t="shared" si="13"/>
        <v>265.05382978723401</v>
      </c>
    </row>
    <row r="71" spans="2:24" x14ac:dyDescent="0.25">
      <c r="B71" s="97" t="s">
        <v>15</v>
      </c>
      <c r="C71" s="90">
        <f>C70/(0.9*(0.9*($C$7/100))*($L$9*1000))</f>
        <v>1.8960593182114858</v>
      </c>
      <c r="D71" s="90">
        <f t="shared" ref="D71:X71" si="14">D70/(0.9*(0.9*($C$7/100))*($L$9*1000))</f>
        <v>0.78901356074460016</v>
      </c>
      <c r="E71" s="90">
        <f t="shared" si="14"/>
        <v>0.78901356074460016</v>
      </c>
      <c r="F71" s="90">
        <f t="shared" si="14"/>
        <v>1.500789829887782</v>
      </c>
      <c r="G71" s="90">
        <f t="shared" si="14"/>
        <v>1.1684319833852541</v>
      </c>
      <c r="H71" s="90">
        <f t="shared" si="14"/>
        <v>0.65918830646444637</v>
      </c>
      <c r="I71" s="90">
        <f t="shared" si="14"/>
        <v>0.53349255797853923</v>
      </c>
      <c r="J71" s="90">
        <f t="shared" si="14"/>
        <v>0.33019092025872299</v>
      </c>
      <c r="K71" s="90">
        <f t="shared" si="14"/>
        <v>1.4167885915182961</v>
      </c>
      <c r="L71" s="90">
        <f t="shared" si="14"/>
        <v>0.65918830646444637</v>
      </c>
      <c r="M71" s="90">
        <f t="shared" si="14"/>
        <v>1.0895292488750432</v>
      </c>
      <c r="N71" s="90">
        <f t="shared" si="14"/>
        <v>0.48152732449850816</v>
      </c>
      <c r="O71" s="90">
        <f t="shared" si="14"/>
        <v>0.48152732449850816</v>
      </c>
      <c r="P71" s="90">
        <f t="shared" si="14"/>
        <v>0.48152732449850816</v>
      </c>
      <c r="Q71" s="90">
        <f t="shared" si="14"/>
        <v>0.48152732449850816</v>
      </c>
      <c r="R71" s="90">
        <f t="shared" si="14"/>
        <v>0.22841978605218477</v>
      </c>
      <c r="S71" s="90">
        <f t="shared" si="14"/>
        <v>0.22841978605218477</v>
      </c>
      <c r="T71" s="90">
        <f t="shared" si="14"/>
        <v>0.37920725576488806</v>
      </c>
      <c r="U71" s="90">
        <f t="shared" si="14"/>
        <v>0.37920725576488806</v>
      </c>
      <c r="V71" s="90">
        <f t="shared" si="14"/>
        <v>0.11564596416621335</v>
      </c>
      <c r="W71" s="90">
        <f t="shared" si="14"/>
        <v>0.10348159686165913</v>
      </c>
      <c r="X71" s="90">
        <f t="shared" si="14"/>
        <v>0.54610639244761316</v>
      </c>
    </row>
    <row r="72" spans="2:24" x14ac:dyDescent="0.25">
      <c r="B72" s="97" t="s">
        <v>98</v>
      </c>
      <c r="C72" s="92">
        <f>(C71*($L$9))/(0.85*$L$6*100)</f>
        <v>2.674290288991649E-2</v>
      </c>
      <c r="D72" s="92">
        <f t="shared" ref="D72:X72" si="15">(D71*($L$9))/(0.85*$L$6*100)</f>
        <v>1.1128614401011332E-2</v>
      </c>
      <c r="E72" s="92">
        <f t="shared" si="15"/>
        <v>1.1128614401011332E-2</v>
      </c>
      <c r="F72" s="92">
        <f t="shared" si="15"/>
        <v>2.1167838101564369E-2</v>
      </c>
      <c r="G72" s="92">
        <f t="shared" si="15"/>
        <v>1.6480108383222565E-2</v>
      </c>
      <c r="H72" s="92">
        <f t="shared" si="15"/>
        <v>9.2974986049360053E-3</v>
      </c>
      <c r="I72" s="92">
        <f t="shared" si="15"/>
        <v>7.5246272801059427E-3</v>
      </c>
      <c r="J72" s="92">
        <f t="shared" si="15"/>
        <v>4.6571663822947253E-3</v>
      </c>
      <c r="K72" s="92">
        <f t="shared" si="15"/>
        <v>1.9983045548519714E-2</v>
      </c>
      <c r="L72" s="92">
        <f t="shared" si="15"/>
        <v>9.2974986049360053E-3</v>
      </c>
      <c r="M72" s="92">
        <f t="shared" si="15"/>
        <v>1.5367227501022195E-2</v>
      </c>
      <c r="N72" s="92">
        <f t="shared" si="15"/>
        <v>6.7916854468730112E-3</v>
      </c>
      <c r="O72" s="92">
        <f t="shared" si="15"/>
        <v>6.7916854468730112E-3</v>
      </c>
      <c r="P72" s="92">
        <f t="shared" si="15"/>
        <v>6.7916854468730112E-3</v>
      </c>
      <c r="Q72" s="92">
        <f t="shared" si="15"/>
        <v>6.7916854468730112E-3</v>
      </c>
      <c r="R72" s="92">
        <f t="shared" si="15"/>
        <v>3.2217389497556461E-3</v>
      </c>
      <c r="S72" s="92">
        <f t="shared" si="15"/>
        <v>3.2217389497556461E-3</v>
      </c>
      <c r="T72" s="92">
        <f t="shared" si="15"/>
        <v>5.3485155863362034E-3</v>
      </c>
      <c r="U72" s="92">
        <f t="shared" si="15"/>
        <v>5.3485155863362034E-3</v>
      </c>
      <c r="V72" s="92">
        <f t="shared" si="15"/>
        <v>1.6311244904643044E-3</v>
      </c>
      <c r="W72" s="92">
        <f t="shared" si="15"/>
        <v>1.4595525937317552E-3</v>
      </c>
      <c r="X72" s="92">
        <f t="shared" si="15"/>
        <v>7.7025386708709336E-3</v>
      </c>
    </row>
    <row r="73" spans="2:24" ht="15.75" thickBot="1" x14ac:dyDescent="0.3">
      <c r="B73" s="97" t="s">
        <v>15</v>
      </c>
      <c r="C73" s="76">
        <f>ROUNDUP(C70/(0.9*(($C$7-C72/2)/100)*($L$9*1000)),2)</f>
        <v>1.71</v>
      </c>
      <c r="D73" s="76">
        <f t="shared" ref="D73:X73" si="16">ROUNDUP(D70/(0.9*(($C$7-D72/2)/100)*($L$9*1000)),2)</f>
        <v>0.72</v>
      </c>
      <c r="E73" s="76">
        <f t="shared" si="16"/>
        <v>0.72</v>
      </c>
      <c r="F73" s="76">
        <f t="shared" si="16"/>
        <v>1.36</v>
      </c>
      <c r="G73" s="76">
        <f t="shared" si="16"/>
        <v>1.06</v>
      </c>
      <c r="H73" s="76">
        <f t="shared" si="16"/>
        <v>0.6</v>
      </c>
      <c r="I73" s="76">
        <f t="shared" si="16"/>
        <v>0.49</v>
      </c>
      <c r="J73" s="76">
        <f t="shared" si="16"/>
        <v>0.3</v>
      </c>
      <c r="K73" s="76">
        <f t="shared" si="16"/>
        <v>1.28</v>
      </c>
      <c r="L73" s="76">
        <f t="shared" si="16"/>
        <v>0.6</v>
      </c>
      <c r="M73" s="76">
        <f t="shared" si="16"/>
        <v>0.99</v>
      </c>
      <c r="N73" s="76">
        <f t="shared" si="16"/>
        <v>0.44</v>
      </c>
      <c r="O73" s="76">
        <f t="shared" si="16"/>
        <v>0.44</v>
      </c>
      <c r="P73" s="76">
        <f t="shared" si="16"/>
        <v>0.44</v>
      </c>
      <c r="Q73" s="76">
        <f t="shared" si="16"/>
        <v>0.44</v>
      </c>
      <c r="R73" s="76">
        <f t="shared" si="16"/>
        <v>0.21000000000000002</v>
      </c>
      <c r="S73" s="76">
        <f t="shared" si="16"/>
        <v>0.21000000000000002</v>
      </c>
      <c r="T73" s="76">
        <f t="shared" si="16"/>
        <v>0.35000000000000003</v>
      </c>
      <c r="U73" s="76">
        <f t="shared" si="16"/>
        <v>0.35000000000000003</v>
      </c>
      <c r="V73" s="76">
        <f t="shared" si="16"/>
        <v>0.11</v>
      </c>
      <c r="W73" s="76">
        <f t="shared" si="16"/>
        <v>9.9999999999999992E-2</v>
      </c>
      <c r="X73" s="76">
        <f t="shared" si="16"/>
        <v>0.5</v>
      </c>
    </row>
    <row r="74" spans="2:24" ht="16.5" thickBot="1" x14ac:dyDescent="0.3">
      <c r="B74" s="61" t="s">
        <v>100</v>
      </c>
      <c r="C74" s="134" t="str">
        <f>IF(C73&gt;$C$12,"$\phi"&amp;IF(VLOOKUP(VLOOKUP(C73,tablas!$R$3:$T$66,2,TRUE)&amp;VLOOKUP(C73,tablas!$R$3:$T$66,3,TRUE),tablas!$Q$3:$R$66,2,FALSE)&lt;C73,VLOOKUP(C73+0.1,tablas!$R$3:$T$66,2,TRUE),VLOOKUP(C73,tablas!$R$3:$T$66,2,TRUE))&amp;"@"&amp;IF(VLOOKUP(VLOOKUP(C73,tablas!$R$3:$T$66,2,TRUE)&amp;VLOOKUP(C73,tablas!$R$3:$T$66,3,TRUE),tablas!$Q$3:$R$66,2,FALSE)&lt;C73,VLOOKUP(C73+0.1,tablas!$R$3:$T$66,3,TRUE),VLOOKUP(C73,tablas!$R$3:$T$66,3,TRUE))&amp;"$",$C$13)</f>
        <v>$\phi8@17$</v>
      </c>
      <c r="D74" s="134" t="str">
        <f>IF(D73&gt;$C$12,"$\phi"&amp;IF(VLOOKUP(VLOOKUP(D73,tablas!$R$3:$T$66,2,TRUE)&amp;VLOOKUP(D73,tablas!$R$3:$T$66,3,TRUE),tablas!$Q$3:$R$66,2,FALSE)&lt;D73,VLOOKUP(D73+0.1,tablas!$R$3:$T$66,2,TRUE),VLOOKUP(D73,tablas!$R$3:$T$66,2,TRUE))&amp;"@"&amp;IF(VLOOKUP(VLOOKUP(D73,tablas!$R$3:$T$66,2,TRUE)&amp;VLOOKUP(D73,tablas!$R$3:$T$66,3,TRUE),tablas!$Q$3:$R$66,2,FALSE)&lt;D73,VLOOKUP(D73+0.1,tablas!$R$3:$T$66,3,TRUE),VLOOKUP(D73,tablas!$R$3:$T$66,3,TRUE))&amp;"$",$C$13)</f>
        <v>$\phi8@17$</v>
      </c>
      <c r="E74" s="134" t="str">
        <f>IF(E73&gt;$C$12,"$\phi"&amp;IF(VLOOKUP(VLOOKUP(E73,tablas!$R$3:$T$66,2,TRUE)&amp;VLOOKUP(E73,tablas!$R$3:$T$66,3,TRUE),tablas!$Q$3:$R$66,2,FALSE)&lt;E73,VLOOKUP(E73+0.1,tablas!$R$3:$T$66,2,TRUE),VLOOKUP(E73,tablas!$R$3:$T$66,2,TRUE))&amp;"@"&amp;IF(VLOOKUP(VLOOKUP(E73,tablas!$R$3:$T$66,2,TRUE)&amp;VLOOKUP(E73,tablas!$R$3:$T$66,3,TRUE),tablas!$Q$3:$R$66,2,FALSE)&lt;E73,VLOOKUP(E73+0.1,tablas!$R$3:$T$66,3,TRUE),VLOOKUP(E73,tablas!$R$3:$T$66,3,TRUE))&amp;"$",$C$13)</f>
        <v>$\phi8@17$</v>
      </c>
      <c r="F74" s="134" t="str">
        <f>IF(F73&gt;$C$12,"$\phi"&amp;IF(VLOOKUP(VLOOKUP(F73,tablas!$R$3:$T$66,2,TRUE)&amp;VLOOKUP(F73,tablas!$R$3:$T$66,3,TRUE),tablas!$Q$3:$R$66,2,FALSE)&lt;F73,VLOOKUP(F73+0.1,tablas!$R$3:$T$66,2,TRUE),VLOOKUP(F73,tablas!$R$3:$T$66,2,TRUE))&amp;"@"&amp;IF(VLOOKUP(VLOOKUP(F73,tablas!$R$3:$T$66,2,TRUE)&amp;VLOOKUP(F73,tablas!$R$3:$T$66,3,TRUE),tablas!$Q$3:$R$66,2,FALSE)&lt;F73,VLOOKUP(F73+0.1,tablas!$R$3:$T$66,3,TRUE),VLOOKUP(F73,tablas!$R$3:$T$66,3,TRUE))&amp;"$",$C$13)</f>
        <v>$\phi8@17$</v>
      </c>
      <c r="G74" s="134" t="str">
        <f>IF(G73&gt;$C$12,"$\phi"&amp;IF(VLOOKUP(VLOOKUP(G73,tablas!$R$3:$T$66,2,TRUE)&amp;VLOOKUP(G73,tablas!$R$3:$T$66,3,TRUE),tablas!$Q$3:$R$66,2,FALSE)&lt;G73,VLOOKUP(G73+0.1,tablas!$R$3:$T$66,2,TRUE),VLOOKUP(G73,tablas!$R$3:$T$66,2,TRUE))&amp;"@"&amp;IF(VLOOKUP(VLOOKUP(G73,tablas!$R$3:$T$66,2,TRUE)&amp;VLOOKUP(G73,tablas!$R$3:$T$66,3,TRUE),tablas!$Q$3:$R$66,2,FALSE)&lt;G73,VLOOKUP(G73+0.1,tablas!$R$3:$T$66,3,TRUE),VLOOKUP(G73,tablas!$R$3:$T$66,3,TRUE))&amp;"$",$C$13)</f>
        <v>$\phi8@17$</v>
      </c>
      <c r="H74" s="134" t="str">
        <f>IF(H73&gt;$C$12,"$\phi"&amp;IF(VLOOKUP(VLOOKUP(H73,tablas!$R$3:$T$66,2,TRUE)&amp;VLOOKUP(H73,tablas!$R$3:$T$66,3,TRUE),tablas!$Q$3:$R$66,2,FALSE)&lt;H73,VLOOKUP(H73+0.1,tablas!$R$3:$T$66,2,TRUE),VLOOKUP(H73,tablas!$R$3:$T$66,2,TRUE))&amp;"@"&amp;IF(VLOOKUP(VLOOKUP(H73,tablas!$R$3:$T$66,2,TRUE)&amp;VLOOKUP(H73,tablas!$R$3:$T$66,3,TRUE),tablas!$Q$3:$R$66,2,FALSE)&lt;H73,VLOOKUP(H73+0.1,tablas!$R$3:$T$66,3,TRUE),VLOOKUP(H73,tablas!$R$3:$T$66,3,TRUE))&amp;"$",$C$13)</f>
        <v>$\phi8@17$</v>
      </c>
      <c r="I74" s="134" t="str">
        <f>IF(I73&gt;$C$12,"$\phi"&amp;IF(VLOOKUP(VLOOKUP(I73,tablas!$R$3:$T$66,2,TRUE)&amp;VLOOKUP(I73,tablas!$R$3:$T$66,3,TRUE),tablas!$Q$3:$R$66,2,FALSE)&lt;I73,VLOOKUP(I73+0.1,tablas!$R$3:$T$66,2,TRUE),VLOOKUP(I73,tablas!$R$3:$T$66,2,TRUE))&amp;"@"&amp;IF(VLOOKUP(VLOOKUP(I73,tablas!$R$3:$T$66,2,TRUE)&amp;VLOOKUP(I73,tablas!$R$3:$T$66,3,TRUE),tablas!$Q$3:$R$66,2,FALSE)&lt;I73,VLOOKUP(I73+0.1,tablas!$R$3:$T$66,3,TRUE),VLOOKUP(I73,tablas!$R$3:$T$66,3,TRUE))&amp;"$",$C$13)</f>
        <v>$\phi8@17$</v>
      </c>
      <c r="J74" s="134" t="str">
        <f>IF(J73&gt;$C$12,"$\phi"&amp;IF(VLOOKUP(VLOOKUP(J73,tablas!$R$3:$T$66,2,TRUE)&amp;VLOOKUP(J73,tablas!$R$3:$T$66,3,TRUE),tablas!$Q$3:$R$66,2,FALSE)&lt;J73,VLOOKUP(J73+0.1,tablas!$R$3:$T$66,2,TRUE),VLOOKUP(J73,tablas!$R$3:$T$66,2,TRUE))&amp;"@"&amp;IF(VLOOKUP(VLOOKUP(J73,tablas!$R$3:$T$66,2,TRUE)&amp;VLOOKUP(J73,tablas!$R$3:$T$66,3,TRUE),tablas!$Q$3:$R$66,2,FALSE)&lt;J73,VLOOKUP(J73+0.1,tablas!$R$3:$T$66,3,TRUE),VLOOKUP(J73,tablas!$R$3:$T$66,3,TRUE))&amp;"$",$C$13)</f>
        <v>$\phi8@17$</v>
      </c>
      <c r="K74" s="134" t="str">
        <f>IF(K73&gt;$C$12,"$\phi"&amp;IF(VLOOKUP(VLOOKUP(K73,tablas!$R$3:$T$66,2,TRUE)&amp;VLOOKUP(K73,tablas!$R$3:$T$66,3,TRUE),tablas!$Q$3:$R$66,2,FALSE)&lt;K73,VLOOKUP(K73+0.1,tablas!$R$3:$T$66,2,TRUE),VLOOKUP(K73,tablas!$R$3:$T$66,2,TRUE))&amp;"@"&amp;IF(VLOOKUP(VLOOKUP(K73,tablas!$R$3:$T$66,2,TRUE)&amp;VLOOKUP(K73,tablas!$R$3:$T$66,3,TRUE),tablas!$Q$3:$R$66,2,FALSE)&lt;K73,VLOOKUP(K73+0.1,tablas!$R$3:$T$66,3,TRUE),VLOOKUP(K73,tablas!$R$3:$T$66,3,TRUE))&amp;"$",$C$13)</f>
        <v>$\phi8@17$</v>
      </c>
      <c r="L74" s="134" t="str">
        <f>IF(L73&gt;$C$12,"$\phi"&amp;IF(VLOOKUP(VLOOKUP(L73,tablas!$R$3:$T$66,2,TRUE)&amp;VLOOKUP(L73,tablas!$R$3:$T$66,3,TRUE),tablas!$Q$3:$R$66,2,FALSE)&lt;L73,VLOOKUP(L73+0.1,tablas!$R$3:$T$66,2,TRUE),VLOOKUP(L73,tablas!$R$3:$T$66,2,TRUE))&amp;"@"&amp;IF(VLOOKUP(VLOOKUP(L73,tablas!$R$3:$T$66,2,TRUE)&amp;VLOOKUP(L73,tablas!$R$3:$T$66,3,TRUE),tablas!$Q$3:$R$66,2,FALSE)&lt;L73,VLOOKUP(L73+0.1,tablas!$R$3:$T$66,3,TRUE),VLOOKUP(L73,tablas!$R$3:$T$66,3,TRUE))&amp;"$",$C$13)</f>
        <v>$\phi8@17$</v>
      </c>
      <c r="M74" s="134" t="str">
        <f>IF(M73&gt;$C$12,"$\phi"&amp;IF(VLOOKUP(VLOOKUP(M73,tablas!$R$3:$T$66,2,TRUE)&amp;VLOOKUP(M73,tablas!$R$3:$T$66,3,TRUE),tablas!$Q$3:$R$66,2,FALSE)&lt;M73,VLOOKUP(M73+0.1,tablas!$R$3:$T$66,2,TRUE),VLOOKUP(M73,tablas!$R$3:$T$66,2,TRUE))&amp;"@"&amp;IF(VLOOKUP(VLOOKUP(M73,tablas!$R$3:$T$66,2,TRUE)&amp;VLOOKUP(M73,tablas!$R$3:$T$66,3,TRUE),tablas!$Q$3:$R$66,2,FALSE)&lt;M73,VLOOKUP(M73+0.1,tablas!$R$3:$T$66,3,TRUE),VLOOKUP(M73,tablas!$R$3:$T$66,3,TRUE))&amp;"$",$C$13)</f>
        <v>$\phi8@17$</v>
      </c>
      <c r="N74" s="134" t="str">
        <f>IF(N73&gt;$C$12,"$\phi"&amp;IF(VLOOKUP(VLOOKUP(N73,tablas!$R$3:$T$66,2,TRUE)&amp;VLOOKUP(N73,tablas!$R$3:$T$66,3,TRUE),tablas!$Q$3:$R$66,2,FALSE)&lt;N73,VLOOKUP(N73+0.1,tablas!$R$3:$T$66,2,TRUE),VLOOKUP(N73,tablas!$R$3:$T$66,2,TRUE))&amp;"@"&amp;IF(VLOOKUP(VLOOKUP(N73,tablas!$R$3:$T$66,2,TRUE)&amp;VLOOKUP(N73,tablas!$R$3:$T$66,3,TRUE),tablas!$Q$3:$R$66,2,FALSE)&lt;N73,VLOOKUP(N73+0.1,tablas!$R$3:$T$66,3,TRUE),VLOOKUP(N73,tablas!$R$3:$T$66,3,TRUE))&amp;"$",$C$13)</f>
        <v>$\phi8@17$</v>
      </c>
      <c r="O74" s="134" t="str">
        <f>IF(O73&gt;$C$12,"$\phi"&amp;IF(VLOOKUP(VLOOKUP(O73,tablas!$R$3:$T$66,2,TRUE)&amp;VLOOKUP(O73,tablas!$R$3:$T$66,3,TRUE),tablas!$Q$3:$R$66,2,FALSE)&lt;O73,VLOOKUP(O73+0.1,tablas!$R$3:$T$66,2,TRUE),VLOOKUP(O73,tablas!$R$3:$T$66,2,TRUE))&amp;"@"&amp;IF(VLOOKUP(VLOOKUP(O73,tablas!$R$3:$T$66,2,TRUE)&amp;VLOOKUP(O73,tablas!$R$3:$T$66,3,TRUE),tablas!$Q$3:$R$66,2,FALSE)&lt;O73,VLOOKUP(O73+0.1,tablas!$R$3:$T$66,3,TRUE),VLOOKUP(O73,tablas!$R$3:$T$66,3,TRUE))&amp;"$",$C$13)</f>
        <v>$\phi8@17$</v>
      </c>
      <c r="P74" s="134" t="str">
        <f>IF(P73&gt;$C$12,"$\phi"&amp;IF(VLOOKUP(VLOOKUP(P73,tablas!$R$3:$T$66,2,TRUE)&amp;VLOOKUP(P73,tablas!$R$3:$T$66,3,TRUE),tablas!$Q$3:$R$66,2,FALSE)&lt;P73,VLOOKUP(P73+0.1,tablas!$R$3:$T$66,2,TRUE),VLOOKUP(P73,tablas!$R$3:$T$66,2,TRUE))&amp;"@"&amp;IF(VLOOKUP(VLOOKUP(P73,tablas!$R$3:$T$66,2,TRUE)&amp;VLOOKUP(P73,tablas!$R$3:$T$66,3,TRUE),tablas!$Q$3:$R$66,2,FALSE)&lt;P73,VLOOKUP(P73+0.1,tablas!$R$3:$T$66,3,TRUE),VLOOKUP(P73,tablas!$R$3:$T$66,3,TRUE))&amp;"$",$C$13)</f>
        <v>$\phi8@17$</v>
      </c>
      <c r="Q74" s="134" t="str">
        <f>IF(Q73&gt;$C$12,"$\phi"&amp;IF(VLOOKUP(VLOOKUP(Q73,tablas!$R$3:$T$66,2,TRUE)&amp;VLOOKUP(Q73,tablas!$R$3:$T$66,3,TRUE),tablas!$Q$3:$R$66,2,FALSE)&lt;Q73,VLOOKUP(Q73+0.1,tablas!$R$3:$T$66,2,TRUE),VLOOKUP(Q73,tablas!$R$3:$T$66,2,TRUE))&amp;"@"&amp;IF(VLOOKUP(VLOOKUP(Q73,tablas!$R$3:$T$66,2,TRUE)&amp;VLOOKUP(Q73,tablas!$R$3:$T$66,3,TRUE),tablas!$Q$3:$R$66,2,FALSE)&lt;Q73,VLOOKUP(Q73+0.1,tablas!$R$3:$T$66,3,TRUE),VLOOKUP(Q73,tablas!$R$3:$T$66,3,TRUE))&amp;"$",$C$13)</f>
        <v>$\phi8@17$</v>
      </c>
      <c r="R74" s="134" t="str">
        <f>IF(R73&gt;$C$12,"$\phi"&amp;IF(VLOOKUP(VLOOKUP(R73,tablas!$R$3:$T$66,2,TRUE)&amp;VLOOKUP(R73,tablas!$R$3:$T$66,3,TRUE),tablas!$Q$3:$R$66,2,FALSE)&lt;R73,VLOOKUP(R73+0.1,tablas!$R$3:$T$66,2,TRUE),VLOOKUP(R73,tablas!$R$3:$T$66,2,TRUE))&amp;"@"&amp;IF(VLOOKUP(VLOOKUP(R73,tablas!$R$3:$T$66,2,TRUE)&amp;VLOOKUP(R73,tablas!$R$3:$T$66,3,TRUE),tablas!$Q$3:$R$66,2,FALSE)&lt;R73,VLOOKUP(R73+0.1,tablas!$R$3:$T$66,3,TRUE),VLOOKUP(R73,tablas!$R$3:$T$66,3,TRUE))&amp;"$",$C$13)</f>
        <v>$\phi8@17$</v>
      </c>
      <c r="S74" s="134" t="str">
        <f>IF(S73&gt;$C$12,"$\phi"&amp;IF(VLOOKUP(VLOOKUP(S73,tablas!$R$3:$T$66,2,TRUE)&amp;VLOOKUP(S73,tablas!$R$3:$T$66,3,TRUE),tablas!$Q$3:$R$66,2,FALSE)&lt;S73,VLOOKUP(S73+0.1,tablas!$R$3:$T$66,2,TRUE),VLOOKUP(S73,tablas!$R$3:$T$66,2,TRUE))&amp;"@"&amp;IF(VLOOKUP(VLOOKUP(S73,tablas!$R$3:$T$66,2,TRUE)&amp;VLOOKUP(S73,tablas!$R$3:$T$66,3,TRUE),tablas!$Q$3:$R$66,2,FALSE)&lt;S73,VLOOKUP(S73+0.1,tablas!$R$3:$T$66,3,TRUE),VLOOKUP(S73,tablas!$R$3:$T$66,3,TRUE))&amp;"$",$C$13)</f>
        <v>$\phi8@17$</v>
      </c>
      <c r="T74" s="134" t="str">
        <f>IF(T73&gt;$C$12,"$\phi"&amp;IF(VLOOKUP(VLOOKUP(T73,tablas!$R$3:$T$66,2,TRUE)&amp;VLOOKUP(T73,tablas!$R$3:$T$66,3,TRUE),tablas!$Q$3:$R$66,2,FALSE)&lt;T73,VLOOKUP(T73+0.1,tablas!$R$3:$T$66,2,TRUE),VLOOKUP(T73,tablas!$R$3:$T$66,2,TRUE))&amp;"@"&amp;IF(VLOOKUP(VLOOKUP(T73,tablas!$R$3:$T$66,2,TRUE)&amp;VLOOKUP(T73,tablas!$R$3:$T$66,3,TRUE),tablas!$Q$3:$R$66,2,FALSE)&lt;T73,VLOOKUP(T73+0.1,tablas!$R$3:$T$66,3,TRUE),VLOOKUP(T73,tablas!$R$3:$T$66,3,TRUE))&amp;"$",$C$13)</f>
        <v>$\phi8@17$</v>
      </c>
      <c r="U74" s="134" t="str">
        <f>IF(U73&gt;$C$12,"$\phi"&amp;IF(VLOOKUP(VLOOKUP(U73,tablas!$R$3:$T$66,2,TRUE)&amp;VLOOKUP(U73,tablas!$R$3:$T$66,3,TRUE),tablas!$Q$3:$R$66,2,FALSE)&lt;U73,VLOOKUP(U73+0.1,tablas!$R$3:$T$66,2,TRUE),VLOOKUP(U73,tablas!$R$3:$T$66,2,TRUE))&amp;"@"&amp;IF(VLOOKUP(VLOOKUP(U73,tablas!$R$3:$T$66,2,TRUE)&amp;VLOOKUP(U73,tablas!$R$3:$T$66,3,TRUE),tablas!$Q$3:$R$66,2,FALSE)&lt;U73,VLOOKUP(U73+0.1,tablas!$R$3:$T$66,3,TRUE),VLOOKUP(U73,tablas!$R$3:$T$66,3,TRUE))&amp;"$",$C$13)</f>
        <v>$\phi8@17$</v>
      </c>
      <c r="V74" s="134" t="str">
        <f>IF(V73&gt;$C$12,"$\phi"&amp;IF(VLOOKUP(VLOOKUP(V73,tablas!$R$3:$T$66,2,TRUE)&amp;VLOOKUP(V73,tablas!$R$3:$T$66,3,TRUE),tablas!$Q$3:$R$66,2,FALSE)&lt;V73,VLOOKUP(V73+0.1,tablas!$R$3:$T$66,2,TRUE),VLOOKUP(V73,tablas!$R$3:$T$66,2,TRUE))&amp;"@"&amp;IF(VLOOKUP(VLOOKUP(V73,tablas!$R$3:$T$66,2,TRUE)&amp;VLOOKUP(V73,tablas!$R$3:$T$66,3,TRUE),tablas!$Q$3:$R$66,2,FALSE)&lt;V73,VLOOKUP(V73+0.1,tablas!$R$3:$T$66,3,TRUE),VLOOKUP(V73,tablas!$R$3:$T$66,3,TRUE))&amp;"$",$C$13)</f>
        <v>$\phi8@17$</v>
      </c>
      <c r="W74" s="134" t="str">
        <f>IF(W73&gt;$C$12,"$\phi"&amp;IF(VLOOKUP(VLOOKUP(W73,tablas!$R$3:$T$66,2,TRUE)&amp;VLOOKUP(W73,tablas!$R$3:$T$66,3,TRUE),tablas!$Q$3:$R$66,2,FALSE)&lt;W73,VLOOKUP(W73+0.1,tablas!$R$3:$T$66,2,TRUE),VLOOKUP(W73,tablas!$R$3:$T$66,2,TRUE))&amp;"@"&amp;IF(VLOOKUP(VLOOKUP(W73,tablas!$R$3:$T$66,2,TRUE)&amp;VLOOKUP(W73,tablas!$R$3:$T$66,3,TRUE),tablas!$Q$3:$R$66,2,FALSE)&lt;W73,VLOOKUP(W73+0.1,tablas!$R$3:$T$66,3,TRUE),VLOOKUP(W73,tablas!$R$3:$T$66,3,TRUE))&amp;"$",$C$13)</f>
        <v>$\phi8@17$</v>
      </c>
      <c r="X74" s="134" t="str">
        <f>IF(X73&gt;$C$12,"$\phi"&amp;IF(VLOOKUP(VLOOKUP(X73,tablas!$R$3:$T$66,2,TRUE)&amp;VLOOKUP(X73,tablas!$R$3:$T$66,3,TRUE),tablas!$Q$3:$R$66,2,FALSE)&lt;X73,VLOOKUP(X73+0.1,tablas!$R$3:$T$66,2,TRUE),VLOOKUP(X73,tablas!$R$3:$T$66,2,TRUE))&amp;"@"&amp;IF(VLOOKUP(VLOOKUP(X73,tablas!$R$3:$T$66,2,TRUE)&amp;VLOOKUP(X73,tablas!$R$3:$T$66,3,TRUE),tablas!$Q$3:$R$66,2,FALSE)&lt;X73,VLOOKUP(X73+0.1,tablas!$R$3:$T$66,3,TRUE),VLOOKUP(X73,tablas!$R$3:$T$66,3,TRUE))&amp;"$",$C$13)</f>
        <v>$\phi8@17$</v>
      </c>
    </row>
    <row r="75" spans="2:24" x14ac:dyDescent="0.25">
      <c r="B75" s="96" t="s">
        <v>102</v>
      </c>
      <c r="C75" s="89">
        <f>IF(C53&lt;=2,C67/C57*(1+C68*C61)*C54,"0")</f>
        <v>260.26877300613495</v>
      </c>
      <c r="D75" s="89">
        <f>IF(D53&lt;=2,D67/D57*(1+D68*D61)*D54,"0")</f>
        <v>181.05971548117157</v>
      </c>
      <c r="E75" s="89">
        <f>IF(E53&lt;=2,E67/E57*(1+E68*E61)*E54,"0")</f>
        <v>181.05971548117157</v>
      </c>
      <c r="F75" s="89">
        <f>IF(F53&lt;=2,F67/F57*(1+F68*F61)*F54,"0")</f>
        <v>278.62046320754717</v>
      </c>
      <c r="G75" s="89">
        <f>IF(G53&lt;=2,G67/G57*(1+G68*G61)*G54,"0")</f>
        <v>339.2542174904944</v>
      </c>
      <c r="H75" s="89">
        <f>IF(H53&lt;=2,H67/H57*(1+H68*H61)*H54,"0")</f>
        <v>244.65874811463047</v>
      </c>
      <c r="I75" s="89">
        <f>IF(I53&lt;=2,I67/I57*(1+I68*I61)*I54,"0")</f>
        <v>46.683</v>
      </c>
      <c r="J75" s="89" t="str">
        <f>IF(J53&lt;=2,J67/J57*(1+J68*J61)*J54,"0")</f>
        <v>0</v>
      </c>
      <c r="K75" s="89" t="str">
        <f>IF(K53&lt;=2,K67/K57*(1+K68*K61)*K54,"0")</f>
        <v>0</v>
      </c>
      <c r="L75" s="89">
        <f>IF(L53&lt;=2,L67/L57*(1+L68*L61)*L54,"0")</f>
        <v>244.65874811463047</v>
      </c>
      <c r="M75" s="89">
        <f>IF(M53&lt;=2,M67/M57*(1+M68*M61)*M54,"0")</f>
        <v>316.34480912547536</v>
      </c>
      <c r="N75" s="89" t="str">
        <f>IF(N53&lt;=2,N67/N57*(1+N68*N61)*N54,"0")</f>
        <v>0</v>
      </c>
      <c r="O75" s="89" t="str">
        <f>IF(O53&lt;=2,O67/O57*(1+O68*O61)*O54,"0")</f>
        <v>0</v>
      </c>
      <c r="P75" s="89" t="str">
        <f>IF(P53&lt;=2,P67/P57*(1+P68*P61)*P54,"0")</f>
        <v>0</v>
      </c>
      <c r="Q75" s="89" t="str">
        <f>IF(Q53&lt;=2,Q67/Q57*(1+Q68*Q61)*Q54,"0")</f>
        <v>0</v>
      </c>
      <c r="R75" s="89" t="str">
        <f>IF(R53&lt;=2,R67/R57*(1+R68*R61)*R54,"0")</f>
        <v>0</v>
      </c>
      <c r="S75" s="89" t="str">
        <f>IF(S53&lt;=2,S67/S57*(1+S68*S61)*S54,"0")</f>
        <v>0</v>
      </c>
      <c r="T75" s="89" t="str">
        <f>IF(T53&lt;=2,T67/T57*(1+T68*T61)*T54,"0")</f>
        <v>0</v>
      </c>
      <c r="U75" s="89" t="str">
        <f>IF(U53&lt;=2,U67/U57*(1+U68*U61)*U54,"0")</f>
        <v>0</v>
      </c>
      <c r="V75" s="89" t="str">
        <f>IF(V53&lt;=2,V67/V57*(1+V68*V61)*V54,"0")</f>
        <v>0</v>
      </c>
      <c r="W75" s="89" t="str">
        <f>IF(W53&lt;=2,W67/W57*(1+W68*W61)*W54,"0")</f>
        <v>0</v>
      </c>
      <c r="X75" s="89">
        <f>IF(X53&lt;=2,X67/X57*(1+X68*X61)*X54,"0")</f>
        <v>67.965860139860141</v>
      </c>
    </row>
    <row r="76" spans="2:24" x14ac:dyDescent="0.25">
      <c r="B76" s="97" t="s">
        <v>15</v>
      </c>
      <c r="C76" s="85">
        <f>C75/(0.9*(0.9*($C$7/100))*($L$9*1000))</f>
        <v>0.53624745134692942</v>
      </c>
      <c r="D76" s="85">
        <f>D75/(0.9*(0.9*($C$7/100))*($L$9*1000))</f>
        <v>0.37304825256962271</v>
      </c>
      <c r="E76" s="85">
        <f>E75/(0.9*(0.9*($C$7/100))*($L$9*1000))</f>
        <v>0.37304825256962271</v>
      </c>
      <c r="F76" s="85">
        <f>F75/(0.9*(0.9*($C$7/100))*($L$9*1000))</f>
        <v>0.57405854556599556</v>
      </c>
      <c r="G76" s="85">
        <f>G75/(0.9*(0.9*($C$7/100))*($L$9*1000))</f>
        <v>0.69898592668927761</v>
      </c>
      <c r="H76" s="85">
        <f>H75/(0.9*(0.9*($C$7/100))*($L$9*1000))</f>
        <v>0.50408517553163557</v>
      </c>
      <c r="I76" s="85">
        <f>I75/(0.9*(0.9*($C$7/100))*($L$9*1000))</f>
        <v>9.6183800623052929E-2</v>
      </c>
      <c r="J76" s="85">
        <f>J75/(0.9*(0.9*($C$7/100))*($L$9*1000))</f>
        <v>0</v>
      </c>
      <c r="K76" s="85">
        <f>K75/(0.9*(0.9*($C$7/100))*($L$9*1000))</f>
        <v>0</v>
      </c>
      <c r="L76" s="85">
        <f>L75/(0.9*(0.9*($C$7/100))*($L$9*1000))</f>
        <v>0.50408517553163557</v>
      </c>
      <c r="M76" s="85">
        <f>M75/(0.9*(0.9*($C$7/100))*($L$9*1000))</f>
        <v>0.65178429083526035</v>
      </c>
      <c r="N76" s="85">
        <f>N75/(0.9*(0.9*($C$7/100))*($L$9*1000))</f>
        <v>0</v>
      </c>
      <c r="O76" s="85">
        <f>O75/(0.9*(0.9*($C$7/100))*($L$9*1000))</f>
        <v>0</v>
      </c>
      <c r="P76" s="85">
        <f>P75/(0.9*(0.9*($C$7/100))*($L$9*1000))</f>
        <v>0</v>
      </c>
      <c r="Q76" s="85">
        <f>Q75/(0.9*(0.9*($C$7/100))*($L$9*1000))</f>
        <v>0</v>
      </c>
      <c r="R76" s="85">
        <f>R75/(0.9*(0.9*($C$7/100))*($L$9*1000))</f>
        <v>0</v>
      </c>
      <c r="S76" s="85">
        <f>S75/(0.9*(0.9*($C$7/100))*($L$9*1000))</f>
        <v>0</v>
      </c>
      <c r="T76" s="85">
        <f>T75/(0.9*(0.9*($C$7/100))*($L$9*1000))</f>
        <v>0</v>
      </c>
      <c r="U76" s="85">
        <f>U75/(0.9*(0.9*($C$7/100))*($L$9*1000))</f>
        <v>0</v>
      </c>
      <c r="V76" s="85">
        <f>V75/(0.9*(0.9*($C$7/100))*($L$9*1000))</f>
        <v>0</v>
      </c>
      <c r="W76" s="85">
        <f>W75/(0.9*(0.9*($C$7/100))*($L$9*1000))</f>
        <v>0</v>
      </c>
      <c r="X76" s="85">
        <f>X75/(0.9*(0.9*($C$7/100))*($L$9*1000))</f>
        <v>0.1400341610621984</v>
      </c>
    </row>
    <row r="77" spans="2:24" x14ac:dyDescent="0.25">
      <c r="B77" s="97" t="s">
        <v>98</v>
      </c>
      <c r="C77" s="85">
        <f>(C76*($L$9))/(0.85*$L$6*100)</f>
        <v>7.5634835780684076E-3</v>
      </c>
      <c r="D77" s="85">
        <f>(D76*($L$9))/(0.85*$L$6*100)</f>
        <v>5.2616461393902962E-3</v>
      </c>
      <c r="E77" s="85">
        <f>(E76*($L$9))/(0.85*$L$6*100)</f>
        <v>5.2616461393902962E-3</v>
      </c>
      <c r="F77" s="85">
        <f>(F76*($L$9))/(0.85*$L$6*100)</f>
        <v>8.0967888450237651E-3</v>
      </c>
      <c r="G77" s="85">
        <f>(G76*($L$9))/(0.85*$L$6*100)</f>
        <v>9.8588227590380908E-3</v>
      </c>
      <c r="H77" s="85">
        <f>(H76*($L$9))/(0.85*$L$6*100)</f>
        <v>7.1098518743628282E-3</v>
      </c>
      <c r="I77" s="85">
        <f>(I76*($L$9))/(0.85*$L$6*100)</f>
        <v>1.3566210798044705E-3</v>
      </c>
      <c r="J77" s="85">
        <f>(J76*($L$9))/(0.85*$L$6*100)</f>
        <v>0</v>
      </c>
      <c r="K77" s="85">
        <f>(K76*($L$9))/(0.85*$L$6*100)</f>
        <v>0</v>
      </c>
      <c r="L77" s="85">
        <f>(L76*($L$9))/(0.85*$L$6*100)</f>
        <v>7.1098518743628282E-3</v>
      </c>
      <c r="M77" s="85">
        <f>(M76*($L$9))/(0.85*$L$6*100)</f>
        <v>9.1930689232984485E-3</v>
      </c>
      <c r="N77" s="85">
        <f>(N76*($L$9))/(0.85*$L$6*100)</f>
        <v>0</v>
      </c>
      <c r="O77" s="85">
        <f>(O76*($L$9))/(0.85*$L$6*100)</f>
        <v>0</v>
      </c>
      <c r="P77" s="85">
        <f>(P76*($L$9))/(0.85*$L$6*100)</f>
        <v>0</v>
      </c>
      <c r="Q77" s="85">
        <f>(Q76*($L$9))/(0.85*$L$6*100)</f>
        <v>0</v>
      </c>
      <c r="R77" s="85">
        <f>(R76*($L$9))/(0.85*$L$6*100)</f>
        <v>0</v>
      </c>
      <c r="S77" s="85">
        <f>(S76*($L$9))/(0.85*$L$6*100)</f>
        <v>0</v>
      </c>
      <c r="T77" s="85">
        <f>(T76*($L$9))/(0.85*$L$6*100)</f>
        <v>0</v>
      </c>
      <c r="U77" s="85">
        <f>(U76*($L$9))/(0.85*$L$6*100)</f>
        <v>0</v>
      </c>
      <c r="V77" s="85">
        <f>(V76*($L$9))/(0.85*$L$6*100)</f>
        <v>0</v>
      </c>
      <c r="W77" s="85">
        <f>(W76*($L$9))/(0.85*$L$6*100)</f>
        <v>0</v>
      </c>
      <c r="X77" s="85">
        <f>(X76*($L$9))/(0.85*$L$6*100)</f>
        <v>1.9751069676922366E-3</v>
      </c>
    </row>
    <row r="78" spans="2:24" ht="15.75" thickBot="1" x14ac:dyDescent="0.3">
      <c r="B78" s="97" t="s">
        <v>15</v>
      </c>
      <c r="C78" s="76">
        <f>ROUNDUP(C75/(0.9*(($C$7-C77/2)/100)*($L$9*1000)),2)</f>
        <v>0.49</v>
      </c>
      <c r="D78" s="76">
        <f>ROUNDUP(D75/(0.9*(($C$7-D77/2)/100)*($L$9*1000)),2)</f>
        <v>0.34</v>
      </c>
      <c r="E78" s="76">
        <f>ROUNDUP(E75/(0.9*(($C$7-E77/2)/100)*($L$9*1000)),2)</f>
        <v>0.34</v>
      </c>
      <c r="F78" s="76">
        <f>ROUNDUP(F75/(0.9*(($C$7-F77/2)/100)*($L$9*1000)),2)</f>
        <v>0.52</v>
      </c>
      <c r="G78" s="76">
        <f>ROUNDUP(G75/(0.9*(($C$7-G77/2)/100)*($L$9*1000)),2)</f>
        <v>0.63</v>
      </c>
      <c r="H78" s="76">
        <f>ROUNDUP(H75/(0.9*(($C$7-H77/2)/100)*($L$9*1000)),2)</f>
        <v>0.46</v>
      </c>
      <c r="I78" s="76">
        <f>ROUNDUP(I75/(0.9*(($C$7-I77/2)/100)*($L$9*1000)),2)</f>
        <v>0.09</v>
      </c>
      <c r="J78" s="76">
        <f>ROUNDUP(J75/(0.9*(($C$7-J77/2)/100)*($L$9*1000)),2)</f>
        <v>0</v>
      </c>
      <c r="K78" s="76">
        <f>ROUNDUP(K75/(0.9*(($C$7-K77/2)/100)*($L$9*1000)),2)</f>
        <v>0</v>
      </c>
      <c r="L78" s="76">
        <f>ROUNDUP(L75/(0.9*(($C$7-L77/2)/100)*($L$9*1000)),2)</f>
        <v>0.46</v>
      </c>
      <c r="M78" s="76">
        <f>ROUNDUP(M75/(0.9*(($C$7-M77/2)/100)*($L$9*1000)),2)</f>
        <v>0.59</v>
      </c>
      <c r="N78" s="76">
        <f>ROUNDUP(N75/(0.9*(($C$7-N77/2)/100)*($L$9*1000)),2)</f>
        <v>0</v>
      </c>
      <c r="O78" s="76">
        <f>ROUNDUP(O75/(0.9*(($C$7-O77/2)/100)*($L$9*1000)),2)</f>
        <v>0</v>
      </c>
      <c r="P78" s="76">
        <f>ROUNDUP(P75/(0.9*(($C$7-P77/2)/100)*($L$9*1000)),2)</f>
        <v>0</v>
      </c>
      <c r="Q78" s="76">
        <f>ROUNDUP(Q75/(0.9*(($C$7-Q77/2)/100)*($L$9*1000)),2)</f>
        <v>0</v>
      </c>
      <c r="R78" s="76">
        <f>ROUNDUP(R75/(0.9*(($C$7-R77/2)/100)*($L$9*1000)),2)</f>
        <v>0</v>
      </c>
      <c r="S78" s="76">
        <f>ROUNDUP(S75/(0.9*(($C$7-S77/2)/100)*($L$9*1000)),2)</f>
        <v>0</v>
      </c>
      <c r="T78" s="76">
        <f>ROUNDUP(T75/(0.9*(($C$7-T77/2)/100)*($L$9*1000)),2)</f>
        <v>0</v>
      </c>
      <c r="U78" s="76">
        <f>ROUNDUP(U75/(0.9*(($C$7-U77/2)/100)*($L$9*1000)),2)</f>
        <v>0</v>
      </c>
      <c r="V78" s="76">
        <f>ROUNDUP(V75/(0.9*(($C$7-V77/2)/100)*($L$9*1000)),2)</f>
        <v>0</v>
      </c>
      <c r="W78" s="76">
        <f>ROUNDUP(W75/(0.9*(($C$7-W77/2)/100)*($L$9*1000)),2)</f>
        <v>0</v>
      </c>
      <c r="X78" s="76">
        <f>ROUNDUP(X75/(0.9*(($C$7-X77/2)/100)*($L$9*1000)),2)</f>
        <v>0.13</v>
      </c>
    </row>
    <row r="79" spans="2:24" ht="16.5" thickBot="1" x14ac:dyDescent="0.3">
      <c r="B79" s="61" t="s">
        <v>101</v>
      </c>
      <c r="C79" s="134" t="str">
        <f>IF(C78&gt;$C$12,"$\phi"&amp;IF(VLOOKUP(VLOOKUP(C78,tablas!$R$3:$T$66,2,TRUE)&amp;VLOOKUP(C78,tablas!$R$3:$T$66,3,TRUE),tablas!$Q$3:$R$66,2,FALSE)&lt;C78,VLOOKUP(C78+0.1,tablas!$R$3:$T$66,2,TRUE),VLOOKUP(C78,tablas!$R$3:$T$66,2,TRUE))&amp;"@"&amp;IF(VLOOKUP(VLOOKUP(C78,tablas!$R$3:$T$66,2,TRUE)&amp;VLOOKUP(C78,tablas!$R$3:$T$66,3,TRUE),tablas!$Q$3:$R$66,2,FALSE)&lt;C78,VLOOKUP(C78+0.1,tablas!$R$3:$T$66,3,TRUE),VLOOKUP(C78,tablas!$R$3:$T$66,3,TRUE))&amp;"$",$C$13)</f>
        <v>$\phi8@17$</v>
      </c>
      <c r="D79" s="134" t="str">
        <f>IF(D78&gt;$C$12,"$\phi"&amp;IF(VLOOKUP(VLOOKUP(D78,tablas!$R$3:$T$66,2,TRUE)&amp;VLOOKUP(D78,tablas!$R$3:$T$66,3,TRUE),tablas!$Q$3:$R$66,2,FALSE)&lt;D78,VLOOKUP(D78+0.1,tablas!$R$3:$T$66,2,TRUE),VLOOKUP(D78,tablas!$R$3:$T$66,2,TRUE))&amp;"@"&amp;IF(VLOOKUP(VLOOKUP(D78,tablas!$R$3:$T$66,2,TRUE)&amp;VLOOKUP(D78,tablas!$R$3:$T$66,3,TRUE),tablas!$Q$3:$R$66,2,FALSE)&lt;D78,VLOOKUP(D78+0.1,tablas!$R$3:$T$66,3,TRUE),VLOOKUP(D78,tablas!$R$3:$T$66,3,TRUE))&amp;"$",$C$13)</f>
        <v>$\phi8@17$</v>
      </c>
      <c r="E79" s="134" t="str">
        <f>IF(E78&gt;$C$12,"$\phi"&amp;IF(VLOOKUP(VLOOKUP(E78,tablas!$R$3:$T$66,2,TRUE)&amp;VLOOKUP(E78,tablas!$R$3:$T$66,3,TRUE),tablas!$Q$3:$R$66,2,FALSE)&lt;E78,VLOOKUP(E78+0.1,tablas!$R$3:$T$66,2,TRUE),VLOOKUP(E78,tablas!$R$3:$T$66,2,TRUE))&amp;"@"&amp;IF(VLOOKUP(VLOOKUP(E78,tablas!$R$3:$T$66,2,TRUE)&amp;VLOOKUP(E78,tablas!$R$3:$T$66,3,TRUE),tablas!$Q$3:$R$66,2,FALSE)&lt;E78,VLOOKUP(E78+0.1,tablas!$R$3:$T$66,3,TRUE),VLOOKUP(E78,tablas!$R$3:$T$66,3,TRUE))&amp;"$",$C$13)</f>
        <v>$\phi8@17$</v>
      </c>
      <c r="F79" s="134" t="str">
        <f>IF(F78&gt;$C$12,"$\phi"&amp;IF(VLOOKUP(VLOOKUP(F78,tablas!$R$3:$T$66,2,TRUE)&amp;VLOOKUP(F78,tablas!$R$3:$T$66,3,TRUE),tablas!$Q$3:$R$66,2,FALSE)&lt;F78,VLOOKUP(F78+0.1,tablas!$R$3:$T$66,2,TRUE),VLOOKUP(F78,tablas!$R$3:$T$66,2,TRUE))&amp;"@"&amp;IF(VLOOKUP(VLOOKUP(F78,tablas!$R$3:$T$66,2,TRUE)&amp;VLOOKUP(F78,tablas!$R$3:$T$66,3,TRUE),tablas!$Q$3:$R$66,2,FALSE)&lt;F78,VLOOKUP(F78+0.1,tablas!$R$3:$T$66,3,TRUE),VLOOKUP(F78,tablas!$R$3:$T$66,3,TRUE))&amp;"$",$C$13)</f>
        <v>$\phi8@17$</v>
      </c>
      <c r="G79" s="134" t="str">
        <f>IF(G78&gt;$C$12,"$\phi"&amp;IF(VLOOKUP(VLOOKUP(G78,tablas!$R$3:$T$66,2,TRUE)&amp;VLOOKUP(G78,tablas!$R$3:$T$66,3,TRUE),tablas!$Q$3:$R$66,2,FALSE)&lt;G78,VLOOKUP(G78+0.1,tablas!$R$3:$T$66,2,TRUE),VLOOKUP(G78,tablas!$R$3:$T$66,2,TRUE))&amp;"@"&amp;IF(VLOOKUP(VLOOKUP(G78,tablas!$R$3:$T$66,2,TRUE)&amp;VLOOKUP(G78,tablas!$R$3:$T$66,3,TRUE),tablas!$Q$3:$R$66,2,FALSE)&lt;G78,VLOOKUP(G78+0.1,tablas!$R$3:$T$66,3,TRUE),VLOOKUP(G78,tablas!$R$3:$T$66,3,TRUE))&amp;"$",$C$13)</f>
        <v>$\phi8@17$</v>
      </c>
      <c r="H79" s="134" t="str">
        <f>IF(H78&gt;$C$12,"$\phi"&amp;IF(VLOOKUP(VLOOKUP(H78,tablas!$R$3:$T$66,2,TRUE)&amp;VLOOKUP(H78,tablas!$R$3:$T$66,3,TRUE),tablas!$Q$3:$R$66,2,FALSE)&lt;H78,VLOOKUP(H78+0.1,tablas!$R$3:$T$66,2,TRUE),VLOOKUP(H78,tablas!$R$3:$T$66,2,TRUE))&amp;"@"&amp;IF(VLOOKUP(VLOOKUP(H78,tablas!$R$3:$T$66,2,TRUE)&amp;VLOOKUP(H78,tablas!$R$3:$T$66,3,TRUE),tablas!$Q$3:$R$66,2,FALSE)&lt;H78,VLOOKUP(H78+0.1,tablas!$R$3:$T$66,3,TRUE),VLOOKUP(H78,tablas!$R$3:$T$66,3,TRUE))&amp;"$",$C$13)</f>
        <v>$\phi8@17$</v>
      </c>
      <c r="I79" s="134" t="str">
        <f>IF(I78&gt;$C$12,"$\phi"&amp;IF(VLOOKUP(VLOOKUP(I78,tablas!$R$3:$T$66,2,TRUE)&amp;VLOOKUP(I78,tablas!$R$3:$T$66,3,TRUE),tablas!$Q$3:$R$66,2,FALSE)&lt;I78,VLOOKUP(I78+0.1,tablas!$R$3:$T$66,2,TRUE),VLOOKUP(I78,tablas!$R$3:$T$66,2,TRUE))&amp;"@"&amp;IF(VLOOKUP(VLOOKUP(I78,tablas!$R$3:$T$66,2,TRUE)&amp;VLOOKUP(I78,tablas!$R$3:$T$66,3,TRUE),tablas!$Q$3:$R$66,2,FALSE)&lt;I78,VLOOKUP(I78+0.1,tablas!$R$3:$T$66,3,TRUE),VLOOKUP(I78,tablas!$R$3:$T$66,3,TRUE))&amp;"$",$C$13)</f>
        <v>$\phi8@17$</v>
      </c>
      <c r="J79" s="134" t="str">
        <f>IF(J78&gt;$C$12,"$\phi"&amp;IF(VLOOKUP(VLOOKUP(J78,tablas!$R$3:$T$66,2,TRUE)&amp;VLOOKUP(J78,tablas!$R$3:$T$66,3,TRUE),tablas!$Q$3:$R$66,2,FALSE)&lt;J78,VLOOKUP(J78+0.1,tablas!$R$3:$T$66,2,TRUE),VLOOKUP(J78,tablas!$R$3:$T$66,2,TRUE))&amp;"@"&amp;IF(VLOOKUP(VLOOKUP(J78,tablas!$R$3:$T$66,2,TRUE)&amp;VLOOKUP(J78,tablas!$R$3:$T$66,3,TRUE),tablas!$Q$3:$R$66,2,FALSE)&lt;J78,VLOOKUP(J78+0.1,tablas!$R$3:$T$66,3,TRUE),VLOOKUP(J78,tablas!$R$3:$T$66,3,TRUE))&amp;"$",$C$13)</f>
        <v>$\phi8@17$</v>
      </c>
      <c r="K79" s="134" t="str">
        <f>IF(K78&gt;$C$12,"$\phi"&amp;IF(VLOOKUP(VLOOKUP(K78,tablas!$R$3:$T$66,2,TRUE)&amp;VLOOKUP(K78,tablas!$R$3:$T$66,3,TRUE),tablas!$Q$3:$R$66,2,FALSE)&lt;K78,VLOOKUP(K78+0.1,tablas!$R$3:$T$66,2,TRUE),VLOOKUP(K78,tablas!$R$3:$T$66,2,TRUE))&amp;"@"&amp;IF(VLOOKUP(VLOOKUP(K78,tablas!$R$3:$T$66,2,TRUE)&amp;VLOOKUP(K78,tablas!$R$3:$T$66,3,TRUE),tablas!$Q$3:$R$66,2,FALSE)&lt;K78,VLOOKUP(K78+0.1,tablas!$R$3:$T$66,3,TRUE),VLOOKUP(K78,tablas!$R$3:$T$66,3,TRUE))&amp;"$",$C$13)</f>
        <v>$\phi8@17$</v>
      </c>
      <c r="L79" s="134" t="str">
        <f>IF(L78&gt;$C$12,"$\phi"&amp;IF(VLOOKUP(VLOOKUP(L78,tablas!$R$3:$T$66,2,TRUE)&amp;VLOOKUP(L78,tablas!$R$3:$T$66,3,TRUE),tablas!$Q$3:$R$66,2,FALSE)&lt;L78,VLOOKUP(L78+0.1,tablas!$R$3:$T$66,2,TRUE),VLOOKUP(L78,tablas!$R$3:$T$66,2,TRUE))&amp;"@"&amp;IF(VLOOKUP(VLOOKUP(L78,tablas!$R$3:$T$66,2,TRUE)&amp;VLOOKUP(L78,tablas!$R$3:$T$66,3,TRUE),tablas!$Q$3:$R$66,2,FALSE)&lt;L78,VLOOKUP(L78+0.1,tablas!$R$3:$T$66,3,TRUE),VLOOKUP(L78,tablas!$R$3:$T$66,3,TRUE))&amp;"$",$C$13)</f>
        <v>$\phi8@17$</v>
      </c>
      <c r="M79" s="134" t="str">
        <f>IF(M78&gt;$C$12,"$\phi"&amp;IF(VLOOKUP(VLOOKUP(M78,tablas!$R$3:$T$66,2,TRUE)&amp;VLOOKUP(M78,tablas!$R$3:$T$66,3,TRUE),tablas!$Q$3:$R$66,2,FALSE)&lt;M78,VLOOKUP(M78+0.1,tablas!$R$3:$T$66,2,TRUE),VLOOKUP(M78,tablas!$R$3:$T$66,2,TRUE))&amp;"@"&amp;IF(VLOOKUP(VLOOKUP(M78,tablas!$R$3:$T$66,2,TRUE)&amp;VLOOKUP(M78,tablas!$R$3:$T$66,3,TRUE),tablas!$Q$3:$R$66,2,FALSE)&lt;M78,VLOOKUP(M78+0.1,tablas!$R$3:$T$66,3,TRUE),VLOOKUP(M78,tablas!$R$3:$T$66,3,TRUE))&amp;"$",$C$13)</f>
        <v>$\phi8@17$</v>
      </c>
      <c r="N79" s="134" t="str">
        <f>IF(N78&gt;$C$12,"$\phi"&amp;IF(VLOOKUP(VLOOKUP(N78,tablas!$R$3:$T$66,2,TRUE)&amp;VLOOKUP(N78,tablas!$R$3:$T$66,3,TRUE),tablas!$Q$3:$R$66,2,FALSE)&lt;N78,VLOOKUP(N78+0.1,tablas!$R$3:$T$66,2,TRUE),VLOOKUP(N78,tablas!$R$3:$T$66,2,TRUE))&amp;"@"&amp;IF(VLOOKUP(VLOOKUP(N78,tablas!$R$3:$T$66,2,TRUE)&amp;VLOOKUP(N78,tablas!$R$3:$T$66,3,TRUE),tablas!$Q$3:$R$66,2,FALSE)&lt;N78,VLOOKUP(N78+0.1,tablas!$R$3:$T$66,3,TRUE),VLOOKUP(N78,tablas!$R$3:$T$66,3,TRUE))&amp;"$",$C$13)</f>
        <v>$\phi8@17$</v>
      </c>
      <c r="O79" s="134" t="str">
        <f>IF(O78&gt;$C$12,"$\phi"&amp;IF(VLOOKUP(VLOOKUP(O78,tablas!$R$3:$T$66,2,TRUE)&amp;VLOOKUP(O78,tablas!$R$3:$T$66,3,TRUE),tablas!$Q$3:$R$66,2,FALSE)&lt;O78,VLOOKUP(O78+0.1,tablas!$R$3:$T$66,2,TRUE),VLOOKUP(O78,tablas!$R$3:$T$66,2,TRUE))&amp;"@"&amp;IF(VLOOKUP(VLOOKUP(O78,tablas!$R$3:$T$66,2,TRUE)&amp;VLOOKUP(O78,tablas!$R$3:$T$66,3,TRUE),tablas!$Q$3:$R$66,2,FALSE)&lt;O78,VLOOKUP(O78+0.1,tablas!$R$3:$T$66,3,TRUE),VLOOKUP(O78,tablas!$R$3:$T$66,3,TRUE))&amp;"$",$C$13)</f>
        <v>$\phi8@17$</v>
      </c>
      <c r="P79" s="134" t="str">
        <f>IF(P78&gt;$C$12,"$\phi"&amp;IF(VLOOKUP(VLOOKUP(P78,tablas!$R$3:$T$66,2,TRUE)&amp;VLOOKUP(P78,tablas!$R$3:$T$66,3,TRUE),tablas!$Q$3:$R$66,2,FALSE)&lt;P78,VLOOKUP(P78+0.1,tablas!$R$3:$T$66,2,TRUE),VLOOKUP(P78,tablas!$R$3:$T$66,2,TRUE))&amp;"@"&amp;IF(VLOOKUP(VLOOKUP(P78,tablas!$R$3:$T$66,2,TRUE)&amp;VLOOKUP(P78,tablas!$R$3:$T$66,3,TRUE),tablas!$Q$3:$R$66,2,FALSE)&lt;P78,VLOOKUP(P78+0.1,tablas!$R$3:$T$66,3,TRUE),VLOOKUP(P78,tablas!$R$3:$T$66,3,TRUE))&amp;"$",$C$13)</f>
        <v>$\phi8@17$</v>
      </c>
      <c r="Q79" s="134" t="str">
        <f>IF(Q78&gt;$C$12,"$\phi"&amp;IF(VLOOKUP(VLOOKUP(Q78,tablas!$R$3:$T$66,2,TRUE)&amp;VLOOKUP(Q78,tablas!$R$3:$T$66,3,TRUE),tablas!$Q$3:$R$66,2,FALSE)&lt;Q78,VLOOKUP(Q78+0.1,tablas!$R$3:$T$66,2,TRUE),VLOOKUP(Q78,tablas!$R$3:$T$66,2,TRUE))&amp;"@"&amp;IF(VLOOKUP(VLOOKUP(Q78,tablas!$R$3:$T$66,2,TRUE)&amp;VLOOKUP(Q78,tablas!$R$3:$T$66,3,TRUE),tablas!$Q$3:$R$66,2,FALSE)&lt;Q78,VLOOKUP(Q78+0.1,tablas!$R$3:$T$66,3,TRUE),VLOOKUP(Q78,tablas!$R$3:$T$66,3,TRUE))&amp;"$",$C$13)</f>
        <v>$\phi8@17$</v>
      </c>
      <c r="R79" s="134" t="str">
        <f>IF(R78&gt;$C$12,"$\phi"&amp;IF(VLOOKUP(VLOOKUP(R78,tablas!$R$3:$T$66,2,TRUE)&amp;VLOOKUP(R78,tablas!$R$3:$T$66,3,TRUE),tablas!$Q$3:$R$66,2,FALSE)&lt;R78,VLOOKUP(R78+0.1,tablas!$R$3:$T$66,2,TRUE),VLOOKUP(R78,tablas!$R$3:$T$66,2,TRUE))&amp;"@"&amp;IF(VLOOKUP(VLOOKUP(R78,tablas!$R$3:$T$66,2,TRUE)&amp;VLOOKUP(R78,tablas!$R$3:$T$66,3,TRUE),tablas!$Q$3:$R$66,2,FALSE)&lt;R78,VLOOKUP(R78+0.1,tablas!$R$3:$T$66,3,TRUE),VLOOKUP(R78,tablas!$R$3:$T$66,3,TRUE))&amp;"$",$C$13)</f>
        <v>$\phi8@17$</v>
      </c>
      <c r="S79" s="134" t="str">
        <f>IF(S78&gt;$C$12,"$\phi"&amp;IF(VLOOKUP(VLOOKUP(S78,tablas!$R$3:$T$66,2,TRUE)&amp;VLOOKUP(S78,tablas!$R$3:$T$66,3,TRUE),tablas!$Q$3:$R$66,2,FALSE)&lt;S78,VLOOKUP(S78+0.1,tablas!$R$3:$T$66,2,TRUE),VLOOKUP(S78,tablas!$R$3:$T$66,2,TRUE))&amp;"@"&amp;IF(VLOOKUP(VLOOKUP(S78,tablas!$R$3:$T$66,2,TRUE)&amp;VLOOKUP(S78,tablas!$R$3:$T$66,3,TRUE),tablas!$Q$3:$R$66,2,FALSE)&lt;S78,VLOOKUP(S78+0.1,tablas!$R$3:$T$66,3,TRUE),VLOOKUP(S78,tablas!$R$3:$T$66,3,TRUE))&amp;"$",$C$13)</f>
        <v>$\phi8@17$</v>
      </c>
      <c r="T79" s="134" t="str">
        <f>IF(T78&gt;$C$12,"$\phi"&amp;IF(VLOOKUP(VLOOKUP(T78,tablas!$R$3:$T$66,2,TRUE)&amp;VLOOKUP(T78,tablas!$R$3:$T$66,3,TRUE),tablas!$Q$3:$R$66,2,FALSE)&lt;T78,VLOOKUP(T78+0.1,tablas!$R$3:$T$66,2,TRUE),VLOOKUP(T78,tablas!$R$3:$T$66,2,TRUE))&amp;"@"&amp;IF(VLOOKUP(VLOOKUP(T78,tablas!$R$3:$T$66,2,TRUE)&amp;VLOOKUP(T78,tablas!$R$3:$T$66,3,TRUE),tablas!$Q$3:$R$66,2,FALSE)&lt;T78,VLOOKUP(T78+0.1,tablas!$R$3:$T$66,3,TRUE),VLOOKUP(T78,tablas!$R$3:$T$66,3,TRUE))&amp;"$",$C$13)</f>
        <v>$\phi8@17$</v>
      </c>
      <c r="U79" s="134" t="str">
        <f>IF(U78&gt;$C$12,"$\phi"&amp;IF(VLOOKUP(VLOOKUP(U78,tablas!$R$3:$T$66,2,TRUE)&amp;VLOOKUP(U78,tablas!$R$3:$T$66,3,TRUE),tablas!$Q$3:$R$66,2,FALSE)&lt;U78,VLOOKUP(U78+0.1,tablas!$R$3:$T$66,2,TRUE),VLOOKUP(U78,tablas!$R$3:$T$66,2,TRUE))&amp;"@"&amp;IF(VLOOKUP(VLOOKUP(U78,tablas!$R$3:$T$66,2,TRUE)&amp;VLOOKUP(U78,tablas!$R$3:$T$66,3,TRUE),tablas!$Q$3:$R$66,2,FALSE)&lt;U78,VLOOKUP(U78+0.1,tablas!$R$3:$T$66,3,TRUE),VLOOKUP(U78,tablas!$R$3:$T$66,3,TRUE))&amp;"$",$C$13)</f>
        <v>$\phi8@17$</v>
      </c>
      <c r="V79" s="134" t="str">
        <f>IF(V78&gt;$C$12,"$\phi"&amp;IF(VLOOKUP(VLOOKUP(V78,tablas!$R$3:$T$66,2,TRUE)&amp;VLOOKUP(V78,tablas!$R$3:$T$66,3,TRUE),tablas!$Q$3:$R$66,2,FALSE)&lt;V78,VLOOKUP(V78+0.1,tablas!$R$3:$T$66,2,TRUE),VLOOKUP(V78,tablas!$R$3:$T$66,2,TRUE))&amp;"@"&amp;IF(VLOOKUP(VLOOKUP(V78,tablas!$R$3:$T$66,2,TRUE)&amp;VLOOKUP(V78,tablas!$R$3:$T$66,3,TRUE),tablas!$Q$3:$R$66,2,FALSE)&lt;V78,VLOOKUP(V78+0.1,tablas!$R$3:$T$66,3,TRUE),VLOOKUP(V78,tablas!$R$3:$T$66,3,TRUE))&amp;"$",$C$13)</f>
        <v>$\phi8@17$</v>
      </c>
      <c r="W79" s="134" t="str">
        <f>IF(W78&gt;$C$12,"$\phi"&amp;IF(VLOOKUP(VLOOKUP(W78,tablas!$R$3:$T$66,2,TRUE)&amp;VLOOKUP(W78,tablas!$R$3:$T$66,3,TRUE),tablas!$Q$3:$R$66,2,FALSE)&lt;W78,VLOOKUP(W78+0.1,tablas!$R$3:$T$66,2,TRUE),VLOOKUP(W78,tablas!$R$3:$T$66,2,TRUE))&amp;"@"&amp;IF(VLOOKUP(VLOOKUP(W78,tablas!$R$3:$T$66,2,TRUE)&amp;VLOOKUP(W78,tablas!$R$3:$T$66,3,TRUE),tablas!$Q$3:$R$66,2,FALSE)&lt;W78,VLOOKUP(W78+0.1,tablas!$R$3:$T$66,3,TRUE),VLOOKUP(W78,tablas!$R$3:$T$66,3,TRUE))&amp;"$",$C$13)</f>
        <v>$\phi8@17$</v>
      </c>
      <c r="X79" s="134" t="str">
        <f>IF(X78&gt;$C$12,"$\phi"&amp;IF(VLOOKUP(VLOOKUP(X78,tablas!$R$3:$T$66,2,TRUE)&amp;VLOOKUP(X78,tablas!$R$3:$T$66,3,TRUE),tablas!$Q$3:$R$66,2,FALSE)&lt;X78,VLOOKUP(X78+0.1,tablas!$R$3:$T$66,2,TRUE),VLOOKUP(X78,tablas!$R$3:$T$66,2,TRUE))&amp;"@"&amp;IF(VLOOKUP(VLOOKUP(X78,tablas!$R$3:$T$66,2,TRUE)&amp;VLOOKUP(X78,tablas!$R$3:$T$66,3,TRUE),tablas!$Q$3:$R$66,2,FALSE)&lt;X78,VLOOKUP(X78+0.1,tablas!$R$3:$T$66,3,TRUE),VLOOKUP(X78,tablas!$R$3:$T$66,3,TRUE))&amp;"$",$C$13)</f>
        <v>$\phi8@17$</v>
      </c>
    </row>
    <row r="80" spans="2:24" x14ac:dyDescent="0.25">
      <c r="B80" s="96" t="s">
        <v>103</v>
      </c>
      <c r="C80" s="89">
        <f>IF(C53&lt;=2,C67/C58,IF(OR(C51=6,C51="5a",C51="3a"),C66*C48^2/12,(IF(OR(C51="2a",C51=4,C51="5b"),C66*C48^2/8,"-"))))</f>
        <v>3157.8048780487807</v>
      </c>
      <c r="D80" s="89">
        <f t="shared" ref="D80:X80" si="17">IF(D53&lt;=2,D67/D58,IF(OR(D51=6,D51="5a",D51="3a"),D66*D48^2/12,(IF(OR(D51="2a",D51=4,D51="5b"),D66*D48^2/8,"-"))))</f>
        <v>1482.063829787234</v>
      </c>
      <c r="E80" s="89">
        <f t="shared" si="17"/>
        <v>1482.063829787234</v>
      </c>
      <c r="F80" s="89">
        <f t="shared" si="17"/>
        <v>2660.2039062500003</v>
      </c>
      <c r="G80" s="89">
        <f t="shared" si="17"/>
        <v>2330.2529032258067</v>
      </c>
      <c r="H80" s="89">
        <f t="shared" si="17"/>
        <v>1428.5638297872338</v>
      </c>
      <c r="I80" s="89">
        <f t="shared" si="17"/>
        <v>670.04318181818178</v>
      </c>
      <c r="J80" s="89">
        <f t="shared" si="17"/>
        <v>227.0333333333333</v>
      </c>
      <c r="K80" s="89">
        <f t="shared" si="17"/>
        <v>974.1583333333333</v>
      </c>
      <c r="L80" s="89">
        <f t="shared" si="17"/>
        <v>1428.5638297872338</v>
      </c>
      <c r="M80" s="89">
        <f t="shared" si="17"/>
        <v>2172.8938709677423</v>
      </c>
      <c r="N80" s="89">
        <f t="shared" si="17"/>
        <v>350.56537500000002</v>
      </c>
      <c r="O80" s="89">
        <f t="shared" si="17"/>
        <v>350.56537500000002</v>
      </c>
      <c r="P80" s="89">
        <f t="shared" si="17"/>
        <v>350.56537500000002</v>
      </c>
      <c r="Q80" s="89">
        <f>IF(Q53&lt;=2,Q67/Q58,IF(OR(Q51=6,Q51="5a",Q51="3a"),Q66*Q48^2/12,(IF(OR(Q51="2a",Q51=4,Q51="5b"),Q66*Q48^2/8,"-"))))</f>
        <v>350.56537500000002</v>
      </c>
      <c r="R80" s="89">
        <f t="shared" si="17"/>
        <v>166.29600000000002</v>
      </c>
      <c r="S80" s="89">
        <f t="shared" si="17"/>
        <v>166.29600000000002</v>
      </c>
      <c r="T80" s="89">
        <f t="shared" si="17"/>
        <v>276.07350000000002</v>
      </c>
      <c r="U80" s="89">
        <f t="shared" si="17"/>
        <v>276.07350000000002</v>
      </c>
      <c r="V80" s="89">
        <f t="shared" si="17"/>
        <v>84.1935</v>
      </c>
      <c r="W80" s="89">
        <f t="shared" si="17"/>
        <v>75.337499999999991</v>
      </c>
      <c r="X80" s="89">
        <f t="shared" si="17"/>
        <v>734.75928143712576</v>
      </c>
    </row>
    <row r="81" spans="2:32" x14ac:dyDescent="0.25">
      <c r="B81" s="97" t="s">
        <v>15</v>
      </c>
      <c r="C81" s="90">
        <f>C80/(0.9*(0.9*($C$7/100))*($L$9*1000))</f>
        <v>6.5062158558093506</v>
      </c>
      <c r="D81" s="90">
        <f t="shared" ref="D81:X81" si="18">D80/(0.9*(0.9*($C$7/100))*($L$9*1000))</f>
        <v>3.0535855003940102</v>
      </c>
      <c r="E81" s="90">
        <f t="shared" si="18"/>
        <v>3.0535855003940102</v>
      </c>
      <c r="F81" s="90">
        <f t="shared" si="18"/>
        <v>5.4809785604056422</v>
      </c>
      <c r="G81" s="90">
        <f t="shared" si="18"/>
        <v>4.8011606076122195</v>
      </c>
      <c r="H81" s="90">
        <f t="shared" si="18"/>
        <v>2.9433562234980659</v>
      </c>
      <c r="I81" s="90">
        <f t="shared" si="18"/>
        <v>1.3805303816986054</v>
      </c>
      <c r="J81" s="90">
        <f t="shared" si="18"/>
        <v>0.46777047036652414</v>
      </c>
      <c r="K81" s="90">
        <f t="shared" si="18"/>
        <v>2.0071171713175859</v>
      </c>
      <c r="L81" s="90">
        <f t="shared" si="18"/>
        <v>2.9433562234980659</v>
      </c>
      <c r="M81" s="90">
        <f t="shared" si="18"/>
        <v>4.476944302213119</v>
      </c>
      <c r="N81" s="90">
        <f t="shared" si="18"/>
        <v>0.72229098674776226</v>
      </c>
      <c r="O81" s="90">
        <f t="shared" si="18"/>
        <v>0.72229098674776226</v>
      </c>
      <c r="P81" s="90">
        <f t="shared" si="18"/>
        <v>0.72229098674776226</v>
      </c>
      <c r="Q81" s="90">
        <f t="shared" si="18"/>
        <v>0.72229098674776226</v>
      </c>
      <c r="R81" s="90">
        <f t="shared" si="18"/>
        <v>0.34262967907827713</v>
      </c>
      <c r="S81" s="90">
        <f t="shared" si="18"/>
        <v>0.34262967907827713</v>
      </c>
      <c r="T81" s="90">
        <f t="shared" si="18"/>
        <v>0.56881088364733212</v>
      </c>
      <c r="U81" s="90">
        <f t="shared" si="18"/>
        <v>0.56881088364733212</v>
      </c>
      <c r="V81" s="90">
        <f t="shared" si="18"/>
        <v>0.17346894624932002</v>
      </c>
      <c r="W81" s="90">
        <f t="shared" si="18"/>
        <v>0.15522239529248869</v>
      </c>
      <c r="X81" s="90">
        <f t="shared" si="18"/>
        <v>1.5138688651476155</v>
      </c>
    </row>
    <row r="82" spans="2:32" x14ac:dyDescent="0.25">
      <c r="B82" s="97" t="s">
        <v>98</v>
      </c>
      <c r="C82" s="92">
        <f>(C81*($L$9))/(0.85*$L$6*100)</f>
        <v>9.1766695873666246E-2</v>
      </c>
      <c r="D82" s="92">
        <f t="shared" ref="D82:X82" si="19">(D81*($L$9))/(0.85*$L$6*100)</f>
        <v>4.3069190778337006E-2</v>
      </c>
      <c r="E82" s="92">
        <f t="shared" si="19"/>
        <v>4.3069190778337006E-2</v>
      </c>
      <c r="F82" s="92">
        <f t="shared" si="19"/>
        <v>7.7306272000448678E-2</v>
      </c>
      <c r="G82" s="92">
        <f t="shared" si="19"/>
        <v>6.7717803264393819E-2</v>
      </c>
      <c r="H82" s="92">
        <f t="shared" si="19"/>
        <v>4.1514465765601333E-2</v>
      </c>
      <c r="I82" s="92">
        <f t="shared" si="19"/>
        <v>1.9471642885714392E-2</v>
      </c>
      <c r="J82" s="92">
        <f t="shared" si="19"/>
        <v>6.5976523749175274E-3</v>
      </c>
      <c r="K82" s="92">
        <f t="shared" si="19"/>
        <v>2.8309314527069591E-2</v>
      </c>
      <c r="L82" s="92">
        <f t="shared" si="19"/>
        <v>4.1514465765601333E-2</v>
      </c>
      <c r="M82" s="92">
        <f t="shared" si="19"/>
        <v>6.3144905630160328E-2</v>
      </c>
      <c r="N82" s="92">
        <f t="shared" si="19"/>
        <v>1.0187528170309516E-2</v>
      </c>
      <c r="O82" s="92">
        <f t="shared" si="19"/>
        <v>1.0187528170309516E-2</v>
      </c>
      <c r="P82" s="92">
        <f t="shared" si="19"/>
        <v>1.0187528170309516E-2</v>
      </c>
      <c r="Q82" s="92">
        <f t="shared" si="19"/>
        <v>1.0187528170309516E-2</v>
      </c>
      <c r="R82" s="92">
        <f t="shared" si="19"/>
        <v>4.8326084246334694E-3</v>
      </c>
      <c r="S82" s="92">
        <f t="shared" si="19"/>
        <v>4.8326084246334694E-3</v>
      </c>
      <c r="T82" s="92">
        <f t="shared" si="19"/>
        <v>8.0227733795043051E-3</v>
      </c>
      <c r="U82" s="92">
        <f t="shared" si="19"/>
        <v>8.0227733795043051E-3</v>
      </c>
      <c r="V82" s="92">
        <f t="shared" si="19"/>
        <v>2.4466867356964564E-3</v>
      </c>
      <c r="W82" s="92">
        <f t="shared" si="19"/>
        <v>2.1893288905976329E-3</v>
      </c>
      <c r="X82" s="92">
        <f t="shared" si="19"/>
        <v>2.1352310900747389E-2</v>
      </c>
    </row>
    <row r="83" spans="2:32" ht="15.75" thickBot="1" x14ac:dyDescent="0.3">
      <c r="B83" s="97" t="s">
        <v>15</v>
      </c>
      <c r="C83" s="76">
        <f>ROUNDUP(C80/(0.9*(($C$7-C82/2)/100)*($L$9*1000)),2)</f>
        <v>5.88</v>
      </c>
      <c r="D83" s="76">
        <f t="shared" ref="D83:X83" si="20">ROUNDUP(D80/(0.9*(($C$7-D82/2)/100)*($L$9*1000)),2)</f>
        <v>2.76</v>
      </c>
      <c r="E83" s="76">
        <f t="shared" si="20"/>
        <v>2.76</v>
      </c>
      <c r="F83" s="76">
        <f t="shared" si="20"/>
        <v>4.95</v>
      </c>
      <c r="G83" s="76">
        <f t="shared" si="20"/>
        <v>4.34</v>
      </c>
      <c r="H83" s="76">
        <f t="shared" si="20"/>
        <v>2.6599999999999997</v>
      </c>
      <c r="I83" s="76">
        <f t="shared" si="20"/>
        <v>1.25</v>
      </c>
      <c r="J83" s="76">
        <f t="shared" si="20"/>
        <v>0.43</v>
      </c>
      <c r="K83" s="76">
        <f t="shared" si="20"/>
        <v>1.81</v>
      </c>
      <c r="L83" s="76">
        <f t="shared" si="20"/>
        <v>2.6599999999999997</v>
      </c>
      <c r="M83" s="76">
        <f t="shared" si="20"/>
        <v>4.04</v>
      </c>
      <c r="N83" s="76">
        <f t="shared" si="20"/>
        <v>0.66</v>
      </c>
      <c r="O83" s="76">
        <f t="shared" si="20"/>
        <v>0.66</v>
      </c>
      <c r="P83" s="76">
        <f t="shared" si="20"/>
        <v>0.66</v>
      </c>
      <c r="Q83" s="76">
        <f t="shared" si="20"/>
        <v>0.66</v>
      </c>
      <c r="R83" s="76">
        <f t="shared" si="20"/>
        <v>0.31</v>
      </c>
      <c r="S83" s="76">
        <f t="shared" si="20"/>
        <v>0.31</v>
      </c>
      <c r="T83" s="76">
        <f t="shared" si="20"/>
        <v>0.52</v>
      </c>
      <c r="U83" s="76">
        <f t="shared" si="20"/>
        <v>0.52</v>
      </c>
      <c r="V83" s="76">
        <f t="shared" si="20"/>
        <v>0.16</v>
      </c>
      <c r="W83" s="76">
        <f t="shared" si="20"/>
        <v>0.14000000000000001</v>
      </c>
      <c r="X83" s="76">
        <f t="shared" si="20"/>
        <v>1.37</v>
      </c>
    </row>
    <row r="84" spans="2:32" ht="16.5" thickBot="1" x14ac:dyDescent="0.3">
      <c r="B84" s="61" t="s">
        <v>105</v>
      </c>
      <c r="C84" s="134" t="str">
        <f>IF(C83&gt;$C$12,"$\phi"&amp;IF(VLOOKUP(VLOOKUP(C83,tablas!$R$3:$T$66,2,TRUE)&amp;VLOOKUP(C83,tablas!$R$3:$T$66,3,TRUE),tablas!$Q$3:$R$66,2,FALSE)&lt;C83,VLOOKUP(C83+0.1,tablas!$R$3:$T$66,2,TRUE),VLOOKUP(C83,tablas!$R$3:$T$66,2,TRUE))&amp;"@"&amp;IF(VLOOKUP(VLOOKUP(C83,tablas!$R$3:$T$66,2,TRUE)&amp;VLOOKUP(C83,tablas!$R$3:$T$66,3,TRUE),tablas!$Q$3:$R$66,2,FALSE)&lt;C83,VLOOKUP(C83+0.1,tablas!$R$3:$T$66,3,TRUE),VLOOKUP(C83,tablas!$R$3:$T$66,3,TRUE))&amp;"$",$C$13)</f>
        <v>$\phi12@19$</v>
      </c>
      <c r="D84" s="134" t="str">
        <f>IF(D83&gt;$C$12,"$\phi"&amp;IF(VLOOKUP(VLOOKUP(D83,tablas!$R$3:$T$66,2,TRUE)&amp;VLOOKUP(D83,tablas!$R$3:$T$66,3,TRUE),tablas!$Q$3:$R$66,2,FALSE)&lt;D83,VLOOKUP(D83+0.1,tablas!$R$3:$T$66,2,TRUE),VLOOKUP(D83,tablas!$R$3:$T$66,2,TRUE))&amp;"@"&amp;IF(VLOOKUP(VLOOKUP(D83,tablas!$R$3:$T$66,2,TRUE)&amp;VLOOKUP(D83,tablas!$R$3:$T$66,3,TRUE),tablas!$Q$3:$R$66,2,FALSE)&lt;D83,VLOOKUP(D83+0.1,tablas!$R$3:$T$66,3,TRUE),VLOOKUP(D83,tablas!$R$3:$T$66,3,TRUE))&amp;"$",$C$13)</f>
        <v>$\phi8@17$</v>
      </c>
      <c r="E84" s="134" t="str">
        <f>IF(E83&gt;$C$12,"$\phi"&amp;IF(VLOOKUP(VLOOKUP(E83,tablas!$R$3:$T$66,2,TRUE)&amp;VLOOKUP(E83,tablas!$R$3:$T$66,3,TRUE),tablas!$Q$3:$R$66,2,FALSE)&lt;E83,VLOOKUP(E83+0.1,tablas!$R$3:$T$66,2,TRUE),VLOOKUP(E83,tablas!$R$3:$T$66,2,TRUE))&amp;"@"&amp;IF(VLOOKUP(VLOOKUP(E83,tablas!$R$3:$T$66,2,TRUE)&amp;VLOOKUP(E83,tablas!$R$3:$T$66,3,TRUE),tablas!$Q$3:$R$66,2,FALSE)&lt;E83,VLOOKUP(E83+0.1,tablas!$R$3:$T$66,3,TRUE),VLOOKUP(E83,tablas!$R$3:$T$66,3,TRUE))&amp;"$",$C$13)</f>
        <v>$\phi8@17$</v>
      </c>
      <c r="F84" s="134" t="str">
        <f>IF(F83&gt;$C$12,"$\phi"&amp;IF(VLOOKUP(VLOOKUP(F83,tablas!$R$3:$T$66,2,TRUE)&amp;VLOOKUP(F83,tablas!$R$3:$T$66,3,TRUE),tablas!$Q$3:$R$66,2,FALSE)&lt;F83,VLOOKUP(F83+0.1,tablas!$R$3:$T$66,2,TRUE),VLOOKUP(F83,tablas!$R$3:$T$66,2,TRUE))&amp;"@"&amp;IF(VLOOKUP(VLOOKUP(F83,tablas!$R$3:$T$66,2,TRUE)&amp;VLOOKUP(F83,tablas!$R$3:$T$66,3,TRUE),tablas!$Q$3:$R$66,2,FALSE)&lt;F83,VLOOKUP(F83+0.1,tablas!$R$3:$T$66,3,TRUE),VLOOKUP(F83,tablas!$R$3:$T$66,3,TRUE))&amp;"$",$C$13)</f>
        <v>$\phi8@10$</v>
      </c>
      <c r="G84" s="134" t="str">
        <f>IF(G83&gt;$C$12,"$\phi"&amp;IF(VLOOKUP(VLOOKUP(G83,tablas!$R$3:$T$66,2,TRUE)&amp;VLOOKUP(G83,tablas!$R$3:$T$66,3,TRUE),tablas!$Q$3:$R$66,2,FALSE)&lt;G83,VLOOKUP(G83+0.1,tablas!$R$3:$T$66,2,TRUE),VLOOKUP(G83,tablas!$R$3:$T$66,2,TRUE))&amp;"@"&amp;IF(VLOOKUP(VLOOKUP(G83,tablas!$R$3:$T$66,2,TRUE)&amp;VLOOKUP(G83,tablas!$R$3:$T$66,3,TRUE),tablas!$Q$3:$R$66,2,FALSE)&lt;G83,VLOOKUP(G83+0.1,tablas!$R$3:$T$66,3,TRUE),VLOOKUP(G83,tablas!$R$3:$T$66,3,TRUE))&amp;"$",$C$13)</f>
        <v>$\phi10@18$</v>
      </c>
      <c r="H84" s="134" t="str">
        <f>IF(H83&gt;$C$12,"$\phi"&amp;IF(VLOOKUP(VLOOKUP(H83,tablas!$R$3:$T$66,2,TRUE)&amp;VLOOKUP(H83,tablas!$R$3:$T$66,3,TRUE),tablas!$Q$3:$R$66,2,FALSE)&lt;H83,VLOOKUP(H83+0.1,tablas!$R$3:$T$66,2,TRUE),VLOOKUP(H83,tablas!$R$3:$T$66,2,TRUE))&amp;"@"&amp;IF(VLOOKUP(VLOOKUP(H83,tablas!$R$3:$T$66,2,TRUE)&amp;VLOOKUP(H83,tablas!$R$3:$T$66,3,TRUE),tablas!$Q$3:$R$66,2,FALSE)&lt;H83,VLOOKUP(H83+0.1,tablas!$R$3:$T$66,3,TRUE),VLOOKUP(H83,tablas!$R$3:$T$66,3,TRUE))&amp;"$",$C$13)</f>
        <v>$\phi8@17$</v>
      </c>
      <c r="I84" s="134" t="str">
        <f>IF(I83&gt;$C$12,"$\phi"&amp;IF(VLOOKUP(VLOOKUP(I83,tablas!$R$3:$T$66,2,TRUE)&amp;VLOOKUP(I83,tablas!$R$3:$T$66,3,TRUE),tablas!$Q$3:$R$66,2,FALSE)&lt;I83,VLOOKUP(I83+0.1,tablas!$R$3:$T$66,2,TRUE),VLOOKUP(I83,tablas!$R$3:$T$66,2,TRUE))&amp;"@"&amp;IF(VLOOKUP(VLOOKUP(I83,tablas!$R$3:$T$66,2,TRUE)&amp;VLOOKUP(I83,tablas!$R$3:$T$66,3,TRUE),tablas!$Q$3:$R$66,2,FALSE)&lt;I83,VLOOKUP(I83+0.1,tablas!$R$3:$T$66,3,TRUE),VLOOKUP(I83,tablas!$R$3:$T$66,3,TRUE))&amp;"$",$C$13)</f>
        <v>$\phi8@17$</v>
      </c>
      <c r="J84" s="134" t="str">
        <f>IF(J83&gt;$C$12,"$\phi"&amp;IF(VLOOKUP(VLOOKUP(J83,tablas!$R$3:$T$66,2,TRUE)&amp;VLOOKUP(J83,tablas!$R$3:$T$66,3,TRUE),tablas!$Q$3:$R$66,2,FALSE)&lt;J83,VLOOKUP(J83+0.1,tablas!$R$3:$T$66,2,TRUE),VLOOKUP(J83,tablas!$R$3:$T$66,2,TRUE))&amp;"@"&amp;IF(VLOOKUP(VLOOKUP(J83,tablas!$R$3:$T$66,2,TRUE)&amp;VLOOKUP(J83,tablas!$R$3:$T$66,3,TRUE),tablas!$Q$3:$R$66,2,FALSE)&lt;J83,VLOOKUP(J83+0.1,tablas!$R$3:$T$66,3,TRUE),VLOOKUP(J83,tablas!$R$3:$T$66,3,TRUE))&amp;"$",$C$13)</f>
        <v>$\phi8@17$</v>
      </c>
      <c r="K84" s="134" t="str">
        <f>IF(K83&gt;$C$12,"$\phi"&amp;IF(VLOOKUP(VLOOKUP(K83,tablas!$R$3:$T$66,2,TRUE)&amp;VLOOKUP(K83,tablas!$R$3:$T$66,3,TRUE),tablas!$Q$3:$R$66,2,FALSE)&lt;K83,VLOOKUP(K83+0.1,tablas!$R$3:$T$66,2,TRUE),VLOOKUP(K83,tablas!$R$3:$T$66,2,TRUE))&amp;"@"&amp;IF(VLOOKUP(VLOOKUP(K83,tablas!$R$3:$T$66,2,TRUE)&amp;VLOOKUP(K83,tablas!$R$3:$T$66,3,TRUE),tablas!$Q$3:$R$66,2,FALSE)&lt;K83,VLOOKUP(K83+0.1,tablas!$R$3:$T$66,3,TRUE),VLOOKUP(K83,tablas!$R$3:$T$66,3,TRUE))&amp;"$",$C$13)</f>
        <v>$\phi8@17$</v>
      </c>
      <c r="L84" s="134" t="str">
        <f>IF(L83&gt;$C$12,"$\phi"&amp;IF(VLOOKUP(VLOOKUP(L83,tablas!$R$3:$T$66,2,TRUE)&amp;VLOOKUP(L83,tablas!$R$3:$T$66,3,TRUE),tablas!$Q$3:$R$66,2,FALSE)&lt;L83,VLOOKUP(L83+0.1,tablas!$R$3:$T$66,2,TRUE),VLOOKUP(L83,tablas!$R$3:$T$66,2,TRUE))&amp;"@"&amp;IF(VLOOKUP(VLOOKUP(L83,tablas!$R$3:$T$66,2,TRUE)&amp;VLOOKUP(L83,tablas!$R$3:$T$66,3,TRUE),tablas!$Q$3:$R$66,2,FALSE)&lt;L83,VLOOKUP(L83+0.1,tablas!$R$3:$T$66,3,TRUE),VLOOKUP(L83,tablas!$R$3:$T$66,3,TRUE))&amp;"$",$C$13)</f>
        <v>$\phi8@17$</v>
      </c>
      <c r="M84" s="134" t="str">
        <f>IF(M83&gt;$C$12,"$\phi"&amp;IF(VLOOKUP(VLOOKUP(M83,tablas!$R$3:$T$66,2,TRUE)&amp;VLOOKUP(M83,tablas!$R$3:$T$66,3,TRUE),tablas!$Q$3:$R$66,2,FALSE)&lt;M83,VLOOKUP(M83+0.1,tablas!$R$3:$T$66,2,TRUE),VLOOKUP(M83,tablas!$R$3:$T$66,2,TRUE))&amp;"@"&amp;IF(VLOOKUP(VLOOKUP(M83,tablas!$R$3:$T$66,2,TRUE)&amp;VLOOKUP(M83,tablas!$R$3:$T$66,3,TRUE),tablas!$Q$3:$R$66,2,FALSE)&lt;M83,VLOOKUP(M83+0.1,tablas!$R$3:$T$66,3,TRUE),VLOOKUP(M83,tablas!$R$3:$T$66,3,TRUE))&amp;"$",$C$13)</f>
        <v>$\phi10@19$</v>
      </c>
      <c r="N84" s="134" t="str">
        <f>IF(N83&gt;$C$12,"$\phi"&amp;IF(VLOOKUP(VLOOKUP(N83,tablas!$R$3:$T$66,2,TRUE)&amp;VLOOKUP(N83,tablas!$R$3:$T$66,3,TRUE),tablas!$Q$3:$R$66,2,FALSE)&lt;N83,VLOOKUP(N83+0.1,tablas!$R$3:$T$66,2,TRUE),VLOOKUP(N83,tablas!$R$3:$T$66,2,TRUE))&amp;"@"&amp;IF(VLOOKUP(VLOOKUP(N83,tablas!$R$3:$T$66,2,TRUE)&amp;VLOOKUP(N83,tablas!$R$3:$T$66,3,TRUE),tablas!$Q$3:$R$66,2,FALSE)&lt;N83,VLOOKUP(N83+0.1,tablas!$R$3:$T$66,3,TRUE),VLOOKUP(N83,tablas!$R$3:$T$66,3,TRUE))&amp;"$",$C$13)</f>
        <v>$\phi8@17$</v>
      </c>
      <c r="O84" s="134" t="str">
        <f>IF(O83&gt;$C$12,"$\phi"&amp;IF(VLOOKUP(VLOOKUP(O83,tablas!$R$3:$T$66,2,TRUE)&amp;VLOOKUP(O83,tablas!$R$3:$T$66,3,TRUE),tablas!$Q$3:$R$66,2,FALSE)&lt;O83,VLOOKUP(O83+0.1,tablas!$R$3:$T$66,2,TRUE),VLOOKUP(O83,tablas!$R$3:$T$66,2,TRUE))&amp;"@"&amp;IF(VLOOKUP(VLOOKUP(O83,tablas!$R$3:$T$66,2,TRUE)&amp;VLOOKUP(O83,tablas!$R$3:$T$66,3,TRUE),tablas!$Q$3:$R$66,2,FALSE)&lt;O83,VLOOKUP(O83+0.1,tablas!$R$3:$T$66,3,TRUE),VLOOKUP(O83,tablas!$R$3:$T$66,3,TRUE))&amp;"$",$C$13)</f>
        <v>$\phi8@17$</v>
      </c>
      <c r="P84" s="134" t="str">
        <f>IF(P83&gt;$C$12,"$\phi"&amp;IF(VLOOKUP(VLOOKUP(P83,tablas!$R$3:$T$66,2,TRUE)&amp;VLOOKUP(P83,tablas!$R$3:$T$66,3,TRUE),tablas!$Q$3:$R$66,2,FALSE)&lt;P83,VLOOKUP(P83+0.1,tablas!$R$3:$T$66,2,TRUE),VLOOKUP(P83,tablas!$R$3:$T$66,2,TRUE))&amp;"@"&amp;IF(VLOOKUP(VLOOKUP(P83,tablas!$R$3:$T$66,2,TRUE)&amp;VLOOKUP(P83,tablas!$R$3:$T$66,3,TRUE),tablas!$Q$3:$R$66,2,FALSE)&lt;P83,VLOOKUP(P83+0.1,tablas!$R$3:$T$66,3,TRUE),VLOOKUP(P83,tablas!$R$3:$T$66,3,TRUE))&amp;"$",$C$13)</f>
        <v>$\phi8@17$</v>
      </c>
      <c r="Q84" s="134" t="str">
        <f>IF(Q83&gt;$C$12,"$\phi"&amp;IF(VLOOKUP(VLOOKUP(Q83,tablas!$R$3:$T$66,2,TRUE)&amp;VLOOKUP(Q83,tablas!$R$3:$T$66,3,TRUE),tablas!$Q$3:$R$66,2,FALSE)&lt;Q83,VLOOKUP(Q83+0.1,tablas!$R$3:$T$66,2,TRUE),VLOOKUP(Q83,tablas!$R$3:$T$66,2,TRUE))&amp;"@"&amp;IF(VLOOKUP(VLOOKUP(Q83,tablas!$R$3:$T$66,2,TRUE)&amp;VLOOKUP(Q83,tablas!$R$3:$T$66,3,TRUE),tablas!$Q$3:$R$66,2,FALSE)&lt;Q83,VLOOKUP(Q83+0.1,tablas!$R$3:$T$66,3,TRUE),VLOOKUP(Q83,tablas!$R$3:$T$66,3,TRUE))&amp;"$",$C$13)</f>
        <v>$\phi8@17$</v>
      </c>
      <c r="R84" s="134" t="str">
        <f>IF(R83&gt;$C$12,"$\phi"&amp;IF(VLOOKUP(VLOOKUP(R83,tablas!$R$3:$T$66,2,TRUE)&amp;VLOOKUP(R83,tablas!$R$3:$T$66,3,TRUE),tablas!$Q$3:$R$66,2,FALSE)&lt;R83,VLOOKUP(R83+0.1,tablas!$R$3:$T$66,2,TRUE),VLOOKUP(R83,tablas!$R$3:$T$66,2,TRUE))&amp;"@"&amp;IF(VLOOKUP(VLOOKUP(R83,tablas!$R$3:$T$66,2,TRUE)&amp;VLOOKUP(R83,tablas!$R$3:$T$66,3,TRUE),tablas!$Q$3:$R$66,2,FALSE)&lt;R83,VLOOKUP(R83+0.1,tablas!$R$3:$T$66,3,TRUE),VLOOKUP(R83,tablas!$R$3:$T$66,3,TRUE))&amp;"$",$C$13)</f>
        <v>$\phi8@17$</v>
      </c>
      <c r="S84" s="134" t="str">
        <f>IF(S83&gt;$C$12,"$\phi"&amp;IF(VLOOKUP(VLOOKUP(S83,tablas!$R$3:$T$66,2,TRUE)&amp;VLOOKUP(S83,tablas!$R$3:$T$66,3,TRUE),tablas!$Q$3:$R$66,2,FALSE)&lt;S83,VLOOKUP(S83+0.1,tablas!$R$3:$T$66,2,TRUE),VLOOKUP(S83,tablas!$R$3:$T$66,2,TRUE))&amp;"@"&amp;IF(VLOOKUP(VLOOKUP(S83,tablas!$R$3:$T$66,2,TRUE)&amp;VLOOKUP(S83,tablas!$R$3:$T$66,3,TRUE),tablas!$Q$3:$R$66,2,FALSE)&lt;S83,VLOOKUP(S83+0.1,tablas!$R$3:$T$66,3,TRUE),VLOOKUP(S83,tablas!$R$3:$T$66,3,TRUE))&amp;"$",$C$13)</f>
        <v>$\phi8@17$</v>
      </c>
      <c r="T84" s="134" t="str">
        <f>IF(T83&gt;$C$12,"$\phi"&amp;IF(VLOOKUP(VLOOKUP(T83,tablas!$R$3:$T$66,2,TRUE)&amp;VLOOKUP(T83,tablas!$R$3:$T$66,3,TRUE),tablas!$Q$3:$R$66,2,FALSE)&lt;T83,VLOOKUP(T83+0.1,tablas!$R$3:$T$66,2,TRUE),VLOOKUP(T83,tablas!$R$3:$T$66,2,TRUE))&amp;"@"&amp;IF(VLOOKUP(VLOOKUP(T83,tablas!$R$3:$T$66,2,TRUE)&amp;VLOOKUP(T83,tablas!$R$3:$T$66,3,TRUE),tablas!$Q$3:$R$66,2,FALSE)&lt;T83,VLOOKUP(T83+0.1,tablas!$R$3:$T$66,3,TRUE),VLOOKUP(T83,tablas!$R$3:$T$66,3,TRUE))&amp;"$",$C$13)</f>
        <v>$\phi8@17$</v>
      </c>
      <c r="U84" s="134" t="str">
        <f>IF(U83&gt;$C$12,"$\phi"&amp;IF(VLOOKUP(VLOOKUP(U83,tablas!$R$3:$T$66,2,TRUE)&amp;VLOOKUP(U83,tablas!$R$3:$T$66,3,TRUE),tablas!$Q$3:$R$66,2,FALSE)&lt;U83,VLOOKUP(U83+0.1,tablas!$R$3:$T$66,2,TRUE),VLOOKUP(U83,tablas!$R$3:$T$66,2,TRUE))&amp;"@"&amp;IF(VLOOKUP(VLOOKUP(U83,tablas!$R$3:$T$66,2,TRUE)&amp;VLOOKUP(U83,tablas!$R$3:$T$66,3,TRUE),tablas!$Q$3:$R$66,2,FALSE)&lt;U83,VLOOKUP(U83+0.1,tablas!$R$3:$T$66,3,TRUE),VLOOKUP(U83,tablas!$R$3:$T$66,3,TRUE))&amp;"$",$C$13)</f>
        <v>$\phi8@17$</v>
      </c>
      <c r="V84" s="134" t="str">
        <f>IF(V83&gt;$C$12,"$\phi"&amp;IF(VLOOKUP(VLOOKUP(V83,tablas!$R$3:$T$66,2,TRUE)&amp;VLOOKUP(V83,tablas!$R$3:$T$66,3,TRUE),tablas!$Q$3:$R$66,2,FALSE)&lt;V83,VLOOKUP(V83+0.1,tablas!$R$3:$T$66,2,TRUE),VLOOKUP(V83,tablas!$R$3:$T$66,2,TRUE))&amp;"@"&amp;IF(VLOOKUP(VLOOKUP(V83,tablas!$R$3:$T$66,2,TRUE)&amp;VLOOKUP(V83,tablas!$R$3:$T$66,3,TRUE),tablas!$Q$3:$R$66,2,FALSE)&lt;V83,VLOOKUP(V83+0.1,tablas!$R$3:$T$66,3,TRUE),VLOOKUP(V83,tablas!$R$3:$T$66,3,TRUE))&amp;"$",$C$13)</f>
        <v>$\phi8@17$</v>
      </c>
      <c r="W84" s="134" t="str">
        <f>IF(W83&gt;$C$12,"$\phi"&amp;IF(VLOOKUP(VLOOKUP(W83,tablas!$R$3:$T$66,2,TRUE)&amp;VLOOKUP(W83,tablas!$R$3:$T$66,3,TRUE),tablas!$Q$3:$R$66,2,FALSE)&lt;W83,VLOOKUP(W83+0.1,tablas!$R$3:$T$66,2,TRUE),VLOOKUP(W83,tablas!$R$3:$T$66,2,TRUE))&amp;"@"&amp;IF(VLOOKUP(VLOOKUP(W83,tablas!$R$3:$T$66,2,TRUE)&amp;VLOOKUP(W83,tablas!$R$3:$T$66,3,TRUE),tablas!$Q$3:$R$66,2,FALSE)&lt;W83,VLOOKUP(W83+0.1,tablas!$R$3:$T$66,3,TRUE),VLOOKUP(W83,tablas!$R$3:$T$66,3,TRUE))&amp;"$",$C$13)</f>
        <v>$\phi8@17$</v>
      </c>
      <c r="X84" s="134" t="str">
        <f>IF(X83&gt;$C$12,"$\phi"&amp;IF(VLOOKUP(VLOOKUP(X83,tablas!$R$3:$T$66,2,TRUE)&amp;VLOOKUP(X83,tablas!$R$3:$T$66,3,TRUE),tablas!$Q$3:$R$66,2,FALSE)&lt;X83,VLOOKUP(X83+0.1,tablas!$R$3:$T$66,2,TRUE),VLOOKUP(X83,tablas!$R$3:$T$66,2,TRUE))&amp;"@"&amp;IF(VLOOKUP(VLOOKUP(X83,tablas!$R$3:$T$66,2,TRUE)&amp;VLOOKUP(X83,tablas!$R$3:$T$66,3,TRUE),tablas!$Q$3:$R$66,2,FALSE)&lt;X83,VLOOKUP(X83+0.1,tablas!$R$3:$T$66,3,TRUE),VLOOKUP(X83,tablas!$R$3:$T$66,3,TRUE))&amp;"$",$C$13)</f>
        <v>$\phi8@17$</v>
      </c>
    </row>
    <row r="85" spans="2:32" x14ac:dyDescent="0.25">
      <c r="B85" s="96" t="s">
        <v>104</v>
      </c>
      <c r="C85" s="89">
        <f>IF(C53&lt;=2,C67/C59,IF(OR(C51=6,C51="5a",C51="3a"),C66*C48^2/17.5,(IF(OR(C51="2a",C51=4,C51="5b"),C66*C48^2/11.25,IF(OR(C51=1,C51="2b",C51="3b"),C66*C48^2/8)))))</f>
        <v>2320.2508960573477</v>
      </c>
      <c r="D85" s="89">
        <f t="shared" ref="D85:X85" si="21">IF(D53&lt;=2,D67/D59,IF(OR(D51=6,D51="5a",D51="3a"),D66*D48^2/17.5,(IF(OR(D51="2a",D51=4,D51="5b"),D66*D48^2/11.25,IF(OR(D51=1,D51="2b",D51="3b"),D66*D48^2/8)))))</f>
        <v>1216.7161572052403</v>
      </c>
      <c r="E85" s="89">
        <f t="shared" si="21"/>
        <v>1216.7161572052403</v>
      </c>
      <c r="F85" s="89">
        <f t="shared" si="21"/>
        <v>2084.7312244897957</v>
      </c>
      <c r="G85" s="89">
        <f t="shared" si="21"/>
        <v>2015.9397209302329</v>
      </c>
      <c r="H85" s="89">
        <f t="shared" si="21"/>
        <v>1323.0049261083741</v>
      </c>
      <c r="I85" s="89">
        <f t="shared" si="21"/>
        <v>479.38048780487804</v>
      </c>
      <c r="J85" s="89">
        <f t="shared" si="21"/>
        <v>155.67999999999998</v>
      </c>
      <c r="K85" s="89">
        <f t="shared" si="21"/>
        <v>667.99428571428564</v>
      </c>
      <c r="L85" s="89">
        <f t="shared" si="21"/>
        <v>1323.0049261083741</v>
      </c>
      <c r="M85" s="89">
        <f t="shared" si="21"/>
        <v>1879.8058604651167</v>
      </c>
      <c r="N85" s="89">
        <f t="shared" si="21"/>
        <v>249.29093333333336</v>
      </c>
      <c r="O85" s="89">
        <f t="shared" si="21"/>
        <v>249.29093333333336</v>
      </c>
      <c r="P85" s="89">
        <f t="shared" si="21"/>
        <v>249.29093333333336</v>
      </c>
      <c r="Q85" s="89">
        <f t="shared" si="21"/>
        <v>249.29093333333336</v>
      </c>
      <c r="R85" s="89">
        <f t="shared" si="21"/>
        <v>118.25493333333335</v>
      </c>
      <c r="S85" s="89">
        <f t="shared" si="21"/>
        <v>118.25493333333335</v>
      </c>
      <c r="T85" s="89">
        <f t="shared" si="21"/>
        <v>196.31893333333335</v>
      </c>
      <c r="U85" s="89">
        <f t="shared" si="21"/>
        <v>196.31893333333335</v>
      </c>
      <c r="V85" s="89">
        <f t="shared" si="21"/>
        <v>59.870933333333333</v>
      </c>
      <c r="W85" s="89">
        <f t="shared" si="21"/>
        <v>53.573333333333331</v>
      </c>
      <c r="X85" s="89">
        <f t="shared" si="21"/>
        <v>555.22533936651575</v>
      </c>
    </row>
    <row r="86" spans="2:32" x14ac:dyDescent="0.25">
      <c r="B86" s="97" t="s">
        <v>15</v>
      </c>
      <c r="C86" s="90">
        <f>C85/(0.9*(0.9*($C$7/100))*($L$9*1000))</f>
        <v>4.7805528689638592</v>
      </c>
      <c r="D86" s="91">
        <f>D85/(0.9*(0.9*($C$7/100))*($L$9*1000))</f>
        <v>2.5068736859129865</v>
      </c>
      <c r="E86" s="91">
        <f t="shared" ref="E86:X86" si="22">E85/(0.9*(0.9*($C$7/100))*($L$9*1000))</f>
        <v>2.5068736859129865</v>
      </c>
      <c r="F86" s="91">
        <f t="shared" si="22"/>
        <v>4.2952974840729929</v>
      </c>
      <c r="G86" s="91">
        <f t="shared" si="22"/>
        <v>4.1535622000738277</v>
      </c>
      <c r="H86" s="91">
        <f t="shared" si="22"/>
        <v>2.7258668473775192</v>
      </c>
      <c r="I86" s="91">
        <f t="shared" si="22"/>
        <v>0.98769653324778284</v>
      </c>
      <c r="J86" s="91">
        <f t="shared" si="22"/>
        <v>0.32075689396561657</v>
      </c>
      <c r="K86" s="91">
        <f t="shared" si="22"/>
        <v>1.3763089174749159</v>
      </c>
      <c r="L86" s="91">
        <f t="shared" si="22"/>
        <v>2.7258668473775192</v>
      </c>
      <c r="M86" s="91">
        <f t="shared" si="22"/>
        <v>3.8730773963332101</v>
      </c>
      <c r="N86" s="91">
        <f t="shared" si="22"/>
        <v>0.51362914613174204</v>
      </c>
      <c r="O86" s="91">
        <f t="shared" si="22"/>
        <v>0.51362914613174204</v>
      </c>
      <c r="P86" s="91">
        <f t="shared" si="22"/>
        <v>0.51362914613174204</v>
      </c>
      <c r="Q86" s="91">
        <f t="shared" si="22"/>
        <v>0.51362914613174204</v>
      </c>
      <c r="R86" s="91">
        <f t="shared" si="22"/>
        <v>0.2436477717889971</v>
      </c>
      <c r="S86" s="91">
        <f t="shared" si="22"/>
        <v>0.2436477717889971</v>
      </c>
      <c r="T86" s="91">
        <f t="shared" si="22"/>
        <v>0.40448773948254729</v>
      </c>
      <c r="U86" s="91">
        <f t="shared" si="22"/>
        <v>0.40448773948254729</v>
      </c>
      <c r="V86" s="91">
        <f t="shared" si="22"/>
        <v>0.12335569511062758</v>
      </c>
      <c r="W86" s="91">
        <f t="shared" si="22"/>
        <v>0.11038036998576974</v>
      </c>
      <c r="X86" s="91">
        <f t="shared" si="22"/>
        <v>1.1439642555640352</v>
      </c>
    </row>
    <row r="87" spans="2:32" x14ac:dyDescent="0.25">
      <c r="B87" s="97" t="s">
        <v>98</v>
      </c>
      <c r="C87" s="92">
        <f>(C86*($L$9))/(0.85*$L$6*100)</f>
        <v>6.742714212939635E-2</v>
      </c>
      <c r="D87" s="93">
        <f>(D86*($L$9))/(0.85*$L$6*100)</f>
        <v>3.5358112953394569E-2</v>
      </c>
      <c r="E87" s="93">
        <f t="shared" ref="E87:X87" si="23">(E86*($L$9))/(0.85*$L$6*100)</f>
        <v>3.5358112953394569E-2</v>
      </c>
      <c r="F87" s="93">
        <f t="shared" si="23"/>
        <v>6.0582874384025084E-2</v>
      </c>
      <c r="G87" s="93">
        <f t="shared" si="23"/>
        <v>5.8583773986870931E-2</v>
      </c>
      <c r="H87" s="93">
        <f t="shared" si="23"/>
        <v>3.8446894403611084E-2</v>
      </c>
      <c r="I87" s="93">
        <f t="shared" si="23"/>
        <v>1.393093149547046E-2</v>
      </c>
      <c r="J87" s="93">
        <f t="shared" si="23"/>
        <v>4.5241044856577329E-3</v>
      </c>
      <c r="K87" s="93">
        <f t="shared" si="23"/>
        <v>1.9412101389990579E-2</v>
      </c>
      <c r="L87" s="93">
        <f t="shared" si="23"/>
        <v>3.8446894403611084E-2</v>
      </c>
      <c r="M87" s="93">
        <f t="shared" si="23"/>
        <v>5.462768580097592E-2</v>
      </c>
      <c r="N87" s="93">
        <f t="shared" si="23"/>
        <v>7.2444644766645454E-3</v>
      </c>
      <c r="O87" s="93">
        <f t="shared" si="23"/>
        <v>7.2444644766645454E-3</v>
      </c>
      <c r="P87" s="93">
        <f t="shared" si="23"/>
        <v>7.2444644766645454E-3</v>
      </c>
      <c r="Q87" s="93">
        <f t="shared" si="23"/>
        <v>7.2444644766645454E-3</v>
      </c>
      <c r="R87" s="93">
        <f t="shared" si="23"/>
        <v>3.436521546406023E-3</v>
      </c>
      <c r="S87" s="93">
        <f t="shared" si="23"/>
        <v>3.436521546406023E-3</v>
      </c>
      <c r="T87" s="93">
        <f t="shared" si="23"/>
        <v>5.705083292091951E-3</v>
      </c>
      <c r="U87" s="93">
        <f t="shared" si="23"/>
        <v>5.705083292091951E-3</v>
      </c>
      <c r="V87" s="93">
        <f t="shared" si="23"/>
        <v>1.739866123161925E-3</v>
      </c>
      <c r="W87" s="93">
        <f t="shared" si="23"/>
        <v>1.5568560999805387E-3</v>
      </c>
      <c r="X87" s="93">
        <f t="shared" si="23"/>
        <v>1.6135004164818161E-2</v>
      </c>
    </row>
    <row r="88" spans="2:32" ht="15.75" thickBot="1" x14ac:dyDescent="0.3">
      <c r="B88" s="97" t="s">
        <v>15</v>
      </c>
      <c r="C88" s="76">
        <f>ROUNDUP(C85/(0.9*(($C$7-C87/2)/100)*($L$9*1000)),2)</f>
        <v>4.3199999999999994</v>
      </c>
      <c r="D88" s="77">
        <f>ROUNDUP(D85/(0.9*(($C$7-D87/2)/100)*($L$9*1000)),2)</f>
        <v>2.2599999999999998</v>
      </c>
      <c r="E88" s="77">
        <f t="shared" ref="E88:X88" si="24">ROUNDUP(E85/(0.9*(($C$7-E87/2)/100)*($L$9*1000)),2)</f>
        <v>2.2599999999999998</v>
      </c>
      <c r="F88" s="77">
        <f t="shared" si="24"/>
        <v>3.88</v>
      </c>
      <c r="G88" s="77">
        <f t="shared" si="24"/>
        <v>3.75</v>
      </c>
      <c r="H88" s="77">
        <f t="shared" si="24"/>
        <v>2.46</v>
      </c>
      <c r="I88" s="77">
        <f t="shared" si="24"/>
        <v>0.89</v>
      </c>
      <c r="J88" s="77">
        <f t="shared" si="24"/>
        <v>0.29000000000000004</v>
      </c>
      <c r="K88" s="77">
        <f t="shared" si="24"/>
        <v>1.24</v>
      </c>
      <c r="L88" s="77">
        <f t="shared" si="24"/>
        <v>2.46</v>
      </c>
      <c r="M88" s="77">
        <f t="shared" si="24"/>
        <v>3.5</v>
      </c>
      <c r="N88" s="77">
        <f t="shared" si="24"/>
        <v>0.47000000000000003</v>
      </c>
      <c r="O88" s="77">
        <f t="shared" si="24"/>
        <v>0.47000000000000003</v>
      </c>
      <c r="P88" s="77">
        <f t="shared" si="24"/>
        <v>0.47000000000000003</v>
      </c>
      <c r="Q88" s="77">
        <f t="shared" si="24"/>
        <v>0.47000000000000003</v>
      </c>
      <c r="R88" s="77">
        <f t="shared" si="24"/>
        <v>0.22</v>
      </c>
      <c r="S88" s="77">
        <f t="shared" si="24"/>
        <v>0.22</v>
      </c>
      <c r="T88" s="77">
        <f t="shared" si="24"/>
        <v>0.37</v>
      </c>
      <c r="U88" s="77">
        <f t="shared" si="24"/>
        <v>0.37</v>
      </c>
      <c r="V88" s="77">
        <f t="shared" si="24"/>
        <v>0.12</v>
      </c>
      <c r="W88" s="77">
        <f t="shared" si="24"/>
        <v>9.9999999999999992E-2</v>
      </c>
      <c r="X88" s="77">
        <f t="shared" si="24"/>
        <v>1.04</v>
      </c>
    </row>
    <row r="89" spans="2:32" ht="16.5" thickBot="1" x14ac:dyDescent="0.3">
      <c r="B89" s="61" t="s">
        <v>106</v>
      </c>
      <c r="C89" s="134" t="str">
        <f>IF(C88&gt;$C$12,"$\phi"&amp;IF(VLOOKUP(VLOOKUP(C88,tablas!$R$3:$T$66,2,TRUE)&amp;VLOOKUP(C88,tablas!$R$3:$T$66,3,TRUE),tablas!$Q$3:$R$66,2,FALSE)&lt;C88,VLOOKUP(C88+0.1,tablas!$R$3:$T$66,2,TRUE),VLOOKUP(C88,tablas!$R$3:$T$66,2,TRUE))&amp;"@"&amp;IF(VLOOKUP(VLOOKUP(C88,tablas!$R$3:$T$66,2,TRUE)&amp;VLOOKUP(C88,tablas!$R$3:$T$66,3,TRUE),tablas!$Q$3:$R$66,2,FALSE)&lt;C88,VLOOKUP(C88+0.1,tablas!$R$3:$T$66,3,TRUE),VLOOKUP(C88,tablas!$R$3:$T$66,3,TRUE))&amp;"$",$C$13)</f>
        <v>$\phi10@18$</v>
      </c>
      <c r="D89" s="134" t="str">
        <f>IF(D88&gt;$C$12,"$\phi"&amp;IF(VLOOKUP(VLOOKUP(D88,tablas!$R$3:$T$66,2,TRUE)&amp;VLOOKUP(D88,tablas!$R$3:$T$66,3,TRUE),tablas!$Q$3:$R$66,2,FALSE)&lt;D88,VLOOKUP(D88+0.1,tablas!$R$3:$T$66,2,TRUE),VLOOKUP(D88,tablas!$R$3:$T$66,2,TRUE))&amp;"@"&amp;IF(VLOOKUP(VLOOKUP(D88,tablas!$R$3:$T$66,2,TRUE)&amp;VLOOKUP(D88,tablas!$R$3:$T$66,3,TRUE),tablas!$Q$3:$R$66,2,FALSE)&lt;D88,VLOOKUP(D88+0.1,tablas!$R$3:$T$66,3,TRUE),VLOOKUP(D88,tablas!$R$3:$T$66,3,TRUE))&amp;"$",$C$13)</f>
        <v>$\phi8@17$</v>
      </c>
      <c r="E89" s="134" t="str">
        <f>IF(E88&gt;$C$12,"$\phi"&amp;IF(VLOOKUP(VLOOKUP(E88,tablas!$R$3:$T$66,2,TRUE)&amp;VLOOKUP(E88,tablas!$R$3:$T$66,3,TRUE),tablas!$Q$3:$R$66,2,FALSE)&lt;E88,VLOOKUP(E88+0.1,tablas!$R$3:$T$66,2,TRUE),VLOOKUP(E88,tablas!$R$3:$T$66,2,TRUE))&amp;"@"&amp;IF(VLOOKUP(VLOOKUP(E88,tablas!$R$3:$T$66,2,TRUE)&amp;VLOOKUP(E88,tablas!$R$3:$T$66,3,TRUE),tablas!$Q$3:$R$66,2,FALSE)&lt;E88,VLOOKUP(E88+0.1,tablas!$R$3:$T$66,3,TRUE),VLOOKUP(E88,tablas!$R$3:$T$66,3,TRUE))&amp;"$",$C$13)</f>
        <v>$\phi8@17$</v>
      </c>
      <c r="F89" s="134" t="str">
        <f>IF(F88&gt;$C$12,"$\phi"&amp;IF(VLOOKUP(VLOOKUP(F88,tablas!$R$3:$T$66,2,TRUE)&amp;VLOOKUP(F88,tablas!$R$3:$T$66,3,TRUE),tablas!$Q$3:$R$66,2,FALSE)&lt;F88,VLOOKUP(F88+0.1,tablas!$R$3:$T$66,2,TRUE),VLOOKUP(F88,tablas!$R$3:$T$66,2,TRUE))&amp;"@"&amp;IF(VLOOKUP(VLOOKUP(F88,tablas!$R$3:$T$66,2,TRUE)&amp;VLOOKUP(F88,tablas!$R$3:$T$66,3,TRUE),tablas!$Q$3:$R$66,2,FALSE)&lt;F88,VLOOKUP(F88+0.1,tablas!$R$3:$T$66,3,TRUE),VLOOKUP(F88,tablas!$R$3:$T$66,3,TRUE))&amp;"$",$C$13)</f>
        <v>$\phi10@20$</v>
      </c>
      <c r="G89" s="134" t="str">
        <f>IF(G88&gt;$C$12,"$\phi"&amp;IF(VLOOKUP(VLOOKUP(G88,tablas!$R$3:$T$66,2,TRUE)&amp;VLOOKUP(G88,tablas!$R$3:$T$66,3,TRUE),tablas!$Q$3:$R$66,2,FALSE)&lt;G88,VLOOKUP(G88+0.1,tablas!$R$3:$T$66,2,TRUE),VLOOKUP(G88,tablas!$R$3:$T$66,2,TRUE))&amp;"@"&amp;IF(VLOOKUP(VLOOKUP(G88,tablas!$R$3:$T$66,2,TRUE)&amp;VLOOKUP(G88,tablas!$R$3:$T$66,3,TRUE),tablas!$Q$3:$R$66,2,FALSE)&lt;G88,VLOOKUP(G88+0.1,tablas!$R$3:$T$66,3,TRUE),VLOOKUP(G88,tablas!$R$3:$T$66,3,TRUE))&amp;"$",$C$13)</f>
        <v>$\phi10@21$</v>
      </c>
      <c r="H89" s="134" t="str">
        <f>IF(H88&gt;$C$12,"$\phi"&amp;IF(VLOOKUP(VLOOKUP(H88,tablas!$R$3:$T$66,2,TRUE)&amp;VLOOKUP(H88,tablas!$R$3:$T$66,3,TRUE),tablas!$Q$3:$R$66,2,FALSE)&lt;H88,VLOOKUP(H88+0.1,tablas!$R$3:$T$66,2,TRUE),VLOOKUP(H88,tablas!$R$3:$T$66,2,TRUE))&amp;"@"&amp;IF(VLOOKUP(VLOOKUP(H88,tablas!$R$3:$T$66,2,TRUE)&amp;VLOOKUP(H88,tablas!$R$3:$T$66,3,TRUE),tablas!$Q$3:$R$66,2,FALSE)&lt;H88,VLOOKUP(H88+0.1,tablas!$R$3:$T$66,3,TRUE),VLOOKUP(H88,tablas!$R$3:$T$66,3,TRUE))&amp;"$",$C$13)</f>
        <v>$\phi8@17$</v>
      </c>
      <c r="I89" s="134" t="str">
        <f>IF(I88&gt;$C$12,"$\phi"&amp;IF(VLOOKUP(VLOOKUP(I88,tablas!$R$3:$T$66,2,TRUE)&amp;VLOOKUP(I88,tablas!$R$3:$T$66,3,TRUE),tablas!$Q$3:$R$66,2,FALSE)&lt;I88,VLOOKUP(I88+0.1,tablas!$R$3:$T$66,2,TRUE),VLOOKUP(I88,tablas!$R$3:$T$66,2,TRUE))&amp;"@"&amp;IF(VLOOKUP(VLOOKUP(I88,tablas!$R$3:$T$66,2,TRUE)&amp;VLOOKUP(I88,tablas!$R$3:$T$66,3,TRUE),tablas!$Q$3:$R$66,2,FALSE)&lt;I88,VLOOKUP(I88+0.1,tablas!$R$3:$T$66,3,TRUE),VLOOKUP(I88,tablas!$R$3:$T$66,3,TRUE))&amp;"$",$C$13)</f>
        <v>$\phi8@17$</v>
      </c>
      <c r="J89" s="134" t="str">
        <f>IF(J88&gt;$C$12,"$\phi"&amp;IF(VLOOKUP(VLOOKUP(J88,tablas!$R$3:$T$66,2,TRUE)&amp;VLOOKUP(J88,tablas!$R$3:$T$66,3,TRUE),tablas!$Q$3:$R$66,2,FALSE)&lt;J88,VLOOKUP(J88+0.1,tablas!$R$3:$T$66,2,TRUE),VLOOKUP(J88,tablas!$R$3:$T$66,2,TRUE))&amp;"@"&amp;IF(VLOOKUP(VLOOKUP(J88,tablas!$R$3:$T$66,2,TRUE)&amp;VLOOKUP(J88,tablas!$R$3:$T$66,3,TRUE),tablas!$Q$3:$R$66,2,FALSE)&lt;J88,VLOOKUP(J88+0.1,tablas!$R$3:$T$66,3,TRUE),VLOOKUP(J88,tablas!$R$3:$T$66,3,TRUE))&amp;"$",$C$13)</f>
        <v>$\phi8@17$</v>
      </c>
      <c r="K89" s="134" t="str">
        <f>IF(K88&gt;$C$12,"$\phi"&amp;IF(VLOOKUP(VLOOKUP(K88,tablas!$R$3:$T$66,2,TRUE)&amp;VLOOKUP(K88,tablas!$R$3:$T$66,3,TRUE),tablas!$Q$3:$R$66,2,FALSE)&lt;K88,VLOOKUP(K88+0.1,tablas!$R$3:$T$66,2,TRUE),VLOOKUP(K88,tablas!$R$3:$T$66,2,TRUE))&amp;"@"&amp;IF(VLOOKUP(VLOOKUP(K88,tablas!$R$3:$T$66,2,TRUE)&amp;VLOOKUP(K88,tablas!$R$3:$T$66,3,TRUE),tablas!$Q$3:$R$66,2,FALSE)&lt;K88,VLOOKUP(K88+0.1,tablas!$R$3:$T$66,3,TRUE),VLOOKUP(K88,tablas!$R$3:$T$66,3,TRUE))&amp;"$",$C$13)</f>
        <v>$\phi8@17$</v>
      </c>
      <c r="L89" s="134" t="str">
        <f>IF(L88&gt;$C$12,"$\phi"&amp;IF(VLOOKUP(VLOOKUP(L88,tablas!$R$3:$T$66,2,TRUE)&amp;VLOOKUP(L88,tablas!$R$3:$T$66,3,TRUE),tablas!$Q$3:$R$66,2,FALSE)&lt;L88,VLOOKUP(L88+0.1,tablas!$R$3:$T$66,2,TRUE),VLOOKUP(L88,tablas!$R$3:$T$66,2,TRUE))&amp;"@"&amp;IF(VLOOKUP(VLOOKUP(L88,tablas!$R$3:$T$66,2,TRUE)&amp;VLOOKUP(L88,tablas!$R$3:$T$66,3,TRUE),tablas!$Q$3:$R$66,2,FALSE)&lt;L88,VLOOKUP(L88+0.1,tablas!$R$3:$T$66,3,TRUE),VLOOKUP(L88,tablas!$R$3:$T$66,3,TRUE))&amp;"$",$C$13)</f>
        <v>$\phi8@17$</v>
      </c>
      <c r="M89" s="134" t="str">
        <f>IF(M88&gt;$C$12,"$\phi"&amp;IF(VLOOKUP(VLOOKUP(M88,tablas!$R$3:$T$66,2,TRUE)&amp;VLOOKUP(M88,tablas!$R$3:$T$66,3,TRUE),tablas!$Q$3:$R$66,2,FALSE)&lt;M88,VLOOKUP(M88+0.1,tablas!$R$3:$T$66,2,TRUE),VLOOKUP(M88,tablas!$R$3:$T$66,2,TRUE))&amp;"@"&amp;IF(VLOOKUP(VLOOKUP(M88,tablas!$R$3:$T$66,2,TRUE)&amp;VLOOKUP(M88,tablas!$R$3:$T$66,3,TRUE),tablas!$Q$3:$R$66,2,FALSE)&lt;M88,VLOOKUP(M88+0.1,tablas!$R$3:$T$66,3,TRUE),VLOOKUP(M88,tablas!$R$3:$T$66,3,TRUE))&amp;"$",$C$13)</f>
        <v>$\phi8@14$</v>
      </c>
      <c r="N89" s="134" t="str">
        <f>IF(N88&gt;$C$12,"$\phi"&amp;IF(VLOOKUP(VLOOKUP(N88,tablas!$R$3:$T$66,2,TRUE)&amp;VLOOKUP(N88,tablas!$R$3:$T$66,3,TRUE),tablas!$Q$3:$R$66,2,FALSE)&lt;N88,VLOOKUP(N88+0.1,tablas!$R$3:$T$66,2,TRUE),VLOOKUP(N88,tablas!$R$3:$T$66,2,TRUE))&amp;"@"&amp;IF(VLOOKUP(VLOOKUP(N88,tablas!$R$3:$T$66,2,TRUE)&amp;VLOOKUP(N88,tablas!$R$3:$T$66,3,TRUE),tablas!$Q$3:$R$66,2,FALSE)&lt;N88,VLOOKUP(N88+0.1,tablas!$R$3:$T$66,3,TRUE),VLOOKUP(N88,tablas!$R$3:$T$66,3,TRUE))&amp;"$",$C$13)</f>
        <v>$\phi8@17$</v>
      </c>
      <c r="O89" s="134" t="str">
        <f>IF(O88&gt;$C$12,"$\phi"&amp;IF(VLOOKUP(VLOOKUP(O88,tablas!$R$3:$T$66,2,TRUE)&amp;VLOOKUP(O88,tablas!$R$3:$T$66,3,TRUE),tablas!$Q$3:$R$66,2,FALSE)&lt;O88,VLOOKUP(O88+0.1,tablas!$R$3:$T$66,2,TRUE),VLOOKUP(O88,tablas!$R$3:$T$66,2,TRUE))&amp;"@"&amp;IF(VLOOKUP(VLOOKUP(O88,tablas!$R$3:$T$66,2,TRUE)&amp;VLOOKUP(O88,tablas!$R$3:$T$66,3,TRUE),tablas!$Q$3:$R$66,2,FALSE)&lt;O88,VLOOKUP(O88+0.1,tablas!$R$3:$T$66,3,TRUE),VLOOKUP(O88,tablas!$R$3:$T$66,3,TRUE))&amp;"$",$C$13)</f>
        <v>$\phi8@17$</v>
      </c>
      <c r="P89" s="134" t="str">
        <f>IF(P88&gt;$C$12,"$\phi"&amp;IF(VLOOKUP(VLOOKUP(P88,tablas!$R$3:$T$66,2,TRUE)&amp;VLOOKUP(P88,tablas!$R$3:$T$66,3,TRUE),tablas!$Q$3:$R$66,2,FALSE)&lt;P88,VLOOKUP(P88+0.1,tablas!$R$3:$T$66,2,TRUE),VLOOKUP(P88,tablas!$R$3:$T$66,2,TRUE))&amp;"@"&amp;IF(VLOOKUP(VLOOKUP(P88,tablas!$R$3:$T$66,2,TRUE)&amp;VLOOKUP(P88,tablas!$R$3:$T$66,3,TRUE),tablas!$Q$3:$R$66,2,FALSE)&lt;P88,VLOOKUP(P88+0.1,tablas!$R$3:$T$66,3,TRUE),VLOOKUP(P88,tablas!$R$3:$T$66,3,TRUE))&amp;"$",$C$13)</f>
        <v>$\phi8@17$</v>
      </c>
      <c r="Q89" s="134" t="str">
        <f>IF(Q88&gt;$C$12,"$\phi"&amp;IF(VLOOKUP(VLOOKUP(Q88,tablas!$R$3:$T$66,2,TRUE)&amp;VLOOKUP(Q88,tablas!$R$3:$T$66,3,TRUE),tablas!$Q$3:$R$66,2,FALSE)&lt;Q88,VLOOKUP(Q88+0.1,tablas!$R$3:$T$66,2,TRUE),VLOOKUP(Q88,tablas!$R$3:$T$66,2,TRUE))&amp;"@"&amp;IF(VLOOKUP(VLOOKUP(Q88,tablas!$R$3:$T$66,2,TRUE)&amp;VLOOKUP(Q88,tablas!$R$3:$T$66,3,TRUE),tablas!$Q$3:$R$66,2,FALSE)&lt;Q88,VLOOKUP(Q88+0.1,tablas!$R$3:$T$66,3,TRUE),VLOOKUP(Q88,tablas!$R$3:$T$66,3,TRUE))&amp;"$",$C$13)</f>
        <v>$\phi8@17$</v>
      </c>
      <c r="R89" s="134" t="str">
        <f>IF(R88&gt;$C$12,"$\phi"&amp;IF(VLOOKUP(VLOOKUP(R88,tablas!$R$3:$T$66,2,TRUE)&amp;VLOOKUP(R88,tablas!$R$3:$T$66,3,TRUE),tablas!$Q$3:$R$66,2,FALSE)&lt;R88,VLOOKUP(R88+0.1,tablas!$R$3:$T$66,2,TRUE),VLOOKUP(R88,tablas!$R$3:$T$66,2,TRUE))&amp;"@"&amp;IF(VLOOKUP(VLOOKUP(R88,tablas!$R$3:$T$66,2,TRUE)&amp;VLOOKUP(R88,tablas!$R$3:$T$66,3,TRUE),tablas!$Q$3:$R$66,2,FALSE)&lt;R88,VLOOKUP(R88+0.1,tablas!$R$3:$T$66,3,TRUE),VLOOKUP(R88,tablas!$R$3:$T$66,3,TRUE))&amp;"$",$C$13)</f>
        <v>$\phi8@17$</v>
      </c>
      <c r="S89" s="134" t="str">
        <f>IF(S88&gt;$C$12,"$\phi"&amp;IF(VLOOKUP(VLOOKUP(S88,tablas!$R$3:$T$66,2,TRUE)&amp;VLOOKUP(S88,tablas!$R$3:$T$66,3,TRUE),tablas!$Q$3:$R$66,2,FALSE)&lt;S88,VLOOKUP(S88+0.1,tablas!$R$3:$T$66,2,TRUE),VLOOKUP(S88,tablas!$R$3:$T$66,2,TRUE))&amp;"@"&amp;IF(VLOOKUP(VLOOKUP(S88,tablas!$R$3:$T$66,2,TRUE)&amp;VLOOKUP(S88,tablas!$R$3:$T$66,3,TRUE),tablas!$Q$3:$R$66,2,FALSE)&lt;S88,VLOOKUP(S88+0.1,tablas!$R$3:$T$66,3,TRUE),VLOOKUP(S88,tablas!$R$3:$T$66,3,TRUE))&amp;"$",$C$13)</f>
        <v>$\phi8@17$</v>
      </c>
      <c r="T89" s="134" t="str">
        <f>IF(T88&gt;$C$12,"$\phi"&amp;IF(VLOOKUP(VLOOKUP(T88,tablas!$R$3:$T$66,2,TRUE)&amp;VLOOKUP(T88,tablas!$R$3:$T$66,3,TRUE),tablas!$Q$3:$R$66,2,FALSE)&lt;T88,VLOOKUP(T88+0.1,tablas!$R$3:$T$66,2,TRUE),VLOOKUP(T88,tablas!$R$3:$T$66,2,TRUE))&amp;"@"&amp;IF(VLOOKUP(VLOOKUP(T88,tablas!$R$3:$T$66,2,TRUE)&amp;VLOOKUP(T88,tablas!$R$3:$T$66,3,TRUE),tablas!$Q$3:$R$66,2,FALSE)&lt;T88,VLOOKUP(T88+0.1,tablas!$R$3:$T$66,3,TRUE),VLOOKUP(T88,tablas!$R$3:$T$66,3,TRUE))&amp;"$",$C$13)</f>
        <v>$\phi8@17$</v>
      </c>
      <c r="U89" s="134" t="str">
        <f>IF(U88&gt;$C$12,"$\phi"&amp;IF(VLOOKUP(VLOOKUP(U88,tablas!$R$3:$T$66,2,TRUE)&amp;VLOOKUP(U88,tablas!$R$3:$T$66,3,TRUE),tablas!$Q$3:$R$66,2,FALSE)&lt;U88,VLOOKUP(U88+0.1,tablas!$R$3:$T$66,2,TRUE),VLOOKUP(U88,tablas!$R$3:$T$66,2,TRUE))&amp;"@"&amp;IF(VLOOKUP(VLOOKUP(U88,tablas!$R$3:$T$66,2,TRUE)&amp;VLOOKUP(U88,tablas!$R$3:$T$66,3,TRUE),tablas!$Q$3:$R$66,2,FALSE)&lt;U88,VLOOKUP(U88+0.1,tablas!$R$3:$T$66,3,TRUE),VLOOKUP(U88,tablas!$R$3:$T$66,3,TRUE))&amp;"$",$C$13)</f>
        <v>$\phi8@17$</v>
      </c>
      <c r="V89" s="134" t="str">
        <f>IF(V88&gt;$C$12,"$\phi"&amp;IF(VLOOKUP(VLOOKUP(V88,tablas!$R$3:$T$66,2,TRUE)&amp;VLOOKUP(V88,tablas!$R$3:$T$66,3,TRUE),tablas!$Q$3:$R$66,2,FALSE)&lt;V88,VLOOKUP(V88+0.1,tablas!$R$3:$T$66,2,TRUE),VLOOKUP(V88,tablas!$R$3:$T$66,2,TRUE))&amp;"@"&amp;IF(VLOOKUP(VLOOKUP(V88,tablas!$R$3:$T$66,2,TRUE)&amp;VLOOKUP(V88,tablas!$R$3:$T$66,3,TRUE),tablas!$Q$3:$R$66,2,FALSE)&lt;V88,VLOOKUP(V88+0.1,tablas!$R$3:$T$66,3,TRUE),VLOOKUP(V88,tablas!$R$3:$T$66,3,TRUE))&amp;"$",$C$13)</f>
        <v>$\phi8@17$</v>
      </c>
      <c r="W89" s="134" t="str">
        <f>IF(W88&gt;$C$12,"$\phi"&amp;IF(VLOOKUP(VLOOKUP(W88,tablas!$R$3:$T$66,2,TRUE)&amp;VLOOKUP(W88,tablas!$R$3:$T$66,3,TRUE),tablas!$Q$3:$R$66,2,FALSE)&lt;W88,VLOOKUP(W88+0.1,tablas!$R$3:$T$66,2,TRUE),VLOOKUP(W88,tablas!$R$3:$T$66,2,TRUE))&amp;"@"&amp;IF(VLOOKUP(VLOOKUP(W88,tablas!$R$3:$T$66,2,TRUE)&amp;VLOOKUP(W88,tablas!$R$3:$T$66,3,TRUE),tablas!$Q$3:$R$66,2,FALSE)&lt;W88,VLOOKUP(W88+0.1,tablas!$R$3:$T$66,3,TRUE),VLOOKUP(W88,tablas!$R$3:$T$66,3,TRUE))&amp;"$",$C$13)</f>
        <v>$\phi8@17$</v>
      </c>
      <c r="X89" s="134" t="str">
        <f>IF(X88&gt;$C$12,"$\phi"&amp;IF(VLOOKUP(VLOOKUP(X88,tablas!$R$3:$T$66,2,TRUE)&amp;VLOOKUP(X88,tablas!$R$3:$T$66,3,TRUE),tablas!$Q$3:$R$66,2,FALSE)&lt;X88,VLOOKUP(X88+0.1,tablas!$R$3:$T$66,2,TRUE),VLOOKUP(X88,tablas!$R$3:$T$66,2,TRUE))&amp;"@"&amp;IF(VLOOKUP(VLOOKUP(X88,tablas!$R$3:$T$66,2,TRUE)&amp;VLOOKUP(X88,tablas!$R$3:$T$66,3,TRUE),tablas!$Q$3:$R$66,2,FALSE)&lt;X88,VLOOKUP(X88+0.1,tablas!$R$3:$T$66,3,TRUE),VLOOKUP(X88,tablas!$R$3:$T$66,3,TRUE))&amp;"$",$C$13)</f>
        <v>$\phi8@17$</v>
      </c>
    </row>
    <row r="90" spans="2:32" x14ac:dyDescent="0.25">
      <c r="P90" s="40"/>
      <c r="T90" s="40"/>
      <c r="U90" s="41"/>
    </row>
    <row r="91" spans="2:32" ht="15.75" thickBot="1" x14ac:dyDescent="0.3">
      <c r="B91" s="219" t="s">
        <v>107</v>
      </c>
      <c r="C91" s="219"/>
      <c r="P91" s="40"/>
      <c r="T91" s="40"/>
      <c r="U91" s="41"/>
    </row>
    <row r="92" spans="2:32" ht="15.75" thickBot="1" x14ac:dyDescent="0.3">
      <c r="B92" s="73" t="s">
        <v>43</v>
      </c>
      <c r="C92" s="74" t="s">
        <v>139</v>
      </c>
      <c r="D92" s="75" t="s">
        <v>141</v>
      </c>
      <c r="E92" s="74" t="s">
        <v>139</v>
      </c>
      <c r="F92" s="75" t="s">
        <v>144</v>
      </c>
      <c r="G92" s="74" t="s">
        <v>139</v>
      </c>
      <c r="H92" s="75" t="s">
        <v>145</v>
      </c>
      <c r="I92" s="74" t="s">
        <v>139</v>
      </c>
      <c r="J92" s="75" t="s">
        <v>151</v>
      </c>
      <c r="K92" s="74" t="s">
        <v>139</v>
      </c>
      <c r="L92" s="75" t="s">
        <v>160</v>
      </c>
      <c r="M92" s="74" t="s">
        <v>141</v>
      </c>
      <c r="N92" s="75" t="s">
        <v>142</v>
      </c>
      <c r="O92" s="74" t="s">
        <v>141</v>
      </c>
      <c r="P92" s="75" t="s">
        <v>147</v>
      </c>
      <c r="Q92" s="74" t="s">
        <v>141</v>
      </c>
      <c r="R92" s="75" t="s">
        <v>152</v>
      </c>
      <c r="S92" s="74" t="s">
        <v>142</v>
      </c>
      <c r="T92" s="75" t="s">
        <v>153</v>
      </c>
      <c r="U92" s="74" t="s">
        <v>142</v>
      </c>
      <c r="V92" s="75" t="s">
        <v>147</v>
      </c>
      <c r="W92" s="74" t="s">
        <v>142</v>
      </c>
      <c r="X92" s="75" t="s">
        <v>143</v>
      </c>
      <c r="Y92" s="74" t="s">
        <v>143</v>
      </c>
      <c r="Z92" s="75" t="s">
        <v>154</v>
      </c>
    </row>
    <row r="93" spans="2:32" ht="15.75" hidden="1" thickBot="1" x14ac:dyDescent="0.3">
      <c r="B93" s="144"/>
      <c r="C93" s="146" t="str">
        <f>C92&amp;"-"&amp;D92</f>
        <v>201-202</v>
      </c>
      <c r="D93" s="146"/>
      <c r="E93" s="146" t="str">
        <f>E92&amp;"-"&amp;F92</f>
        <v>201-205</v>
      </c>
      <c r="F93" s="145"/>
      <c r="G93" s="146" t="str">
        <f>G92&amp;"-"&amp;H92</f>
        <v>201-206</v>
      </c>
      <c r="H93" s="145"/>
      <c r="I93" s="146" t="str">
        <f>I92&amp;"-"&amp;J92</f>
        <v>201-212</v>
      </c>
      <c r="J93" s="145"/>
      <c r="K93" s="146" t="str">
        <f>K92&amp;"-"&amp;L92</f>
        <v>201-221</v>
      </c>
      <c r="L93" s="145"/>
      <c r="M93" s="146" t="str">
        <f>M92&amp;"-"&amp;N92</f>
        <v>202-203</v>
      </c>
      <c r="N93" s="145"/>
      <c r="O93" s="146" t="str">
        <f>O92&amp;"-"&amp;P92</f>
        <v>202-208</v>
      </c>
      <c r="P93" s="145"/>
      <c r="Q93" s="146" t="str">
        <f>Q92&amp;"-"&amp;R92</f>
        <v>202-213</v>
      </c>
      <c r="R93" s="145"/>
      <c r="S93" s="146" t="str">
        <f>S92&amp;"-"&amp;T92</f>
        <v>203-214</v>
      </c>
      <c r="T93" s="145"/>
      <c r="U93" s="146" t="str">
        <f>U92&amp;"-"&amp;V92</f>
        <v>203-208</v>
      </c>
      <c r="V93" s="145"/>
      <c r="W93" s="146" t="str">
        <f>W92&amp;"-"&amp;X92</f>
        <v>203-204</v>
      </c>
      <c r="X93" s="145"/>
      <c r="Y93" s="146" t="str">
        <f>Y92&amp;"-"&amp;Z92</f>
        <v>204-215</v>
      </c>
      <c r="Z93" s="145"/>
      <c r="AA93" s="146" t="str">
        <f>AA92&amp;"-"&amp;AB92</f>
        <v>-</v>
      </c>
      <c r="AB93" s="145"/>
      <c r="AC93" s="146" t="str">
        <f>AC92&amp;"-"&amp;AD92</f>
        <v>-</v>
      </c>
      <c r="AD93" s="145"/>
      <c r="AE93" s="146" t="str">
        <f>AE92&amp;"-"&amp;AF92</f>
        <v>-</v>
      </c>
      <c r="AF93" s="145"/>
    </row>
    <row r="94" spans="2:32" x14ac:dyDescent="0.25">
      <c r="B94" s="105" t="s">
        <v>114</v>
      </c>
      <c r="C94" s="102" t="s">
        <v>109</v>
      </c>
      <c r="D94" s="103" t="s">
        <v>109</v>
      </c>
      <c r="E94" s="102" t="s">
        <v>108</v>
      </c>
      <c r="F94" s="103" t="s">
        <v>108</v>
      </c>
      <c r="G94" s="102" t="s">
        <v>108</v>
      </c>
      <c r="H94" s="103" t="s">
        <v>109</v>
      </c>
      <c r="I94" s="102" t="s">
        <v>108</v>
      </c>
      <c r="J94" s="103" t="s">
        <v>108</v>
      </c>
      <c r="K94" s="102" t="s">
        <v>109</v>
      </c>
      <c r="L94" s="103" t="s">
        <v>108</v>
      </c>
      <c r="M94" s="102" t="s">
        <v>109</v>
      </c>
      <c r="N94" s="103" t="s">
        <v>109</v>
      </c>
      <c r="O94" s="102" t="s">
        <v>108</v>
      </c>
      <c r="P94" s="103" t="s">
        <v>108</v>
      </c>
      <c r="Q94" s="102" t="s">
        <v>108</v>
      </c>
      <c r="R94" s="103" t="s">
        <v>108</v>
      </c>
      <c r="S94" s="102" t="s">
        <v>108</v>
      </c>
      <c r="T94" s="103" t="s">
        <v>108</v>
      </c>
      <c r="U94" s="102" t="s">
        <v>108</v>
      </c>
      <c r="V94" s="103" t="s">
        <v>108</v>
      </c>
      <c r="W94" s="102" t="s">
        <v>109</v>
      </c>
      <c r="X94" s="103" t="s">
        <v>109</v>
      </c>
      <c r="Y94" s="102" t="s">
        <v>108</v>
      </c>
      <c r="Z94" s="103" t="s">
        <v>108</v>
      </c>
    </row>
    <row r="95" spans="2:32" x14ac:dyDescent="0.25">
      <c r="B95" s="106" t="s">
        <v>110</v>
      </c>
      <c r="C95" s="104">
        <f t="shared" ref="C95:K95" si="25">HLOOKUP(C92,$B$46:$V$89,IF(C94="x",35,40),FALSE)</f>
        <v>2320.2508960573477</v>
      </c>
      <c r="D95" s="86">
        <f t="shared" si="25"/>
        <v>1216.7161572052403</v>
      </c>
      <c r="E95" s="104">
        <f t="shared" si="25"/>
        <v>3157.8048780487807</v>
      </c>
      <c r="F95" s="86">
        <f t="shared" si="25"/>
        <v>2330.2529032258067</v>
      </c>
      <c r="G95" s="104">
        <f t="shared" si="25"/>
        <v>3157.8048780487807</v>
      </c>
      <c r="H95" s="86">
        <f t="shared" si="25"/>
        <v>1323.0049261083741</v>
      </c>
      <c r="I95" s="104">
        <f t="shared" si="25"/>
        <v>3157.8048780487807</v>
      </c>
      <c r="J95" s="86">
        <f t="shared" si="25"/>
        <v>350.56537500000002</v>
      </c>
      <c r="K95" s="104">
        <f t="shared" si="25"/>
        <v>2320.2508960573477</v>
      </c>
      <c r="L95" s="86">
        <f>HLOOKUP(L92,$B$46:$X$89,IF(L94="x",35,40),FALSE)</f>
        <v>75.337499999999991</v>
      </c>
      <c r="M95" s="104">
        <f t="shared" ref="M95:X95" si="26">HLOOKUP(M92,$B$46:$X$89,IF(M94="x",35,40),FALSE)</f>
        <v>1216.7161572052403</v>
      </c>
      <c r="N95" s="86">
        <f t="shared" si="26"/>
        <v>1216.7161572052403</v>
      </c>
      <c r="O95" s="104">
        <f t="shared" si="26"/>
        <v>1482.063829787234</v>
      </c>
      <c r="P95" s="86">
        <f t="shared" si="26"/>
        <v>227.0333333333333</v>
      </c>
      <c r="Q95" s="104">
        <f t="shared" si="26"/>
        <v>1482.063829787234</v>
      </c>
      <c r="R95" s="86">
        <f t="shared" si="26"/>
        <v>350.56537500000002</v>
      </c>
      <c r="S95" s="104">
        <f t="shared" si="26"/>
        <v>1482.063829787234</v>
      </c>
      <c r="T95" s="86">
        <f t="shared" si="26"/>
        <v>350.56537500000002</v>
      </c>
      <c r="U95" s="104">
        <f t="shared" si="26"/>
        <v>1482.063829787234</v>
      </c>
      <c r="V95" s="86">
        <f t="shared" si="26"/>
        <v>227.0333333333333</v>
      </c>
      <c r="W95" s="104">
        <f t="shared" si="26"/>
        <v>1216.7161572052403</v>
      </c>
      <c r="X95" s="86">
        <f t="shared" si="26"/>
        <v>2084.7312244897957</v>
      </c>
      <c r="Y95" s="104">
        <f t="shared" ref="Y95" si="27">HLOOKUP(Y92,$B$46:$X$89,IF(Y94="x",35,40),FALSE)</f>
        <v>2660.2039062500003</v>
      </c>
      <c r="Z95" s="86">
        <f t="shared" ref="Z95" si="28">HLOOKUP(Z92,$B$46:$X$89,IF(Z94="x",35,40),FALSE)</f>
        <v>350.56537500000002</v>
      </c>
    </row>
    <row r="96" spans="2:32" x14ac:dyDescent="0.25">
      <c r="B96" s="106" t="s">
        <v>111</v>
      </c>
      <c r="C96" s="203">
        <f>(MAX(C95:D95)-MIN(C95:D95))/(MAX(C95:D95))</f>
        <v>0.47561009058428666</v>
      </c>
      <c r="D96" s="204"/>
      <c r="E96" s="203">
        <f>(MAX(E95:F95)-MIN(E95:F95))/(MAX(E95:F95))</f>
        <v>0.26206558251133028</v>
      </c>
      <c r="F96" s="204"/>
      <c r="G96" s="203">
        <f>(MAX(G95:H95)-MIN(G95:H95))/(MAX(G95:H95))</f>
        <v>0.58103651834059367</v>
      </c>
      <c r="H96" s="204"/>
      <c r="I96" s="203">
        <f>(MAX(I95:J95)-MIN(I95:J95))/(MAX(I95:J95))</f>
        <v>0.88898447227156863</v>
      </c>
      <c r="J96" s="204"/>
      <c r="K96" s="203">
        <f>(MAX(K95:L95)-MIN(K95:L95))/(MAX(K95:L95))</f>
        <v>0.96753045106974589</v>
      </c>
      <c r="L96" s="204"/>
      <c r="M96" s="203">
        <f>(MAX(M95:N95)-MIN(M95:N95))/(MAX(M95:N95))</f>
        <v>0</v>
      </c>
      <c r="N96" s="204"/>
      <c r="O96" s="203">
        <f>(MAX(O95:P95)-MIN(O95:P95))/(MAX(O95:P95))</f>
        <v>0.84681271563996918</v>
      </c>
      <c r="P96" s="204"/>
      <c r="Q96" s="203">
        <f>(MAX(Q95:R95)-MIN(Q95:R95))/(MAX(Q95:R95))</f>
        <v>0.76346135169473284</v>
      </c>
      <c r="R96" s="204"/>
      <c r="S96" s="203">
        <f>(MAX(S95:T95)-MIN(S95:T95))/(MAX(S95:T95))</f>
        <v>0.76346135169473284</v>
      </c>
      <c r="T96" s="204"/>
      <c r="U96" s="203">
        <f>(MAX(U95:V95)-MIN(U95:V95))/(MAX(U95:V95))</f>
        <v>0.84681271563996918</v>
      </c>
      <c r="V96" s="204"/>
      <c r="W96" s="203">
        <f>(MAX(W95:X95)-MIN(W95:X95))/(MAX(W95:X95))</f>
        <v>0.41636785456455572</v>
      </c>
      <c r="X96" s="204"/>
      <c r="Y96" s="203">
        <f>(MAX(Y95:Z95)-MIN(Y95:Z95))/(MAX(Y95:Z95))</f>
        <v>0.8682186075374273</v>
      </c>
      <c r="Z96" s="204"/>
    </row>
    <row r="97" spans="2:26" x14ac:dyDescent="0.25">
      <c r="B97" s="106" t="s">
        <v>112</v>
      </c>
      <c r="C97" s="205">
        <f>IF(C96&lt;25%,(C95*0.5+D95*0.5)*0.9,IF(C96&lt;50%,(MAX(C95:D95)*0.6+MIN(C95:D95)*0.4)*0.9,IF(C96&lt;70%,(MAX(C95:D95)*0.65+MIN(C95:D95)*0.35)*0.9,IF(C96&lt;100%,(MAX(C95:D95)*0.7+MIN(C95:D95)*0.3)*0.9,0.7*MAX(C95:D95)))))</f>
        <v>1690.9533004648542</v>
      </c>
      <c r="D97" s="206"/>
      <c r="E97" s="205">
        <f>IF(E96&lt;25%,(E95*0.5+F95*0.5)*0.9,IF(E96&lt;50%,(MAX(E95:F95)*0.6+MIN(E95:F95)*0.4)*0.9,IF(E96&lt;70%,(MAX(E95:F95)*0.65+MIN(E95:F95)*0.35)*0.9,IF(E96&lt;100%,(MAX(E95:F95)*0.7+MIN(E95:F95)*0.3)*0.9,0.7*MAX(E95:F95)))))</f>
        <v>2544.1056793076323</v>
      </c>
      <c r="F97" s="206"/>
      <c r="G97" s="205">
        <f>IF(G96&lt;25%,(G95*0.5+H95*0.5)*0.9,IF(G96&lt;50%,(MAX(G95:H95)*0.6+MIN(G95:H95)*0.4)*0.9,IF(G96&lt;70%,(MAX(G95:H95)*0.65+MIN(G95:H95)*0.35)*0.9,IF(G96&lt;100%,(MAX(G95:H95)*0.7+MIN(G95:H95)*0.3)*0.9,0.7*MAX(G95:H95)))))</f>
        <v>2264.0624053826746</v>
      </c>
      <c r="H97" s="206"/>
      <c r="I97" s="205">
        <f>IF(I96&lt;25%,(I95*0.5+J95*0.5)*0.9,IF(I96&lt;50%,(MAX(I95:J95)*0.6+MIN(I95:J95)*0.4)*0.9,IF(I96&lt;70%,(MAX(I95:J95)*0.65+MIN(I95:J95)*0.35)*0.9,IF(I96&lt;100%,(MAX(I95:J95)*0.7+MIN(I95:J95)*0.3)*0.9,0.7*MAX(I95:J95)))))</f>
        <v>2084.0697244207317</v>
      </c>
      <c r="J97" s="206"/>
      <c r="K97" s="205">
        <f>IF(K96&lt;25%,(K95*0.5+L95*0.5)*0.9,IF(K96&lt;50%,(MAX(K95:L95)*0.6+MIN(K95:L95)*0.4)*0.9,IF(K96&lt;70%,(MAX(K95:L95)*0.65+MIN(K95:L95)*0.35)*0.9,IF(K96&lt;100%,(MAX(K95:L95)*0.7+MIN(K95:L95)*0.3)*0.9,0.7*MAX(K95:L95)))))</f>
        <v>1482.0991895161289</v>
      </c>
      <c r="L97" s="206"/>
      <c r="M97" s="205">
        <f>IF(M96&lt;25%,(M95*0.5+N95*0.5)*0.9,IF(M96&lt;50%,(MAX(M95:N95)*0.6+MIN(M95:N95)*0.4)*0.9,IF(M96&lt;70%,(MAX(M95:N95)*0.65+MIN(M95:N95)*0.35)*0.9,IF(M96&lt;100%,(MAX(M95:N95)*0.7+MIN(M95:N95)*0.3)*0.9,0.7*MAX(M95:N95)))))</f>
        <v>1095.0445414847163</v>
      </c>
      <c r="N97" s="206"/>
      <c r="O97" s="205">
        <f>IF(O96&lt;25%,(O95*0.5+P95*0.5)*0.9,IF(O96&lt;50%,(MAX(O95:P95)*0.6+MIN(O95:P95)*0.4)*0.9,IF(O96&lt;70%,(MAX(O95:P95)*0.65+MIN(O95:P95)*0.35)*0.9,IF(O96&lt;100%,(MAX(O95:P95)*0.7+MIN(O95:P95)*0.3)*0.9,0.7*MAX(O95:P95)))))</f>
        <v>994.9992127659574</v>
      </c>
      <c r="P97" s="206"/>
      <c r="Q97" s="205">
        <f>IF(Q96&lt;25%,(Q95*0.5+R95*0.5)*0.9,IF(Q96&lt;50%,(MAX(Q95:R95)*0.6+MIN(Q95:R95)*0.4)*0.9,IF(Q96&lt;70%,(MAX(Q95:R95)*0.65+MIN(Q95:R95)*0.35)*0.9,IF(Q96&lt;100%,(MAX(Q95:R95)*0.7+MIN(Q95:R95)*0.3)*0.9,0.7*MAX(Q95:R95)))))</f>
        <v>1028.3528640159575</v>
      </c>
      <c r="R97" s="206"/>
      <c r="S97" s="205">
        <f>IF(S96&lt;25%,(S95*0.5+T95*0.5)*0.9,IF(S96&lt;50%,(MAX(S95:T95)*0.6+MIN(S95:T95)*0.4)*0.9,IF(S96&lt;70%,(MAX(S95:T95)*0.65+MIN(S95:T95)*0.35)*0.9,IF(S96&lt;100%,(MAX(S95:T95)*0.7+MIN(S95:T95)*0.3)*0.9,0.7*MAX(S95:T95)))))</f>
        <v>1028.3528640159575</v>
      </c>
      <c r="T97" s="206"/>
      <c r="U97" s="205">
        <f>IF(U96&lt;25%,(U95*0.5+V95*0.5)*0.9,IF(U96&lt;50%,(MAX(U95:V95)*0.6+MIN(U95:V95)*0.4)*0.9,IF(U96&lt;70%,(MAX(U95:V95)*0.65+MIN(U95:V95)*0.35)*0.9,IF(U96&lt;100%,(MAX(U95:V95)*0.7+MIN(U95:V95)*0.3)*0.9,0.7*MAX(U95:V95)))))</f>
        <v>994.9992127659574</v>
      </c>
      <c r="V97" s="206"/>
      <c r="W97" s="205">
        <f>IF(W96&lt;25%,(W95*0.5+X95*0.5)*0.9,IF(W96&lt;50%,(MAX(W95:X95)*0.6+MIN(W95:X95)*0.4)*0.9,IF(W96&lt;70%,(MAX(W95:X95)*0.65+MIN(W95:X95)*0.35)*0.9,IF(W96&lt;100%,(MAX(W95:X95)*0.7+MIN(W95:X95)*0.3)*0.9,0.7*MAX(W95:X95)))))</f>
        <v>1563.772677818376</v>
      </c>
      <c r="X97" s="206"/>
      <c r="Y97" s="205">
        <f>IF(Y96&lt;25%,(Y95*0.5+Z95*0.5)*0.9,IF(Y96&lt;50%,(MAX(Y95:Z95)*0.6+MIN(Y95:Z95)*0.4)*0.9,IF(Y96&lt;70%,(MAX(Y95:Z95)*0.65+MIN(Y95:Z95)*0.35)*0.9,IF(Y96&lt;100%,(MAX(Y95:Z95)*0.7+MIN(Y95:Z95)*0.3)*0.9,0.7*MAX(Y95:Z95)))))</f>
        <v>1770.5811121875001</v>
      </c>
      <c r="Z97" s="206"/>
    </row>
    <row r="98" spans="2:26" x14ac:dyDescent="0.25">
      <c r="B98" s="107" t="s">
        <v>15</v>
      </c>
      <c r="C98" s="207">
        <f>C97/(0.9*(0.9*($C$7/100))*($L$9*1000))</f>
        <v>3.4839730761691592</v>
      </c>
      <c r="D98" s="208"/>
      <c r="E98" s="207">
        <f>E97/(0.9*(0.9*($C$7/100))*($L$9*1000))</f>
        <v>5.2417743808774491</v>
      </c>
      <c r="F98" s="208"/>
      <c r="G98" s="207">
        <f>G97/(0.9*(0.9*($C$7/100))*($L$9*1000))</f>
        <v>4.6647843325723883</v>
      </c>
      <c r="H98" s="208"/>
      <c r="I98" s="207">
        <f>I97/(0.9*(0.9*($C$7/100))*($L$9*1000))</f>
        <v>4.2939345555817861</v>
      </c>
      <c r="J98" s="208"/>
      <c r="K98" s="207">
        <f>K97/(0.9*(0.9*($C$7/100))*($L$9*1000))</f>
        <v>3.053658354176203</v>
      </c>
      <c r="L98" s="208"/>
      <c r="M98" s="207">
        <f>M97/(0.9*(0.9*($C$7/100))*($L$9*1000))</f>
        <v>2.2561863173216881</v>
      </c>
      <c r="N98" s="208"/>
      <c r="O98" s="207">
        <f>O97/(0.9*(0.9*($C$7/100))*($L$9*1000))</f>
        <v>2.0500568922471878</v>
      </c>
      <c r="P98" s="208"/>
      <c r="Q98" s="207">
        <f>Q97/(0.9*(0.9*($C$7/100))*($L$9*1000))</f>
        <v>2.1187774316701224</v>
      </c>
      <c r="R98" s="208"/>
      <c r="S98" s="207">
        <f>S97/(0.9*(0.9*($C$7/100))*($L$9*1000))</f>
        <v>2.1187774316701224</v>
      </c>
      <c r="T98" s="208"/>
      <c r="U98" s="207">
        <f>U97/(0.9*(0.9*($C$7/100))*($L$9*1000))</f>
        <v>2.0500568922471878</v>
      </c>
      <c r="V98" s="208"/>
      <c r="W98" s="207">
        <f>W97/(0.9*(0.9*($C$7/100))*($L$9*1000))</f>
        <v>3.2219351683280908</v>
      </c>
      <c r="X98" s="208"/>
      <c r="Y98" s="207">
        <f>Y97/(0.9*(0.9*($C$7/100))*($L$9*1000))</f>
        <v>3.6480350594774507</v>
      </c>
      <c r="Z98" s="208"/>
    </row>
    <row r="99" spans="2:26" x14ac:dyDescent="0.25">
      <c r="B99" s="107" t="s">
        <v>98</v>
      </c>
      <c r="C99" s="209">
        <f>(C98*($L$9))/(0.85*$L$6*100)</f>
        <v>4.9139577413096075E-2</v>
      </c>
      <c r="D99" s="210"/>
      <c r="E99" s="209">
        <f>(E98*($L$9))/(0.85*$L$6*100)</f>
        <v>7.3932424946961547E-2</v>
      </c>
      <c r="F99" s="210"/>
      <c r="G99" s="209">
        <f>(G98*($L$9))/(0.85*$L$6*100)</f>
        <v>6.5794288823232239E-2</v>
      </c>
      <c r="H99" s="210"/>
      <c r="I99" s="209">
        <f>(I98*($L$9))/(0.85*$L$6*100)</f>
        <v>6.0563651006393292E-2</v>
      </c>
      <c r="J99" s="210"/>
      <c r="K99" s="209">
        <f>(K98*($L$9))/(0.85*$L$6*100)</f>
        <v>4.3070218341981055E-2</v>
      </c>
      <c r="L99" s="210"/>
      <c r="M99" s="209">
        <f>(M98*($L$9))/(0.85*$L$6*100)</f>
        <v>3.1822301658055122E-2</v>
      </c>
      <c r="N99" s="210"/>
      <c r="O99" s="209">
        <f>(O98*($L$9))/(0.85*$L$6*100)</f>
        <v>2.8914956331580047E-2</v>
      </c>
      <c r="P99" s="210"/>
      <c r="Q99" s="209">
        <f>(Q98*($L$9))/(0.85*$L$6*100)</f>
        <v>2.9884222796335888E-2</v>
      </c>
      <c r="R99" s="210"/>
      <c r="S99" s="209">
        <f>(S98*($L$9))/(0.85*$L$6*100)</f>
        <v>2.9884222796335888E-2</v>
      </c>
      <c r="T99" s="210"/>
      <c r="U99" s="209">
        <f>(U98*($L$9))/(0.85*$L$6*100)</f>
        <v>2.8914956331580047E-2</v>
      </c>
      <c r="V99" s="210"/>
      <c r="W99" s="209">
        <f>(W98*($L$9))/(0.85*$L$6*100)</f>
        <v>4.5443672830595583E-2</v>
      </c>
      <c r="X99" s="210"/>
      <c r="Y99" s="209">
        <f>(Y98*($L$9))/(0.85*$L$6*100)</f>
        <v>5.1453583966266238E-2</v>
      </c>
      <c r="Z99" s="210"/>
    </row>
    <row r="100" spans="2:26" ht="15.75" thickBot="1" x14ac:dyDescent="0.3">
      <c r="B100" s="108" t="s">
        <v>15</v>
      </c>
      <c r="C100" s="201">
        <f>ROUNDUP(C97/(0.9*(($C$7-C99/2)/100)*($L$9*1000)),2)</f>
        <v>3.15</v>
      </c>
      <c r="D100" s="202"/>
      <c r="E100" s="201">
        <f>ROUNDUP(E97/(0.9*(($C$7-E99/2)/100)*($L$9*1000)),2)</f>
        <v>4.74</v>
      </c>
      <c r="F100" s="202"/>
      <c r="G100" s="201">
        <f>ROUNDUP(G97/(0.9*(($C$7-G99/2)/100)*($L$9*1000)),2)</f>
        <v>4.21</v>
      </c>
      <c r="H100" s="202"/>
      <c r="I100" s="201">
        <f>ROUNDUP(I97/(0.9*(($C$7-I99/2)/100)*($L$9*1000)),2)</f>
        <v>3.88</v>
      </c>
      <c r="J100" s="202"/>
      <c r="K100" s="201">
        <f>ROUNDUP(K97/(0.9*(($C$7-K99/2)/100)*($L$9*1000)),2)</f>
        <v>2.76</v>
      </c>
      <c r="L100" s="202"/>
      <c r="M100" s="201">
        <f>ROUNDUP(M97/(0.9*(($C$7-M99/2)/100)*($L$9*1000)),2)</f>
        <v>2.0399999999999996</v>
      </c>
      <c r="N100" s="202"/>
      <c r="O100" s="201">
        <f>ROUNDUP(O97/(0.9*(($C$7-O99/2)/100)*($L$9*1000)),2)</f>
        <v>1.85</v>
      </c>
      <c r="P100" s="202"/>
      <c r="Q100" s="201">
        <f>ROUNDUP(Q97/(0.9*(($C$7-Q99/2)/100)*($L$9*1000)),2)</f>
        <v>1.91</v>
      </c>
      <c r="R100" s="202"/>
      <c r="S100" s="201">
        <f>ROUNDUP(S97/(0.9*(($C$7-S99/2)/100)*($L$9*1000)),2)</f>
        <v>1.91</v>
      </c>
      <c r="T100" s="202"/>
      <c r="U100" s="201">
        <f>ROUNDUP(U97/(0.9*(($C$7-U99/2)/100)*($L$9*1000)),2)</f>
        <v>1.85</v>
      </c>
      <c r="V100" s="202"/>
      <c r="W100" s="201">
        <f>ROUNDUP(W97/(0.9*(($C$7-W99/2)/100)*($L$9*1000)),2)</f>
        <v>2.9099999999999997</v>
      </c>
      <c r="X100" s="202"/>
      <c r="Y100" s="201">
        <f>ROUNDUP(Y97/(0.9*(($C$7-Y99/2)/100)*($L$9*1000)),2)</f>
        <v>3.2899999999999996</v>
      </c>
      <c r="Z100" s="202"/>
    </row>
    <row r="101" spans="2:26" ht="16.5" thickBot="1" x14ac:dyDescent="0.3">
      <c r="B101" s="61" t="s">
        <v>113</v>
      </c>
      <c r="C101" s="199" t="str">
        <f>IF(C100&gt;$C$12,"$\phi"&amp;IF(VLOOKUP(VLOOKUP(C100,tablas!$R$3:$T$66,2,TRUE)&amp;VLOOKUP(C100,tablas!$R$3:$T$66,3,TRUE),tablas!$Q$3:$R$66,2,FALSE)&lt;C100,VLOOKUP(C100+0.1,tablas!$R$3:$T$66,2,TRUE),VLOOKUP(C100,tablas!$R$3:$T$66,2,TRUE))&amp;"@"&amp;IF(VLOOKUP(VLOOKUP(C100,tablas!$R$3:$T$66,2,TRUE)&amp;VLOOKUP(C100,tablas!$R$3:$T$66,3,TRUE),tablas!$Q$3:$R$66,2,FALSE)&lt;C100,VLOOKUP(C100+0.1,tablas!$R$3:$T$66,3,TRUE)&amp;"$",VLOOKUP(C100,tablas!$R$3:$T$66,3,TRUE)&amp;"$"),$C$13)</f>
        <v>$\phi10@25$</v>
      </c>
      <c r="D101" s="200"/>
      <c r="E101" s="199" t="str">
        <f>IF(E100&gt;$C$12,"$\phi"&amp;IF(VLOOKUP(VLOOKUP(E100,tablas!$R$3:$T$66,2,TRUE)&amp;VLOOKUP(E100,tablas!$R$3:$T$66,3,TRUE),tablas!$Q$3:$R$66,2,FALSE)&lt;E100,VLOOKUP(E100+0.1,tablas!$R$3:$T$66,2,TRUE),VLOOKUP(E100,tablas!$R$3:$T$66,2,TRUE))&amp;"@"&amp;IF(VLOOKUP(VLOOKUP(E100,tablas!$R$3:$T$66,2,TRUE)&amp;VLOOKUP(E100,tablas!$R$3:$T$66,3,TRUE),tablas!$Q$3:$R$66,2,FALSE)&lt;E100,VLOOKUP(E100+0.1,tablas!$R$3:$T$66,3,TRUE)&amp;"$",VLOOKUP(E100,tablas!$R$3:$T$66,3,TRUE)&amp;"$"),$C$13)</f>
        <v>$\phi12@24$</v>
      </c>
      <c r="F101" s="200"/>
      <c r="G101" s="199" t="str">
        <f>IF(G100&gt;$C$12,"$\phi"&amp;IF(VLOOKUP(VLOOKUP(G100,tablas!$R$3:$T$66,2,TRUE)&amp;VLOOKUP(G100,tablas!$R$3:$T$66,3,TRUE),tablas!$Q$3:$R$66,2,FALSE)&lt;G100,VLOOKUP(G100+0.1,tablas!$R$3:$T$66,2,TRUE),VLOOKUP(G100,tablas!$R$3:$T$66,2,TRUE))&amp;"@"&amp;IF(VLOOKUP(VLOOKUP(G100,tablas!$R$3:$T$66,2,TRUE)&amp;VLOOKUP(G100,tablas!$R$3:$T$66,3,TRUE),tablas!$Q$3:$R$66,2,FALSE)&lt;G100,VLOOKUP(G100+0.1,tablas!$R$3:$T$66,3,TRUE)&amp;"$",VLOOKUP(G100,tablas!$R$3:$T$66,3,TRUE)&amp;"$"),$C$13)</f>
        <v>$\phi8@12$</v>
      </c>
      <c r="H101" s="200"/>
      <c r="I101" s="199" t="str">
        <f>IF(I100&gt;$C$12,"$\phi"&amp;IF(VLOOKUP(VLOOKUP(I100,tablas!$R$3:$T$66,2,TRUE)&amp;VLOOKUP(I100,tablas!$R$3:$T$66,3,TRUE),tablas!$Q$3:$R$66,2,FALSE)&lt;I100,VLOOKUP(I100+0.1,tablas!$R$3:$T$66,2,TRUE),VLOOKUP(I100,tablas!$R$3:$T$66,2,TRUE))&amp;"@"&amp;IF(VLOOKUP(VLOOKUP(I100,tablas!$R$3:$T$66,2,TRUE)&amp;VLOOKUP(I100,tablas!$R$3:$T$66,3,TRUE),tablas!$Q$3:$R$66,2,FALSE)&lt;I100,VLOOKUP(I100+0.1,tablas!$R$3:$T$66,3,TRUE)&amp;"$",VLOOKUP(I100,tablas!$R$3:$T$66,3,TRUE)&amp;"$"),$C$13)</f>
        <v>$\phi10@20$</v>
      </c>
      <c r="J101" s="200"/>
      <c r="K101" s="199" t="str">
        <f>IF(K100&gt;$C$12,"$\phi"&amp;IF(VLOOKUP(VLOOKUP(K100,tablas!$R$3:$T$66,2,TRUE)&amp;VLOOKUP(K100,tablas!$R$3:$T$66,3,TRUE),tablas!$Q$3:$R$66,2,FALSE)&lt;K100,VLOOKUP(K100+0.1,tablas!$R$3:$T$66,2,TRUE),VLOOKUP(K100,tablas!$R$3:$T$66,2,TRUE))&amp;"@"&amp;IF(VLOOKUP(VLOOKUP(K100,tablas!$R$3:$T$66,2,TRUE)&amp;VLOOKUP(K100,tablas!$R$3:$T$66,3,TRUE),tablas!$Q$3:$R$66,2,FALSE)&lt;K100,VLOOKUP(K100+0.1,tablas!$R$3:$T$66,3,TRUE)&amp;"$",VLOOKUP(K100,tablas!$R$3:$T$66,3,TRUE)&amp;"$"),$C$13)</f>
        <v>$\phi8@17$</v>
      </c>
      <c r="L101" s="200"/>
      <c r="M101" s="199" t="str">
        <f>IF(M100&gt;$C$12,"$\phi"&amp;IF(VLOOKUP(VLOOKUP(M100,tablas!$R$3:$T$66,2,TRUE)&amp;VLOOKUP(M100,tablas!$R$3:$T$66,3,TRUE),tablas!$Q$3:$R$66,2,FALSE)&lt;M100,VLOOKUP(M100+0.1,tablas!$R$3:$T$66,2,TRUE),VLOOKUP(M100,tablas!$R$3:$T$66,2,TRUE))&amp;"@"&amp;IF(VLOOKUP(VLOOKUP(M100,tablas!$R$3:$T$66,2,TRUE)&amp;VLOOKUP(M100,tablas!$R$3:$T$66,3,TRUE),tablas!$Q$3:$R$66,2,FALSE)&lt;M100,VLOOKUP(M100+0.1,tablas!$R$3:$T$66,3,TRUE)&amp;"$",VLOOKUP(M100,tablas!$R$3:$T$66,3,TRUE)&amp;"$"),$C$13)</f>
        <v>$\phi8@17$</v>
      </c>
      <c r="N101" s="200"/>
      <c r="O101" s="199" t="str">
        <f>IF(O100&gt;$C$12,"$\phi"&amp;IF(VLOOKUP(VLOOKUP(O100,tablas!$R$3:$T$66,2,TRUE)&amp;VLOOKUP(O100,tablas!$R$3:$T$66,3,TRUE),tablas!$Q$3:$R$66,2,FALSE)&lt;O100,VLOOKUP(O100+0.1,tablas!$R$3:$T$66,2,TRUE),VLOOKUP(O100,tablas!$R$3:$T$66,2,TRUE))&amp;"@"&amp;IF(VLOOKUP(VLOOKUP(O100,tablas!$R$3:$T$66,2,TRUE)&amp;VLOOKUP(O100,tablas!$R$3:$T$66,3,TRUE),tablas!$Q$3:$R$66,2,FALSE)&lt;O100,VLOOKUP(O100+0.1,tablas!$R$3:$T$66,3,TRUE)&amp;"$",VLOOKUP(O100,tablas!$R$3:$T$66,3,TRUE)&amp;"$"),$C$13)</f>
        <v>$\phi8@17$</v>
      </c>
      <c r="P101" s="200"/>
      <c r="Q101" s="199" t="str">
        <f>IF(Q100&gt;$C$12,"$\phi"&amp;IF(VLOOKUP(VLOOKUP(Q100,tablas!$R$3:$T$66,2,TRUE)&amp;VLOOKUP(Q100,tablas!$R$3:$T$66,3,TRUE),tablas!$Q$3:$R$66,2,FALSE)&lt;Q100,VLOOKUP(Q100+0.1,tablas!$R$3:$T$66,2,TRUE),VLOOKUP(Q100,tablas!$R$3:$T$66,2,TRUE))&amp;"@"&amp;IF(VLOOKUP(VLOOKUP(Q100,tablas!$R$3:$T$66,2,TRUE)&amp;VLOOKUP(Q100,tablas!$R$3:$T$66,3,TRUE),tablas!$Q$3:$R$66,2,FALSE)&lt;Q100,VLOOKUP(Q100+0.1,tablas!$R$3:$T$66,3,TRUE)&amp;"$",VLOOKUP(Q100,tablas!$R$3:$T$66,3,TRUE)&amp;"$"),$C$13)</f>
        <v>$\phi8@17$</v>
      </c>
      <c r="R101" s="200"/>
      <c r="S101" s="199" t="str">
        <f>IF(S100&gt;$C$12,"$\phi"&amp;IF(VLOOKUP(VLOOKUP(S100,tablas!$R$3:$T$66,2,TRUE)&amp;VLOOKUP(S100,tablas!$R$3:$T$66,3,TRUE),tablas!$Q$3:$R$66,2,FALSE)&lt;S100,VLOOKUP(S100+0.1,tablas!$R$3:$T$66,2,TRUE),VLOOKUP(S100,tablas!$R$3:$T$66,2,TRUE))&amp;"@"&amp;IF(VLOOKUP(VLOOKUP(S100,tablas!$R$3:$T$66,2,TRUE)&amp;VLOOKUP(S100,tablas!$R$3:$T$66,3,TRUE),tablas!$Q$3:$R$66,2,FALSE)&lt;S100,VLOOKUP(S100+0.1,tablas!$R$3:$T$66,3,TRUE)&amp;"$",VLOOKUP(S100,tablas!$R$3:$T$66,3,TRUE)&amp;"$"),$C$13)</f>
        <v>$\phi8@17$</v>
      </c>
      <c r="T101" s="200"/>
      <c r="U101" s="199" t="str">
        <f>IF(U100&gt;$C$12,"$\phi"&amp;IF(VLOOKUP(VLOOKUP(U100,tablas!$R$3:$T$66,2,TRUE)&amp;VLOOKUP(U100,tablas!$R$3:$T$66,3,TRUE),tablas!$Q$3:$R$66,2,FALSE)&lt;U100,VLOOKUP(U100+0.1,tablas!$R$3:$T$66,2,TRUE),VLOOKUP(U100,tablas!$R$3:$T$66,2,TRUE))&amp;"@"&amp;IF(VLOOKUP(VLOOKUP(U100,tablas!$R$3:$T$66,2,TRUE)&amp;VLOOKUP(U100,tablas!$R$3:$T$66,3,TRUE),tablas!$Q$3:$R$66,2,FALSE)&lt;U100,VLOOKUP(U100+0.1,tablas!$R$3:$T$66,3,TRUE)&amp;"$",VLOOKUP(U100,tablas!$R$3:$T$66,3,TRUE)&amp;"$"),$C$13)</f>
        <v>$\phi8@17$</v>
      </c>
      <c r="V101" s="200"/>
      <c r="W101" s="199" t="str">
        <f>IF(W100&gt;$C$12,"$\phi"&amp;IF(VLOOKUP(VLOOKUP(W100,tablas!$R$3:$T$66,2,TRUE)&amp;VLOOKUP(W100,tablas!$R$3:$T$66,3,TRUE),tablas!$Q$3:$R$66,2,FALSE)&lt;W100,VLOOKUP(W100+0.1,tablas!$R$3:$T$66,2,TRUE),VLOOKUP(W100,tablas!$R$3:$T$66,2,TRUE))&amp;"@"&amp;IF(VLOOKUP(VLOOKUP(W100,tablas!$R$3:$T$66,2,TRUE)&amp;VLOOKUP(W100,tablas!$R$3:$T$66,3,TRUE),tablas!$Q$3:$R$66,2,FALSE)&lt;W100,VLOOKUP(W100+0.1,tablas!$R$3:$T$66,3,TRUE)&amp;"$",VLOOKUP(W100,tablas!$R$3:$T$66,3,TRUE)&amp;"$"),$C$13)</f>
        <v>$\phi8@17$</v>
      </c>
      <c r="X101" s="200"/>
      <c r="Y101" s="199" t="str">
        <f>IF(Y100&gt;$C$12,"$\phi"&amp;IF(VLOOKUP(VLOOKUP(Y100,tablas!$R$3:$T$66,2,TRUE)&amp;VLOOKUP(Y100,tablas!$R$3:$T$66,3,TRUE),tablas!$Q$3:$R$66,2,FALSE)&lt;Y100,VLOOKUP(Y100+0.1,tablas!$R$3:$T$66,2,TRUE),VLOOKUP(Y100,tablas!$R$3:$T$66,2,TRUE))&amp;"@"&amp;IF(VLOOKUP(VLOOKUP(Y100,tablas!$R$3:$T$66,2,TRUE)&amp;VLOOKUP(Y100,tablas!$R$3:$T$66,3,TRUE),tablas!$Q$3:$R$66,2,FALSE)&lt;Y100,VLOOKUP(Y100+0.1,tablas!$R$3:$T$66,3,TRUE)&amp;"$",VLOOKUP(Y100,tablas!$R$3:$T$66,3,TRUE)&amp;"$"),$C$13)</f>
        <v>$\phi8@15$</v>
      </c>
      <c r="Z101" s="200"/>
    </row>
    <row r="102" spans="2:26" ht="15.75" thickBot="1" x14ac:dyDescent="0.3">
      <c r="P102" s="40"/>
      <c r="T102" s="40"/>
      <c r="U102" s="41"/>
    </row>
    <row r="103" spans="2:26" ht="15.75" thickBot="1" x14ac:dyDescent="0.3">
      <c r="B103" s="73" t="s">
        <v>43</v>
      </c>
      <c r="C103" s="74" t="s">
        <v>143</v>
      </c>
      <c r="D103" s="75" t="s">
        <v>147</v>
      </c>
      <c r="E103" s="74" t="s">
        <v>143</v>
      </c>
      <c r="F103" s="75" t="s">
        <v>155</v>
      </c>
      <c r="G103" s="74" t="s">
        <v>143</v>
      </c>
      <c r="H103" s="75" t="s">
        <v>149</v>
      </c>
      <c r="I103" s="74" t="s">
        <v>143</v>
      </c>
      <c r="J103" s="75" t="s">
        <v>150</v>
      </c>
      <c r="K103" s="74" t="s">
        <v>144</v>
      </c>
      <c r="L103" s="75" t="s">
        <v>159</v>
      </c>
      <c r="M103" s="74" t="s">
        <v>144</v>
      </c>
      <c r="N103" s="75" t="s">
        <v>145</v>
      </c>
      <c r="O103" s="74" t="s">
        <v>144</v>
      </c>
      <c r="P103" s="75" t="s">
        <v>158</v>
      </c>
      <c r="Q103" s="74" t="s">
        <v>145</v>
      </c>
      <c r="R103" s="75" t="s">
        <v>158</v>
      </c>
      <c r="S103" s="74" t="s">
        <v>145</v>
      </c>
      <c r="T103" s="75" t="s">
        <v>147</v>
      </c>
      <c r="U103" s="74" t="s">
        <v>145</v>
      </c>
      <c r="V103" s="75" t="s">
        <v>146</v>
      </c>
      <c r="W103" s="74" t="s">
        <v>145</v>
      </c>
      <c r="X103" s="75" t="s">
        <v>161</v>
      </c>
      <c r="Y103" s="74" t="s">
        <v>146</v>
      </c>
      <c r="Z103" s="75" t="s">
        <v>147</v>
      </c>
    </row>
    <row r="104" spans="2:26" ht="15.75" hidden="1" thickBot="1" x14ac:dyDescent="0.3">
      <c r="B104" s="144"/>
      <c r="C104" s="146" t="str">
        <f>C103&amp;"-"&amp;D103</f>
        <v>204-208</v>
      </c>
      <c r="D104" s="146"/>
      <c r="E104" s="146" t="str">
        <f>E103&amp;"-"&amp;F103</f>
        <v>204-216</v>
      </c>
      <c r="F104" s="145"/>
      <c r="G104" s="146" t="str">
        <f>G103&amp;"-"&amp;H103</f>
        <v>204-210</v>
      </c>
      <c r="H104" s="145"/>
      <c r="I104" s="146" t="str">
        <f>I103&amp;"-"&amp;J103</f>
        <v>204-211</v>
      </c>
      <c r="J104" s="145"/>
      <c r="K104" s="146" t="str">
        <f>K103&amp;"-"&amp;L103</f>
        <v>205-220</v>
      </c>
      <c r="L104" s="145"/>
      <c r="M104" s="146" t="str">
        <f>M103&amp;"-"&amp;N103</f>
        <v>205-206</v>
      </c>
      <c r="N104" s="145"/>
      <c r="O104" s="146" t="str">
        <f>O103&amp;"-"&amp;P103</f>
        <v>205-219</v>
      </c>
      <c r="P104" s="145"/>
      <c r="Q104" s="146" t="str">
        <f>Q103&amp;"-"&amp;R103</f>
        <v>206-219</v>
      </c>
      <c r="R104" s="145"/>
      <c r="S104" s="146" t="str">
        <f>S103&amp;"-"&amp;T103</f>
        <v>206-208</v>
      </c>
      <c r="T104" s="145"/>
      <c r="U104" s="146" t="str">
        <f>U103&amp;"-"&amp;V103</f>
        <v>206-207</v>
      </c>
      <c r="V104" s="145"/>
      <c r="W104" s="146" t="str">
        <f>W103&amp;"-"&amp;X103</f>
        <v>206-222</v>
      </c>
      <c r="X104" s="145"/>
      <c r="Y104" s="146" t="str">
        <f>Y103&amp;"-"&amp;Z103</f>
        <v>207-208</v>
      </c>
      <c r="Z104" s="145"/>
    </row>
    <row r="105" spans="2:26" x14ac:dyDescent="0.25">
      <c r="B105" s="105" t="s">
        <v>114</v>
      </c>
      <c r="C105" s="102" t="s">
        <v>109</v>
      </c>
      <c r="D105" s="103" t="s">
        <v>109</v>
      </c>
      <c r="E105" s="102" t="s">
        <v>109</v>
      </c>
      <c r="F105" s="103" t="s">
        <v>108</v>
      </c>
      <c r="G105" s="102" t="s">
        <v>108</v>
      </c>
      <c r="H105" s="103" t="s">
        <v>108</v>
      </c>
      <c r="I105" s="102" t="s">
        <v>108</v>
      </c>
      <c r="J105" s="103" t="s">
        <v>108</v>
      </c>
      <c r="K105" s="102" t="s">
        <v>109</v>
      </c>
      <c r="L105" s="103" t="s">
        <v>108</v>
      </c>
      <c r="M105" s="102" t="s">
        <v>109</v>
      </c>
      <c r="N105" s="103" t="s">
        <v>108</v>
      </c>
      <c r="O105" s="102" t="s">
        <v>108</v>
      </c>
      <c r="P105" s="103" t="s">
        <v>108</v>
      </c>
      <c r="Q105" s="102" t="s">
        <v>109</v>
      </c>
      <c r="R105" s="103" t="s">
        <v>108</v>
      </c>
      <c r="S105" s="102" t="s">
        <v>109</v>
      </c>
      <c r="T105" s="103" t="s">
        <v>108</v>
      </c>
      <c r="U105" s="102" t="s">
        <v>108</v>
      </c>
      <c r="V105" s="103" t="s">
        <v>108</v>
      </c>
      <c r="W105" s="102" t="s">
        <v>108</v>
      </c>
      <c r="X105" s="103" t="s">
        <v>109</v>
      </c>
      <c r="Y105" s="102" t="s">
        <v>109</v>
      </c>
      <c r="Z105" s="103" t="s">
        <v>108</v>
      </c>
    </row>
    <row r="106" spans="2:26" x14ac:dyDescent="0.25">
      <c r="B106" s="106" t="s">
        <v>110</v>
      </c>
      <c r="C106" s="104">
        <f t="shared" ref="C106" si="29">HLOOKUP(C103,$B$46:$X$89,IF(C105="x",35,40),FALSE)</f>
        <v>2084.7312244897957</v>
      </c>
      <c r="D106" s="86">
        <f t="shared" ref="D106" si="30">HLOOKUP(D103,$B$46:$X$89,IF(D105="x",35,40),FALSE)</f>
        <v>155.67999999999998</v>
      </c>
      <c r="E106" s="104">
        <f t="shared" ref="E106" si="31">HLOOKUP(E103,$B$46:$X$89,IF(E105="x",35,40),FALSE)</f>
        <v>2084.7312244897957</v>
      </c>
      <c r="F106" s="86">
        <f t="shared" ref="F106" si="32">HLOOKUP(F103,$B$46:$X$89,IF(F105="x",35,40),FALSE)</f>
        <v>166.29600000000002</v>
      </c>
      <c r="G106" s="104">
        <f t="shared" ref="G106" si="33">HLOOKUP(G103,$B$46:$X$89,IF(G105="x",35,40),FALSE)</f>
        <v>2660.2039062500003</v>
      </c>
      <c r="H106" s="86">
        <f t="shared" ref="H106" si="34">HLOOKUP(H103,$B$46:$X$89,IF(H105="x",35,40),FALSE)</f>
        <v>1428.5638297872338</v>
      </c>
      <c r="I106" s="104">
        <f t="shared" ref="I106" si="35">HLOOKUP(I103,$B$46:$X$89,IF(I105="x",35,40),FALSE)</f>
        <v>2660.2039062500003</v>
      </c>
      <c r="J106" s="86">
        <f t="shared" ref="J106" si="36">HLOOKUP(J103,$B$46:$X$89,IF(J105="x",35,40),FALSE)</f>
        <v>2172.8938709677423</v>
      </c>
      <c r="K106" s="104">
        <f t="shared" ref="K106" si="37">HLOOKUP(K103,$B$46:$X$89,IF(K105="x",35,40),FALSE)</f>
        <v>2015.9397209302329</v>
      </c>
      <c r="L106" s="86">
        <f t="shared" ref="L106" si="38">HLOOKUP(L103,$B$46:$X$89,IF(L105="x",35,40),FALSE)</f>
        <v>84.1935</v>
      </c>
      <c r="M106" s="104">
        <f t="shared" ref="M106" si="39">HLOOKUP(M103,$B$46:$X$89,IF(M105="x",35,40),FALSE)</f>
        <v>2015.9397209302329</v>
      </c>
      <c r="N106" s="86">
        <f t="shared" ref="N106" si="40">HLOOKUP(N103,$B$46:$X$89,IF(N105="x",35,40),FALSE)</f>
        <v>1428.5638297872338</v>
      </c>
      <c r="O106" s="104">
        <f t="shared" ref="O106" si="41">HLOOKUP(O103,$B$46:$X$89,IF(O105="x",35,40),FALSE)</f>
        <v>2330.2529032258067</v>
      </c>
      <c r="P106" s="86">
        <f t="shared" ref="P106" si="42">HLOOKUP(P103,$B$46:$X$89,IF(P105="x",35,40),FALSE)</f>
        <v>276.07350000000002</v>
      </c>
      <c r="Q106" s="104">
        <f t="shared" ref="Q106" si="43">HLOOKUP(Q103,$B$46:$X$89,IF(Q105="x",35,40),FALSE)</f>
        <v>1323.0049261083741</v>
      </c>
      <c r="R106" s="86">
        <f t="shared" ref="R106" si="44">HLOOKUP(R103,$B$46:$X$89,IF(R105="x",35,40),FALSE)</f>
        <v>276.07350000000002</v>
      </c>
      <c r="S106" s="104">
        <f t="shared" ref="S106" si="45">HLOOKUP(S103,$B$46:$X$89,IF(S105="x",35,40),FALSE)</f>
        <v>1323.0049261083741</v>
      </c>
      <c r="T106" s="86">
        <f t="shared" ref="T106" si="46">HLOOKUP(T103,$B$46:$X$89,IF(T105="x",35,40),FALSE)</f>
        <v>227.0333333333333</v>
      </c>
      <c r="U106" s="104">
        <f t="shared" ref="U106" si="47">HLOOKUP(U103,$B$46:$X$89,IF(U105="x",35,40),FALSE)</f>
        <v>1428.5638297872338</v>
      </c>
      <c r="V106" s="86">
        <f t="shared" ref="V106" si="48">HLOOKUP(V103,$B$46:$X$89,IF(V105="x",35,40),FALSE)</f>
        <v>670.04318181818178</v>
      </c>
      <c r="W106" s="104">
        <f t="shared" ref="W106" si="49">HLOOKUP(W103,$B$46:$X$89,IF(W105="x",35,40),FALSE)</f>
        <v>1428.5638297872338</v>
      </c>
      <c r="X106" s="86">
        <f t="shared" ref="X106" si="50">HLOOKUP(X103,$B$46:$X$89,IF(X105="x",35,40),FALSE)</f>
        <v>555.22533936651575</v>
      </c>
      <c r="Y106" s="104">
        <f t="shared" ref="Y106" si="51">HLOOKUP(Y103,$B$46:$X$89,IF(Y105="x",35,40),FALSE)</f>
        <v>479.38048780487804</v>
      </c>
      <c r="Z106" s="86">
        <f t="shared" ref="Z106" si="52">HLOOKUP(Z103,$B$46:$X$89,IF(Z105="x",35,40),FALSE)</f>
        <v>227.0333333333333</v>
      </c>
    </row>
    <row r="107" spans="2:26" x14ac:dyDescent="0.25">
      <c r="B107" s="106" t="s">
        <v>111</v>
      </c>
      <c r="C107" s="203">
        <f>(MAX(C106:D106)-MIN(C106:D106))/(MAX(C106:D106))</f>
        <v>0.92532370687828103</v>
      </c>
      <c r="D107" s="204"/>
      <c r="E107" s="203">
        <f>(MAX(E106:F106)-MIN(E106:F106))/(MAX(E106:F106))</f>
        <v>0.92023144372450305</v>
      </c>
      <c r="F107" s="204"/>
      <c r="G107" s="203">
        <f>(MAX(G106:H106)-MIN(G106:H106))/(MAX(G106:H106))</f>
        <v>0.46298709417315609</v>
      </c>
      <c r="H107" s="204"/>
      <c r="I107" s="203">
        <f>(MAX(I106:J106)-MIN(I106:J106))/(MAX(I106:J106))</f>
        <v>0.18318521904931812</v>
      </c>
      <c r="J107" s="204"/>
      <c r="K107" s="203">
        <f>(MAX(K106:L106)-MIN(K106:L106))/(MAX(K106:L106))</f>
        <v>0.95823610243606394</v>
      </c>
      <c r="L107" s="204"/>
      <c r="M107" s="203">
        <f>(MAX(M106:N106)-MIN(M106:N106))/(MAX(M106:N106))</f>
        <v>0.29136580079485763</v>
      </c>
      <c r="N107" s="204"/>
      <c r="O107" s="203">
        <f>(MAX(O106:P106)-MIN(O106:P106))/(MAX(O106:P106))</f>
        <v>0.88152637869570849</v>
      </c>
      <c r="P107" s="204"/>
      <c r="Q107" s="203">
        <f>(MAX(Q106:R106)-MIN(Q106:R106))/(MAX(Q106:R106))</f>
        <v>0.79132844137468816</v>
      </c>
      <c r="R107" s="204"/>
      <c r="S107" s="203">
        <f>(MAX(S106:T106)-MIN(S106:T106))/(MAX(S106:T106))</f>
        <v>0.82839570068635116</v>
      </c>
      <c r="T107" s="204"/>
      <c r="U107" s="203">
        <f>(MAX(U106:V106)-MIN(U106:V106))/(MAX(U106:V106))</f>
        <v>0.53096727787236775</v>
      </c>
      <c r="V107" s="204"/>
      <c r="W107" s="211">
        <f>(MAX(W106:X106)-MIN(W106:X106))/(MAX(W106:X106))</f>
        <v>0.61134019510405113</v>
      </c>
      <c r="X107" s="204"/>
      <c r="Y107" s="203">
        <f>(MAX(Y106:Z106)-MIN(Y106:Z106))/(MAX(Y106:Z106))</f>
        <v>0.5264026402640265</v>
      </c>
      <c r="Z107" s="204"/>
    </row>
    <row r="108" spans="2:26" x14ac:dyDescent="0.25">
      <c r="B108" s="106" t="s">
        <v>112</v>
      </c>
      <c r="C108" s="205">
        <f>IF(C107&lt;25%,(C106*0.5+D106*0.5)*0.9,IF(C107&lt;50%,(MAX(C106:D106)*0.6+MIN(C106:D106)*0.4)*0.9,IF(C107&lt;70%,(MAX(C106:D106)*0.65+MIN(C106:D106)*0.35)*0.9,IF(C107&lt;100%,(MAX(C106:D106)*0.7+MIN(C106:D106)*0.3)*0.9,0.7*MAX(C106:D106)))))</f>
        <v>1355.4142714285713</v>
      </c>
      <c r="D108" s="206"/>
      <c r="E108" s="205">
        <f>IF(E107&lt;25%,(E106*0.5+F106*0.5)*0.9,IF(E107&lt;50%,(MAX(E106:F106)*0.6+MIN(E106:F106)*0.4)*0.9,IF(E107&lt;70%,(MAX(E106:F106)*0.65+MIN(E106:F106)*0.35)*0.9,IF(E107&lt;100%,(MAX(E106:F106)*0.7+MIN(E106:F106)*0.3)*0.9,0.7*MAX(E106:F106)))))</f>
        <v>1358.2805914285714</v>
      </c>
      <c r="F108" s="206"/>
      <c r="G108" s="205">
        <f>IF(G107&lt;25%,(G106*0.5+H106*0.5)*0.9,IF(G107&lt;50%,(MAX(G106:H106)*0.6+MIN(G106:H106)*0.4)*0.9,IF(G107&lt;70%,(MAX(G106:H106)*0.65+MIN(G106:H106)*0.35)*0.9,IF(G107&lt;100%,(MAX(G106:H106)*0.7+MIN(G106:H106)*0.3)*0.9,0.7*MAX(G106:H106)))))</f>
        <v>1950.7930880984043</v>
      </c>
      <c r="H108" s="206"/>
      <c r="I108" s="205">
        <f>IF(I107&lt;25%,(I106*0.5+J106*0.5)*0.9,IF(I107&lt;50%,(MAX(I106:J106)*0.6+MIN(I106:J106)*0.4)*0.9,IF(I107&lt;70%,(MAX(I106:J106)*0.65+MIN(I106:J106)*0.35)*0.9,IF(I107&lt;100%,(MAX(I106:J106)*0.7+MIN(I106:J106)*0.3)*0.9,0.7*MAX(I106:J106)))))</f>
        <v>2174.8939997479843</v>
      </c>
      <c r="J108" s="206"/>
      <c r="K108" s="205">
        <f>IF(K107&lt;25%,(K106*0.5+L106*0.5)*0.9,IF(K107&lt;50%,(MAX(K106:L106)*0.6+MIN(K106:L106)*0.4)*0.9,IF(K107&lt;70%,(MAX(K106:L106)*0.65+MIN(K106:L106)*0.35)*0.9,IF(K107&lt;100%,(MAX(K106:L106)*0.7+MIN(K106:L106)*0.3)*0.9,0.7*MAX(K106:L106)))))</f>
        <v>1292.7742691860465</v>
      </c>
      <c r="L108" s="206"/>
      <c r="M108" s="205">
        <f>IF(M107&lt;25%,(M106*0.5+N106*0.5)*0.9,IF(M107&lt;50%,(MAX(M106:N106)*0.6+MIN(M106:N106)*0.4)*0.9,IF(M107&lt;70%,(MAX(M106:N106)*0.65+MIN(M106:N106)*0.35)*0.9,IF(M107&lt;100%,(MAX(M106:N106)*0.7+MIN(M106:N106)*0.3)*0.9,0.7*MAX(M106:N106)))))</f>
        <v>1602.89042802573</v>
      </c>
      <c r="N108" s="206"/>
      <c r="O108" s="205">
        <f>IF(O107&lt;25%,(O106*0.5+P106*0.5)*0.9,IF(O107&lt;50%,(MAX(O106:P106)*0.6+MIN(O106:P106)*0.4)*0.9,IF(O107&lt;70%,(MAX(O106:P106)*0.65+MIN(O106:P106)*0.35)*0.9,IF(O107&lt;100%,(MAX(O106:P106)*0.7+MIN(O106:P106)*0.3)*0.9,0.7*MAX(O106:P106)))))</f>
        <v>1542.5991740322581</v>
      </c>
      <c r="P108" s="206"/>
      <c r="Q108" s="205">
        <f>IF(Q107&lt;25%,(Q106*0.5+R106*0.5)*0.9,IF(Q107&lt;50%,(MAX(Q106:R106)*0.6+MIN(Q106:R106)*0.4)*0.9,IF(Q107&lt;70%,(MAX(Q106:R106)*0.65+MIN(Q106:R106)*0.35)*0.9,IF(Q107&lt;100%,(MAX(Q106:R106)*0.7+MIN(Q106:R106)*0.3)*0.9,0.7*MAX(Q106:R106)))))</f>
        <v>908.03294844827553</v>
      </c>
      <c r="R108" s="206"/>
      <c r="S108" s="205">
        <f>IF(S107&lt;25%,(S106*0.5+T106*0.5)*0.9,IF(S107&lt;50%,(MAX(S106:T106)*0.6+MIN(S106:T106)*0.4)*0.9,IF(S107&lt;70%,(MAX(S106:T106)*0.65+MIN(S106:T106)*0.35)*0.9,IF(S107&lt;100%,(MAX(S106:T106)*0.7+MIN(S106:T106)*0.3)*0.9,0.7*MAX(S106:T106)))))</f>
        <v>894.79210344827561</v>
      </c>
      <c r="T108" s="206"/>
      <c r="U108" s="205">
        <f>IF(U107&lt;25%,(U106*0.5+V106*0.5)*0.9,IF(U107&lt;50%,(MAX(U106:V106)*0.6+MIN(U106:V106)*0.4)*0.9,IF(U107&lt;70%,(MAX(U106:V106)*0.65+MIN(U106:V106)*0.35)*0.9,IF(U107&lt;100%,(MAX(U106:V106)*0.7+MIN(U106:V106)*0.3)*0.9,0.7*MAX(U106:V106)))))</f>
        <v>1046.773442698259</v>
      </c>
      <c r="V108" s="206"/>
      <c r="W108" s="212">
        <f>IF(W107&lt;25%,(W106*0.5+X106*0.5)*0.9,IF(W107&lt;50%,(MAX(W106:X106)*0.6+MIN(W106:X106)*0.4)*0.9,IF(W107&lt;70%,(MAX(W106:X106)*0.65+MIN(W106:X106)*0.35)*0.9,IF(W107&lt;100%,(MAX(W106:X106)*0.7+MIN(W106:X106)*0.3)*0.9,0.7*MAX(W106:X106)))))</f>
        <v>1010.6058223259844</v>
      </c>
      <c r="X108" s="206"/>
      <c r="Y108" s="205">
        <f>IF(Y107&lt;25%,(Y106*0.5+Z106*0.5)*0.9,IF(Y107&lt;50%,(MAX(Y106:Z106)*0.6+MIN(Y106:Z106)*0.4)*0.9,IF(Y107&lt;70%,(MAX(Y106:Z106)*0.65+MIN(Y106:Z106)*0.35)*0.9,IF(Y107&lt;100%,(MAX(Y106:Z106)*0.7+MIN(Y106:Z106)*0.3)*0.9,0.7*MAX(Y106:Z106)))))</f>
        <v>351.95308536585367</v>
      </c>
      <c r="Z108" s="206"/>
    </row>
    <row r="109" spans="2:26" x14ac:dyDescent="0.25">
      <c r="B109" s="107" t="s">
        <v>15</v>
      </c>
      <c r="C109" s="207">
        <f>C108/(0.9*(0.9*($C$7/100))*($L$9*1000))</f>
        <v>2.7926417763367017</v>
      </c>
      <c r="D109" s="208"/>
      <c r="E109" s="207">
        <f>E108/(0.9*(0.9*($C$7/100))*($L$9*1000))</f>
        <v>2.7985474283171201</v>
      </c>
      <c r="F109" s="208"/>
      <c r="G109" s="207">
        <f>G108/(0.9*(0.9*($C$7/100))*($L$9*1000))</f>
        <v>4.0193366630783505</v>
      </c>
      <c r="H109" s="208"/>
      <c r="I109" s="207">
        <f>I108/(0.9*(0.9*($C$7/100))*($L$9*1000))</f>
        <v>4.481065288178443</v>
      </c>
      <c r="J109" s="208"/>
      <c r="K109" s="207">
        <f>K108/(0.9*(0.9*($C$7/100))*($L$9*1000))</f>
        <v>2.6635808015338274</v>
      </c>
      <c r="L109" s="208"/>
      <c r="M109" s="207">
        <f>M108/(0.9*(0.9*($C$7/100))*($L$9*1000))</f>
        <v>3.3025318284991707</v>
      </c>
      <c r="N109" s="208"/>
      <c r="O109" s="207">
        <f>O108/(0.9*(0.9*($C$7/100))*($L$9*1000))</f>
        <v>3.1783101213804779</v>
      </c>
      <c r="P109" s="208"/>
      <c r="Q109" s="207">
        <f>Q108/(0.9*(0.9*($C$7/100))*($L$9*1000))</f>
        <v>1.8708750524326165</v>
      </c>
      <c r="R109" s="208"/>
      <c r="S109" s="207">
        <f>S108/(0.9*(0.9*($C$7/100))*($L$9*1000))</f>
        <v>1.8435941408467984</v>
      </c>
      <c r="T109" s="208"/>
      <c r="U109" s="207">
        <f>U108/(0.9*(0.9*($C$7/100))*($L$9*1000))</f>
        <v>2.1567304609814295</v>
      </c>
      <c r="V109" s="208"/>
      <c r="W109" s="213">
        <f>W108/(0.9*(0.9*($C$7/100))*($L$9*1000))</f>
        <v>2.0822121312490398</v>
      </c>
      <c r="X109" s="208"/>
      <c r="Y109" s="207">
        <f>Y108/(0.9*(0.9*($C$7/100))*($L$9*1000))</f>
        <v>0.72515017011540817</v>
      </c>
      <c r="Z109" s="208"/>
    </row>
    <row r="110" spans="2:26" x14ac:dyDescent="0.25">
      <c r="B110" s="107" t="s">
        <v>98</v>
      </c>
      <c r="C110" s="209">
        <f>(C109*($L$9))/(0.85*$L$6*100)</f>
        <v>3.9388719073063384E-2</v>
      </c>
      <c r="D110" s="210"/>
      <c r="E110" s="209">
        <f>(E109*($L$9))/(0.85*$L$6*100)</f>
        <v>3.9472015136586838E-2</v>
      </c>
      <c r="F110" s="210"/>
      <c r="G110" s="209">
        <f>(G109*($L$9))/(0.85*$L$6*100)</f>
        <v>5.6690594555858759E-2</v>
      </c>
      <c r="H110" s="210"/>
      <c r="I110" s="209">
        <f>(I109*($L$9))/(0.85*$L$6*100)</f>
        <v>6.3203029933774052E-2</v>
      </c>
      <c r="J110" s="210"/>
      <c r="K110" s="209">
        <f>(K109*($L$9))/(0.85*$L$6*100)</f>
        <v>3.7568383030366727E-2</v>
      </c>
      <c r="L110" s="210"/>
      <c r="M110" s="209">
        <f>(M109*($L$9))/(0.85*$L$6*100)</f>
        <v>4.6580445628526784E-2</v>
      </c>
      <c r="N110" s="210"/>
      <c r="O110" s="209">
        <f>(O109*($L$9))/(0.85*$L$6*100)</f>
        <v>4.4828364869034257E-2</v>
      </c>
      <c r="P110" s="210"/>
      <c r="Q110" s="209">
        <f>(Q109*($L$9))/(0.85*$L$6*100)</f>
        <v>2.6387692286741142E-2</v>
      </c>
      <c r="R110" s="210"/>
      <c r="S110" s="209">
        <f>(S109*($L$9))/(0.85*$L$6*100)</f>
        <v>2.6002909615502709E-2</v>
      </c>
      <c r="T110" s="210"/>
      <c r="U110" s="209">
        <f>(U109*($L$9))/(0.85*$L$6*100)</f>
        <v>3.0419529981876813E-2</v>
      </c>
      <c r="V110" s="210"/>
      <c r="W110" s="214">
        <f>(W109*($L$9))/(0.85*$L$6*100)</f>
        <v>2.9368488784794502E-2</v>
      </c>
      <c r="X110" s="210"/>
      <c r="Y110" s="209">
        <f>(Y109*($L$9))/(0.85*$L$6*100)</f>
        <v>1.0227855422949241E-2</v>
      </c>
      <c r="Z110" s="210"/>
    </row>
    <row r="111" spans="2:26" ht="15.75" thickBot="1" x14ac:dyDescent="0.3">
      <c r="B111" s="108" t="s">
        <v>15</v>
      </c>
      <c r="C111" s="201">
        <f>ROUNDUP(C108/(0.9*(($C$7-C110/2)/100)*($L$9*1000)),2)</f>
        <v>2.5199999999999996</v>
      </c>
      <c r="D111" s="202"/>
      <c r="E111" s="201">
        <f>ROUNDUP(E108/(0.9*(($C$7-E110/2)/100)*($L$9*1000)),2)</f>
        <v>2.5299999999999998</v>
      </c>
      <c r="F111" s="202"/>
      <c r="G111" s="201">
        <f>ROUNDUP(G108/(0.9*(($C$7-G110/2)/100)*($L$9*1000)),2)</f>
        <v>3.63</v>
      </c>
      <c r="H111" s="202"/>
      <c r="I111" s="201">
        <f>ROUNDUP(I108/(0.9*(($C$7-I110/2)/100)*($L$9*1000)),2)</f>
        <v>4.05</v>
      </c>
      <c r="J111" s="202"/>
      <c r="K111" s="201">
        <f>ROUNDUP(K108/(0.9*(($C$7-K110/2)/100)*($L$9*1000)),2)</f>
        <v>2.4099999999999997</v>
      </c>
      <c r="L111" s="202"/>
      <c r="M111" s="201">
        <f>ROUNDUP(M108/(0.9*(($C$7-M110/2)/100)*($L$9*1000)),2)</f>
        <v>2.98</v>
      </c>
      <c r="N111" s="202"/>
      <c r="O111" s="201">
        <f>ROUNDUP(O108/(0.9*(($C$7-O110/2)/100)*($L$9*1000)),2)</f>
        <v>2.8699999999999997</v>
      </c>
      <c r="P111" s="202"/>
      <c r="Q111" s="201">
        <f>ROUNDUP(Q108/(0.9*(($C$7-Q110/2)/100)*($L$9*1000)),2)</f>
        <v>1.69</v>
      </c>
      <c r="R111" s="202"/>
      <c r="S111" s="201">
        <f>ROUNDUP(S108/(0.9*(($C$7-S110/2)/100)*($L$9*1000)),2)</f>
        <v>1.67</v>
      </c>
      <c r="T111" s="202"/>
      <c r="U111" s="201">
        <f>ROUNDUP(U108/(0.9*(($C$7-U110/2)/100)*($L$9*1000)),2)</f>
        <v>1.95</v>
      </c>
      <c r="V111" s="202"/>
      <c r="W111" s="215">
        <f>ROUNDUP(W108/(0.9*(($C$7-W110/2)/100)*($L$9*1000)),2)</f>
        <v>1.8800000000000001</v>
      </c>
      <c r="X111" s="216"/>
      <c r="Y111" s="201">
        <f>ROUNDUP(Y108/(0.9*(($C$7-Y110/2)/100)*($L$9*1000)),2)</f>
        <v>0.66</v>
      </c>
      <c r="Z111" s="202"/>
    </row>
    <row r="112" spans="2:26" ht="16.5" thickBot="1" x14ac:dyDescent="0.3">
      <c r="B112" s="61" t="s">
        <v>113</v>
      </c>
      <c r="C112" s="199" t="str">
        <f>IF(C111&gt;$C$12,"$\phi"&amp;IF(VLOOKUP(VLOOKUP(C111,tablas!$R$3:$T$66,2,TRUE)&amp;VLOOKUP(C111,tablas!$R$3:$T$66,3,TRUE),tablas!$Q$3:$R$66,2,FALSE)&lt;C111,VLOOKUP(C111+0.1,tablas!$R$3:$T$66,2,TRUE),VLOOKUP(C111,tablas!$R$3:$T$66,2,TRUE))&amp;"@"&amp;IF(VLOOKUP(VLOOKUP(C111,tablas!$R$3:$T$66,2,TRUE)&amp;VLOOKUP(C111,tablas!$R$3:$T$66,3,TRUE),tablas!$Q$3:$R$66,2,FALSE)&lt;C111,VLOOKUP(C111+0.1,tablas!$R$3:$T$66,3,TRUE)&amp;"$",VLOOKUP(C111,tablas!$R$3:$T$66,3,TRUE)&amp;"$"),$C$13)</f>
        <v>$\phi8@17$</v>
      </c>
      <c r="D112" s="200"/>
      <c r="E112" s="199" t="str">
        <f>IF(E111&gt;$C$12,"$\phi"&amp;IF(VLOOKUP(VLOOKUP(E111,tablas!$R$3:$T$66,2,TRUE)&amp;VLOOKUP(E111,tablas!$R$3:$T$66,3,TRUE),tablas!$Q$3:$R$66,2,FALSE)&lt;E111,VLOOKUP(E111+0.1,tablas!$R$3:$T$66,2,TRUE),VLOOKUP(E111,tablas!$R$3:$T$66,2,TRUE))&amp;"@"&amp;IF(VLOOKUP(VLOOKUP(E111,tablas!$R$3:$T$66,2,TRUE)&amp;VLOOKUP(E111,tablas!$R$3:$T$66,3,TRUE),tablas!$Q$3:$R$66,2,FALSE)&lt;E111,VLOOKUP(E111+0.1,tablas!$R$3:$T$66,3,TRUE)&amp;"$",VLOOKUP(E111,tablas!$R$3:$T$66,3,TRUE)&amp;"$"),$C$13)</f>
        <v>$\phi8@17$</v>
      </c>
      <c r="F112" s="200"/>
      <c r="G112" s="199" t="str">
        <f>IF(G111&gt;$C$12,"$\phi"&amp;IF(VLOOKUP(VLOOKUP(G111,tablas!$R$3:$T$66,2,TRUE)&amp;VLOOKUP(G111,tablas!$R$3:$T$66,3,TRUE),tablas!$Q$3:$R$66,2,FALSE)&lt;G111,VLOOKUP(G111+0.1,tablas!$R$3:$T$66,2,TRUE),VLOOKUP(G111,tablas!$R$3:$T$66,2,TRUE))&amp;"@"&amp;IF(VLOOKUP(VLOOKUP(G111,tablas!$R$3:$T$66,2,TRUE)&amp;VLOOKUP(G111,tablas!$R$3:$T$66,3,TRUE),tablas!$Q$3:$R$66,2,FALSE)&lt;G111,VLOOKUP(G111+0.1,tablas!$R$3:$T$66,3,TRUE)&amp;"$",VLOOKUP(G111,tablas!$R$3:$T$66,3,TRUE)&amp;"$"),$C$13)</f>
        <v>$\phi8@14$</v>
      </c>
      <c r="H112" s="200"/>
      <c r="I112" s="199" t="str">
        <f>IF(I111&gt;$C$12,"$\phi"&amp;IF(VLOOKUP(VLOOKUP(I111,tablas!$R$3:$T$66,2,TRUE)&amp;VLOOKUP(I111,tablas!$R$3:$T$66,3,TRUE),tablas!$Q$3:$R$66,2,FALSE)&lt;I111,VLOOKUP(I111+0.1,tablas!$R$3:$T$66,2,TRUE),VLOOKUP(I111,tablas!$R$3:$T$66,2,TRUE))&amp;"@"&amp;IF(VLOOKUP(VLOOKUP(I111,tablas!$R$3:$T$66,2,TRUE)&amp;VLOOKUP(I111,tablas!$R$3:$T$66,3,TRUE),tablas!$Q$3:$R$66,2,FALSE)&lt;I111,VLOOKUP(I111+0.1,tablas!$R$3:$T$66,3,TRUE)&amp;"$",VLOOKUP(I111,tablas!$R$3:$T$66,3,TRUE)&amp;"$"),$C$13)</f>
        <v>$\phi10@19$</v>
      </c>
      <c r="J112" s="200"/>
      <c r="K112" s="199" t="str">
        <f>IF(K111&gt;$C$12,"$\phi"&amp;IF(VLOOKUP(VLOOKUP(K111,tablas!$R$3:$T$66,2,TRUE)&amp;VLOOKUP(K111,tablas!$R$3:$T$66,3,TRUE),tablas!$Q$3:$R$66,2,FALSE)&lt;K111,VLOOKUP(K111+0.1,tablas!$R$3:$T$66,2,TRUE),VLOOKUP(K111,tablas!$R$3:$T$66,2,TRUE))&amp;"@"&amp;IF(VLOOKUP(VLOOKUP(K111,tablas!$R$3:$T$66,2,TRUE)&amp;VLOOKUP(K111,tablas!$R$3:$T$66,3,TRUE),tablas!$Q$3:$R$66,2,FALSE)&lt;K111,VLOOKUP(K111+0.1,tablas!$R$3:$T$66,3,TRUE)&amp;"$",VLOOKUP(K111,tablas!$R$3:$T$66,3,TRUE)&amp;"$"),$C$13)</f>
        <v>$\phi8@17$</v>
      </c>
      <c r="L112" s="200"/>
      <c r="M112" s="199" t="str">
        <f>IF(M111&gt;$C$12,"$\phi"&amp;IF(VLOOKUP(VLOOKUP(M111,tablas!$R$3:$T$66,2,TRUE)&amp;VLOOKUP(M111,tablas!$R$3:$T$66,3,TRUE),tablas!$Q$3:$R$66,2,FALSE)&lt;M111,VLOOKUP(M111+0.1,tablas!$R$3:$T$66,2,TRUE),VLOOKUP(M111,tablas!$R$3:$T$66,2,TRUE))&amp;"@"&amp;IF(VLOOKUP(VLOOKUP(M111,tablas!$R$3:$T$66,2,TRUE)&amp;VLOOKUP(M111,tablas!$R$3:$T$66,3,TRUE),tablas!$Q$3:$R$66,2,FALSE)&lt;M111,VLOOKUP(M111+0.1,tablas!$R$3:$T$66,3,TRUE)&amp;"$",VLOOKUP(M111,tablas!$R$3:$T$66,3,TRUE)&amp;"$"),$C$13)</f>
        <v>$\phi8@17$</v>
      </c>
      <c r="N112" s="200"/>
      <c r="O112" s="199" t="str">
        <f>IF(O111&gt;$C$12,"$\phi"&amp;IF(VLOOKUP(VLOOKUP(O111,tablas!$R$3:$T$66,2,TRUE)&amp;VLOOKUP(O111,tablas!$R$3:$T$66,3,TRUE),tablas!$Q$3:$R$66,2,FALSE)&lt;O111,VLOOKUP(O111+0.1,tablas!$R$3:$T$66,2,TRUE),VLOOKUP(O111,tablas!$R$3:$T$66,2,TRUE))&amp;"@"&amp;IF(VLOOKUP(VLOOKUP(O111,tablas!$R$3:$T$66,2,TRUE)&amp;VLOOKUP(O111,tablas!$R$3:$T$66,3,TRUE),tablas!$Q$3:$R$66,2,FALSE)&lt;O111,VLOOKUP(O111+0.1,tablas!$R$3:$T$66,3,TRUE)&amp;"$",VLOOKUP(O111,tablas!$R$3:$T$66,3,TRUE)&amp;"$"),$C$13)</f>
        <v>$\phi8@17$</v>
      </c>
      <c r="P112" s="200"/>
      <c r="Q112" s="199" t="str">
        <f>IF(Q111&gt;$C$12,"$\phi"&amp;IF(VLOOKUP(VLOOKUP(Q111,tablas!$R$3:$T$66,2,TRUE)&amp;VLOOKUP(Q111,tablas!$R$3:$T$66,3,TRUE),tablas!$Q$3:$R$66,2,FALSE)&lt;Q111,VLOOKUP(Q111+0.1,tablas!$R$3:$T$66,2,TRUE),VLOOKUP(Q111,tablas!$R$3:$T$66,2,TRUE))&amp;"@"&amp;IF(VLOOKUP(VLOOKUP(Q111,tablas!$R$3:$T$66,2,TRUE)&amp;VLOOKUP(Q111,tablas!$R$3:$T$66,3,TRUE),tablas!$Q$3:$R$66,2,FALSE)&lt;Q111,VLOOKUP(Q111+0.1,tablas!$R$3:$T$66,3,TRUE)&amp;"$",VLOOKUP(Q111,tablas!$R$3:$T$66,3,TRUE)&amp;"$"),$C$13)</f>
        <v>$\phi8@17$</v>
      </c>
      <c r="R112" s="200"/>
      <c r="S112" s="199" t="str">
        <f>IF(S111&gt;$C$12,"$\phi"&amp;IF(VLOOKUP(VLOOKUP(S111,tablas!$R$3:$T$66,2,TRUE)&amp;VLOOKUP(S111,tablas!$R$3:$T$66,3,TRUE),tablas!$Q$3:$R$66,2,FALSE)&lt;S111,VLOOKUP(S111+0.1,tablas!$R$3:$T$66,2,TRUE),VLOOKUP(S111,tablas!$R$3:$T$66,2,TRUE))&amp;"@"&amp;IF(VLOOKUP(VLOOKUP(S111,tablas!$R$3:$T$66,2,TRUE)&amp;VLOOKUP(S111,tablas!$R$3:$T$66,3,TRUE),tablas!$Q$3:$R$66,2,FALSE)&lt;S111,VLOOKUP(S111+0.1,tablas!$R$3:$T$66,3,TRUE)&amp;"$",VLOOKUP(S111,tablas!$R$3:$T$66,3,TRUE)&amp;"$"),$C$13)</f>
        <v>$\phi8@17$</v>
      </c>
      <c r="T112" s="200"/>
      <c r="U112" s="199" t="str">
        <f>IF(U111&gt;$C$12,"$\phi"&amp;IF(VLOOKUP(VLOOKUP(U111,tablas!$R$3:$T$66,2,TRUE)&amp;VLOOKUP(U111,tablas!$R$3:$T$66,3,TRUE),tablas!$Q$3:$R$66,2,FALSE)&lt;U111,VLOOKUP(U111+0.1,tablas!$R$3:$T$66,2,TRUE),VLOOKUP(U111,tablas!$R$3:$T$66,2,TRUE))&amp;"@"&amp;IF(VLOOKUP(VLOOKUP(U111,tablas!$R$3:$T$66,2,TRUE)&amp;VLOOKUP(U111,tablas!$R$3:$T$66,3,TRUE),tablas!$Q$3:$R$66,2,FALSE)&lt;U111,VLOOKUP(U111+0.1,tablas!$R$3:$T$66,3,TRUE)&amp;"$",VLOOKUP(U111,tablas!$R$3:$T$66,3,TRUE)&amp;"$"),$C$13)</f>
        <v>$\phi8@17$</v>
      </c>
      <c r="V112" s="200"/>
      <c r="W112" s="199" t="str">
        <f>IF(W111&gt;$C$12,"$\phi"&amp;IF(VLOOKUP(VLOOKUP(W111,tablas!$R$3:$T$66,2,TRUE)&amp;VLOOKUP(W111,tablas!$R$3:$T$66,3,TRUE),tablas!$Q$3:$R$66,2,FALSE)&lt;W111,VLOOKUP(W111+0.1,tablas!$R$3:$T$66,2,TRUE),VLOOKUP(W111,tablas!$R$3:$T$66,2,TRUE))&amp;"@"&amp;IF(VLOOKUP(VLOOKUP(W111,tablas!$R$3:$T$66,2,TRUE)&amp;VLOOKUP(W111,tablas!$R$3:$T$66,3,TRUE),tablas!$Q$3:$R$66,2,FALSE)&lt;W111,VLOOKUP(W111+0.1,tablas!$R$3:$T$66,3,TRUE)&amp;"$",VLOOKUP(W111,tablas!$R$3:$T$66,3,TRUE)&amp;"$"),$C$13)</f>
        <v>$\phi8@17$</v>
      </c>
      <c r="X112" s="200"/>
      <c r="Y112" s="199" t="str">
        <f>IF(Y111&gt;$C$12,"$\phi"&amp;IF(VLOOKUP(VLOOKUP(Y111,tablas!$R$3:$T$66,2,TRUE)&amp;VLOOKUP(Y111,tablas!$R$3:$T$66,3,TRUE),tablas!$Q$3:$R$66,2,FALSE)&lt;Y111,VLOOKUP(Y111+0.1,tablas!$R$3:$T$66,2,TRUE),VLOOKUP(Y111,tablas!$R$3:$T$66,2,TRUE))&amp;"@"&amp;IF(VLOOKUP(VLOOKUP(Y111,tablas!$R$3:$T$66,2,TRUE)&amp;VLOOKUP(Y111,tablas!$R$3:$T$66,3,TRUE),tablas!$Q$3:$R$66,2,FALSE)&lt;Y111,VLOOKUP(Y111+0.1,tablas!$R$3:$T$66,3,TRUE)&amp;"$",VLOOKUP(Y111,tablas!$R$3:$T$66,3,TRUE)&amp;"$"),$C$13)</f>
        <v>$\phi8@17$</v>
      </c>
      <c r="Z112" s="200"/>
    </row>
    <row r="113" spans="2:22" ht="15.75" thickBot="1" x14ac:dyDescent="0.3">
      <c r="P113" s="40"/>
      <c r="T113" s="40"/>
      <c r="U113" s="41"/>
    </row>
    <row r="114" spans="2:22" ht="15.75" thickBot="1" x14ac:dyDescent="0.3">
      <c r="B114" s="73" t="s">
        <v>43</v>
      </c>
      <c r="C114" s="74" t="s">
        <v>146</v>
      </c>
      <c r="D114" s="75" t="s">
        <v>161</v>
      </c>
      <c r="E114" s="74" t="s">
        <v>147</v>
      </c>
      <c r="F114" s="75" t="s">
        <v>148</v>
      </c>
      <c r="G114" s="74" t="s">
        <v>147</v>
      </c>
      <c r="H114" s="75" t="s">
        <v>149</v>
      </c>
      <c r="I114" s="74" t="s">
        <v>148</v>
      </c>
      <c r="J114" s="75" t="s">
        <v>161</v>
      </c>
      <c r="K114" s="74" t="s">
        <v>148</v>
      </c>
      <c r="L114" s="75" t="s">
        <v>149</v>
      </c>
      <c r="M114" s="74" t="s">
        <v>149</v>
      </c>
      <c r="N114" s="75" t="s">
        <v>150</v>
      </c>
      <c r="O114" s="74" t="s">
        <v>149</v>
      </c>
      <c r="P114" s="75" t="s">
        <v>157</v>
      </c>
      <c r="Q114" s="74" t="s">
        <v>150</v>
      </c>
      <c r="R114" s="75" t="s">
        <v>157</v>
      </c>
      <c r="S114" s="74" t="s">
        <v>150</v>
      </c>
      <c r="T114" s="75" t="s">
        <v>156</v>
      </c>
      <c r="U114" s="74" t="s">
        <v>152</v>
      </c>
      <c r="V114" s="75" t="s">
        <v>153</v>
      </c>
    </row>
    <row r="115" spans="2:22" ht="15.75" hidden="1" thickBot="1" x14ac:dyDescent="0.3">
      <c r="B115" s="144"/>
      <c r="C115" s="146" t="str">
        <f>C114&amp;"-"&amp;D114</f>
        <v>207-222</v>
      </c>
      <c r="D115" s="146"/>
      <c r="E115" s="146" t="str">
        <f>E114&amp;"-"&amp;F114</f>
        <v>208-209</v>
      </c>
      <c r="F115" s="145"/>
      <c r="G115" s="146" t="str">
        <f>G114&amp;"-"&amp;H114</f>
        <v>208-210</v>
      </c>
      <c r="H115" s="145"/>
      <c r="I115" s="146" t="str">
        <f>I114&amp;"-"&amp;J114</f>
        <v>209-222</v>
      </c>
      <c r="J115" s="145"/>
      <c r="K115" s="146" t="str">
        <f>K114&amp;"-"&amp;L114</f>
        <v>209-210</v>
      </c>
      <c r="L115" s="145"/>
      <c r="M115" s="146" t="str">
        <f>M114&amp;"-"&amp;N114</f>
        <v>210-211</v>
      </c>
      <c r="N115" s="145"/>
      <c r="O115" s="146" t="str">
        <f>O114&amp;"-"&amp;P114</f>
        <v>210-218</v>
      </c>
      <c r="P115" s="145"/>
      <c r="Q115" s="146" t="str">
        <f>Q114&amp;"-"&amp;R114</f>
        <v>211-218</v>
      </c>
      <c r="R115" s="145"/>
      <c r="S115" s="146" t="str">
        <f>S114&amp;"-"&amp;T114</f>
        <v>211-217</v>
      </c>
      <c r="T115" s="145"/>
      <c r="U115" s="146" t="str">
        <f>U114&amp;"-"&amp;V114</f>
        <v>213-214</v>
      </c>
      <c r="V115" s="145"/>
    </row>
    <row r="116" spans="2:22" x14ac:dyDescent="0.25">
      <c r="B116" s="105" t="s">
        <v>114</v>
      </c>
      <c r="C116" s="102" t="s">
        <v>109</v>
      </c>
      <c r="D116" s="103" t="s">
        <v>108</v>
      </c>
      <c r="E116" s="102" t="s">
        <v>108</v>
      </c>
      <c r="F116" s="103" t="s">
        <v>109</v>
      </c>
      <c r="G116" s="102" t="s">
        <v>108</v>
      </c>
      <c r="H116" s="103" t="s">
        <v>108</v>
      </c>
      <c r="I116" s="102" t="s">
        <v>108</v>
      </c>
      <c r="J116" s="103" t="s">
        <v>109</v>
      </c>
      <c r="K116" s="102" t="s">
        <v>108</v>
      </c>
      <c r="L116" s="103" t="s">
        <v>109</v>
      </c>
      <c r="M116" s="102" t="s">
        <v>109</v>
      </c>
      <c r="N116" s="103" t="s">
        <v>109</v>
      </c>
      <c r="O116" s="102" t="s">
        <v>108</v>
      </c>
      <c r="P116" s="103" t="s">
        <v>108</v>
      </c>
      <c r="Q116" s="102" t="s">
        <v>108</v>
      </c>
      <c r="R116" s="103" t="s">
        <v>108</v>
      </c>
      <c r="S116" s="102" t="s">
        <v>109</v>
      </c>
      <c r="T116" s="103" t="s">
        <v>108</v>
      </c>
      <c r="U116" s="102" t="s">
        <v>109</v>
      </c>
      <c r="V116" s="103" t="s">
        <v>109</v>
      </c>
    </row>
    <row r="117" spans="2:22" x14ac:dyDescent="0.25">
      <c r="B117" s="106" t="s">
        <v>110</v>
      </c>
      <c r="C117" s="104">
        <f t="shared" ref="C117" si="53">HLOOKUP(C114,$B$46:$X$89,IF(C116="x",35,40),FALSE)</f>
        <v>479.38048780487804</v>
      </c>
      <c r="D117" s="86">
        <f t="shared" ref="D117" si="54">HLOOKUP(D114,$B$46:$X$89,IF(D116="x",35,40),FALSE)</f>
        <v>734.75928143712576</v>
      </c>
      <c r="E117" s="104">
        <f t="shared" ref="E117" si="55">HLOOKUP(E114,$B$46:$X$89,IF(E116="x",35,40),FALSE)</f>
        <v>227.0333333333333</v>
      </c>
      <c r="F117" s="86">
        <f t="shared" ref="F117" si="56">HLOOKUP(F114,$B$46:$X$89,IF(F116="x",35,40),FALSE)</f>
        <v>667.99428571428564</v>
      </c>
      <c r="G117" s="104">
        <f t="shared" ref="G117" si="57">HLOOKUP(G114,$B$46:$X$89,IF(G116="x",35,40),FALSE)</f>
        <v>227.0333333333333</v>
      </c>
      <c r="H117" s="86">
        <f t="shared" ref="H117" si="58">HLOOKUP(H114,$B$46:$X$89,IF(H116="x",35,40),FALSE)</f>
        <v>1428.5638297872338</v>
      </c>
      <c r="I117" s="104">
        <f t="shared" ref="I117" si="59">HLOOKUP(I114,$B$46:$X$89,IF(I116="x",35,40),FALSE)</f>
        <v>974.1583333333333</v>
      </c>
      <c r="J117" s="86">
        <f t="shared" ref="J117" si="60">HLOOKUP(J114,$B$46:$X$89,IF(J116="x",35,40),FALSE)</f>
        <v>555.22533936651575</v>
      </c>
      <c r="K117" s="104">
        <f t="shared" ref="K117" si="61">HLOOKUP(K114,$B$46:$X$89,IF(K116="x",35,40),FALSE)</f>
        <v>974.1583333333333</v>
      </c>
      <c r="L117" s="86">
        <f t="shared" ref="L117" si="62">HLOOKUP(L114,$B$46:$X$89,IF(L116="x",35,40),FALSE)</f>
        <v>1323.0049261083741</v>
      </c>
      <c r="M117" s="104">
        <f t="shared" ref="M117" si="63">HLOOKUP(M114,$B$46:$X$89,IF(M116="x",35,40),FALSE)</f>
        <v>1323.0049261083741</v>
      </c>
      <c r="N117" s="86">
        <f t="shared" ref="N117" si="64">HLOOKUP(N114,$B$46:$X$89,IF(N116="x",35,40),FALSE)</f>
        <v>1879.8058604651167</v>
      </c>
      <c r="O117" s="104">
        <f t="shared" ref="O117" si="65">HLOOKUP(O114,$B$46:$X$89,IF(O116="x",35,40),FALSE)</f>
        <v>1428.5638297872338</v>
      </c>
      <c r="P117" s="86">
        <f t="shared" ref="P117" si="66">HLOOKUP(P114,$B$46:$X$89,IF(P116="x",35,40),FALSE)</f>
        <v>276.07350000000002</v>
      </c>
      <c r="Q117" s="104">
        <f t="shared" ref="Q117" si="67">HLOOKUP(Q114,$B$46:$X$89,IF(Q116="x",35,40),FALSE)</f>
        <v>2172.8938709677423</v>
      </c>
      <c r="R117" s="86">
        <f t="shared" ref="R117" si="68">HLOOKUP(R114,$B$46:$X$89,IF(R116="x",35,40),FALSE)</f>
        <v>276.07350000000002</v>
      </c>
      <c r="S117" s="104">
        <f t="shared" ref="S117" si="69">HLOOKUP(S114,$B$46:$X$89,IF(S116="x",35,40),FALSE)</f>
        <v>1879.8058604651167</v>
      </c>
      <c r="T117" s="86">
        <f t="shared" ref="T117" si="70">HLOOKUP(T114,$B$46:$X$89,IF(T116="x",35,40),FALSE)</f>
        <v>166.29600000000002</v>
      </c>
      <c r="U117" s="104">
        <f t="shared" ref="U117" si="71">HLOOKUP(U114,$B$46:$X$89,IF(U116="x",35,40),FALSE)</f>
        <v>249.29093333333336</v>
      </c>
      <c r="V117" s="86">
        <f t="shared" ref="V117" si="72">HLOOKUP(V114,$B$46:$X$89,IF(V116="x",35,40),FALSE)</f>
        <v>249.29093333333336</v>
      </c>
    </row>
    <row r="118" spans="2:22" x14ac:dyDescent="0.25">
      <c r="B118" s="106" t="s">
        <v>111</v>
      </c>
      <c r="C118" s="203">
        <f>(MAX(C117:D117)-MIN(C117:D117))/(MAX(C117:D117))</f>
        <v>0.34756797237422959</v>
      </c>
      <c r="D118" s="204"/>
      <c r="E118" s="203">
        <f>(MAX(E117:F117)-MIN(E117:F117))/(MAX(E117:F117))</f>
        <v>0.66012683313515652</v>
      </c>
      <c r="F118" s="204"/>
      <c r="G118" s="203">
        <f>(MAX(G117:H117)-MIN(G117:H117))/(MAX(G117:H117))</f>
        <v>0.84107582132529068</v>
      </c>
      <c r="H118" s="204"/>
      <c r="I118" s="203">
        <f>(MAX(I117:J117)-MIN(I117:J117))/(MAX(I117:J117))</f>
        <v>0.43004610198562954</v>
      </c>
      <c r="J118" s="204"/>
      <c r="K118" s="203">
        <f>(MAX(K117:L117)-MIN(K117:L117))/(MAX(K117:L117))</f>
        <v>0.26367747080214954</v>
      </c>
      <c r="L118" s="204"/>
      <c r="M118" s="203">
        <f>(MAX(M117:N117)-MIN(M117:N117))/(MAX(M117:N117))</f>
        <v>0.29620129720149635</v>
      </c>
      <c r="N118" s="204"/>
      <c r="O118" s="203">
        <f>(MAX(O117:P117)-MIN(O117:P117))/(MAX(O117:P117))</f>
        <v>0.80674752206128753</v>
      </c>
      <c r="P118" s="204"/>
      <c r="Q118" s="203">
        <f>(MAX(Q117:R117)-MIN(Q117:R117))/(MAX(Q117:R117))</f>
        <v>0.87294662491866437</v>
      </c>
      <c r="R118" s="204"/>
      <c r="S118" s="203">
        <f>(MAX(S117:T117)-MIN(S117:T117))/(MAX(S117:T117))</f>
        <v>0.91153554550635685</v>
      </c>
      <c r="T118" s="204"/>
      <c r="U118" s="203">
        <f>(MAX(U117:V117)-MIN(U117:V117))/(MAX(U117:V117))</f>
        <v>0</v>
      </c>
      <c r="V118" s="204"/>
    </row>
    <row r="119" spans="2:22" x14ac:dyDescent="0.25">
      <c r="B119" s="106" t="s">
        <v>112</v>
      </c>
      <c r="C119" s="205">
        <f>IF(C118&lt;25%,(C117*0.5+D117*0.5)*0.9,IF(C118&lt;50%,(MAX(C117:D117)*0.6+MIN(C117:D117)*0.4)*0.9,IF(C118&lt;70%,(MAX(C117:D117)*0.65+MIN(C117:D117)*0.35)*0.9,IF(C118&lt;100%,(MAX(C117:D117)*0.7+MIN(C117:D117)*0.3)*0.9,0.7*MAX(C117:D117)))))</f>
        <v>569.34698758580407</v>
      </c>
      <c r="D119" s="206"/>
      <c r="E119" s="205">
        <f>IF(E118&lt;25%,(E117*0.5+F117*0.5)*0.9,IF(E118&lt;50%,(MAX(E117:F117)*0.6+MIN(E117:F117)*0.4)*0.9,IF(E118&lt;70%,(MAX(E117:F117)*0.65+MIN(E117:F117)*0.35)*0.9,IF(E118&lt;100%,(MAX(E117:F117)*0.7+MIN(E117:F117)*0.3)*0.9,0.7*MAX(E117:F117)))))</f>
        <v>462.29215714285709</v>
      </c>
      <c r="F119" s="206"/>
      <c r="G119" s="205">
        <f>IF(G118&lt;25%,(G117*0.5+H117*0.5)*0.9,IF(G118&lt;50%,(MAX(G117:H117)*0.6+MIN(G117:H117)*0.4)*0.9,IF(G118&lt;70%,(MAX(G117:H117)*0.65+MIN(G117:H117)*0.35)*0.9,IF(G118&lt;100%,(MAX(G117:H117)*0.7+MIN(G117:H117)*0.3)*0.9,0.7*MAX(G117:H117)))))</f>
        <v>961.29421276595713</v>
      </c>
      <c r="H119" s="206"/>
      <c r="I119" s="205">
        <f>IF(I118&lt;25%,(I117*0.5+J117*0.5)*0.9,IF(I118&lt;50%,(MAX(I117:J117)*0.6+MIN(I117:J117)*0.4)*0.9,IF(I118&lt;70%,(MAX(I117:J117)*0.65+MIN(I117:J117)*0.35)*0.9,IF(I118&lt;100%,(MAX(I117:J117)*0.7+MIN(I117:J117)*0.3)*0.9,0.7*MAX(I117:J117)))))</f>
        <v>725.92662217194572</v>
      </c>
      <c r="J119" s="206"/>
      <c r="K119" s="205">
        <f>IF(K118&lt;25%,(K117*0.5+L117*0.5)*0.9,IF(K118&lt;50%,(MAX(K117:L117)*0.6+MIN(K117:L117)*0.4)*0.9,IF(K118&lt;70%,(MAX(K117:L117)*0.65+MIN(K117:L117)*0.35)*0.9,IF(K118&lt;100%,(MAX(K117:L117)*0.7+MIN(K117:L117)*0.3)*0.9,0.7*MAX(K117:L117)))))</f>
        <v>1065.1196600985222</v>
      </c>
      <c r="L119" s="206"/>
      <c r="M119" s="205">
        <f>IF(M118&lt;25%,(M117*0.5+N117*0.5)*0.9,IF(M118&lt;50%,(MAX(M117:N117)*0.6+MIN(M117:N117)*0.4)*0.9,IF(M118&lt;70%,(MAX(M117:N117)*0.65+MIN(M117:N117)*0.35)*0.9,IF(M118&lt;100%,(MAX(M117:N117)*0.7+MIN(M117:N117)*0.3)*0.9,0.7*MAX(M117:N117)))))</f>
        <v>1491.3769380501776</v>
      </c>
      <c r="N119" s="206"/>
      <c r="O119" s="205">
        <f>IF(O118&lt;25%,(O117*0.5+P117*0.5)*0.9,IF(O118&lt;50%,(MAX(O117:P117)*0.6+MIN(O117:P117)*0.4)*0.9,IF(O118&lt;70%,(MAX(O117:P117)*0.65+MIN(O117:P117)*0.35)*0.9,IF(O118&lt;100%,(MAX(O117:P117)*0.7+MIN(O117:P117)*0.3)*0.9,0.7*MAX(O117:P117)))))</f>
        <v>974.53505776595716</v>
      </c>
      <c r="P119" s="206"/>
      <c r="Q119" s="205">
        <f>IF(Q118&lt;25%,(Q117*0.5+R117*0.5)*0.9,IF(Q118&lt;50%,(MAX(Q117:R117)*0.6+MIN(Q117:R117)*0.4)*0.9,IF(Q118&lt;70%,(MAX(Q117:R117)*0.65+MIN(Q117:R117)*0.35)*0.9,IF(Q118&lt;100%,(MAX(Q117:R117)*0.7+MIN(Q117:R117)*0.3)*0.9,0.7*MAX(Q117:R117)))))</f>
        <v>1443.4629837096775</v>
      </c>
      <c r="R119" s="206"/>
      <c r="S119" s="205">
        <f>IF(S118&lt;25%,(S117*0.5+T117*0.5)*0.9,IF(S118&lt;50%,(MAX(S117:T117)*0.6+MIN(S117:T117)*0.4)*0.9,IF(S118&lt;70%,(MAX(S117:T117)*0.65+MIN(S117:T117)*0.35)*0.9,IF(S118&lt;100%,(MAX(S117:T117)*0.7+MIN(S117:T117)*0.3)*0.9,0.7*MAX(S117:T117)))))</f>
        <v>1229.1776120930235</v>
      </c>
      <c r="T119" s="206"/>
      <c r="U119" s="205">
        <f>IF(U118&lt;25%,(U117*0.5+V117*0.5)*0.9,IF(U118&lt;50%,(MAX(U117:V117)*0.6+MIN(U117:V117)*0.4)*0.9,IF(U118&lt;70%,(MAX(U117:V117)*0.65+MIN(U117:V117)*0.35)*0.9,IF(U118&lt;100%,(MAX(U117:V117)*0.7+MIN(U117:V117)*0.3)*0.9,0.7*MAX(U117:V117)))))</f>
        <v>224.36184000000003</v>
      </c>
      <c r="V119" s="206"/>
    </row>
    <row r="120" spans="2:22" x14ac:dyDescent="0.25">
      <c r="B120" s="107" t="s">
        <v>15</v>
      </c>
      <c r="C120" s="207">
        <f>C119/(0.9*(0.9*($C$7/100))*($L$9*1000))</f>
        <v>1.1730599391489145</v>
      </c>
      <c r="D120" s="208"/>
      <c r="E120" s="207">
        <f>E119/(0.9*(0.9*($C$7/100))*($L$9*1000))</f>
        <v>0.95248841488828095</v>
      </c>
      <c r="F120" s="208"/>
      <c r="G120" s="207">
        <f>G119/(0.9*(0.9*($C$7/100))*($L$9*1000))</f>
        <v>1.9806124478027429</v>
      </c>
      <c r="H120" s="208"/>
      <c r="I120" s="207">
        <f>I119/(0.9*(0.9*($C$7/100))*($L$9*1000))</f>
        <v>1.4956704045145492</v>
      </c>
      <c r="J120" s="208"/>
      <c r="K120" s="207">
        <f>K119/(0.9*(0.9*($C$7/100))*($L$9*1000))</f>
        <v>2.194530279258192</v>
      </c>
      <c r="L120" s="208"/>
      <c r="M120" s="207">
        <f>M119/(0.9*(0.9*($C$7/100))*($L$9*1000))</f>
        <v>3.07277385907584</v>
      </c>
      <c r="N120" s="208"/>
      <c r="O120" s="207">
        <f>O119/(0.9*(0.9*($C$7/100))*($L$9*1000))</f>
        <v>2.0078933593885608</v>
      </c>
      <c r="P120" s="208"/>
      <c r="Q120" s="207">
        <f>Q119/(0.9*(0.9*($C$7/100))*($L$9*1000))</f>
        <v>2.974053848979044</v>
      </c>
      <c r="R120" s="208"/>
      <c r="S120" s="207">
        <f>S119/(0.9*(0.9*($C$7/100))*($L$9*1000))</f>
        <v>2.5325487730410572</v>
      </c>
      <c r="T120" s="208"/>
      <c r="U120" s="207">
        <f>U119/(0.9*(0.9*($C$7/100))*($L$9*1000))</f>
        <v>0.46226623151856788</v>
      </c>
      <c r="V120" s="208"/>
    </row>
    <row r="121" spans="2:22" x14ac:dyDescent="0.25">
      <c r="B121" s="107" t="s">
        <v>98</v>
      </c>
      <c r="C121" s="209">
        <f>(C120*($L$9))/(0.85*$L$6*100)</f>
        <v>1.6545383224772961E-2</v>
      </c>
      <c r="D121" s="210"/>
      <c r="E121" s="209">
        <f>(E120*($L$9))/(0.85*$L$6*100)</f>
        <v>1.3434339811243508E-2</v>
      </c>
      <c r="F121" s="210"/>
      <c r="G121" s="209">
        <f>(G120*($L$9))/(0.85*$L$6*100)</f>
        <v>2.7935479573556569E-2</v>
      </c>
      <c r="H121" s="210"/>
      <c r="I121" s="209">
        <f>(I120*($L$9))/(0.85*$L$6*100)</f>
        <v>2.1095631343952124E-2</v>
      </c>
      <c r="J121" s="210"/>
      <c r="K121" s="209">
        <f>(K120*($L$9))/(0.85*$L$6*100)</f>
        <v>3.0952676207695051E-2</v>
      </c>
      <c r="L121" s="210"/>
      <c r="M121" s="209">
        <f>(M120*($L$9))/(0.85*$L$6*100)</f>
        <v>4.3339832317826982E-2</v>
      </c>
      <c r="N121" s="210"/>
      <c r="O121" s="209">
        <f>(O120*($L$9))/(0.85*$L$6*100)</f>
        <v>2.8320262244794996E-2</v>
      </c>
      <c r="P121" s="210"/>
      <c r="Q121" s="209">
        <f>(Q120*($L$9))/(0.85*$L$6*100)</f>
        <v>4.194743935946716E-2</v>
      </c>
      <c r="R121" s="210"/>
      <c r="S121" s="209">
        <f>(S120*($L$9))/(0.85*$L$6*100)</f>
        <v>3.5720246329265862E-2</v>
      </c>
      <c r="T121" s="210"/>
      <c r="U121" s="209">
        <f>(U120*($L$9))/(0.85*$L$6*100)</f>
        <v>6.5200180289980911E-3</v>
      </c>
      <c r="V121" s="210"/>
    </row>
    <row r="122" spans="2:22" ht="15.75" thickBot="1" x14ac:dyDescent="0.3">
      <c r="B122" s="108" t="s">
        <v>15</v>
      </c>
      <c r="C122" s="201">
        <f>ROUNDUP(C119/(0.9*(($C$7-C121/2)/100)*($L$9*1000)),2)</f>
        <v>1.06</v>
      </c>
      <c r="D122" s="202"/>
      <c r="E122" s="201">
        <f>ROUNDUP(E119/(0.9*(($C$7-E121/2)/100)*($L$9*1000)),2)</f>
        <v>0.86</v>
      </c>
      <c r="F122" s="202"/>
      <c r="G122" s="201">
        <f>ROUNDUP(G119/(0.9*(($C$7-G121/2)/100)*($L$9*1000)),2)</f>
        <v>1.79</v>
      </c>
      <c r="H122" s="202"/>
      <c r="I122" s="201">
        <f>ROUNDUP(I119/(0.9*(($C$7-I121/2)/100)*($L$9*1000)),2)</f>
        <v>1.35</v>
      </c>
      <c r="J122" s="202"/>
      <c r="K122" s="201">
        <f>ROUNDUP(K119/(0.9*(($C$7-K121/2)/100)*($L$9*1000)),2)</f>
        <v>1.98</v>
      </c>
      <c r="L122" s="202"/>
      <c r="M122" s="201">
        <f>ROUNDUP(M119/(0.9*(($C$7-M121/2)/100)*($L$9*1000)),2)</f>
        <v>2.7699999999999996</v>
      </c>
      <c r="N122" s="202"/>
      <c r="O122" s="201">
        <f>ROUNDUP(O119/(0.9*(($C$7-O121/2)/100)*($L$9*1000)),2)</f>
        <v>1.81</v>
      </c>
      <c r="P122" s="202"/>
      <c r="Q122" s="201">
        <f>ROUNDUP(Q119/(0.9*(($C$7-Q121/2)/100)*($L$9*1000)),2)</f>
        <v>2.69</v>
      </c>
      <c r="R122" s="202"/>
      <c r="S122" s="201">
        <f>ROUNDUP(S119/(0.9*(($C$7-S121/2)/100)*($L$9*1000)),2)</f>
        <v>2.2899999999999996</v>
      </c>
      <c r="T122" s="202"/>
      <c r="U122" s="201">
        <f>ROUNDUP(U119/(0.9*(($C$7-U121/2)/100)*($L$9*1000)),2)</f>
        <v>0.42</v>
      </c>
      <c r="V122" s="202"/>
    </row>
    <row r="123" spans="2:22" ht="16.5" thickBot="1" x14ac:dyDescent="0.3">
      <c r="B123" s="61" t="s">
        <v>113</v>
      </c>
      <c r="C123" s="199" t="str">
        <f>IF(C122&gt;$C$12,"$\phi"&amp;IF(VLOOKUP(VLOOKUP(C122,tablas!$R$3:$T$66,2,TRUE)&amp;VLOOKUP(C122,tablas!$R$3:$T$66,3,TRUE),tablas!$Q$3:$R$66,2,FALSE)&lt;C122,VLOOKUP(C122+0.1,tablas!$R$3:$T$66,2,TRUE),VLOOKUP(C122,tablas!$R$3:$T$66,2,TRUE))&amp;"@"&amp;IF(VLOOKUP(VLOOKUP(C122,tablas!$R$3:$T$66,2,TRUE)&amp;VLOOKUP(C122,tablas!$R$3:$T$66,3,TRUE),tablas!$Q$3:$R$66,2,FALSE)&lt;C122,VLOOKUP(C122+0.1,tablas!$R$3:$T$66,3,TRUE)&amp;"$",VLOOKUP(C122,tablas!$R$3:$T$66,3,TRUE)&amp;"$"),$C$13)</f>
        <v>$\phi8@17$</v>
      </c>
      <c r="D123" s="200"/>
      <c r="E123" s="199" t="str">
        <f>IF(E122&gt;$C$12,"$\phi"&amp;IF(VLOOKUP(VLOOKUP(E122,tablas!$R$3:$T$66,2,TRUE)&amp;VLOOKUP(E122,tablas!$R$3:$T$66,3,TRUE),tablas!$Q$3:$R$66,2,FALSE)&lt;E122,VLOOKUP(E122+0.1,tablas!$R$3:$T$66,2,TRUE),VLOOKUP(E122,tablas!$R$3:$T$66,2,TRUE))&amp;"@"&amp;IF(VLOOKUP(VLOOKUP(E122,tablas!$R$3:$T$66,2,TRUE)&amp;VLOOKUP(E122,tablas!$R$3:$T$66,3,TRUE),tablas!$Q$3:$R$66,2,FALSE)&lt;E122,VLOOKUP(E122+0.1,tablas!$R$3:$T$66,3,TRUE)&amp;"$",VLOOKUP(E122,tablas!$R$3:$T$66,3,TRUE)&amp;"$"),$C$13)</f>
        <v>$\phi8@17$</v>
      </c>
      <c r="F123" s="200"/>
      <c r="G123" s="199" t="str">
        <f>IF(G122&gt;$C$12,"$\phi"&amp;IF(VLOOKUP(VLOOKUP(G122,tablas!$R$3:$T$66,2,TRUE)&amp;VLOOKUP(G122,tablas!$R$3:$T$66,3,TRUE),tablas!$Q$3:$R$66,2,FALSE)&lt;G122,VLOOKUP(G122+0.1,tablas!$R$3:$T$66,2,TRUE),VLOOKUP(G122,tablas!$R$3:$T$66,2,TRUE))&amp;"@"&amp;IF(VLOOKUP(VLOOKUP(G122,tablas!$R$3:$T$66,2,TRUE)&amp;VLOOKUP(G122,tablas!$R$3:$T$66,3,TRUE),tablas!$Q$3:$R$66,2,FALSE)&lt;G122,VLOOKUP(G122+0.1,tablas!$R$3:$T$66,3,TRUE)&amp;"$",VLOOKUP(G122,tablas!$R$3:$T$66,3,TRUE)&amp;"$"),$C$13)</f>
        <v>$\phi8@17$</v>
      </c>
      <c r="H123" s="200"/>
      <c r="I123" s="199" t="str">
        <f>IF(I122&gt;$C$12,"$\phi"&amp;IF(VLOOKUP(VLOOKUP(I122,tablas!$R$3:$T$66,2,TRUE)&amp;VLOOKUP(I122,tablas!$R$3:$T$66,3,TRUE),tablas!$Q$3:$R$66,2,FALSE)&lt;I122,VLOOKUP(I122+0.1,tablas!$R$3:$T$66,2,TRUE),VLOOKUP(I122,tablas!$R$3:$T$66,2,TRUE))&amp;"@"&amp;IF(VLOOKUP(VLOOKUP(I122,tablas!$R$3:$T$66,2,TRUE)&amp;VLOOKUP(I122,tablas!$R$3:$T$66,3,TRUE),tablas!$Q$3:$R$66,2,FALSE)&lt;I122,VLOOKUP(I122+0.1,tablas!$R$3:$T$66,3,TRUE)&amp;"$",VLOOKUP(I122,tablas!$R$3:$T$66,3,TRUE)&amp;"$"),$C$13)</f>
        <v>$\phi8@17$</v>
      </c>
      <c r="J123" s="200"/>
      <c r="K123" s="199" t="str">
        <f>IF(K122&gt;$C$12,"$\phi"&amp;IF(VLOOKUP(VLOOKUP(K122,tablas!$R$3:$T$66,2,TRUE)&amp;VLOOKUP(K122,tablas!$R$3:$T$66,3,TRUE),tablas!$Q$3:$R$66,2,FALSE)&lt;K122,VLOOKUP(K122+0.1,tablas!$R$3:$T$66,2,TRUE),VLOOKUP(K122,tablas!$R$3:$T$66,2,TRUE))&amp;"@"&amp;IF(VLOOKUP(VLOOKUP(K122,tablas!$R$3:$T$66,2,TRUE)&amp;VLOOKUP(K122,tablas!$R$3:$T$66,3,TRUE),tablas!$Q$3:$R$66,2,FALSE)&lt;K122,VLOOKUP(K122+0.1,tablas!$R$3:$T$66,3,TRUE)&amp;"$",VLOOKUP(K122,tablas!$R$3:$T$66,3,TRUE)&amp;"$"),$C$13)</f>
        <v>$\phi8@17$</v>
      </c>
      <c r="L123" s="200"/>
      <c r="M123" s="199" t="str">
        <f>IF(M122&gt;$C$12,"$\phi"&amp;IF(VLOOKUP(VLOOKUP(M122,tablas!$R$3:$T$66,2,TRUE)&amp;VLOOKUP(M122,tablas!$R$3:$T$66,3,TRUE),tablas!$Q$3:$R$66,2,FALSE)&lt;M122,VLOOKUP(M122+0.1,tablas!$R$3:$T$66,2,TRUE),VLOOKUP(M122,tablas!$R$3:$T$66,2,TRUE))&amp;"@"&amp;IF(VLOOKUP(VLOOKUP(M122,tablas!$R$3:$T$66,2,TRUE)&amp;VLOOKUP(M122,tablas!$R$3:$T$66,3,TRUE),tablas!$Q$3:$R$66,2,FALSE)&lt;M122,VLOOKUP(M122+0.1,tablas!$R$3:$T$66,3,TRUE)&amp;"$",VLOOKUP(M122,tablas!$R$3:$T$66,3,TRUE)&amp;"$"),$C$13)</f>
        <v>$\phi8@17$</v>
      </c>
      <c r="N123" s="200"/>
      <c r="O123" s="199" t="str">
        <f>IF(O122&gt;$C$12,"$\phi"&amp;IF(VLOOKUP(VLOOKUP(O122,tablas!$R$3:$T$66,2,TRUE)&amp;VLOOKUP(O122,tablas!$R$3:$T$66,3,TRUE),tablas!$Q$3:$R$66,2,FALSE)&lt;O122,VLOOKUP(O122+0.1,tablas!$R$3:$T$66,2,TRUE),VLOOKUP(O122,tablas!$R$3:$T$66,2,TRUE))&amp;"@"&amp;IF(VLOOKUP(VLOOKUP(O122,tablas!$R$3:$T$66,2,TRUE)&amp;VLOOKUP(O122,tablas!$R$3:$T$66,3,TRUE),tablas!$Q$3:$R$66,2,FALSE)&lt;O122,VLOOKUP(O122+0.1,tablas!$R$3:$T$66,3,TRUE)&amp;"$",VLOOKUP(O122,tablas!$R$3:$T$66,3,TRUE)&amp;"$"),$C$13)</f>
        <v>$\phi8@17$</v>
      </c>
      <c r="P123" s="200"/>
      <c r="Q123" s="199" t="str">
        <f>IF(Q122&gt;$C$12,"$\phi"&amp;IF(VLOOKUP(VLOOKUP(Q122,tablas!$R$3:$T$66,2,TRUE)&amp;VLOOKUP(Q122,tablas!$R$3:$T$66,3,TRUE),tablas!$Q$3:$R$66,2,FALSE)&lt;Q122,VLOOKUP(Q122+0.1,tablas!$R$3:$T$66,2,TRUE),VLOOKUP(Q122,tablas!$R$3:$T$66,2,TRUE))&amp;"@"&amp;IF(VLOOKUP(VLOOKUP(Q122,tablas!$R$3:$T$66,2,TRUE)&amp;VLOOKUP(Q122,tablas!$R$3:$T$66,3,TRUE),tablas!$Q$3:$R$66,2,FALSE)&lt;Q122,VLOOKUP(Q122+0.1,tablas!$R$3:$T$66,3,TRUE)&amp;"$",VLOOKUP(Q122,tablas!$R$3:$T$66,3,TRUE)&amp;"$"),$C$13)</f>
        <v>$\phi8@17$</v>
      </c>
      <c r="R123" s="200"/>
      <c r="S123" s="199" t="str">
        <f>IF(S122&gt;$C$12,"$\phi"&amp;IF(VLOOKUP(VLOOKUP(S122,tablas!$R$3:$T$66,2,TRUE)&amp;VLOOKUP(S122,tablas!$R$3:$T$66,3,TRUE),tablas!$Q$3:$R$66,2,FALSE)&lt;S122,VLOOKUP(S122+0.1,tablas!$R$3:$T$66,2,TRUE),VLOOKUP(S122,tablas!$R$3:$T$66,2,TRUE))&amp;"@"&amp;IF(VLOOKUP(VLOOKUP(S122,tablas!$R$3:$T$66,2,TRUE)&amp;VLOOKUP(S122,tablas!$R$3:$T$66,3,TRUE),tablas!$Q$3:$R$66,2,FALSE)&lt;S122,VLOOKUP(S122+0.1,tablas!$R$3:$T$66,3,TRUE)&amp;"$",VLOOKUP(S122,tablas!$R$3:$T$66,3,TRUE)&amp;"$"),$C$13)</f>
        <v>$\phi8@17$</v>
      </c>
      <c r="T123" s="200"/>
      <c r="U123" s="199" t="str">
        <f>IF(U122&gt;$C$12,"$\phi"&amp;IF(VLOOKUP(VLOOKUP(U122,tablas!$R$3:$T$66,2,TRUE)&amp;VLOOKUP(U122,tablas!$R$3:$T$66,3,TRUE),tablas!$Q$3:$R$66,2,FALSE)&lt;U122,VLOOKUP(U122+0.1,tablas!$R$3:$T$66,2,TRUE),VLOOKUP(U122,tablas!$R$3:$T$66,2,TRUE))&amp;"@"&amp;IF(VLOOKUP(VLOOKUP(U122,tablas!$R$3:$T$66,2,TRUE)&amp;VLOOKUP(U122,tablas!$R$3:$T$66,3,TRUE),tablas!$Q$3:$R$66,2,FALSE)&lt;U122,VLOOKUP(U122+0.1,tablas!$R$3:$T$66,3,TRUE)&amp;"$",VLOOKUP(U122,tablas!$R$3:$T$66,3,TRUE)&amp;"$"),$C$13)</f>
        <v>$\phi8@17$</v>
      </c>
      <c r="V123" s="200"/>
    </row>
  </sheetData>
  <mergeCells count="208">
    <mergeCell ref="E4:F4"/>
    <mergeCell ref="H4:I4"/>
    <mergeCell ref="K4:L4"/>
    <mergeCell ref="C97:D97"/>
    <mergeCell ref="E97:F97"/>
    <mergeCell ref="G97:H97"/>
    <mergeCell ref="I97:J97"/>
    <mergeCell ref="K97:L97"/>
    <mergeCell ref="B91:C91"/>
    <mergeCell ref="C96:D96"/>
    <mergeCell ref="E96:F96"/>
    <mergeCell ref="G96:H96"/>
    <mergeCell ref="I96:J96"/>
    <mergeCell ref="K96:L96"/>
    <mergeCell ref="M97:N97"/>
    <mergeCell ref="O97:P97"/>
    <mergeCell ref="Q97:R97"/>
    <mergeCell ref="S97:T97"/>
    <mergeCell ref="U97:V97"/>
    <mergeCell ref="W97:X97"/>
    <mergeCell ref="S96:T96"/>
    <mergeCell ref="U96:V96"/>
    <mergeCell ref="W96:X96"/>
    <mergeCell ref="M96:N96"/>
    <mergeCell ref="O96:P96"/>
    <mergeCell ref="Q96:R96"/>
    <mergeCell ref="S99:T99"/>
    <mergeCell ref="U99:V99"/>
    <mergeCell ref="W99:X99"/>
    <mergeCell ref="S98:T98"/>
    <mergeCell ref="U98:V98"/>
    <mergeCell ref="W98:X98"/>
    <mergeCell ref="C99:D99"/>
    <mergeCell ref="E99:F99"/>
    <mergeCell ref="G99:H99"/>
    <mergeCell ref="I99:J99"/>
    <mergeCell ref="K99:L99"/>
    <mergeCell ref="C98:D98"/>
    <mergeCell ref="E98:F98"/>
    <mergeCell ref="G98:H98"/>
    <mergeCell ref="I98:J98"/>
    <mergeCell ref="K98:L98"/>
    <mergeCell ref="M98:N98"/>
    <mergeCell ref="O98:P98"/>
    <mergeCell ref="Q98:R98"/>
    <mergeCell ref="C101:D101"/>
    <mergeCell ref="E101:F101"/>
    <mergeCell ref="G101:H101"/>
    <mergeCell ref="I101:J101"/>
    <mergeCell ref="K101:L101"/>
    <mergeCell ref="C100:D100"/>
    <mergeCell ref="E100:F100"/>
    <mergeCell ref="G100:H100"/>
    <mergeCell ref="I100:J100"/>
    <mergeCell ref="K100:L100"/>
    <mergeCell ref="Y97:Z97"/>
    <mergeCell ref="E108:F108"/>
    <mergeCell ref="G108:H108"/>
    <mergeCell ref="I108:J108"/>
    <mergeCell ref="K108:L108"/>
    <mergeCell ref="Y96:Z96"/>
    <mergeCell ref="E107:F107"/>
    <mergeCell ref="G107:H107"/>
    <mergeCell ref="I107:J107"/>
    <mergeCell ref="K107:L107"/>
    <mergeCell ref="M107:N107"/>
    <mergeCell ref="O107:P107"/>
    <mergeCell ref="Q107:R107"/>
    <mergeCell ref="M101:N101"/>
    <mergeCell ref="O101:P101"/>
    <mergeCell ref="Q101:R101"/>
    <mergeCell ref="S101:T101"/>
    <mergeCell ref="U101:V101"/>
    <mergeCell ref="W101:X101"/>
    <mergeCell ref="S100:T100"/>
    <mergeCell ref="U100:V100"/>
    <mergeCell ref="W100:X100"/>
    <mergeCell ref="M100:N100"/>
    <mergeCell ref="O100:P100"/>
    <mergeCell ref="Y99:Z99"/>
    <mergeCell ref="E110:F110"/>
    <mergeCell ref="G110:H110"/>
    <mergeCell ref="I110:J110"/>
    <mergeCell ref="K110:L110"/>
    <mergeCell ref="Y98:Z98"/>
    <mergeCell ref="E109:F109"/>
    <mergeCell ref="G109:H109"/>
    <mergeCell ref="I109:J109"/>
    <mergeCell ref="K109:L109"/>
    <mergeCell ref="M109:N109"/>
    <mergeCell ref="O109:P109"/>
    <mergeCell ref="Q109:R109"/>
    <mergeCell ref="M108:N108"/>
    <mergeCell ref="O108:P108"/>
    <mergeCell ref="Q108:R108"/>
    <mergeCell ref="S108:T108"/>
    <mergeCell ref="U108:V108"/>
    <mergeCell ref="S107:T107"/>
    <mergeCell ref="U107:V107"/>
    <mergeCell ref="Q100:R100"/>
    <mergeCell ref="M99:N99"/>
    <mergeCell ref="O99:P99"/>
    <mergeCell ref="Q99:R99"/>
    <mergeCell ref="Y101:Z101"/>
    <mergeCell ref="E112:F112"/>
    <mergeCell ref="G112:H112"/>
    <mergeCell ref="I112:J112"/>
    <mergeCell ref="K112:L112"/>
    <mergeCell ref="Y100:Z100"/>
    <mergeCell ref="E111:F111"/>
    <mergeCell ref="G111:H111"/>
    <mergeCell ref="I111:J111"/>
    <mergeCell ref="K111:L111"/>
    <mergeCell ref="M111:N111"/>
    <mergeCell ref="O111:P111"/>
    <mergeCell ref="Q111:R111"/>
    <mergeCell ref="M110:N110"/>
    <mergeCell ref="O110:P110"/>
    <mergeCell ref="Q110:R110"/>
    <mergeCell ref="S110:T110"/>
    <mergeCell ref="U110:V110"/>
    <mergeCell ref="S109:T109"/>
    <mergeCell ref="U109:V109"/>
    <mergeCell ref="Y108:Z108"/>
    <mergeCell ref="W108:X108"/>
    <mergeCell ref="W107:X107"/>
    <mergeCell ref="C119:D119"/>
    <mergeCell ref="E119:F119"/>
    <mergeCell ref="G119:H119"/>
    <mergeCell ref="I119:J119"/>
    <mergeCell ref="K119:L119"/>
    <mergeCell ref="M119:N119"/>
    <mergeCell ref="Y107:Z107"/>
    <mergeCell ref="C118:D118"/>
    <mergeCell ref="E118:F118"/>
    <mergeCell ref="G118:H118"/>
    <mergeCell ref="I118:J118"/>
    <mergeCell ref="K118:L118"/>
    <mergeCell ref="M118:N118"/>
    <mergeCell ref="O118:P118"/>
    <mergeCell ref="M112:N112"/>
    <mergeCell ref="O112:P112"/>
    <mergeCell ref="Q112:R112"/>
    <mergeCell ref="S112:T112"/>
    <mergeCell ref="U112:V112"/>
    <mergeCell ref="S111:T111"/>
    <mergeCell ref="U111:V111"/>
    <mergeCell ref="Y110:Z110"/>
    <mergeCell ref="C107:D107"/>
    <mergeCell ref="C108:D108"/>
    <mergeCell ref="C121:D121"/>
    <mergeCell ref="E121:F121"/>
    <mergeCell ref="G121:H121"/>
    <mergeCell ref="I121:J121"/>
    <mergeCell ref="O119:P119"/>
    <mergeCell ref="Q119:R119"/>
    <mergeCell ref="S119:T119"/>
    <mergeCell ref="Y109:Z109"/>
    <mergeCell ref="C120:D120"/>
    <mergeCell ref="E120:F120"/>
    <mergeCell ref="G120:H120"/>
    <mergeCell ref="I120:J120"/>
    <mergeCell ref="K120:L120"/>
    <mergeCell ref="Q118:R118"/>
    <mergeCell ref="S118:T118"/>
    <mergeCell ref="Y112:Z112"/>
    <mergeCell ref="C109:D109"/>
    <mergeCell ref="C110:D110"/>
    <mergeCell ref="W112:X112"/>
    <mergeCell ref="W111:X111"/>
    <mergeCell ref="W110:X110"/>
    <mergeCell ref="W109:X109"/>
    <mergeCell ref="U118:V118"/>
    <mergeCell ref="U119:V119"/>
    <mergeCell ref="C123:D123"/>
    <mergeCell ref="E123:F123"/>
    <mergeCell ref="G123:H123"/>
    <mergeCell ref="I123:J123"/>
    <mergeCell ref="Y111:Z111"/>
    <mergeCell ref="C122:D122"/>
    <mergeCell ref="E122:F122"/>
    <mergeCell ref="G122:H122"/>
    <mergeCell ref="I122:J122"/>
    <mergeCell ref="K122:L122"/>
    <mergeCell ref="K121:L121"/>
    <mergeCell ref="M121:N121"/>
    <mergeCell ref="O121:P121"/>
    <mergeCell ref="Q121:R121"/>
    <mergeCell ref="S121:T121"/>
    <mergeCell ref="M120:N120"/>
    <mergeCell ref="O120:P120"/>
    <mergeCell ref="Q120:R120"/>
    <mergeCell ref="S120:T120"/>
    <mergeCell ref="U121:V121"/>
    <mergeCell ref="U122:V122"/>
    <mergeCell ref="U123:V123"/>
    <mergeCell ref="C111:D111"/>
    <mergeCell ref="C112:D112"/>
    <mergeCell ref="U120:V120"/>
    <mergeCell ref="K123:L123"/>
    <mergeCell ref="M123:N123"/>
    <mergeCell ref="O123:P123"/>
    <mergeCell ref="Q123:R123"/>
    <mergeCell ref="S123:T123"/>
    <mergeCell ref="M122:N122"/>
    <mergeCell ref="O122:P122"/>
    <mergeCell ref="Q122:R122"/>
    <mergeCell ref="S122:T12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E930-E379-496E-990D-32FE668831FC}">
  <dimension ref="A2:Z124"/>
  <sheetViews>
    <sheetView showGridLines="0" topLeftCell="A60" zoomScale="70" zoomScaleNormal="70" zoomScaleSheetLayoutView="30" workbookViewId="0">
      <selection activeCell="I74" sqref="I74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26" width="17.140625" customWidth="1"/>
  </cols>
  <sheetData>
    <row r="2" spans="2:21" ht="18.75" x14ac:dyDescent="0.3">
      <c r="B2" s="52" t="s">
        <v>162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4" t="s">
        <v>19</v>
      </c>
      <c r="C4" s="113">
        <v>16</v>
      </c>
      <c r="E4" s="217" t="s">
        <v>29</v>
      </c>
      <c r="F4" s="218"/>
      <c r="H4" s="217" t="s">
        <v>30</v>
      </c>
      <c r="I4" s="218"/>
      <c r="K4" s="217" t="s">
        <v>39</v>
      </c>
      <c r="L4" s="218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164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3.06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&amp;"$"</f>
        <v>$\phi8@17$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25">
      <c r="B16" s="63" t="s">
        <v>163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164</v>
      </c>
      <c r="I16" s="7">
        <v>3.06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165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164</v>
      </c>
      <c r="I17" s="7">
        <v>3.06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25">
      <c r="B18" s="63" t="s">
        <v>166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164</v>
      </c>
      <c r="I18" s="7">
        <v>3.06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3" t="s">
        <v>167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164</v>
      </c>
      <c r="I19" s="7">
        <v>3.06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3" t="s">
        <v>168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164</v>
      </c>
      <c r="I20" s="7">
        <v>3.06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3" t="s">
        <v>169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164</v>
      </c>
      <c r="I21" s="7">
        <v>3.06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3" t="s">
        <v>170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164</v>
      </c>
      <c r="I22" s="7">
        <v>3.06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3" t="s">
        <v>171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164</v>
      </c>
      <c r="I23" s="7">
        <v>3.06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3" t="s">
        <v>172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164</v>
      </c>
      <c r="I24" s="7">
        <v>3.06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3" t="s">
        <v>173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164</v>
      </c>
      <c r="I25" s="7">
        <v>3.06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3" t="s">
        <v>174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164</v>
      </c>
      <c r="I26" s="7">
        <v>3.06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3" t="s">
        <v>175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164</v>
      </c>
      <c r="I27" s="7">
        <v>3.06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3" t="s">
        <v>176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164</v>
      </c>
      <c r="I28" s="7">
        <v>3.06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3" t="s">
        <v>177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164</v>
      </c>
      <c r="I29" s="7">
        <v>3.06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3" t="s">
        <v>178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164</v>
      </c>
      <c r="I30" s="7">
        <v>3.06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3" t="s">
        <v>179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164</v>
      </c>
      <c r="I31" s="7">
        <v>3.06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3" t="s">
        <v>180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164</v>
      </c>
      <c r="I32" s="7">
        <v>3.06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1:24" hidden="1" x14ac:dyDescent="0.25">
      <c r="B33" s="63" t="s">
        <v>181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164</v>
      </c>
      <c r="I33" s="7">
        <v>3.06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1:24" hidden="1" x14ac:dyDescent="0.25">
      <c r="B34" s="63" t="s">
        <v>182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164</v>
      </c>
      <c r="I34" s="7">
        <v>3.06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1:24" hidden="1" x14ac:dyDescent="0.25">
      <c r="B35" s="63" t="s">
        <v>183</v>
      </c>
      <c r="C35" s="6">
        <v>0.74</v>
      </c>
      <c r="D35" s="6">
        <v>3.83</v>
      </c>
      <c r="E35" s="6">
        <v>16</v>
      </c>
      <c r="F35" s="112" t="s">
        <v>8</v>
      </c>
      <c r="G35" s="6">
        <v>300</v>
      </c>
      <c r="H35" s="6" t="s">
        <v>164</v>
      </c>
      <c r="I35" s="7">
        <v>3.06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1:24" hidden="1" x14ac:dyDescent="0.25">
      <c r="B36" s="63" t="s">
        <v>184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164</v>
      </c>
      <c r="I36" s="7">
        <v>3.06</v>
      </c>
      <c r="J36" s="64"/>
      <c r="K36" s="6"/>
      <c r="L36" s="6"/>
      <c r="M36" s="6"/>
      <c r="N36" s="112"/>
      <c r="O36" s="6"/>
      <c r="P36" s="6"/>
      <c r="Q36" s="6"/>
      <c r="T36" s="40"/>
      <c r="U36" s="41"/>
    </row>
    <row r="37" spans="1:24" ht="15.75" hidden="1" thickBot="1" x14ac:dyDescent="0.3">
      <c r="B37" s="66" t="s">
        <v>185</v>
      </c>
      <c r="C37" s="9">
        <v>2.3199999999999998</v>
      </c>
      <c r="D37" s="9">
        <v>4.3</v>
      </c>
      <c r="E37" s="9">
        <v>16</v>
      </c>
      <c r="F37" s="109" t="s">
        <v>10</v>
      </c>
      <c r="G37" s="9">
        <v>400</v>
      </c>
      <c r="H37" s="9" t="s">
        <v>164</v>
      </c>
      <c r="I37" s="10">
        <v>3.06</v>
      </c>
      <c r="P37" s="40"/>
      <c r="T37" s="40"/>
      <c r="U37" s="41"/>
    </row>
    <row r="38" spans="1:24" hidden="1" x14ac:dyDescent="0.25">
      <c r="B38" s="64"/>
      <c r="C38" s="6"/>
      <c r="D38" s="6"/>
      <c r="E38" s="6"/>
      <c r="F38" s="112"/>
      <c r="G38" s="6"/>
      <c r="H38" s="6"/>
      <c r="I38" s="6"/>
      <c r="P38" s="40"/>
      <c r="T38" s="40"/>
      <c r="U38" s="41"/>
    </row>
    <row r="39" spans="1:24" hidden="1" x14ac:dyDescent="0.25">
      <c r="B39" s="64"/>
      <c r="C39" s="6"/>
      <c r="D39" s="6"/>
      <c r="E39" s="6"/>
      <c r="F39" s="112"/>
      <c r="G39" s="6"/>
      <c r="H39" s="6"/>
      <c r="I39" s="6"/>
      <c r="P39" s="40"/>
      <c r="T39" s="40"/>
      <c r="U39" s="41"/>
    </row>
    <row r="40" spans="1:24" hidden="1" x14ac:dyDescent="0.25">
      <c r="B40" s="64"/>
      <c r="C40" s="6"/>
      <c r="D40" s="6"/>
      <c r="E40" s="6"/>
      <c r="F40" s="112"/>
      <c r="G40" s="6"/>
      <c r="H40" s="6"/>
      <c r="I40" s="6"/>
      <c r="P40" s="40"/>
      <c r="T40" s="40"/>
      <c r="U40" s="41"/>
    </row>
    <row r="41" spans="1:24" hidden="1" x14ac:dyDescent="0.25">
      <c r="B41" s="64"/>
      <c r="C41" s="6"/>
      <c r="D41" s="6"/>
      <c r="E41" s="6"/>
      <c r="F41" s="112"/>
      <c r="G41" s="6"/>
      <c r="H41" s="6"/>
      <c r="I41" s="6"/>
      <c r="P41" s="40"/>
      <c r="T41" s="40"/>
      <c r="U41" s="41"/>
    </row>
    <row r="42" spans="1:24" hidden="1" x14ac:dyDescent="0.25">
      <c r="B42" s="64"/>
      <c r="C42" s="6"/>
      <c r="D42" s="6"/>
      <c r="E42" s="6"/>
      <c r="F42" s="112"/>
      <c r="G42" s="6"/>
      <c r="H42" s="6"/>
      <c r="I42" s="6"/>
      <c r="P42" s="40"/>
      <c r="T42" s="40"/>
      <c r="U42" s="41"/>
    </row>
    <row r="43" spans="1:24" hidden="1" x14ac:dyDescent="0.25">
      <c r="B43" s="64"/>
      <c r="C43" s="6"/>
      <c r="D43" s="6"/>
      <c r="E43" s="6"/>
      <c r="F43" s="112"/>
      <c r="G43" s="6"/>
      <c r="H43" s="6"/>
      <c r="I43" s="6"/>
      <c r="P43" s="40"/>
      <c r="T43" s="40"/>
      <c r="U43" s="41"/>
    </row>
    <row r="44" spans="1:24" hidden="1" x14ac:dyDescent="0.25">
      <c r="A44" s="39"/>
      <c r="B44" s="64"/>
      <c r="C44" s="6"/>
      <c r="D44" s="6"/>
      <c r="E44" s="6"/>
      <c r="F44" s="112"/>
      <c r="G44" s="6"/>
      <c r="H44" s="6"/>
      <c r="I44" s="6"/>
      <c r="P44" s="40"/>
      <c r="T44" s="40"/>
      <c r="U44" s="41"/>
    </row>
    <row r="45" spans="1:24" ht="15.75" thickBot="1" x14ac:dyDescent="0.3">
      <c r="A45" s="39"/>
      <c r="B45" s="64"/>
      <c r="C45" s="6"/>
      <c r="D45" s="6"/>
      <c r="E45" s="6"/>
      <c r="F45" s="112"/>
      <c r="G45" s="6"/>
      <c r="H45" s="6"/>
      <c r="I45" s="6"/>
      <c r="P45" s="40"/>
      <c r="T45" s="40"/>
      <c r="U45" s="41"/>
    </row>
    <row r="46" spans="1:24" ht="15.75" thickBot="1" x14ac:dyDescent="0.3">
      <c r="B46" s="73" t="s">
        <v>43</v>
      </c>
      <c r="C46" s="74" t="s">
        <v>163</v>
      </c>
      <c r="D46" s="74" t="s">
        <v>165</v>
      </c>
      <c r="E46" s="74" t="s">
        <v>166</v>
      </c>
      <c r="F46" s="74" t="s">
        <v>167</v>
      </c>
      <c r="G46" s="74" t="s">
        <v>168</v>
      </c>
      <c r="H46" s="74" t="s">
        <v>169</v>
      </c>
      <c r="I46" s="74" t="s">
        <v>170</v>
      </c>
      <c r="J46" s="74" t="s">
        <v>171</v>
      </c>
      <c r="K46" s="74" t="s">
        <v>172</v>
      </c>
      <c r="L46" s="74" t="s">
        <v>173</v>
      </c>
      <c r="M46" s="74" t="s">
        <v>174</v>
      </c>
      <c r="N46" s="74" t="s">
        <v>175</v>
      </c>
      <c r="O46" s="74" t="s">
        <v>176</v>
      </c>
      <c r="P46" s="74" t="s">
        <v>177</v>
      </c>
      <c r="Q46" s="74" t="s">
        <v>178</v>
      </c>
      <c r="R46" s="74" t="s">
        <v>179</v>
      </c>
      <c r="S46" s="74" t="s">
        <v>180</v>
      </c>
      <c r="T46" s="74" t="s">
        <v>181</v>
      </c>
      <c r="U46" s="74" t="s">
        <v>182</v>
      </c>
      <c r="V46" s="74" t="s">
        <v>183</v>
      </c>
      <c r="W46" s="74" t="s">
        <v>184</v>
      </c>
      <c r="X46" s="74" t="s">
        <v>185</v>
      </c>
    </row>
    <row r="47" spans="1:24" ht="15.75" thickBot="1" x14ac:dyDescent="0.3">
      <c r="B47" s="71" t="s">
        <v>95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72"/>
      <c r="X47" s="72"/>
    </row>
    <row r="48" spans="1:24" x14ac:dyDescent="0.25">
      <c r="B48" s="97" t="s">
        <v>81</v>
      </c>
      <c r="C48" s="76">
        <f>VLOOKUP(C$46,$B$16:$H$37,2)</f>
        <v>6.05</v>
      </c>
      <c r="D48" s="76">
        <f t="shared" ref="D48:X48" si="0">VLOOKUP(D$46,$B$16:$H$37,2)</f>
        <v>4.6500000000000004</v>
      </c>
      <c r="E48" s="76">
        <f t="shared" si="0"/>
        <v>4.6500000000000004</v>
      </c>
      <c r="F48" s="76">
        <f t="shared" si="0"/>
        <v>6.05</v>
      </c>
      <c r="G48" s="76">
        <f t="shared" si="0"/>
        <v>5.82</v>
      </c>
      <c r="H48" s="76">
        <f t="shared" si="0"/>
        <v>5</v>
      </c>
      <c r="I48" s="76">
        <f t="shared" si="0"/>
        <v>2.1</v>
      </c>
      <c r="J48" s="76">
        <f t="shared" si="0"/>
        <v>1.4</v>
      </c>
      <c r="K48" s="76">
        <f t="shared" si="0"/>
        <v>2.9</v>
      </c>
      <c r="L48" s="76">
        <f t="shared" si="0"/>
        <v>5</v>
      </c>
      <c r="M48" s="76">
        <f t="shared" si="0"/>
        <v>5.82</v>
      </c>
      <c r="N48" s="76">
        <f t="shared" si="0"/>
        <v>1.51</v>
      </c>
      <c r="O48" s="76">
        <f t="shared" si="0"/>
        <v>1.51</v>
      </c>
      <c r="P48" s="76">
        <f t="shared" si="0"/>
        <v>1.51</v>
      </c>
      <c r="Q48" s="76">
        <f t="shared" si="0"/>
        <v>1.51</v>
      </c>
      <c r="R48" s="76">
        <f t="shared" si="0"/>
        <v>1.04</v>
      </c>
      <c r="S48" s="76">
        <f t="shared" si="0"/>
        <v>1.04</v>
      </c>
      <c r="T48" s="76">
        <f t="shared" si="0"/>
        <v>1.34</v>
      </c>
      <c r="U48" s="76">
        <f t="shared" si="0"/>
        <v>1.34</v>
      </c>
      <c r="V48" s="76">
        <f t="shared" si="0"/>
        <v>0.74</v>
      </c>
      <c r="W48" s="76">
        <f t="shared" si="0"/>
        <v>0.7</v>
      </c>
      <c r="X48" s="76">
        <f t="shared" si="0"/>
        <v>2.3199999999999998</v>
      </c>
    </row>
    <row r="49" spans="2:24" x14ac:dyDescent="0.25">
      <c r="B49" s="97" t="s">
        <v>82</v>
      </c>
      <c r="C49" s="76">
        <f>VLOOKUP(C$46,$B$16:$H$37,3)</f>
        <v>10</v>
      </c>
      <c r="D49" s="76">
        <f t="shared" ref="D49:X49" si="1">VLOOKUP(D$46,$B$16:$H$37,3)</f>
        <v>5.6</v>
      </c>
      <c r="E49" s="76">
        <f t="shared" si="1"/>
        <v>5.6</v>
      </c>
      <c r="F49" s="76">
        <f t="shared" si="1"/>
        <v>7.89</v>
      </c>
      <c r="G49" s="76">
        <f t="shared" si="1"/>
        <v>6.96</v>
      </c>
      <c r="H49" s="76">
        <f t="shared" si="1"/>
        <v>5.0199999999999996</v>
      </c>
      <c r="I49" s="76">
        <f t="shared" si="1"/>
        <v>4.04</v>
      </c>
      <c r="J49" s="76">
        <f t="shared" si="1"/>
        <v>11.2</v>
      </c>
      <c r="K49" s="76">
        <f t="shared" si="1"/>
        <v>6.36</v>
      </c>
      <c r="L49" s="76">
        <f t="shared" si="1"/>
        <v>5.0199999999999996</v>
      </c>
      <c r="M49" s="76">
        <f t="shared" si="1"/>
        <v>6.49</v>
      </c>
      <c r="N49" s="76">
        <f t="shared" si="1"/>
        <v>5.33</v>
      </c>
      <c r="O49" s="76">
        <f t="shared" si="1"/>
        <v>5.6</v>
      </c>
      <c r="P49" s="76">
        <f t="shared" si="1"/>
        <v>5.6</v>
      </c>
      <c r="Q49" s="76">
        <f t="shared" si="1"/>
        <v>5.25</v>
      </c>
      <c r="R49" s="76">
        <f t="shared" si="1"/>
        <v>3.83</v>
      </c>
      <c r="S49" s="76">
        <f t="shared" si="1"/>
        <v>3.83</v>
      </c>
      <c r="T49" s="76">
        <f t="shared" si="1"/>
        <v>7.01</v>
      </c>
      <c r="U49" s="76">
        <f t="shared" si="1"/>
        <v>7.09</v>
      </c>
      <c r="V49" s="76">
        <f t="shared" si="1"/>
        <v>3.83</v>
      </c>
      <c r="W49" s="76">
        <f t="shared" si="1"/>
        <v>3.83</v>
      </c>
      <c r="X49" s="76">
        <f t="shared" si="1"/>
        <v>4.3</v>
      </c>
    </row>
    <row r="50" spans="2:24" x14ac:dyDescent="0.25">
      <c r="B50" s="100" t="s">
        <v>86</v>
      </c>
      <c r="C50" s="76">
        <f>ROUNDUP((C54*C48*100)/C55+$C$5,0)</f>
        <v>13</v>
      </c>
      <c r="D50" s="76">
        <f t="shared" ref="D50:X50" si="2">ROUNDUP((D54*D48*100)/D55+$C$5,0)</f>
        <v>10</v>
      </c>
      <c r="E50" s="76">
        <f t="shared" si="2"/>
        <v>10</v>
      </c>
      <c r="F50" s="76">
        <f t="shared" si="2"/>
        <v>12</v>
      </c>
      <c r="G50" s="76">
        <f t="shared" si="2"/>
        <v>11</v>
      </c>
      <c r="H50" s="76">
        <f t="shared" si="2"/>
        <v>10</v>
      </c>
      <c r="I50" s="76">
        <f t="shared" si="2"/>
        <v>6</v>
      </c>
      <c r="J50" s="76">
        <f t="shared" si="2"/>
        <v>4</v>
      </c>
      <c r="K50" s="76">
        <f t="shared" si="2"/>
        <v>7</v>
      </c>
      <c r="L50" s="76">
        <f t="shared" si="2"/>
        <v>9</v>
      </c>
      <c r="M50" s="76">
        <f t="shared" si="2"/>
        <v>10</v>
      </c>
      <c r="N50" s="76">
        <f t="shared" si="2"/>
        <v>5</v>
      </c>
      <c r="O50" s="76">
        <f t="shared" si="2"/>
        <v>5</v>
      </c>
      <c r="P50" s="76">
        <f t="shared" si="2"/>
        <v>5</v>
      </c>
      <c r="Q50" s="76">
        <f t="shared" si="2"/>
        <v>5</v>
      </c>
      <c r="R50" s="76">
        <f t="shared" si="2"/>
        <v>4</v>
      </c>
      <c r="S50" s="76">
        <f t="shared" si="2"/>
        <v>4</v>
      </c>
      <c r="T50" s="76">
        <f t="shared" si="2"/>
        <v>5</v>
      </c>
      <c r="U50" s="76">
        <f t="shared" si="2"/>
        <v>5</v>
      </c>
      <c r="V50" s="76">
        <f t="shared" si="2"/>
        <v>4</v>
      </c>
      <c r="W50" s="76">
        <f t="shared" si="2"/>
        <v>4</v>
      </c>
      <c r="X50" s="76">
        <f t="shared" si="2"/>
        <v>6</v>
      </c>
    </row>
    <row r="51" spans="2:24" ht="15.75" thickBot="1" x14ac:dyDescent="0.3">
      <c r="B51" s="101" t="s">
        <v>0</v>
      </c>
      <c r="C51" s="116">
        <f>VLOOKUP(C$46,$B$16:$I$37,5)</f>
        <v>6</v>
      </c>
      <c r="D51" s="116">
        <f t="shared" ref="D51:X51" si="3">VLOOKUP(D$46,$B$16:$I$37,5)</f>
        <v>6</v>
      </c>
      <c r="E51" s="116">
        <f t="shared" si="3"/>
        <v>6</v>
      </c>
      <c r="F51" s="116">
        <f t="shared" si="3"/>
        <v>6</v>
      </c>
      <c r="G51" s="116">
        <f t="shared" si="3"/>
        <v>6</v>
      </c>
      <c r="H51" s="116">
        <f t="shared" si="3"/>
        <v>6</v>
      </c>
      <c r="I51" s="116" t="str">
        <f t="shared" si="3"/>
        <v>5b</v>
      </c>
      <c r="J51" s="116">
        <f t="shared" si="3"/>
        <v>6</v>
      </c>
      <c r="K51" s="116">
        <f t="shared" si="3"/>
        <v>6</v>
      </c>
      <c r="L51" s="116">
        <f t="shared" si="3"/>
        <v>6</v>
      </c>
      <c r="M51" s="116">
        <f t="shared" si="3"/>
        <v>6</v>
      </c>
      <c r="N51" s="116" t="str">
        <f t="shared" si="3"/>
        <v>2a</v>
      </c>
      <c r="O51" s="116" t="str">
        <f t="shared" si="3"/>
        <v>5b</v>
      </c>
      <c r="P51" s="116" t="str">
        <f t="shared" si="3"/>
        <v>5b</v>
      </c>
      <c r="Q51" s="116" t="str">
        <f t="shared" si="3"/>
        <v>2a</v>
      </c>
      <c r="R51" s="116" t="str">
        <f t="shared" si="3"/>
        <v>2a</v>
      </c>
      <c r="S51" s="116" t="str">
        <f t="shared" si="3"/>
        <v>2a</v>
      </c>
      <c r="T51" s="116" t="str">
        <f t="shared" si="3"/>
        <v>2a</v>
      </c>
      <c r="U51" s="116" t="str">
        <f t="shared" si="3"/>
        <v>2a</v>
      </c>
      <c r="V51" s="116" t="str">
        <f t="shared" si="3"/>
        <v>2a</v>
      </c>
      <c r="W51" s="116" t="str">
        <f t="shared" si="3"/>
        <v>2a</v>
      </c>
      <c r="X51" s="116" t="str">
        <f t="shared" si="3"/>
        <v>5b</v>
      </c>
    </row>
    <row r="52" spans="2:24" ht="15.75" thickBot="1" x14ac:dyDescent="0.3">
      <c r="B52" s="71" t="s">
        <v>94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72"/>
      <c r="X52" s="72"/>
    </row>
    <row r="53" spans="2:24" x14ac:dyDescent="0.25">
      <c r="B53" s="100" t="s">
        <v>84</v>
      </c>
      <c r="C53" s="80">
        <f>ROUNDUP(C49/C48,1)</f>
        <v>1.7000000000000002</v>
      </c>
      <c r="D53" s="81">
        <f>ROUNDUP(D49/D48,1)</f>
        <v>1.3</v>
      </c>
      <c r="E53" s="81">
        <f t="shared" ref="E53:X53" si="4">ROUNDUP(E49/E48,1)</f>
        <v>1.3</v>
      </c>
      <c r="F53" s="81">
        <f t="shared" si="4"/>
        <v>1.4000000000000001</v>
      </c>
      <c r="G53" s="81">
        <f t="shared" si="4"/>
        <v>1.2000000000000002</v>
      </c>
      <c r="H53" s="81">
        <f t="shared" si="4"/>
        <v>1.1000000000000001</v>
      </c>
      <c r="I53" s="81">
        <f t="shared" si="4"/>
        <v>2</v>
      </c>
      <c r="J53" s="81">
        <f t="shared" si="4"/>
        <v>8</v>
      </c>
      <c r="K53" s="81">
        <f t="shared" si="4"/>
        <v>2.2000000000000002</v>
      </c>
      <c r="L53" s="81">
        <f t="shared" si="4"/>
        <v>1.1000000000000001</v>
      </c>
      <c r="M53" s="81">
        <f t="shared" si="4"/>
        <v>1.2000000000000002</v>
      </c>
      <c r="N53" s="81">
        <f t="shared" si="4"/>
        <v>3.6</v>
      </c>
      <c r="O53" s="81">
        <f t="shared" si="4"/>
        <v>3.8000000000000003</v>
      </c>
      <c r="P53" s="81">
        <f t="shared" si="4"/>
        <v>3.8000000000000003</v>
      </c>
      <c r="Q53" s="81">
        <f t="shared" si="4"/>
        <v>3.5</v>
      </c>
      <c r="R53" s="81">
        <f t="shared" si="4"/>
        <v>3.7</v>
      </c>
      <c r="S53" s="81">
        <f t="shared" si="4"/>
        <v>3.7</v>
      </c>
      <c r="T53" s="81">
        <f t="shared" si="4"/>
        <v>5.3</v>
      </c>
      <c r="U53" s="81">
        <f t="shared" si="4"/>
        <v>5.3</v>
      </c>
      <c r="V53" s="81">
        <f t="shared" si="4"/>
        <v>5.1999999999999993</v>
      </c>
      <c r="W53" s="81">
        <f t="shared" si="4"/>
        <v>5.5</v>
      </c>
      <c r="X53" s="81">
        <f t="shared" si="4"/>
        <v>1.9000000000000001</v>
      </c>
    </row>
    <row r="54" spans="2:24" x14ac:dyDescent="0.25">
      <c r="B54" s="100" t="s">
        <v>11</v>
      </c>
      <c r="C54" s="76">
        <f>IF(C53&gt;1.5,VLOOKUP(C51&amp;1.5,tablas!$L$3:$O$56,4,FALSE),VLOOKUP(C51&amp;C53,tablas!$L$3:$O$56,4,FALSE))</f>
        <v>0.57999999999999996</v>
      </c>
      <c r="D54" s="77">
        <f>IF(D53&gt;1.5,VLOOKUP(D51&amp;1.5,tablas!$L$3:$O$56,4,FALSE),VLOOKUP(D51&amp;D53,tablas!$L$3:$O$56,4,FALSE))</f>
        <v>0.56000000000000005</v>
      </c>
      <c r="E54" s="77">
        <f>IF(E53&gt;1.5,VLOOKUP(E51&amp;1.5,tablas!$L$3:$O$56,4,FALSE),VLOOKUP(E51&amp;E53,tablas!$L$3:$O$56,4,FALSE))</f>
        <v>0.56000000000000005</v>
      </c>
      <c r="F54" s="77">
        <f>IF(F53&gt;1.5,VLOOKUP(F51&amp;1.5,tablas!$L$3:$O$56,4,FALSE),VLOOKUP(F51&amp;F53,tablas!$L$3:$O$56,4,FALSE))</f>
        <v>0.56999999999999995</v>
      </c>
      <c r="G54" s="77">
        <f>IF(G53&gt;1.5,VLOOKUP(G51&amp;1.5,tablas!$L$3:$O$56,4,FALSE),VLOOKUP(G51&amp;G53,tablas!$L$3:$O$56,4,FALSE))</f>
        <v>0.56000000000000005</v>
      </c>
      <c r="H54" s="77">
        <f>IF(H53&gt;1.5,VLOOKUP(H51&amp;1.5,tablas!$L$3:$O$56,4,FALSE),VLOOKUP(H51&amp;H53,tablas!$L$3:$O$56,4,FALSE))</f>
        <v>0.55000000000000004</v>
      </c>
      <c r="I54" s="77">
        <f>IF(I53&gt;1.5,VLOOKUP(I51&amp;1.5,tablas!$L$3:$O$56,4,FALSE),VLOOKUP(I51&amp;I53,tablas!$L$3:$O$56,4,FALSE))</f>
        <v>0.75</v>
      </c>
      <c r="J54" s="77">
        <f>IF(J53&gt;1.5,VLOOKUP(J51&amp;1.5,tablas!$L$3:$O$56,4,FALSE),VLOOKUP(J51&amp;J53,tablas!$L$3:$O$56,4,FALSE))</f>
        <v>0.57999999999999996</v>
      </c>
      <c r="K54" s="77">
        <f>IF(K53&gt;1.5,VLOOKUP(K51&amp;1.5,tablas!$L$3:$O$56,4,FALSE),VLOOKUP(K51&amp;K53,tablas!$L$3:$O$56,4,FALSE))</f>
        <v>0.57999999999999996</v>
      </c>
      <c r="L54" s="77">
        <f>IF(L53&gt;1.5,VLOOKUP(L51&amp;1.5,tablas!$L$3:$O$56,4,FALSE),VLOOKUP(L51&amp;L53,tablas!$L$3:$O$56,4,FALSE))</f>
        <v>0.55000000000000004</v>
      </c>
      <c r="M54" s="77">
        <f>IF(M53&gt;1.5,VLOOKUP(M51&amp;1.5,tablas!$L$3:$O$56,4,FALSE),VLOOKUP(M51&amp;M53,tablas!$L$3:$O$56,4,FALSE))</f>
        <v>0.56000000000000005</v>
      </c>
      <c r="N54" s="77">
        <f>IF(N53&gt;1.5,VLOOKUP(N51&amp;1.5,tablas!$L$3:$O$56,4,FALSE),VLOOKUP(N51&amp;N53,tablas!$L$3:$O$56,4,FALSE))</f>
        <v>0.8</v>
      </c>
      <c r="O54" s="77">
        <f>IF(O53&gt;1.5,VLOOKUP(O51&amp;1.5,tablas!$L$3:$O$56,4,FALSE),VLOOKUP(O51&amp;O53,tablas!$L$3:$O$56,4,FALSE))</f>
        <v>0.75</v>
      </c>
      <c r="P54" s="77">
        <f>IF(P53&gt;1.5,VLOOKUP(P51&amp;1.5,tablas!$L$3:$O$56,4,FALSE),VLOOKUP(P51&amp;P53,tablas!$L$3:$O$56,4,FALSE))</f>
        <v>0.75</v>
      </c>
      <c r="Q54" s="77">
        <f>IF(Q53&gt;1.5,VLOOKUP(Q51&amp;1.5,tablas!$L$3:$O$56,4,FALSE),VLOOKUP(Q51&amp;Q53,tablas!$L$3:$O$56,4,FALSE))</f>
        <v>0.8</v>
      </c>
      <c r="R54" s="77">
        <f>IF(R53&gt;1.5,VLOOKUP(R51&amp;1.5,tablas!$L$3:$O$56,4,FALSE),VLOOKUP(R51&amp;R53,tablas!$L$3:$O$56,4,FALSE))</f>
        <v>0.8</v>
      </c>
      <c r="S54" s="77">
        <f>IF(S53&gt;1.5,VLOOKUP(S51&amp;1.5,tablas!$L$3:$O$56,4,FALSE),VLOOKUP(S51&amp;S53,tablas!$L$3:$O$56,4,FALSE))</f>
        <v>0.8</v>
      </c>
      <c r="T54" s="77">
        <f>IF(T53&gt;1.5,VLOOKUP(T51&amp;1.5,tablas!$L$3:$O$56,4,FALSE),VLOOKUP(T51&amp;T53,tablas!$L$3:$O$56,4,FALSE))</f>
        <v>0.8</v>
      </c>
      <c r="U54" s="77">
        <f>IF(U53&gt;1.5,VLOOKUP(U51&amp;1.5,tablas!$L$3:$O$56,4,FALSE),VLOOKUP(U51&amp;U53,tablas!$L$3:$O$56,4,FALSE))</f>
        <v>0.8</v>
      </c>
      <c r="V54" s="77">
        <f>IF(V53&gt;1.5,VLOOKUP(V51&amp;1.5,tablas!$L$3:$O$56,4,FALSE),VLOOKUP(V51&amp;V53,tablas!$L$3:$O$56,4,FALSE))</f>
        <v>0.8</v>
      </c>
      <c r="W54" s="77">
        <f>IF(W53&gt;1.5,VLOOKUP(W51&amp;1.5,tablas!$L$3:$O$56,4,FALSE),VLOOKUP(W51&amp;W53,tablas!$L$3:$O$56,4,FALSE))</f>
        <v>0.8</v>
      </c>
      <c r="X54" s="77">
        <f>IF(X53&gt;1.5,VLOOKUP(X51&amp;1.5,tablas!$L$3:$O$56,4,FALSE),VLOOKUP(X51&amp;X53,tablas!$L$3:$O$56,4,FALSE))</f>
        <v>0.75</v>
      </c>
    </row>
    <row r="55" spans="2:24" x14ac:dyDescent="0.25">
      <c r="B55" s="100" t="s">
        <v>85</v>
      </c>
      <c r="C55" s="76">
        <v>35</v>
      </c>
      <c r="D55" s="77">
        <v>35</v>
      </c>
      <c r="E55" s="77">
        <v>36</v>
      </c>
      <c r="F55" s="77">
        <v>37</v>
      </c>
      <c r="G55" s="77">
        <v>38</v>
      </c>
      <c r="H55" s="77">
        <v>39</v>
      </c>
      <c r="I55" s="77">
        <v>40</v>
      </c>
      <c r="J55" s="77">
        <v>41</v>
      </c>
      <c r="K55" s="77">
        <v>42</v>
      </c>
      <c r="L55" s="77">
        <v>43</v>
      </c>
      <c r="M55" s="77">
        <v>44</v>
      </c>
      <c r="N55" s="77">
        <v>45</v>
      </c>
      <c r="O55" s="77">
        <v>46</v>
      </c>
      <c r="P55" s="77">
        <v>47</v>
      </c>
      <c r="Q55" s="77">
        <v>48</v>
      </c>
      <c r="R55" s="77">
        <v>49</v>
      </c>
      <c r="S55" s="77">
        <v>50</v>
      </c>
      <c r="T55" s="77">
        <v>51</v>
      </c>
      <c r="U55" s="77">
        <v>52</v>
      </c>
      <c r="V55" s="77">
        <v>53</v>
      </c>
      <c r="W55" s="77">
        <v>54</v>
      </c>
      <c r="X55" s="77">
        <v>55</v>
      </c>
    </row>
    <row r="56" spans="2:24" x14ac:dyDescent="0.25">
      <c r="B56" s="97" t="s">
        <v>4</v>
      </c>
      <c r="C56" s="76">
        <f>IF(C53&lt;=2,VLOOKUP(C51&amp;C53-0.1,tablas!$B$3:$J$92,6,FALSE),"Franja de losa")</f>
        <v>46.1</v>
      </c>
      <c r="D56" s="77">
        <f>IF(D53&lt;=2,VLOOKUP(D51&amp;D53,tablas!$B$3:$J$92,6,FALSE),"Franja de losa")</f>
        <v>45.2</v>
      </c>
      <c r="E56" s="77">
        <f>IF(E53&lt;=2,VLOOKUP(E51&amp;E53,tablas!$B$3:$J$92,6,FALSE),"Franja de losa")</f>
        <v>45.2</v>
      </c>
      <c r="F56" s="77">
        <f>IF(F53&lt;=2,VLOOKUP(F51&amp;F53,tablas!$B$3:$J$92,6,FALSE),"Franja de losa")</f>
        <v>44.6</v>
      </c>
      <c r="G56" s="77">
        <f>IF(G53&lt;=2,VLOOKUP(G51&amp;G53,tablas!$B$3:$J$92,6,FALSE),"Franja de losa")</f>
        <v>47.2</v>
      </c>
      <c r="H56" s="77">
        <f>IF(H53&lt;=2,VLOOKUP(H51&amp;H53,tablas!$B$3:$J$92,6,FALSE),"Franja de losa")</f>
        <v>50.7</v>
      </c>
      <c r="I56" s="77">
        <f>IF(I53&lt;=2,VLOOKUP(I51&amp;I53,tablas!$B$3:$J$92,6,FALSE),"Franja de losa")</f>
        <v>37.5</v>
      </c>
      <c r="J56" s="77" t="str">
        <f>IF(J53&lt;=2,VLOOKUP(J51&amp;J53,tablas!$B$3:$J$92,6,FALSE),"Franja de losa")</f>
        <v>Franja de losa</v>
      </c>
      <c r="K56" s="77" t="str">
        <f>IF(K53&lt;=2,VLOOKUP(K51&amp;K53,tablas!$B$3:$J$92,6,FALSE),"Franja de losa")</f>
        <v>Franja de losa</v>
      </c>
      <c r="L56" s="77">
        <f>IF(L53&lt;=2,VLOOKUP(L51&amp;L53,tablas!$B$3:$J$92,6,FALSE),"Franja de losa")</f>
        <v>50.7</v>
      </c>
      <c r="M56" s="77">
        <f>IF(M53&lt;=2,VLOOKUP(M51&amp;M53,tablas!$B$3:$J$92,6,FALSE),"Franja de losa")</f>
        <v>47.2</v>
      </c>
      <c r="N56" s="77" t="str">
        <f>IF(N53&lt;=2,VLOOKUP(N51&amp;N53,tablas!$B$3:$J$92,6,FALSE),"Franja de losa")</f>
        <v>Franja de losa</v>
      </c>
      <c r="O56" s="77" t="str">
        <f>IF(O53&lt;=2,VLOOKUP(O51&amp;O53,tablas!$B$3:$J$92,6,FALSE),"Franja de losa")</f>
        <v>Franja de losa</v>
      </c>
      <c r="P56" s="77" t="str">
        <f>IF(P53&lt;=2,VLOOKUP(P51&amp;P53,tablas!$B$3:$J$92,6,FALSE),"Franja de losa")</f>
        <v>Franja de losa</v>
      </c>
      <c r="Q56" s="77" t="str">
        <f>IF(Q53&lt;=2,VLOOKUP(Q51&amp;Q53,tablas!$B$3:$J$92,6,FALSE),"Franja de losa")</f>
        <v>Franja de losa</v>
      </c>
      <c r="R56" s="77" t="str">
        <f>IF(R53&lt;=2,VLOOKUP(R51&amp;R53,tablas!$B$3:$J$92,6,FALSE),"Franja de losa")</f>
        <v>Franja de losa</v>
      </c>
      <c r="S56" s="77" t="str">
        <f>IF(S53&lt;=2,VLOOKUP(S51&amp;S53,tablas!$B$3:$J$92,6,FALSE),"Franja de losa")</f>
        <v>Franja de losa</v>
      </c>
      <c r="T56" s="77" t="str">
        <f>IF(T53&lt;=2,VLOOKUP(T51&amp;T53,tablas!$B$3:$J$92,6,FALSE),"Franja de losa")</f>
        <v>Franja de losa</v>
      </c>
      <c r="U56" s="77" t="str">
        <f>IF(U53&lt;=2,VLOOKUP(U51&amp;U53,tablas!$B$3:$J$92,6,FALSE),"Franja de losa")</f>
        <v>Franja de losa</v>
      </c>
      <c r="V56" s="77" t="str">
        <f>IF(V53&lt;=2,VLOOKUP(V51&amp;V53,tablas!$B$3:$J$92,6,FALSE),"Franja de losa")</f>
        <v>Franja de losa</v>
      </c>
      <c r="W56" s="77" t="str">
        <f>IF(W53&lt;=2,VLOOKUP(W51&amp;W53,tablas!$B$3:$J$92,6,FALSE),"Franja de losa")</f>
        <v>Franja de losa</v>
      </c>
      <c r="X56" s="77">
        <f>IF(X53&lt;=2,VLOOKUP(X51&amp;X53-0.1,tablas!$B$3:$J$92,6,FALSE),"Franja de losa")</f>
        <v>37.6</v>
      </c>
    </row>
    <row r="57" spans="2:24" x14ac:dyDescent="0.25">
      <c r="B57" s="97" t="s">
        <v>5</v>
      </c>
      <c r="C57" s="76">
        <f>IF(C53&lt;=2,VLOOKUP(C51&amp;C53-0.1,tablas!$B$3:$J$92,7,FALSE),"Franja de losa")</f>
        <v>163</v>
      </c>
      <c r="D57" s="77">
        <f>IF(D53&lt;=2,VLOOKUP(D51&amp;D53,tablas!$B$3:$J$92,7,FALSE),"Franja de losa")</f>
        <v>95.6</v>
      </c>
      <c r="E57" s="77">
        <f>IF(E53&lt;=2,VLOOKUP(E51&amp;E53,tablas!$B$3:$J$92,7,FALSE),"Franja de losa")</f>
        <v>95.6</v>
      </c>
      <c r="F57" s="77">
        <f>IF(F53&lt;=2,VLOOKUP(F51&amp;F53,tablas!$B$3:$J$92,7,FALSE),"Franja de losa")</f>
        <v>116.6</v>
      </c>
      <c r="G57" s="77">
        <f>IF(G53&lt;=2,VLOOKUP(G51&amp;G53,tablas!$B$3:$J$92,7,FALSE),"Franja de losa")</f>
        <v>78.900000000000006</v>
      </c>
      <c r="H57" s="77">
        <f>IF(H53&lt;=2,VLOOKUP(H51&amp;H53,tablas!$B$3:$J$92,7,FALSE),"Franja de losa")</f>
        <v>66.3</v>
      </c>
      <c r="I57" s="77">
        <f>IF(I53&lt;=2,VLOOKUP(I51&amp;I53,tablas!$B$3:$J$92,7,FALSE),"Franja de losa")</f>
        <v>202</v>
      </c>
      <c r="J57" s="77" t="str">
        <f>IF(J53&lt;=2,VLOOKUP(J51&amp;J53,tablas!$B$3:$J$92,7,FALSE),"Franja de losa")</f>
        <v>Franja de losa</v>
      </c>
      <c r="K57" s="77" t="str">
        <f>IF(K53&lt;=2,VLOOKUP(K51&amp;K53,tablas!$B$3:$J$92,7,FALSE),"Franja de losa")</f>
        <v>Franja de losa</v>
      </c>
      <c r="L57" s="77">
        <f>IF(L53&lt;=2,VLOOKUP(L51&amp;L53,tablas!$B$3:$J$92,7,FALSE),"Franja de losa")</f>
        <v>66.3</v>
      </c>
      <c r="M57" s="77">
        <f>IF(M53&lt;=2,VLOOKUP(M51&amp;M53,tablas!$B$3:$J$92,7,FALSE),"Franja de losa")</f>
        <v>78.900000000000006</v>
      </c>
      <c r="N57" s="77" t="str">
        <f>IF(N53&lt;=2,VLOOKUP(N51&amp;N53,tablas!$B$3:$J$92,7,FALSE),"Franja de losa")</f>
        <v>Franja de losa</v>
      </c>
      <c r="O57" s="77" t="str">
        <f>IF(O53&lt;=2,VLOOKUP(O51&amp;O53,tablas!$B$3:$J$92,7,FALSE),"Franja de losa")</f>
        <v>Franja de losa</v>
      </c>
      <c r="P57" s="77" t="str">
        <f>IF(P53&lt;=2,VLOOKUP(P51&amp;P53,tablas!$B$3:$J$92,7,FALSE),"Franja de losa")</f>
        <v>Franja de losa</v>
      </c>
      <c r="Q57" s="77" t="str">
        <f>IF(Q53&lt;=2,VLOOKUP(Q51&amp;Q53,tablas!$B$3:$J$92,7,FALSE),"Franja de losa")</f>
        <v>Franja de losa</v>
      </c>
      <c r="R57" s="77" t="str">
        <f>IF(R53&lt;=2,VLOOKUP(R51&amp;R53,tablas!$B$3:$J$92,7,FALSE),"Franja de losa")</f>
        <v>Franja de losa</v>
      </c>
      <c r="S57" s="77" t="str">
        <f>IF(S53&lt;=2,VLOOKUP(S51&amp;S53,tablas!$B$3:$J$92,7,FALSE),"Franja de losa")</f>
        <v>Franja de losa</v>
      </c>
      <c r="T57" s="77" t="str">
        <f>IF(T53&lt;=2,VLOOKUP(T51&amp;T53,tablas!$B$3:$J$92,7,FALSE),"Franja de losa")</f>
        <v>Franja de losa</v>
      </c>
      <c r="U57" s="77" t="str">
        <f>IF(U53&lt;=2,VLOOKUP(U51&amp;U53,tablas!$B$3:$J$92,7,FALSE),"Franja de losa")</f>
        <v>Franja de losa</v>
      </c>
      <c r="V57" s="77" t="str">
        <f>IF(V53&lt;=2,VLOOKUP(V51&amp;V53,tablas!$B$3:$J$92,7,FALSE),"Franja de losa")</f>
        <v>Franja de losa</v>
      </c>
      <c r="W57" s="77" t="str">
        <f>IF(W53&lt;=2,VLOOKUP(W51&amp;W53,tablas!$B$3:$J$92,7,FALSE),"Franja de losa")</f>
        <v>Franja de losa</v>
      </c>
      <c r="X57" s="77">
        <f>IF(X53&lt;=2,VLOOKUP(X51&amp;X53-0.1,tablas!$B$3:$J$92,7,FALSE),"Franja de losa")</f>
        <v>143</v>
      </c>
    </row>
    <row r="58" spans="2:24" x14ac:dyDescent="0.25">
      <c r="B58" s="97" t="s">
        <v>6</v>
      </c>
      <c r="C58" s="76">
        <f>IF(C53&lt;2,VLOOKUP(C51&amp;C53-0.1,tablas!$B$3:$J$92,8,FALSE),"Franja de losa")</f>
        <v>20.5</v>
      </c>
      <c r="D58" s="77">
        <f>IF(D53&lt;=2,VLOOKUP(D51&amp;D53,tablas!$B$3:$J$92,8,FALSE),"Franja de losa")</f>
        <v>18.8</v>
      </c>
      <c r="E58" s="77">
        <f>IF(E53&lt;=2,VLOOKUP(E51&amp;E53,tablas!$B$3:$J$92,8,FALSE),"Franja de losa")</f>
        <v>18.8</v>
      </c>
      <c r="F58" s="77">
        <f>IF(F53&lt;=2,VLOOKUP(F51&amp;F53,tablas!$B$3:$J$92,8,FALSE),"Franja de losa")</f>
        <v>19.2</v>
      </c>
      <c r="G58" s="77">
        <f>IF(G53&lt;=2,VLOOKUP(G51&amp;G53,tablas!$B$3:$J$92,8,FALSE),"Franja de losa")</f>
        <v>18.600000000000001</v>
      </c>
      <c r="H58" s="77">
        <f>IF(H53&lt;=2,VLOOKUP(H51&amp;H53,tablas!$B$3:$J$92,8,FALSE),"Franja de losa")</f>
        <v>18.8</v>
      </c>
      <c r="I58" s="77">
        <f>IF(I53&lt;=2,VLOOKUP(I51&amp;I53,tablas!$B$3:$J$92,8,FALSE),"Franja de losa")</f>
        <v>17.600000000000001</v>
      </c>
      <c r="J58" s="77" t="str">
        <f>IF(J53&lt;=2,VLOOKUP(J51&amp;J53,tablas!$B$3:$J$92,8,FALSE),"Franja de losa")</f>
        <v>Franja de losa</v>
      </c>
      <c r="K58" s="77" t="str">
        <f>IF(K53&lt;=2,VLOOKUP(K51&amp;K53,tablas!$B$3:$J$92,8,FALSE),"Franja de losa")</f>
        <v>Franja de losa</v>
      </c>
      <c r="L58" s="77">
        <f>IF(L53&lt;=2,VLOOKUP(L51&amp;L53,tablas!$B$3:$J$92,8,FALSE),"Franja de losa")</f>
        <v>18.8</v>
      </c>
      <c r="M58" s="77">
        <f>IF(M53&lt;=2,VLOOKUP(M51&amp;M53,tablas!$B$3:$J$92,8,FALSE),"Franja de losa")</f>
        <v>18.600000000000001</v>
      </c>
      <c r="N58" s="77" t="str">
        <f>IF(N53&lt;=2,VLOOKUP(N51&amp;N53,tablas!$B$3:$J$92,8,FALSE),"Franja de losa")</f>
        <v>Franja de losa</v>
      </c>
      <c r="O58" s="77" t="str">
        <f>IF(O53&lt;=2,VLOOKUP(O51&amp;O53,tablas!$B$3:$J$92,8,FALSE),"Franja de losa")</f>
        <v>Franja de losa</v>
      </c>
      <c r="P58" s="77" t="str">
        <f>IF(P53&lt;=2,VLOOKUP(P51&amp;P53,tablas!$B$3:$J$92,8,FALSE),"Franja de losa")</f>
        <v>Franja de losa</v>
      </c>
      <c r="Q58" s="77" t="str">
        <f>IF(Q53&lt;=2,VLOOKUP(Q51&amp;Q53,tablas!$B$3:$J$92,8,FALSE),"Franja de losa")</f>
        <v>Franja de losa</v>
      </c>
      <c r="R58" s="77" t="str">
        <f>IF(R53&lt;=2,VLOOKUP(R51&amp;R53,tablas!$B$3:$J$92,8,FALSE),"Franja de losa")</f>
        <v>Franja de losa</v>
      </c>
      <c r="S58" s="77" t="str">
        <f>IF(S53&lt;=2,VLOOKUP(S51&amp;S53,tablas!$B$3:$J$92,8,FALSE),"Franja de losa")</f>
        <v>Franja de losa</v>
      </c>
      <c r="T58" s="77" t="str">
        <f>IF(T53&lt;=2,VLOOKUP(T51&amp;T53,tablas!$B$3:$J$92,8,FALSE),"Franja de losa")</f>
        <v>Franja de losa</v>
      </c>
      <c r="U58" s="77" t="str">
        <f>IF(U53&lt;=2,VLOOKUP(U51&amp;U53,tablas!$B$3:$J$92,8,FALSE),"Franja de losa")</f>
        <v>Franja de losa</v>
      </c>
      <c r="V58" s="77" t="str">
        <f>IF(V53&lt;=2,VLOOKUP(V51&amp;V53,tablas!$B$3:$J$92,8,FALSE),"Franja de losa")</f>
        <v>Franja de losa</v>
      </c>
      <c r="W58" s="77" t="str">
        <f>IF(W53&lt;=2,VLOOKUP(W51&amp;W53,tablas!$B$3:$J$92,8,FALSE),"Franja de losa")</f>
        <v>Franja de losa</v>
      </c>
      <c r="X58" s="77">
        <f>IF(X53&lt;=2,VLOOKUP(X51&amp;X53-0.1,tablas!$B$3:$J$92,8,FALSE),"Franja de losa")</f>
        <v>16.7</v>
      </c>
    </row>
    <row r="59" spans="2:24" x14ac:dyDescent="0.25">
      <c r="B59" s="97" t="s">
        <v>7</v>
      </c>
      <c r="C59" s="76">
        <f>IF(C53&lt;2,VLOOKUP(C51&amp;C53-0.1,tablas!$B$3:$J$92,9,FALSE),"Franja de losa")</f>
        <v>27.9</v>
      </c>
      <c r="D59" s="77">
        <f>IF(D53&lt;=2,VLOOKUP(D51&amp;D53,tablas!$B$3:$J$92,9,FALSE),"Franja de losa")</f>
        <v>22.9</v>
      </c>
      <c r="E59" s="77">
        <f>IF(E53&lt;=2,VLOOKUP(E51&amp;E53,tablas!$B$3:$J$92,9,FALSE),"Franja de losa")</f>
        <v>22.9</v>
      </c>
      <c r="F59" s="77">
        <f>IF(F53&lt;=2,VLOOKUP(F51&amp;F53,tablas!$B$3:$J$92,9,FALSE),"Franja de losa")</f>
        <v>24.5</v>
      </c>
      <c r="G59" s="77">
        <f>IF(G53&lt;=2,VLOOKUP(G51&amp;G53,tablas!$B$3:$J$92,9,FALSE),"Franja de losa")</f>
        <v>21.5</v>
      </c>
      <c r="H59" s="77">
        <f>IF(H53&lt;=2,VLOOKUP(H51&amp;H53,tablas!$B$3:$J$92,9,FALSE),"Franja de losa")</f>
        <v>20.3</v>
      </c>
      <c r="I59" s="77">
        <f>IF(I53&lt;=2,VLOOKUP(I51&amp;I53,tablas!$B$3:$J$92,9,FALSE),"Franja de losa")</f>
        <v>24.6</v>
      </c>
      <c r="J59" s="77" t="str">
        <f>IF(J53&lt;=2,VLOOKUP(J51&amp;J53,tablas!$B$3:$J$92,9,FALSE),"Franja de losa")</f>
        <v>Franja de losa</v>
      </c>
      <c r="K59" s="77" t="str">
        <f>IF(K53&lt;=2,VLOOKUP(K51&amp;K53,tablas!$B$3:$J$92,9,FALSE),"Franja de losa")</f>
        <v>Franja de losa</v>
      </c>
      <c r="L59" s="77">
        <f>IF(L53&lt;=2,VLOOKUP(L51&amp;L53,tablas!$B$3:$J$92,9,FALSE),"Franja de losa")</f>
        <v>20.3</v>
      </c>
      <c r="M59" s="77">
        <f>IF(M53&lt;=2,VLOOKUP(M51&amp;M53,tablas!$B$3:$J$92,9,FALSE),"Franja de losa")</f>
        <v>21.5</v>
      </c>
      <c r="N59" s="77" t="str">
        <f>IF(N53&lt;=2,VLOOKUP(N51&amp;N53,tablas!$B$3:$J$92,9,FALSE),"Franja de losa")</f>
        <v>Franja de losa</v>
      </c>
      <c r="O59" s="77" t="str">
        <f>IF(O53&lt;=2,VLOOKUP(O51&amp;O53,tablas!$B$3:$J$92,9,FALSE),"Franja de losa")</f>
        <v>Franja de losa</v>
      </c>
      <c r="P59" s="77" t="str">
        <f>IF(P53&lt;=2,VLOOKUP(P51&amp;P53,tablas!$B$3:$J$92,9,FALSE),"Franja de losa")</f>
        <v>Franja de losa</v>
      </c>
      <c r="Q59" s="77" t="str">
        <f>IF(Q53&lt;=2,VLOOKUP(Q51&amp;Q53,tablas!$B$3:$J$92,9,FALSE),"Franja de losa")</f>
        <v>Franja de losa</v>
      </c>
      <c r="R59" s="77" t="str">
        <f>IF(R53&lt;=2,VLOOKUP(R51&amp;R53,tablas!$B$3:$J$92,9,FALSE),"Franja de losa")</f>
        <v>Franja de losa</v>
      </c>
      <c r="S59" s="77" t="str">
        <f>IF(S53&lt;=2,VLOOKUP(S51&amp;S53,tablas!$B$3:$J$92,9,FALSE),"Franja de losa")</f>
        <v>Franja de losa</v>
      </c>
      <c r="T59" s="77" t="str">
        <f>IF(T53&lt;=2,VLOOKUP(T51&amp;T53,tablas!$B$3:$J$92,9,FALSE),"Franja de losa")</f>
        <v>Franja de losa</v>
      </c>
      <c r="U59" s="77" t="str">
        <f>IF(U53&lt;=2,VLOOKUP(U51&amp;U53,tablas!$B$3:$J$92,9,FALSE),"Franja de losa")</f>
        <v>Franja de losa</v>
      </c>
      <c r="V59" s="77" t="str">
        <f>IF(V53&lt;=2,VLOOKUP(V51&amp;V53,tablas!$B$3:$J$92,9,FALSE),"Franja de losa")</f>
        <v>Franja de losa</v>
      </c>
      <c r="W59" s="77" t="str">
        <f>IF(W53&lt;=2,VLOOKUP(W51&amp;W53,tablas!$B$3:$J$92,9,FALSE),"Franja de losa")</f>
        <v>Franja de losa</v>
      </c>
      <c r="X59" s="77">
        <f>IF(X53&lt;=2,VLOOKUP(X51&amp;X53-0.1,tablas!$B$3:$J$92,9,FALSE),"Franja de losa")</f>
        <v>22.1</v>
      </c>
    </row>
    <row r="60" spans="2:24" x14ac:dyDescent="0.25">
      <c r="B60" s="100" t="s">
        <v>2</v>
      </c>
      <c r="C60" s="76">
        <f>IF(C53&lt;2,VLOOKUP(C51&amp;C53-0.1,tablas!$B$3:$J$92,4,FALSE),"Franja de losa")</f>
        <v>1.39</v>
      </c>
      <c r="D60" s="77">
        <f>IF(D53&lt;=2,VLOOKUP(D51&amp;D53,tablas!$B$3:$J$92,4,FALSE),"Franja de losa")</f>
        <v>1.17</v>
      </c>
      <c r="E60" s="77">
        <f>IF(E53&lt;=2,VLOOKUP(E51&amp;E53,tablas!$B$3:$J$92,4,FALSE),"Franja de losa")</f>
        <v>1.17</v>
      </c>
      <c r="F60" s="77">
        <f>IF(F53&lt;=2,VLOOKUP(F51&amp;F53,tablas!$B$3:$J$92,4,FALSE),"Franja de losa")</f>
        <v>1.24</v>
      </c>
      <c r="G60" s="77">
        <f>IF(G53&lt;=2,VLOOKUP(G51&amp;G53,tablas!$B$3:$J$92,4,FALSE),"Franja de losa")</f>
        <v>1.1000000000000001</v>
      </c>
      <c r="H60" s="77">
        <f>IF(H53&lt;=2,VLOOKUP(H51&amp;H53,tablas!$B$3:$J$92,4,FALSE),"Franja de losa")</f>
        <v>1.05</v>
      </c>
      <c r="I60" s="77">
        <f>IF(I53&lt;=2,VLOOKUP(I51&amp;I53,tablas!$B$3:$J$92,4,FALSE),"Franja de losa")</f>
        <v>0.68</v>
      </c>
      <c r="J60" s="77" t="str">
        <f>IF(J53&lt;=2,VLOOKUP(J51&amp;J53,tablas!$B$3:$J$92,4,FALSE),"Franja de losa")</f>
        <v>Franja de losa</v>
      </c>
      <c r="K60" s="77" t="str">
        <f>IF(K53&lt;=2,VLOOKUP(K51&amp;K53,tablas!$B$3:$J$92,4,FALSE),"Franja de losa")</f>
        <v>Franja de losa</v>
      </c>
      <c r="L60" s="77">
        <f>IF(L53&lt;=2,VLOOKUP(L51&amp;L53,tablas!$B$3:$J$92,4,FALSE),"Franja de losa")</f>
        <v>1.05</v>
      </c>
      <c r="M60" s="77">
        <f>IF(M53&lt;=2,VLOOKUP(M51&amp;M53,tablas!$B$3:$J$92,4,FALSE),"Franja de losa")</f>
        <v>1.1000000000000001</v>
      </c>
      <c r="N60" s="77" t="str">
        <f>IF(N53&lt;=2,VLOOKUP(N51&amp;N53,tablas!$B$3:$J$92,4,FALSE),"Franja de losa")</f>
        <v>Franja de losa</v>
      </c>
      <c r="O60" s="77" t="str">
        <f>IF(O53&lt;=2,VLOOKUP(O51&amp;O53,tablas!$B$3:$J$92,4,FALSE),"Franja de losa")</f>
        <v>Franja de losa</v>
      </c>
      <c r="P60" s="77" t="str">
        <f>IF(P53&lt;=2,VLOOKUP(P51&amp;P53,tablas!$B$3:$J$92,4,FALSE),"Franja de losa")</f>
        <v>Franja de losa</v>
      </c>
      <c r="Q60" s="77" t="str">
        <f>IF(Q53&lt;=2,VLOOKUP(Q51&amp;Q53,tablas!$B$3:$J$92,4,FALSE),"Franja de losa")</f>
        <v>Franja de losa</v>
      </c>
      <c r="R60" s="77" t="str">
        <f>IF(R53&lt;=2,VLOOKUP(R51&amp;R53,tablas!$B$3:$J$92,4,FALSE),"Franja de losa")</f>
        <v>Franja de losa</v>
      </c>
      <c r="S60" s="77" t="str">
        <f>IF(S53&lt;=2,VLOOKUP(S51&amp;S53,tablas!$B$3:$J$92,4,FALSE),"Franja de losa")</f>
        <v>Franja de losa</v>
      </c>
      <c r="T60" s="77" t="str">
        <f>IF(T53&lt;=2,VLOOKUP(T51&amp;T53,tablas!$B$3:$J$92,4,FALSE),"Franja de losa")</f>
        <v>Franja de losa</v>
      </c>
      <c r="U60" s="77" t="str">
        <f>IF(U53&lt;=2,VLOOKUP(U51&amp;U53,tablas!$B$3:$J$92,4,FALSE),"Franja de losa")</f>
        <v>Franja de losa</v>
      </c>
      <c r="V60" s="77" t="str">
        <f>IF(V53&lt;=2,VLOOKUP(V51&amp;V53,tablas!$B$3:$J$92,4,FALSE),"Franja de losa")</f>
        <v>Franja de losa</v>
      </c>
      <c r="W60" s="77" t="str">
        <f>IF(W53&lt;=2,VLOOKUP(W51&amp;W53,tablas!$B$3:$J$92,4,FALSE),"Franja de losa")</f>
        <v>Franja de losa</v>
      </c>
      <c r="X60" s="77">
        <f>IF(X53&lt;=2,VLOOKUP(X51&amp;X53-0.1,tablas!$B$3:$J$92,4,FALSE),"Franja de losa")</f>
        <v>0.68</v>
      </c>
    </row>
    <row r="61" spans="2:24" ht="15.75" thickBot="1" x14ac:dyDescent="0.3">
      <c r="B61" s="101" t="s">
        <v>3</v>
      </c>
      <c r="C61" s="82">
        <f>IF(C53&lt;2,VLOOKUP(C51&amp;C53-0.1,tablas!$B$3:$J$92,5,FALSE),"Franja de losa")</f>
        <v>1.39</v>
      </c>
      <c r="D61" s="83">
        <f>IF(D53&lt;=2,VLOOKUP(D51&amp;D53,tablas!$B$3:$J$92,5,FALSE),"Franja de losa")</f>
        <v>1.17</v>
      </c>
      <c r="E61" s="83">
        <f>IF(E53&lt;=2,VLOOKUP(E51&amp;E53,tablas!$B$3:$J$92,5,FALSE),"Franja de losa")</f>
        <v>1.17</v>
      </c>
      <c r="F61" s="83">
        <f>IF(F53&lt;=2,VLOOKUP(F51&amp;F53,tablas!$B$3:$J$92,5,FALSE),"Franja de losa")</f>
        <v>1.24</v>
      </c>
      <c r="G61" s="83">
        <f>IF(G53&lt;=2,VLOOKUP(G51&amp;G53,tablas!$B$3:$J$92,5,FALSE),"Franja de losa")</f>
        <v>1.1000000000000001</v>
      </c>
      <c r="H61" s="83">
        <f>IF(H53&lt;=2,VLOOKUP(H51&amp;H53,tablas!$B$3:$J$92,5,FALSE),"Franja de losa")</f>
        <v>1.05</v>
      </c>
      <c r="I61" s="83">
        <f>IF(I53&lt;=2,VLOOKUP(I51&amp;I53,tablas!$B$3:$J$92,5,FALSE),"Franja de losa")</f>
        <v>0.46</v>
      </c>
      <c r="J61" s="83" t="str">
        <f>IF(J53&lt;=2,VLOOKUP(J51&amp;J53,tablas!$B$3:$J$92,5,FALSE),"Franja de losa")</f>
        <v>Franja de losa</v>
      </c>
      <c r="K61" s="83" t="str">
        <f>IF(K53&lt;=2,VLOOKUP(K51&amp;K53,tablas!$B$3:$J$92,5,FALSE),"Franja de losa")</f>
        <v>Franja de losa</v>
      </c>
      <c r="L61" s="83">
        <f>IF(L53&lt;=2,VLOOKUP(L51&amp;L53,tablas!$B$3:$J$92,5,FALSE),"Franja de losa")</f>
        <v>1.05</v>
      </c>
      <c r="M61" s="83">
        <f>IF(M53&lt;=2,VLOOKUP(M51&amp;M53,tablas!$B$3:$J$92,5,FALSE),"Franja de losa")</f>
        <v>1.1000000000000001</v>
      </c>
      <c r="N61" s="83" t="str">
        <f>IF(N53&lt;=2,VLOOKUP(N51&amp;N53,tablas!$B$3:$J$92,5,FALSE),"Franja de losa")</f>
        <v>Franja de losa</v>
      </c>
      <c r="O61" s="83" t="str">
        <f>IF(O53&lt;=2,VLOOKUP(O51&amp;O53,tablas!$B$3:$J$92,5,FALSE),"Franja de losa")</f>
        <v>Franja de losa</v>
      </c>
      <c r="P61" s="83" t="str">
        <f>IF(P53&lt;=2,VLOOKUP(P51&amp;P53,tablas!$B$3:$J$92,5,FALSE),"Franja de losa")</f>
        <v>Franja de losa</v>
      </c>
      <c r="Q61" s="83" t="str">
        <f>IF(Q53&lt;=2,VLOOKUP(Q51&amp;Q53,tablas!$B$3:$J$92,5,FALSE),"Franja de losa")</f>
        <v>Franja de losa</v>
      </c>
      <c r="R61" s="83" t="str">
        <f>IF(R53&lt;=2,VLOOKUP(R51&amp;R53,tablas!$B$3:$J$92,5,FALSE),"Franja de losa")</f>
        <v>Franja de losa</v>
      </c>
      <c r="S61" s="83" t="str">
        <f>IF(S53&lt;=2,VLOOKUP(S51&amp;S53,tablas!$B$3:$J$92,5,FALSE),"Franja de losa")</f>
        <v>Franja de losa</v>
      </c>
      <c r="T61" s="83" t="str">
        <f>IF(T53&lt;=2,VLOOKUP(T51&amp;T53,tablas!$B$3:$J$92,5,FALSE),"Franja de losa")</f>
        <v>Franja de losa</v>
      </c>
      <c r="U61" s="83" t="str">
        <f>IF(U53&lt;=2,VLOOKUP(U51&amp;U53,tablas!$B$3:$J$92,5,FALSE),"Franja de losa")</f>
        <v>Franja de losa</v>
      </c>
      <c r="V61" s="83" t="str">
        <f>IF(V53&lt;=2,VLOOKUP(V51&amp;V53,tablas!$B$3:$J$92,5,FALSE),"Franja de losa")</f>
        <v>Franja de losa</v>
      </c>
      <c r="W61" s="83" t="str">
        <f>IF(W53&lt;=2,VLOOKUP(W51&amp;W53,tablas!$B$3:$J$92,5,FALSE),"Franja de losa")</f>
        <v>Franja de losa</v>
      </c>
      <c r="X61" s="83">
        <f>IF(X53&lt;=2,VLOOKUP(X51&amp;X53-0.1,tablas!$B$3:$J$92,5,FALSE),"Franja de losa")</f>
        <v>0.46</v>
      </c>
    </row>
    <row r="62" spans="2:24" ht="15.75" thickBot="1" x14ac:dyDescent="0.3">
      <c r="B62" s="71" t="s">
        <v>87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72"/>
      <c r="X62" s="72"/>
    </row>
    <row r="63" spans="2:24" x14ac:dyDescent="0.25">
      <c r="B63" s="97" t="s">
        <v>83</v>
      </c>
      <c r="C63" s="84">
        <f>VLOOKUP(C$46,$B$16:$H$35,6)</f>
        <v>200</v>
      </c>
      <c r="D63" s="84">
        <f t="shared" ref="D63:X63" si="5">VLOOKUP(D$46,$B$16:$H$35,6)</f>
        <v>200</v>
      </c>
      <c r="E63" s="84">
        <f t="shared" si="5"/>
        <v>200</v>
      </c>
      <c r="F63" s="84">
        <f t="shared" si="5"/>
        <v>200</v>
      </c>
      <c r="G63" s="84">
        <f t="shared" si="5"/>
        <v>200</v>
      </c>
      <c r="H63" s="84">
        <f t="shared" si="5"/>
        <v>200</v>
      </c>
      <c r="I63" s="84">
        <f t="shared" si="5"/>
        <v>400</v>
      </c>
      <c r="J63" s="84">
        <f t="shared" si="5"/>
        <v>400</v>
      </c>
      <c r="K63" s="84">
        <f t="shared" si="5"/>
        <v>400</v>
      </c>
      <c r="L63" s="84">
        <f t="shared" si="5"/>
        <v>200</v>
      </c>
      <c r="M63" s="84">
        <f t="shared" si="5"/>
        <v>200</v>
      </c>
      <c r="N63" s="84">
        <f t="shared" si="5"/>
        <v>300</v>
      </c>
      <c r="O63" s="84">
        <f t="shared" si="5"/>
        <v>300</v>
      </c>
      <c r="P63" s="84">
        <f t="shared" si="5"/>
        <v>300</v>
      </c>
      <c r="Q63" s="84">
        <f t="shared" si="5"/>
        <v>300</v>
      </c>
      <c r="R63" s="84">
        <f t="shared" si="5"/>
        <v>300</v>
      </c>
      <c r="S63" s="84">
        <f t="shared" si="5"/>
        <v>300</v>
      </c>
      <c r="T63" s="84">
        <f t="shared" si="5"/>
        <v>300</v>
      </c>
      <c r="U63" s="84">
        <f t="shared" si="5"/>
        <v>300</v>
      </c>
      <c r="V63" s="84">
        <f t="shared" si="5"/>
        <v>300</v>
      </c>
      <c r="W63" s="84">
        <f t="shared" si="5"/>
        <v>300</v>
      </c>
      <c r="X63" s="84">
        <f t="shared" si="5"/>
        <v>300</v>
      </c>
    </row>
    <row r="64" spans="2:24" x14ac:dyDescent="0.25">
      <c r="B64" s="97" t="s">
        <v>89</v>
      </c>
      <c r="C64" s="76">
        <f>$L$7*($C$4/100)</f>
        <v>400</v>
      </c>
      <c r="D64" s="77">
        <f>$L$7*($C$4/100)</f>
        <v>400</v>
      </c>
      <c r="E64" s="77">
        <f t="shared" ref="E64:X64" si="6">$L$7*($C$4/100)</f>
        <v>400</v>
      </c>
      <c r="F64" s="77">
        <f t="shared" si="6"/>
        <v>400</v>
      </c>
      <c r="G64" s="77">
        <f t="shared" si="6"/>
        <v>400</v>
      </c>
      <c r="H64" s="77">
        <f t="shared" si="6"/>
        <v>400</v>
      </c>
      <c r="I64" s="77">
        <f t="shared" si="6"/>
        <v>400</v>
      </c>
      <c r="J64" s="77">
        <f t="shared" si="6"/>
        <v>400</v>
      </c>
      <c r="K64" s="77">
        <f t="shared" si="6"/>
        <v>400</v>
      </c>
      <c r="L64" s="77">
        <f t="shared" si="6"/>
        <v>400</v>
      </c>
      <c r="M64" s="77">
        <f t="shared" si="6"/>
        <v>400</v>
      </c>
      <c r="N64" s="77">
        <f t="shared" si="6"/>
        <v>400</v>
      </c>
      <c r="O64" s="77">
        <f t="shared" si="6"/>
        <v>400</v>
      </c>
      <c r="P64" s="77">
        <f t="shared" si="6"/>
        <v>400</v>
      </c>
      <c r="Q64" s="77">
        <f t="shared" si="6"/>
        <v>400</v>
      </c>
      <c r="R64" s="77">
        <f t="shared" si="6"/>
        <v>400</v>
      </c>
      <c r="S64" s="77">
        <f t="shared" si="6"/>
        <v>400</v>
      </c>
      <c r="T64" s="77">
        <f t="shared" si="6"/>
        <v>400</v>
      </c>
      <c r="U64" s="77">
        <f t="shared" si="6"/>
        <v>400</v>
      </c>
      <c r="V64" s="77">
        <f t="shared" si="6"/>
        <v>400</v>
      </c>
      <c r="W64" s="77">
        <f t="shared" si="6"/>
        <v>400</v>
      </c>
      <c r="X64" s="77">
        <f t="shared" si="6"/>
        <v>400</v>
      </c>
    </row>
    <row r="65" spans="2:24" x14ac:dyDescent="0.25">
      <c r="B65" s="97" t="s">
        <v>90</v>
      </c>
      <c r="C65" s="76">
        <f>C64+$I$8</f>
        <v>625</v>
      </c>
      <c r="D65" s="77">
        <f>D64+$I$8</f>
        <v>625</v>
      </c>
      <c r="E65" s="77">
        <f t="shared" ref="E65:X65" si="7">E64+$I$8</f>
        <v>625</v>
      </c>
      <c r="F65" s="77">
        <f t="shared" si="7"/>
        <v>625</v>
      </c>
      <c r="G65" s="77">
        <f t="shared" si="7"/>
        <v>625</v>
      </c>
      <c r="H65" s="77">
        <f t="shared" si="7"/>
        <v>625</v>
      </c>
      <c r="I65" s="77">
        <f t="shared" si="7"/>
        <v>625</v>
      </c>
      <c r="J65" s="77">
        <f t="shared" si="7"/>
        <v>625</v>
      </c>
      <c r="K65" s="77">
        <f t="shared" si="7"/>
        <v>625</v>
      </c>
      <c r="L65" s="77">
        <f t="shared" si="7"/>
        <v>625</v>
      </c>
      <c r="M65" s="77">
        <f t="shared" si="7"/>
        <v>625</v>
      </c>
      <c r="N65" s="77">
        <f t="shared" si="7"/>
        <v>625</v>
      </c>
      <c r="O65" s="77">
        <f t="shared" si="7"/>
        <v>625</v>
      </c>
      <c r="P65" s="77">
        <f t="shared" si="7"/>
        <v>625</v>
      </c>
      <c r="Q65" s="77">
        <f t="shared" si="7"/>
        <v>625</v>
      </c>
      <c r="R65" s="77">
        <f t="shared" si="7"/>
        <v>625</v>
      </c>
      <c r="S65" s="77">
        <f t="shared" si="7"/>
        <v>625</v>
      </c>
      <c r="T65" s="77">
        <f t="shared" si="7"/>
        <v>625</v>
      </c>
      <c r="U65" s="77">
        <f t="shared" si="7"/>
        <v>625</v>
      </c>
      <c r="V65" s="77">
        <f t="shared" si="7"/>
        <v>625</v>
      </c>
      <c r="W65" s="77">
        <f t="shared" si="7"/>
        <v>625</v>
      </c>
      <c r="X65" s="77">
        <f t="shared" si="7"/>
        <v>625</v>
      </c>
    </row>
    <row r="66" spans="2:24" x14ac:dyDescent="0.25">
      <c r="B66" s="97" t="s">
        <v>91</v>
      </c>
      <c r="C66" s="76">
        <f>1.2*C65+1.6*C63</f>
        <v>1070</v>
      </c>
      <c r="D66" s="77">
        <f>1.2*D65+1.6*D63</f>
        <v>1070</v>
      </c>
      <c r="E66" s="77">
        <f t="shared" ref="E66:X66" si="8">1.2*E65+1.6*E63</f>
        <v>1070</v>
      </c>
      <c r="F66" s="77">
        <f t="shared" si="8"/>
        <v>1070</v>
      </c>
      <c r="G66" s="77">
        <f t="shared" si="8"/>
        <v>1070</v>
      </c>
      <c r="H66" s="77">
        <f t="shared" si="8"/>
        <v>1070</v>
      </c>
      <c r="I66" s="77">
        <f t="shared" si="8"/>
        <v>1390</v>
      </c>
      <c r="J66" s="77">
        <f t="shared" si="8"/>
        <v>1390</v>
      </c>
      <c r="K66" s="77">
        <f t="shared" si="8"/>
        <v>1390</v>
      </c>
      <c r="L66" s="77">
        <f t="shared" si="8"/>
        <v>1070</v>
      </c>
      <c r="M66" s="77">
        <f t="shared" si="8"/>
        <v>1070</v>
      </c>
      <c r="N66" s="77">
        <f t="shared" si="8"/>
        <v>1230</v>
      </c>
      <c r="O66" s="77">
        <f t="shared" si="8"/>
        <v>1230</v>
      </c>
      <c r="P66" s="77">
        <f t="shared" si="8"/>
        <v>1230</v>
      </c>
      <c r="Q66" s="77">
        <f t="shared" si="8"/>
        <v>1230</v>
      </c>
      <c r="R66" s="77">
        <f t="shared" si="8"/>
        <v>1230</v>
      </c>
      <c r="S66" s="77">
        <f t="shared" si="8"/>
        <v>1230</v>
      </c>
      <c r="T66" s="77">
        <f t="shared" si="8"/>
        <v>1230</v>
      </c>
      <c r="U66" s="77">
        <f t="shared" si="8"/>
        <v>1230</v>
      </c>
      <c r="V66" s="77">
        <f t="shared" si="8"/>
        <v>1230</v>
      </c>
      <c r="W66" s="77">
        <f t="shared" si="8"/>
        <v>1230</v>
      </c>
      <c r="X66" s="77">
        <f t="shared" si="8"/>
        <v>1230</v>
      </c>
    </row>
    <row r="67" spans="2:24" x14ac:dyDescent="0.25">
      <c r="B67" s="98" t="s">
        <v>92</v>
      </c>
      <c r="C67" s="85">
        <f>C66*C48*C49</f>
        <v>64735</v>
      </c>
      <c r="D67" s="86">
        <f>D66*D48*D49</f>
        <v>27862.799999999999</v>
      </c>
      <c r="E67" s="86">
        <f t="shared" ref="E67:X67" si="9">E66*E48*E49</f>
        <v>27862.799999999999</v>
      </c>
      <c r="F67" s="86">
        <f t="shared" si="9"/>
        <v>51075.915000000001</v>
      </c>
      <c r="G67" s="86">
        <f t="shared" si="9"/>
        <v>43342.704000000005</v>
      </c>
      <c r="H67" s="86">
        <f t="shared" si="9"/>
        <v>26856.999999999996</v>
      </c>
      <c r="I67" s="86">
        <f t="shared" si="9"/>
        <v>11792.76</v>
      </c>
      <c r="J67" s="86">
        <f t="shared" si="9"/>
        <v>21795.199999999997</v>
      </c>
      <c r="K67" s="86">
        <f t="shared" si="9"/>
        <v>25637.16</v>
      </c>
      <c r="L67" s="86">
        <f>L66*L48*L49</f>
        <v>26856.999999999996</v>
      </c>
      <c r="M67" s="86">
        <f t="shared" si="9"/>
        <v>40415.826000000008</v>
      </c>
      <c r="N67" s="86">
        <f t="shared" si="9"/>
        <v>9899.4089999999997</v>
      </c>
      <c r="O67" s="86">
        <f t="shared" si="9"/>
        <v>10400.879999999999</v>
      </c>
      <c r="P67" s="86">
        <f t="shared" si="9"/>
        <v>10400.879999999999</v>
      </c>
      <c r="Q67" s="86">
        <f t="shared" si="9"/>
        <v>9750.8249999999989</v>
      </c>
      <c r="R67" s="86">
        <f t="shared" si="9"/>
        <v>4899.3360000000002</v>
      </c>
      <c r="S67" s="86">
        <f t="shared" si="9"/>
        <v>4899.3360000000002</v>
      </c>
      <c r="T67" s="86">
        <f t="shared" si="9"/>
        <v>11553.882</v>
      </c>
      <c r="U67" s="86">
        <f t="shared" si="9"/>
        <v>11685.737999999999</v>
      </c>
      <c r="V67" s="86">
        <f t="shared" si="9"/>
        <v>3486.0660000000003</v>
      </c>
      <c r="W67" s="86">
        <f t="shared" si="9"/>
        <v>3297.63</v>
      </c>
      <c r="X67" s="86">
        <f t="shared" si="9"/>
        <v>12270.48</v>
      </c>
    </row>
    <row r="68" spans="2:24" ht="15.75" thickBot="1" x14ac:dyDescent="0.3">
      <c r="B68" s="99" t="s">
        <v>93</v>
      </c>
      <c r="C68" s="87">
        <f>C63/(2*C66)</f>
        <v>9.3457943925233641E-2</v>
      </c>
      <c r="D68" s="88">
        <f>D63/(2*D66)</f>
        <v>9.3457943925233641E-2</v>
      </c>
      <c r="E68" s="88">
        <f t="shared" ref="E68:X68" si="10">E63/(2*E66)</f>
        <v>9.3457943925233641E-2</v>
      </c>
      <c r="F68" s="88">
        <f t="shared" si="10"/>
        <v>9.3457943925233641E-2</v>
      </c>
      <c r="G68" s="88">
        <f t="shared" si="10"/>
        <v>9.3457943925233641E-2</v>
      </c>
      <c r="H68" s="88">
        <f t="shared" si="10"/>
        <v>9.3457943925233641E-2</v>
      </c>
      <c r="I68" s="88">
        <f t="shared" si="10"/>
        <v>0.14388489208633093</v>
      </c>
      <c r="J68" s="88">
        <f t="shared" si="10"/>
        <v>0.14388489208633093</v>
      </c>
      <c r="K68" s="88">
        <f t="shared" si="10"/>
        <v>0.14388489208633093</v>
      </c>
      <c r="L68" s="88">
        <f t="shared" si="10"/>
        <v>9.3457943925233641E-2</v>
      </c>
      <c r="M68" s="88">
        <f t="shared" si="10"/>
        <v>9.3457943925233641E-2</v>
      </c>
      <c r="N68" s="88">
        <f t="shared" si="10"/>
        <v>0.12195121951219512</v>
      </c>
      <c r="O68" s="88">
        <f t="shared" si="10"/>
        <v>0.12195121951219512</v>
      </c>
      <c r="P68" s="88">
        <f t="shared" si="10"/>
        <v>0.12195121951219512</v>
      </c>
      <c r="Q68" s="88">
        <f t="shared" si="10"/>
        <v>0.12195121951219512</v>
      </c>
      <c r="R68" s="88">
        <f t="shared" si="10"/>
        <v>0.12195121951219512</v>
      </c>
      <c r="S68" s="88">
        <f t="shared" si="10"/>
        <v>0.12195121951219512</v>
      </c>
      <c r="T68" s="88">
        <f t="shared" si="10"/>
        <v>0.12195121951219512</v>
      </c>
      <c r="U68" s="88">
        <f t="shared" si="10"/>
        <v>0.12195121951219512</v>
      </c>
      <c r="V68" s="88">
        <f t="shared" si="10"/>
        <v>0.12195121951219512</v>
      </c>
      <c r="W68" s="88">
        <f t="shared" si="10"/>
        <v>0.12195121951219512</v>
      </c>
      <c r="X68" s="88">
        <f t="shared" si="10"/>
        <v>0.12195121951219512</v>
      </c>
    </row>
    <row r="69" spans="2:24" ht="15.75" thickBot="1" x14ac:dyDescent="0.3">
      <c r="B69" s="71" t="s">
        <v>96</v>
      </c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72"/>
      <c r="X69" s="72"/>
    </row>
    <row r="70" spans="2:24" x14ac:dyDescent="0.25">
      <c r="B70" s="96" t="s">
        <v>97</v>
      </c>
      <c r="C70" s="89">
        <f>IF(C53&lt;=2,C67/C56*(1+C68*C60)*C54,IF(OR(C51=6,C51="5a",C51="3a"),C66*C48^2/17,(IF(OR(C51="2a",C51=4,C51="5b"),C66*C48^2/12,IF(OR(C51=1,C51="2b",C51="3b"),C66*C48^2/8)))))</f>
        <v>920.25618221258128</v>
      </c>
      <c r="D70" s="89">
        <f t="shared" ref="D70:X70" si="11">IF(D53&lt;=2,D67/D56*(1+D68*D60)*D54,IF(OR(D51=6,D51="5a",D51="3a"),D66*D48^2/17,(IF(OR(D51="2a",D51=4,D51="5b"),D66*D48^2/12,IF(OR(D51=1,D51="2b",D51="3b"),D66*D48^2/8)))))</f>
        <v>382.94930973451329</v>
      </c>
      <c r="E70" s="89">
        <f t="shared" si="11"/>
        <v>382.94930973451329</v>
      </c>
      <c r="F70" s="89">
        <f t="shared" si="11"/>
        <v>728.41134551569496</v>
      </c>
      <c r="G70" s="89">
        <f t="shared" si="11"/>
        <v>567.10080000000005</v>
      </c>
      <c r="H70" s="89">
        <f t="shared" si="11"/>
        <v>319.93836291913209</v>
      </c>
      <c r="I70" s="89">
        <f t="shared" si="11"/>
        <v>258.93168000000003</v>
      </c>
      <c r="J70" s="89">
        <f t="shared" si="11"/>
        <v>160.25882352941176</v>
      </c>
      <c r="K70" s="89">
        <f t="shared" si="11"/>
        <v>687.64117647058822</v>
      </c>
      <c r="L70" s="89">
        <f t="shared" si="11"/>
        <v>319.93836291913209</v>
      </c>
      <c r="M70" s="89">
        <f t="shared" si="11"/>
        <v>528.80520000000013</v>
      </c>
      <c r="N70" s="89">
        <f t="shared" si="11"/>
        <v>233.71025</v>
      </c>
      <c r="O70" s="89">
        <f t="shared" si="11"/>
        <v>233.71025</v>
      </c>
      <c r="P70" s="89">
        <f t="shared" si="11"/>
        <v>233.71025</v>
      </c>
      <c r="Q70" s="89">
        <f t="shared" si="11"/>
        <v>233.71025</v>
      </c>
      <c r="R70" s="89">
        <f t="shared" si="11"/>
        <v>110.86400000000002</v>
      </c>
      <c r="S70" s="89">
        <f t="shared" si="11"/>
        <v>110.86400000000002</v>
      </c>
      <c r="T70" s="89">
        <f t="shared" si="11"/>
        <v>184.04900000000001</v>
      </c>
      <c r="U70" s="89">
        <f t="shared" si="11"/>
        <v>184.04900000000001</v>
      </c>
      <c r="V70" s="89">
        <f t="shared" si="11"/>
        <v>56.128999999999998</v>
      </c>
      <c r="W70" s="89">
        <f t="shared" si="11"/>
        <v>50.224999999999994</v>
      </c>
      <c r="X70" s="89">
        <f t="shared" si="11"/>
        <v>265.05382978723401</v>
      </c>
    </row>
    <row r="71" spans="2:24" x14ac:dyDescent="0.25">
      <c r="B71" s="97" t="s">
        <v>15</v>
      </c>
      <c r="C71" s="90">
        <f>C70/(0.9*(0.9*($C$7/100))*($L$9*1000))</f>
        <v>1.8960593182114858</v>
      </c>
      <c r="D71" s="90">
        <f t="shared" ref="D71:X71" si="12">D70/(0.9*(0.9*($C$7/100))*($L$9*1000))</f>
        <v>0.78901356074460016</v>
      </c>
      <c r="E71" s="90">
        <f t="shared" si="12"/>
        <v>0.78901356074460016</v>
      </c>
      <c r="F71" s="90">
        <f t="shared" si="12"/>
        <v>1.500789829887782</v>
      </c>
      <c r="G71" s="90">
        <f t="shared" si="12"/>
        <v>1.1684319833852541</v>
      </c>
      <c r="H71" s="90">
        <f t="shared" si="12"/>
        <v>0.65918830646444637</v>
      </c>
      <c r="I71" s="90">
        <f t="shared" si="12"/>
        <v>0.53349255797853923</v>
      </c>
      <c r="J71" s="90">
        <f t="shared" si="12"/>
        <v>0.33019092025872299</v>
      </c>
      <c r="K71" s="90">
        <f t="shared" si="12"/>
        <v>1.4167885915182961</v>
      </c>
      <c r="L71" s="90">
        <f t="shared" si="12"/>
        <v>0.65918830646444637</v>
      </c>
      <c r="M71" s="90">
        <f t="shared" si="12"/>
        <v>1.0895292488750432</v>
      </c>
      <c r="N71" s="90">
        <f t="shared" si="12"/>
        <v>0.48152732449850816</v>
      </c>
      <c r="O71" s="90">
        <f t="shared" si="12"/>
        <v>0.48152732449850816</v>
      </c>
      <c r="P71" s="90">
        <f t="shared" si="12"/>
        <v>0.48152732449850816</v>
      </c>
      <c r="Q71" s="90">
        <f t="shared" si="12"/>
        <v>0.48152732449850816</v>
      </c>
      <c r="R71" s="90">
        <f t="shared" si="12"/>
        <v>0.22841978605218477</v>
      </c>
      <c r="S71" s="90">
        <f t="shared" si="12"/>
        <v>0.22841978605218477</v>
      </c>
      <c r="T71" s="90">
        <f t="shared" si="12"/>
        <v>0.37920725576488806</v>
      </c>
      <c r="U71" s="90">
        <f t="shared" si="12"/>
        <v>0.37920725576488806</v>
      </c>
      <c r="V71" s="90">
        <f t="shared" si="12"/>
        <v>0.11564596416621335</v>
      </c>
      <c r="W71" s="90">
        <f t="shared" si="12"/>
        <v>0.10348159686165913</v>
      </c>
      <c r="X71" s="90">
        <f t="shared" si="12"/>
        <v>0.54610639244761316</v>
      </c>
    </row>
    <row r="72" spans="2:24" x14ac:dyDescent="0.25">
      <c r="B72" s="97" t="s">
        <v>98</v>
      </c>
      <c r="C72" s="92">
        <f>(C71*($L$9))/(0.85*$L$6*100)</f>
        <v>3.1200053371569236E-2</v>
      </c>
      <c r="D72" s="92">
        <f t="shared" ref="D72:X72" si="13">(D71*($L$9))/(0.85*$L$6*100)</f>
        <v>1.2983383467846553E-2</v>
      </c>
      <c r="E72" s="92">
        <f t="shared" si="13"/>
        <v>1.2983383467846553E-2</v>
      </c>
      <c r="F72" s="92">
        <f t="shared" si="13"/>
        <v>2.469581111849176E-2</v>
      </c>
      <c r="G72" s="92">
        <f t="shared" si="13"/>
        <v>1.9226793113759657E-2</v>
      </c>
      <c r="H72" s="92">
        <f t="shared" si="13"/>
        <v>1.0847081705758672E-2</v>
      </c>
      <c r="I72" s="92">
        <f t="shared" si="13"/>
        <v>8.7787318267902644E-3</v>
      </c>
      <c r="J72" s="92">
        <f t="shared" si="13"/>
        <v>5.4333607793438463E-3</v>
      </c>
      <c r="K72" s="92">
        <f t="shared" si="13"/>
        <v>2.3313553139939665E-2</v>
      </c>
      <c r="L72" s="92">
        <f t="shared" si="13"/>
        <v>1.0847081705758672E-2</v>
      </c>
      <c r="M72" s="92">
        <f t="shared" si="13"/>
        <v>1.7928432084525891E-2</v>
      </c>
      <c r="N72" s="92">
        <f t="shared" si="13"/>
        <v>7.923633021351845E-3</v>
      </c>
      <c r="O72" s="92">
        <f t="shared" si="13"/>
        <v>7.923633021351845E-3</v>
      </c>
      <c r="P72" s="92">
        <f t="shared" si="13"/>
        <v>7.923633021351845E-3</v>
      </c>
      <c r="Q72" s="92">
        <f t="shared" si="13"/>
        <v>7.923633021351845E-3</v>
      </c>
      <c r="R72" s="92">
        <f t="shared" si="13"/>
        <v>3.7586954413815869E-3</v>
      </c>
      <c r="S72" s="92">
        <f t="shared" si="13"/>
        <v>3.7586954413815869E-3</v>
      </c>
      <c r="T72" s="92">
        <f t="shared" si="13"/>
        <v>6.2399348507255707E-3</v>
      </c>
      <c r="U72" s="92">
        <f t="shared" si="13"/>
        <v>6.2399348507255707E-3</v>
      </c>
      <c r="V72" s="92">
        <f t="shared" si="13"/>
        <v>1.902978572208355E-3</v>
      </c>
      <c r="W72" s="92">
        <f t="shared" si="13"/>
        <v>1.7028113593537141E-3</v>
      </c>
      <c r="X72" s="92">
        <f t="shared" si="13"/>
        <v>8.9862951160160874E-3</v>
      </c>
    </row>
    <row r="73" spans="2:24" ht="15.75" thickBot="1" x14ac:dyDescent="0.3">
      <c r="B73" s="97" t="s">
        <v>15</v>
      </c>
      <c r="C73" s="76">
        <f>ROUNDUP(C70/(0.9*(($C$7-C72/2)/100)*($L$9*1000)),2)</f>
        <v>1.71</v>
      </c>
      <c r="D73" s="76">
        <f t="shared" ref="D73:X73" si="14">ROUNDUP(D70/(0.9*(($C$7-D72/2)/100)*($L$9*1000)),2)</f>
        <v>0.72</v>
      </c>
      <c r="E73" s="76">
        <f t="shared" si="14"/>
        <v>0.72</v>
      </c>
      <c r="F73" s="76">
        <f t="shared" si="14"/>
        <v>1.36</v>
      </c>
      <c r="G73" s="76">
        <f t="shared" si="14"/>
        <v>1.06</v>
      </c>
      <c r="H73" s="76">
        <f t="shared" si="14"/>
        <v>0.6</v>
      </c>
      <c r="I73" s="76">
        <f t="shared" si="14"/>
        <v>0.49</v>
      </c>
      <c r="J73" s="76">
        <f t="shared" si="14"/>
        <v>0.3</v>
      </c>
      <c r="K73" s="76">
        <f t="shared" si="14"/>
        <v>1.28</v>
      </c>
      <c r="L73" s="76">
        <f t="shared" si="14"/>
        <v>0.6</v>
      </c>
      <c r="M73" s="76">
        <f t="shared" si="14"/>
        <v>0.99</v>
      </c>
      <c r="N73" s="76">
        <f t="shared" si="14"/>
        <v>0.44</v>
      </c>
      <c r="O73" s="76">
        <f t="shared" si="14"/>
        <v>0.44</v>
      </c>
      <c r="P73" s="76">
        <f t="shared" si="14"/>
        <v>0.44</v>
      </c>
      <c r="Q73" s="76">
        <f t="shared" si="14"/>
        <v>0.44</v>
      </c>
      <c r="R73" s="76">
        <f t="shared" si="14"/>
        <v>0.21000000000000002</v>
      </c>
      <c r="S73" s="76">
        <f t="shared" si="14"/>
        <v>0.21000000000000002</v>
      </c>
      <c r="T73" s="76">
        <f t="shared" si="14"/>
        <v>0.35000000000000003</v>
      </c>
      <c r="U73" s="76">
        <f t="shared" si="14"/>
        <v>0.35000000000000003</v>
      </c>
      <c r="V73" s="76">
        <f t="shared" si="14"/>
        <v>0.11</v>
      </c>
      <c r="W73" s="76">
        <f t="shared" si="14"/>
        <v>9.9999999999999992E-2</v>
      </c>
      <c r="X73" s="76">
        <f t="shared" si="14"/>
        <v>0.5</v>
      </c>
    </row>
    <row r="74" spans="2:24" ht="16.5" thickBot="1" x14ac:dyDescent="0.3">
      <c r="B74" s="61" t="s">
        <v>100</v>
      </c>
      <c r="C74" s="134" t="str">
        <f>IF(C73&gt;$C$12,"$\phi"&amp;IF(VLOOKUP(VLOOKUP(C73,tablas!$R$3:$T$66,2,TRUE)&amp;VLOOKUP(C73,tablas!$R$3:$T$66,3,TRUE),tablas!$Q$3:$R$66,2,FALSE)&lt;C73,VLOOKUP(C73+0.1,tablas!$R$3:$T$66,2,TRUE),VLOOKUP(C73,tablas!$R$3:$T$66,2,TRUE))&amp;"@"&amp;IF(VLOOKUP(VLOOKUP(C73,tablas!$R$3:$T$66,2,TRUE)&amp;VLOOKUP(C73,tablas!$R$3:$T$66,3,TRUE),tablas!$Q$3:$R$66,2,FALSE)&lt;C73,VLOOKUP(C73+0.1,tablas!$R$3:$T$66,3,TRUE),VLOOKUP(C73,tablas!$R$3:$T$66,3,TRUE))&amp;"$",$C$13)</f>
        <v>$\phi8@17$</v>
      </c>
      <c r="D74" s="134" t="str">
        <f>IF(D73&gt;$C$12,"$\phi"&amp;IF(VLOOKUP(VLOOKUP(D73,tablas!$R$3:$T$66,2,TRUE)&amp;VLOOKUP(D73,tablas!$R$3:$T$66,3,TRUE),tablas!$Q$3:$R$66,2,FALSE)&lt;D73,VLOOKUP(D73+0.1,tablas!$R$3:$T$66,2,TRUE),VLOOKUP(D73,tablas!$R$3:$T$66,2,TRUE))&amp;"@"&amp;IF(VLOOKUP(VLOOKUP(D73,tablas!$R$3:$T$66,2,TRUE)&amp;VLOOKUP(D73,tablas!$R$3:$T$66,3,TRUE),tablas!$Q$3:$R$66,2,FALSE)&lt;D73,VLOOKUP(D73+0.1,tablas!$R$3:$T$66,3,TRUE),VLOOKUP(D73,tablas!$R$3:$T$66,3,TRUE))&amp;"$",$C$13)</f>
        <v>$\phi8@17$</v>
      </c>
      <c r="E74" s="134" t="str">
        <f>IF(E73&gt;$C$12,"$\phi"&amp;IF(VLOOKUP(VLOOKUP(E73,tablas!$R$3:$T$66,2,TRUE)&amp;VLOOKUP(E73,tablas!$R$3:$T$66,3,TRUE),tablas!$Q$3:$R$66,2,FALSE)&lt;E73,VLOOKUP(E73+0.1,tablas!$R$3:$T$66,2,TRUE),VLOOKUP(E73,tablas!$R$3:$T$66,2,TRUE))&amp;"@"&amp;IF(VLOOKUP(VLOOKUP(E73,tablas!$R$3:$T$66,2,TRUE)&amp;VLOOKUP(E73,tablas!$R$3:$T$66,3,TRUE),tablas!$Q$3:$R$66,2,FALSE)&lt;E73,VLOOKUP(E73+0.1,tablas!$R$3:$T$66,3,TRUE),VLOOKUP(E73,tablas!$R$3:$T$66,3,TRUE))&amp;"$",$C$13)</f>
        <v>$\phi8@17$</v>
      </c>
      <c r="F74" s="134" t="str">
        <f>IF(F73&gt;$C$12,"$\phi"&amp;IF(VLOOKUP(VLOOKUP(F73,tablas!$R$3:$T$66,2,TRUE)&amp;VLOOKUP(F73,tablas!$R$3:$T$66,3,TRUE),tablas!$Q$3:$R$66,2,FALSE)&lt;F73,VLOOKUP(F73+0.1,tablas!$R$3:$T$66,2,TRUE),VLOOKUP(F73,tablas!$R$3:$T$66,2,TRUE))&amp;"@"&amp;IF(VLOOKUP(VLOOKUP(F73,tablas!$R$3:$T$66,2,TRUE)&amp;VLOOKUP(F73,tablas!$R$3:$T$66,3,TRUE),tablas!$Q$3:$R$66,2,FALSE)&lt;F73,VLOOKUP(F73+0.1,tablas!$R$3:$T$66,3,TRUE),VLOOKUP(F73,tablas!$R$3:$T$66,3,TRUE))&amp;"$",$C$13)</f>
        <v>$\phi8@17$</v>
      </c>
      <c r="G74" s="134" t="str">
        <f>IF(G73&gt;$C$12,"$\phi"&amp;IF(VLOOKUP(VLOOKUP(G73,tablas!$R$3:$T$66,2,TRUE)&amp;VLOOKUP(G73,tablas!$R$3:$T$66,3,TRUE),tablas!$Q$3:$R$66,2,FALSE)&lt;G73,VLOOKUP(G73+0.1,tablas!$R$3:$T$66,2,TRUE),VLOOKUP(G73,tablas!$R$3:$T$66,2,TRUE))&amp;"@"&amp;IF(VLOOKUP(VLOOKUP(G73,tablas!$R$3:$T$66,2,TRUE)&amp;VLOOKUP(G73,tablas!$R$3:$T$66,3,TRUE),tablas!$Q$3:$R$66,2,FALSE)&lt;G73,VLOOKUP(G73+0.1,tablas!$R$3:$T$66,3,TRUE),VLOOKUP(G73,tablas!$R$3:$T$66,3,TRUE))&amp;"$",$C$13)</f>
        <v>$\phi8@17$</v>
      </c>
      <c r="H74" s="134" t="str">
        <f>IF(H73&gt;$C$12,"$\phi"&amp;IF(VLOOKUP(VLOOKUP(H73,tablas!$R$3:$T$66,2,TRUE)&amp;VLOOKUP(H73,tablas!$R$3:$T$66,3,TRUE),tablas!$Q$3:$R$66,2,FALSE)&lt;H73,VLOOKUP(H73+0.1,tablas!$R$3:$T$66,2,TRUE),VLOOKUP(H73,tablas!$R$3:$T$66,2,TRUE))&amp;"@"&amp;IF(VLOOKUP(VLOOKUP(H73,tablas!$R$3:$T$66,2,TRUE)&amp;VLOOKUP(H73,tablas!$R$3:$T$66,3,TRUE),tablas!$Q$3:$R$66,2,FALSE)&lt;H73,VLOOKUP(H73+0.1,tablas!$R$3:$T$66,3,TRUE),VLOOKUP(H73,tablas!$R$3:$T$66,3,TRUE))&amp;"$",$C$13)</f>
        <v>$\phi8@17$</v>
      </c>
      <c r="I74" s="134" t="str">
        <f>IF(I73&gt;$C$12,"$\phi"&amp;IF(VLOOKUP(VLOOKUP(I73,tablas!$R$3:$T$66,2,TRUE)&amp;VLOOKUP(I73,tablas!$R$3:$T$66,3,TRUE),tablas!$Q$3:$R$66,2,FALSE)&lt;I73,VLOOKUP(I73+0.1,tablas!$R$3:$T$66,2,TRUE),VLOOKUP(I73,tablas!$R$3:$T$66,2,TRUE))&amp;"@"&amp;IF(VLOOKUP(VLOOKUP(I73,tablas!$R$3:$T$66,2,TRUE)&amp;VLOOKUP(I73,tablas!$R$3:$T$66,3,TRUE),tablas!$Q$3:$R$66,2,FALSE)&lt;I73,VLOOKUP(I73+0.1,tablas!$R$3:$T$66,3,TRUE),VLOOKUP(I73,tablas!$R$3:$T$66,3,TRUE))&amp;"$",$C$13)</f>
        <v>$\phi8@17$</v>
      </c>
      <c r="J74" s="134" t="str">
        <f>IF(J73&gt;$C$12,"$\phi"&amp;IF(VLOOKUP(VLOOKUP(J73,tablas!$R$3:$T$66,2,TRUE)&amp;VLOOKUP(J73,tablas!$R$3:$T$66,3,TRUE),tablas!$Q$3:$R$66,2,FALSE)&lt;J73,VLOOKUP(J73+0.1,tablas!$R$3:$T$66,2,TRUE),VLOOKUP(J73,tablas!$R$3:$T$66,2,TRUE))&amp;"@"&amp;IF(VLOOKUP(VLOOKUP(J73,tablas!$R$3:$T$66,2,TRUE)&amp;VLOOKUP(J73,tablas!$R$3:$T$66,3,TRUE),tablas!$Q$3:$R$66,2,FALSE)&lt;J73,VLOOKUP(J73+0.1,tablas!$R$3:$T$66,3,TRUE),VLOOKUP(J73,tablas!$R$3:$T$66,3,TRUE))&amp;"$",$C$13)</f>
        <v>$\phi8@17$</v>
      </c>
      <c r="K74" s="134" t="str">
        <f>IF(K73&gt;$C$12,"$\phi"&amp;IF(VLOOKUP(VLOOKUP(K73,tablas!$R$3:$T$66,2,TRUE)&amp;VLOOKUP(K73,tablas!$R$3:$T$66,3,TRUE),tablas!$Q$3:$R$66,2,FALSE)&lt;K73,VLOOKUP(K73+0.1,tablas!$R$3:$T$66,2,TRUE),VLOOKUP(K73,tablas!$R$3:$T$66,2,TRUE))&amp;"@"&amp;IF(VLOOKUP(VLOOKUP(K73,tablas!$R$3:$T$66,2,TRUE)&amp;VLOOKUP(K73,tablas!$R$3:$T$66,3,TRUE),tablas!$Q$3:$R$66,2,FALSE)&lt;K73,VLOOKUP(K73+0.1,tablas!$R$3:$T$66,3,TRUE),VLOOKUP(K73,tablas!$R$3:$T$66,3,TRUE))&amp;"$",$C$13)</f>
        <v>$\phi8@17$</v>
      </c>
      <c r="L74" s="134" t="str">
        <f>IF(L73&gt;$C$12,"$\phi"&amp;IF(VLOOKUP(VLOOKUP(L73,tablas!$R$3:$T$66,2,TRUE)&amp;VLOOKUP(L73,tablas!$R$3:$T$66,3,TRUE),tablas!$Q$3:$R$66,2,FALSE)&lt;L73,VLOOKUP(L73+0.1,tablas!$R$3:$T$66,2,TRUE),VLOOKUP(L73,tablas!$R$3:$T$66,2,TRUE))&amp;"@"&amp;IF(VLOOKUP(VLOOKUP(L73,tablas!$R$3:$T$66,2,TRUE)&amp;VLOOKUP(L73,tablas!$R$3:$T$66,3,TRUE),tablas!$Q$3:$R$66,2,FALSE)&lt;L73,VLOOKUP(L73+0.1,tablas!$R$3:$T$66,3,TRUE),VLOOKUP(L73,tablas!$R$3:$T$66,3,TRUE))&amp;"$",$C$13)</f>
        <v>$\phi8@17$</v>
      </c>
      <c r="M74" s="134" t="str">
        <f>IF(M73&gt;$C$12,"$\phi"&amp;IF(VLOOKUP(VLOOKUP(M73,tablas!$R$3:$T$66,2,TRUE)&amp;VLOOKUP(M73,tablas!$R$3:$T$66,3,TRUE),tablas!$Q$3:$R$66,2,FALSE)&lt;M73,VLOOKUP(M73+0.1,tablas!$R$3:$T$66,2,TRUE),VLOOKUP(M73,tablas!$R$3:$T$66,2,TRUE))&amp;"@"&amp;IF(VLOOKUP(VLOOKUP(M73,tablas!$R$3:$T$66,2,TRUE)&amp;VLOOKUP(M73,tablas!$R$3:$T$66,3,TRUE),tablas!$Q$3:$R$66,2,FALSE)&lt;M73,VLOOKUP(M73+0.1,tablas!$R$3:$T$66,3,TRUE),VLOOKUP(M73,tablas!$R$3:$T$66,3,TRUE))&amp;"$",$C$13)</f>
        <v>$\phi8@17$</v>
      </c>
      <c r="N74" s="134" t="str">
        <f>IF(N73&gt;$C$12,"$\phi"&amp;IF(VLOOKUP(VLOOKUP(N73,tablas!$R$3:$T$66,2,TRUE)&amp;VLOOKUP(N73,tablas!$R$3:$T$66,3,TRUE),tablas!$Q$3:$R$66,2,FALSE)&lt;N73,VLOOKUP(N73+0.1,tablas!$R$3:$T$66,2,TRUE),VLOOKUP(N73,tablas!$R$3:$T$66,2,TRUE))&amp;"@"&amp;IF(VLOOKUP(VLOOKUP(N73,tablas!$R$3:$T$66,2,TRUE)&amp;VLOOKUP(N73,tablas!$R$3:$T$66,3,TRUE),tablas!$Q$3:$R$66,2,FALSE)&lt;N73,VLOOKUP(N73+0.1,tablas!$R$3:$T$66,3,TRUE),VLOOKUP(N73,tablas!$R$3:$T$66,3,TRUE))&amp;"$",$C$13)</f>
        <v>$\phi8@17$</v>
      </c>
      <c r="O74" s="134" t="str">
        <f>IF(O73&gt;$C$12,"$\phi"&amp;IF(VLOOKUP(VLOOKUP(O73,tablas!$R$3:$T$66,2,TRUE)&amp;VLOOKUP(O73,tablas!$R$3:$T$66,3,TRUE),tablas!$Q$3:$R$66,2,FALSE)&lt;O73,VLOOKUP(O73+0.1,tablas!$R$3:$T$66,2,TRUE),VLOOKUP(O73,tablas!$R$3:$T$66,2,TRUE))&amp;"@"&amp;IF(VLOOKUP(VLOOKUP(O73,tablas!$R$3:$T$66,2,TRUE)&amp;VLOOKUP(O73,tablas!$R$3:$T$66,3,TRUE),tablas!$Q$3:$R$66,2,FALSE)&lt;O73,VLOOKUP(O73+0.1,tablas!$R$3:$T$66,3,TRUE),VLOOKUP(O73,tablas!$R$3:$T$66,3,TRUE))&amp;"$",$C$13)</f>
        <v>$\phi8@17$</v>
      </c>
      <c r="P74" s="134" t="str">
        <f>IF(P73&gt;$C$12,"$\phi"&amp;IF(VLOOKUP(VLOOKUP(P73,tablas!$R$3:$T$66,2,TRUE)&amp;VLOOKUP(P73,tablas!$R$3:$T$66,3,TRUE),tablas!$Q$3:$R$66,2,FALSE)&lt;P73,VLOOKUP(P73+0.1,tablas!$R$3:$T$66,2,TRUE),VLOOKUP(P73,tablas!$R$3:$T$66,2,TRUE))&amp;"@"&amp;IF(VLOOKUP(VLOOKUP(P73,tablas!$R$3:$T$66,2,TRUE)&amp;VLOOKUP(P73,tablas!$R$3:$T$66,3,TRUE),tablas!$Q$3:$R$66,2,FALSE)&lt;P73,VLOOKUP(P73+0.1,tablas!$R$3:$T$66,3,TRUE),VLOOKUP(P73,tablas!$R$3:$T$66,3,TRUE))&amp;"$",$C$13)</f>
        <v>$\phi8@17$</v>
      </c>
      <c r="Q74" s="134" t="str">
        <f>IF(Q73&gt;$C$12,"$\phi"&amp;IF(VLOOKUP(VLOOKUP(Q73,tablas!$R$3:$T$66,2,TRUE)&amp;VLOOKUP(Q73,tablas!$R$3:$T$66,3,TRUE),tablas!$Q$3:$R$66,2,FALSE)&lt;Q73,VLOOKUP(Q73+0.1,tablas!$R$3:$T$66,2,TRUE),VLOOKUP(Q73,tablas!$R$3:$T$66,2,TRUE))&amp;"@"&amp;IF(VLOOKUP(VLOOKUP(Q73,tablas!$R$3:$T$66,2,TRUE)&amp;VLOOKUP(Q73,tablas!$R$3:$T$66,3,TRUE),tablas!$Q$3:$R$66,2,FALSE)&lt;Q73,VLOOKUP(Q73+0.1,tablas!$R$3:$T$66,3,TRUE),VLOOKUP(Q73,tablas!$R$3:$T$66,3,TRUE))&amp;"$",$C$13)</f>
        <v>$\phi8@17$</v>
      </c>
      <c r="R74" s="134" t="str">
        <f>IF(R73&gt;$C$12,"$\phi"&amp;IF(VLOOKUP(VLOOKUP(R73,tablas!$R$3:$T$66,2,TRUE)&amp;VLOOKUP(R73,tablas!$R$3:$T$66,3,TRUE),tablas!$Q$3:$R$66,2,FALSE)&lt;R73,VLOOKUP(R73+0.1,tablas!$R$3:$T$66,2,TRUE),VLOOKUP(R73,tablas!$R$3:$T$66,2,TRUE))&amp;"@"&amp;IF(VLOOKUP(VLOOKUP(R73,tablas!$R$3:$T$66,2,TRUE)&amp;VLOOKUP(R73,tablas!$R$3:$T$66,3,TRUE),tablas!$Q$3:$R$66,2,FALSE)&lt;R73,VLOOKUP(R73+0.1,tablas!$R$3:$T$66,3,TRUE),VLOOKUP(R73,tablas!$R$3:$T$66,3,TRUE))&amp;"$",$C$13)</f>
        <v>$\phi8@17$</v>
      </c>
      <c r="S74" s="134" t="str">
        <f>IF(S73&gt;$C$12,"$\phi"&amp;IF(VLOOKUP(VLOOKUP(S73,tablas!$R$3:$T$66,2,TRUE)&amp;VLOOKUP(S73,tablas!$R$3:$T$66,3,TRUE),tablas!$Q$3:$R$66,2,FALSE)&lt;S73,VLOOKUP(S73+0.1,tablas!$R$3:$T$66,2,TRUE),VLOOKUP(S73,tablas!$R$3:$T$66,2,TRUE))&amp;"@"&amp;IF(VLOOKUP(VLOOKUP(S73,tablas!$R$3:$T$66,2,TRUE)&amp;VLOOKUP(S73,tablas!$R$3:$T$66,3,TRUE),tablas!$Q$3:$R$66,2,FALSE)&lt;S73,VLOOKUP(S73+0.1,tablas!$R$3:$T$66,3,TRUE),VLOOKUP(S73,tablas!$R$3:$T$66,3,TRUE))&amp;"$",$C$13)</f>
        <v>$\phi8@17$</v>
      </c>
      <c r="T74" s="134" t="str">
        <f>IF(T73&gt;$C$12,"$\phi"&amp;IF(VLOOKUP(VLOOKUP(T73,tablas!$R$3:$T$66,2,TRUE)&amp;VLOOKUP(T73,tablas!$R$3:$T$66,3,TRUE),tablas!$Q$3:$R$66,2,FALSE)&lt;T73,VLOOKUP(T73+0.1,tablas!$R$3:$T$66,2,TRUE),VLOOKUP(T73,tablas!$R$3:$T$66,2,TRUE))&amp;"@"&amp;IF(VLOOKUP(VLOOKUP(T73,tablas!$R$3:$T$66,2,TRUE)&amp;VLOOKUP(T73,tablas!$R$3:$T$66,3,TRUE),tablas!$Q$3:$R$66,2,FALSE)&lt;T73,VLOOKUP(T73+0.1,tablas!$R$3:$T$66,3,TRUE),VLOOKUP(T73,tablas!$R$3:$T$66,3,TRUE))&amp;"$",$C$13)</f>
        <v>$\phi8@17$</v>
      </c>
      <c r="U74" s="134" t="str">
        <f>IF(U73&gt;$C$12,"$\phi"&amp;IF(VLOOKUP(VLOOKUP(U73,tablas!$R$3:$T$66,2,TRUE)&amp;VLOOKUP(U73,tablas!$R$3:$T$66,3,TRUE),tablas!$Q$3:$R$66,2,FALSE)&lt;U73,VLOOKUP(U73+0.1,tablas!$R$3:$T$66,2,TRUE),VLOOKUP(U73,tablas!$R$3:$T$66,2,TRUE))&amp;"@"&amp;IF(VLOOKUP(VLOOKUP(U73,tablas!$R$3:$T$66,2,TRUE)&amp;VLOOKUP(U73,tablas!$R$3:$T$66,3,TRUE),tablas!$Q$3:$R$66,2,FALSE)&lt;U73,VLOOKUP(U73+0.1,tablas!$R$3:$T$66,3,TRUE),VLOOKUP(U73,tablas!$R$3:$T$66,3,TRUE))&amp;"$",$C$13)</f>
        <v>$\phi8@17$</v>
      </c>
      <c r="V74" s="134" t="str">
        <f>IF(V73&gt;$C$12,"$\phi"&amp;IF(VLOOKUP(VLOOKUP(V73,tablas!$R$3:$T$66,2,TRUE)&amp;VLOOKUP(V73,tablas!$R$3:$T$66,3,TRUE),tablas!$Q$3:$R$66,2,FALSE)&lt;V73,VLOOKUP(V73+0.1,tablas!$R$3:$T$66,2,TRUE),VLOOKUP(V73,tablas!$R$3:$T$66,2,TRUE))&amp;"@"&amp;IF(VLOOKUP(VLOOKUP(V73,tablas!$R$3:$T$66,2,TRUE)&amp;VLOOKUP(V73,tablas!$R$3:$T$66,3,TRUE),tablas!$Q$3:$R$66,2,FALSE)&lt;V73,VLOOKUP(V73+0.1,tablas!$R$3:$T$66,3,TRUE),VLOOKUP(V73,tablas!$R$3:$T$66,3,TRUE))&amp;"$",$C$13)</f>
        <v>$\phi8@17$</v>
      </c>
      <c r="W74" s="134" t="str">
        <f>IF(W73&gt;$C$12,"$\phi"&amp;IF(VLOOKUP(VLOOKUP(W73,tablas!$R$3:$T$66,2,TRUE)&amp;VLOOKUP(W73,tablas!$R$3:$T$66,3,TRUE),tablas!$Q$3:$R$66,2,FALSE)&lt;W73,VLOOKUP(W73+0.1,tablas!$R$3:$T$66,2,TRUE),VLOOKUP(W73,tablas!$R$3:$T$66,2,TRUE))&amp;"@"&amp;IF(VLOOKUP(VLOOKUP(W73,tablas!$R$3:$T$66,2,TRUE)&amp;VLOOKUP(W73,tablas!$R$3:$T$66,3,TRUE),tablas!$Q$3:$R$66,2,FALSE)&lt;W73,VLOOKUP(W73+0.1,tablas!$R$3:$T$66,3,TRUE),VLOOKUP(W73,tablas!$R$3:$T$66,3,TRUE))&amp;"$",$C$13)</f>
        <v>$\phi8@17$</v>
      </c>
      <c r="X74" s="134" t="str">
        <f>IF(X73&gt;$C$12,"$\phi"&amp;IF(VLOOKUP(VLOOKUP(X73,tablas!$R$3:$T$66,2,TRUE)&amp;VLOOKUP(X73,tablas!$R$3:$T$66,3,TRUE),tablas!$Q$3:$R$66,2,FALSE)&lt;X73,VLOOKUP(X73+0.1,tablas!$R$3:$T$66,2,TRUE),VLOOKUP(X73,tablas!$R$3:$T$66,2,TRUE))&amp;"@"&amp;IF(VLOOKUP(VLOOKUP(X73,tablas!$R$3:$T$66,2,TRUE)&amp;VLOOKUP(X73,tablas!$R$3:$T$66,3,TRUE),tablas!$Q$3:$R$66,2,FALSE)&lt;X73,VLOOKUP(X73+0.1,tablas!$R$3:$T$66,3,TRUE),VLOOKUP(X73,tablas!$R$3:$T$66,3,TRUE))&amp;"$",$C$13)</f>
        <v>$\phi8@17$</v>
      </c>
    </row>
    <row r="75" spans="2:24" x14ac:dyDescent="0.25">
      <c r="B75" s="96" t="s">
        <v>102</v>
      </c>
      <c r="C75" s="89">
        <f>IF(C53&lt;=2,C67/C57*(1+C68*C61)*C54,"0")</f>
        <v>260.26877300613495</v>
      </c>
      <c r="D75" s="89">
        <f>IF(D53&lt;=2,D67/D57*(1+D68*D61)*D54,"0")</f>
        <v>181.05971548117157</v>
      </c>
      <c r="E75" s="89">
        <f>IF(E53&lt;=2,E67/E57*(1+E68*E61)*E54,"0")</f>
        <v>181.05971548117157</v>
      </c>
      <c r="F75" s="89">
        <f>IF(F53&lt;=2,F67/F57*(1+F68*F61)*F54,"0")</f>
        <v>278.62046320754717</v>
      </c>
      <c r="G75" s="89">
        <f>IF(G53&lt;=2,G67/G57*(1+G68*G61)*G54,"0")</f>
        <v>339.2542174904944</v>
      </c>
      <c r="H75" s="89">
        <f>IF(H53&lt;=2,H67/H57*(1+H68*H61)*H54,"0")</f>
        <v>244.65874811463047</v>
      </c>
      <c r="I75" s="89">
        <f>IF(I53&lt;=2,I67/I57*(1+I68*I61)*I54,"0")</f>
        <v>46.683</v>
      </c>
      <c r="J75" s="89" t="str">
        <f>IF(J53&lt;=2,J67/J57*(1+J68*J61)*J54,"0")</f>
        <v>0</v>
      </c>
      <c r="K75" s="89" t="str">
        <f>IF(K53&lt;=2,K67/K57*(1+K68*K61)*K54,"0")</f>
        <v>0</v>
      </c>
      <c r="L75" s="89">
        <f>IF(L53&lt;=2,L67/L57*(1+L68*L61)*L54,"0")</f>
        <v>244.65874811463047</v>
      </c>
      <c r="M75" s="89">
        <f>IF(M53&lt;=2,M67/M57*(1+M68*M61)*M54,"0")</f>
        <v>316.34480912547536</v>
      </c>
      <c r="N75" s="89" t="str">
        <f>IF(N53&lt;=2,N67/N57*(1+N68*N61)*N54,"0")</f>
        <v>0</v>
      </c>
      <c r="O75" s="89" t="str">
        <f>IF(O53&lt;=2,O67/O57*(1+O68*O61)*O54,"0")</f>
        <v>0</v>
      </c>
      <c r="P75" s="89" t="str">
        <f>IF(P53&lt;=2,P67/P57*(1+P68*P61)*P54,"0")</f>
        <v>0</v>
      </c>
      <c r="Q75" s="89" t="str">
        <f>IF(Q53&lt;=2,Q67/Q57*(1+Q68*Q61)*Q54,"0")</f>
        <v>0</v>
      </c>
      <c r="R75" s="89" t="str">
        <f>IF(R53&lt;=2,R67/R57*(1+R68*R61)*R54,"0")</f>
        <v>0</v>
      </c>
      <c r="S75" s="89" t="str">
        <f>IF(S53&lt;=2,S67/S57*(1+S68*S61)*S54,"0")</f>
        <v>0</v>
      </c>
      <c r="T75" s="89" t="str">
        <f>IF(T53&lt;=2,T67/T57*(1+T68*T61)*T54,"0")</f>
        <v>0</v>
      </c>
      <c r="U75" s="89" t="str">
        <f>IF(U53&lt;=2,U67/U57*(1+U68*U61)*U54,"0")</f>
        <v>0</v>
      </c>
      <c r="V75" s="89" t="str">
        <f>IF(V53&lt;=2,V67/V57*(1+V68*V61)*V54,"0")</f>
        <v>0</v>
      </c>
      <c r="W75" s="89" t="str">
        <f>IF(W53&lt;=2,W67/W57*(1+W68*W61)*W54,"0")</f>
        <v>0</v>
      </c>
      <c r="X75" s="89">
        <f>IF(X53&lt;=2,X67/X57*(1+X68*X61)*X54,"0")</f>
        <v>67.965860139860141</v>
      </c>
    </row>
    <row r="76" spans="2:24" x14ac:dyDescent="0.25">
      <c r="B76" s="97" t="s">
        <v>15</v>
      </c>
      <c r="C76" s="85">
        <f>C75/(0.9*(0.9*($C$7/100))*($L$9*1000))</f>
        <v>0.53624745134692942</v>
      </c>
      <c r="D76" s="85">
        <f>D75/(0.9*(0.9*($C$7/100))*($L$9*1000))</f>
        <v>0.37304825256962271</v>
      </c>
      <c r="E76" s="85">
        <f>E75/(0.9*(0.9*($C$7/100))*($L$9*1000))</f>
        <v>0.37304825256962271</v>
      </c>
      <c r="F76" s="85">
        <f>F75/(0.9*(0.9*($C$7/100))*($L$9*1000))</f>
        <v>0.57405854556599556</v>
      </c>
      <c r="G76" s="85">
        <f>G75/(0.9*(0.9*($C$7/100))*($L$9*1000))</f>
        <v>0.69898592668927761</v>
      </c>
      <c r="H76" s="85">
        <f>H75/(0.9*(0.9*($C$7/100))*($L$9*1000))</f>
        <v>0.50408517553163557</v>
      </c>
      <c r="I76" s="85">
        <f>I75/(0.9*(0.9*($C$7/100))*($L$9*1000))</f>
        <v>9.6183800623052929E-2</v>
      </c>
      <c r="J76" s="85">
        <f>J75/(0.9*(0.9*($C$7/100))*($L$9*1000))</f>
        <v>0</v>
      </c>
      <c r="K76" s="85">
        <f>K75/(0.9*(0.9*($C$7/100))*($L$9*1000))</f>
        <v>0</v>
      </c>
      <c r="L76" s="85">
        <f>L75/(0.9*(0.9*($C$7/100))*($L$9*1000))</f>
        <v>0.50408517553163557</v>
      </c>
      <c r="M76" s="85">
        <f>M75/(0.9*(0.9*($C$7/100))*($L$9*1000))</f>
        <v>0.65178429083526035</v>
      </c>
      <c r="N76" s="85">
        <f>N75/(0.9*(0.9*($C$7/100))*($L$9*1000))</f>
        <v>0</v>
      </c>
      <c r="O76" s="85">
        <f>O75/(0.9*(0.9*($C$7/100))*($L$9*1000))</f>
        <v>0</v>
      </c>
      <c r="P76" s="85">
        <f>P75/(0.9*(0.9*($C$7/100))*($L$9*1000))</f>
        <v>0</v>
      </c>
      <c r="Q76" s="85">
        <f>Q75/(0.9*(0.9*($C$7/100))*($L$9*1000))</f>
        <v>0</v>
      </c>
      <c r="R76" s="85">
        <f>R75/(0.9*(0.9*($C$7/100))*($L$9*1000))</f>
        <v>0</v>
      </c>
      <c r="S76" s="85">
        <f>S75/(0.9*(0.9*($C$7/100))*($L$9*1000))</f>
        <v>0</v>
      </c>
      <c r="T76" s="85">
        <f>T75/(0.9*(0.9*($C$7/100))*($L$9*1000))</f>
        <v>0</v>
      </c>
      <c r="U76" s="85">
        <f>U75/(0.9*(0.9*($C$7/100))*($L$9*1000))</f>
        <v>0</v>
      </c>
      <c r="V76" s="85">
        <f>V75/(0.9*(0.9*($C$7/100))*($L$9*1000))</f>
        <v>0</v>
      </c>
      <c r="W76" s="85">
        <f>W75/(0.9*(0.9*($C$7/100))*($L$9*1000))</f>
        <v>0</v>
      </c>
      <c r="X76" s="85">
        <f>X75/(0.9*(0.9*($C$7/100))*($L$9*1000))</f>
        <v>0.1400341610621984</v>
      </c>
    </row>
    <row r="77" spans="2:24" x14ac:dyDescent="0.25">
      <c r="B77" s="97" t="s">
        <v>98</v>
      </c>
      <c r="C77" s="85">
        <f>(C76*($L$9))/(0.85*$L$6*100)</f>
        <v>8.8240641744131414E-3</v>
      </c>
      <c r="D77" s="85">
        <f>(D76*($L$9))/(0.85*$L$6*100)</f>
        <v>6.1385871626220114E-3</v>
      </c>
      <c r="E77" s="85">
        <f>(E76*($L$9))/(0.85*$L$6*100)</f>
        <v>6.1385871626220114E-3</v>
      </c>
      <c r="F77" s="85">
        <f>(F76*($L$9))/(0.85*$L$6*100)</f>
        <v>9.4462536525277245E-3</v>
      </c>
      <c r="G77" s="85">
        <f>(G76*($L$9))/(0.85*$L$6*100)</f>
        <v>1.1501959885544437E-2</v>
      </c>
      <c r="H77" s="85">
        <f>(H76*($L$9))/(0.85*$L$6*100)</f>
        <v>8.2948271867566321E-3</v>
      </c>
      <c r="I77" s="85">
        <f>(I76*($L$9))/(0.85*$L$6*100)</f>
        <v>1.5827245931052155E-3</v>
      </c>
      <c r="J77" s="85">
        <f>(J76*($L$9))/(0.85*$L$6*100)</f>
        <v>0</v>
      </c>
      <c r="K77" s="85">
        <f>(K76*($L$9))/(0.85*$L$6*100)</f>
        <v>0</v>
      </c>
      <c r="L77" s="85">
        <f>(L76*($L$9))/(0.85*$L$6*100)</f>
        <v>8.2948271867566321E-3</v>
      </c>
      <c r="M77" s="85">
        <f>(M76*($L$9))/(0.85*$L$6*100)</f>
        <v>1.0725247077181522E-2</v>
      </c>
      <c r="N77" s="85">
        <f>(N76*($L$9))/(0.85*$L$6*100)</f>
        <v>0</v>
      </c>
      <c r="O77" s="85">
        <f>(O76*($L$9))/(0.85*$L$6*100)</f>
        <v>0</v>
      </c>
      <c r="P77" s="85">
        <f>(P76*($L$9))/(0.85*$L$6*100)</f>
        <v>0</v>
      </c>
      <c r="Q77" s="85">
        <f>(Q76*($L$9))/(0.85*$L$6*100)</f>
        <v>0</v>
      </c>
      <c r="R77" s="85">
        <f>(R76*($L$9))/(0.85*$L$6*100)</f>
        <v>0</v>
      </c>
      <c r="S77" s="85">
        <f>(S76*($L$9))/(0.85*$L$6*100)</f>
        <v>0</v>
      </c>
      <c r="T77" s="85">
        <f>(T76*($L$9))/(0.85*$L$6*100)</f>
        <v>0</v>
      </c>
      <c r="U77" s="85">
        <f>(U76*($L$9))/(0.85*$L$6*100)</f>
        <v>0</v>
      </c>
      <c r="V77" s="85">
        <f>(V76*($L$9))/(0.85*$L$6*100)</f>
        <v>0</v>
      </c>
      <c r="W77" s="85">
        <f>(W76*($L$9))/(0.85*$L$6*100)</f>
        <v>0</v>
      </c>
      <c r="X77" s="85">
        <f>(X76*($L$9))/(0.85*$L$6*100)</f>
        <v>2.3042914623076093E-3</v>
      </c>
    </row>
    <row r="78" spans="2:24" ht="15.75" thickBot="1" x14ac:dyDescent="0.3">
      <c r="B78" s="97" t="s">
        <v>15</v>
      </c>
      <c r="C78" s="76">
        <f>ROUNDUP(C75/(0.9*(($C$7-C77/2)/100)*($L$9*1000)),2)</f>
        <v>0.49</v>
      </c>
      <c r="D78" s="76">
        <f>ROUNDUP(D75/(0.9*(($C$7-D77/2)/100)*($L$9*1000)),2)</f>
        <v>0.34</v>
      </c>
      <c r="E78" s="76">
        <f>ROUNDUP(E75/(0.9*(($C$7-E77/2)/100)*($L$9*1000)),2)</f>
        <v>0.34</v>
      </c>
      <c r="F78" s="76">
        <f>ROUNDUP(F75/(0.9*(($C$7-F77/2)/100)*($L$9*1000)),2)</f>
        <v>0.52</v>
      </c>
      <c r="G78" s="76">
        <f>ROUNDUP(G75/(0.9*(($C$7-G77/2)/100)*($L$9*1000)),2)</f>
        <v>0.63</v>
      </c>
      <c r="H78" s="76">
        <f>ROUNDUP(H75/(0.9*(($C$7-H77/2)/100)*($L$9*1000)),2)</f>
        <v>0.46</v>
      </c>
      <c r="I78" s="76">
        <f>ROUNDUP(I75/(0.9*(($C$7-I77/2)/100)*($L$9*1000)),2)</f>
        <v>0.09</v>
      </c>
      <c r="J78" s="76">
        <f>ROUNDUP(J75/(0.9*(($C$7-J77/2)/100)*($L$9*1000)),2)</f>
        <v>0</v>
      </c>
      <c r="K78" s="76">
        <f>ROUNDUP(K75/(0.9*(($C$7-K77/2)/100)*($L$9*1000)),2)</f>
        <v>0</v>
      </c>
      <c r="L78" s="76">
        <f>ROUNDUP(L75/(0.9*(($C$7-L77/2)/100)*($L$9*1000)),2)</f>
        <v>0.46</v>
      </c>
      <c r="M78" s="76">
        <f>ROUNDUP(M75/(0.9*(($C$7-M77/2)/100)*($L$9*1000)),2)</f>
        <v>0.59</v>
      </c>
      <c r="N78" s="76">
        <f>ROUNDUP(N75/(0.9*(($C$7-N77/2)/100)*($L$9*1000)),2)</f>
        <v>0</v>
      </c>
      <c r="O78" s="76">
        <f>ROUNDUP(O75/(0.9*(($C$7-O77/2)/100)*($L$9*1000)),2)</f>
        <v>0</v>
      </c>
      <c r="P78" s="76">
        <f>ROUNDUP(P75/(0.9*(($C$7-P77/2)/100)*($L$9*1000)),2)</f>
        <v>0</v>
      </c>
      <c r="Q78" s="76">
        <f>ROUNDUP(Q75/(0.9*(($C$7-Q77/2)/100)*($L$9*1000)),2)</f>
        <v>0</v>
      </c>
      <c r="R78" s="76">
        <f>ROUNDUP(R75/(0.9*(($C$7-R77/2)/100)*($L$9*1000)),2)</f>
        <v>0</v>
      </c>
      <c r="S78" s="76">
        <f>ROUNDUP(S75/(0.9*(($C$7-S77/2)/100)*($L$9*1000)),2)</f>
        <v>0</v>
      </c>
      <c r="T78" s="76">
        <f>ROUNDUP(T75/(0.9*(($C$7-T77/2)/100)*($L$9*1000)),2)</f>
        <v>0</v>
      </c>
      <c r="U78" s="76">
        <f>ROUNDUP(U75/(0.9*(($C$7-U77/2)/100)*($L$9*1000)),2)</f>
        <v>0</v>
      </c>
      <c r="V78" s="76">
        <f>ROUNDUP(V75/(0.9*(($C$7-V77/2)/100)*($L$9*1000)),2)</f>
        <v>0</v>
      </c>
      <c r="W78" s="76">
        <f>ROUNDUP(W75/(0.9*(($C$7-W77/2)/100)*($L$9*1000)),2)</f>
        <v>0</v>
      </c>
      <c r="X78" s="76">
        <f>ROUNDUP(X75/(0.9*(($C$7-X77/2)/100)*($L$9*1000)),2)</f>
        <v>0.13</v>
      </c>
    </row>
    <row r="79" spans="2:24" ht="16.5" thickBot="1" x14ac:dyDescent="0.3">
      <c r="B79" s="61" t="s">
        <v>101</v>
      </c>
      <c r="C79" s="134" t="str">
        <f>IF(C78&gt;$C$12,"$\phi"&amp;IF(VLOOKUP(VLOOKUP(C78,tablas!$R$3:$T$66,2,TRUE)&amp;VLOOKUP(C78,tablas!$R$3:$T$66,3,TRUE),tablas!$Q$3:$R$66,2,FALSE)&lt;C78,VLOOKUP(C78+0.1,tablas!$R$3:$T$66,2,TRUE),VLOOKUP(C78,tablas!$R$3:$T$66,2,TRUE))&amp;"@"&amp;IF(VLOOKUP(VLOOKUP(C78,tablas!$R$3:$T$66,2,TRUE)&amp;VLOOKUP(C78,tablas!$R$3:$T$66,3,TRUE),tablas!$Q$3:$R$66,2,FALSE)&lt;C78,VLOOKUP(C78+0.1,tablas!$R$3:$T$66,3,TRUE),VLOOKUP(C78,tablas!$R$3:$T$66,3,TRUE))&amp;"$",$C$13)</f>
        <v>$\phi8@17$</v>
      </c>
      <c r="D79" s="134" t="str">
        <f>IF(D78&gt;$C$12,"$\phi"&amp;IF(VLOOKUP(VLOOKUP(D78,tablas!$R$3:$T$66,2,TRUE)&amp;VLOOKUP(D78,tablas!$R$3:$T$66,3,TRUE),tablas!$Q$3:$R$66,2,FALSE)&lt;D78,VLOOKUP(D78+0.1,tablas!$R$3:$T$66,2,TRUE),VLOOKUP(D78,tablas!$R$3:$T$66,2,TRUE))&amp;"@"&amp;IF(VLOOKUP(VLOOKUP(D78,tablas!$R$3:$T$66,2,TRUE)&amp;VLOOKUP(D78,tablas!$R$3:$T$66,3,TRUE),tablas!$Q$3:$R$66,2,FALSE)&lt;D78,VLOOKUP(D78+0.1,tablas!$R$3:$T$66,3,TRUE),VLOOKUP(D78,tablas!$R$3:$T$66,3,TRUE))&amp;"$",$C$13)</f>
        <v>$\phi8@17$</v>
      </c>
      <c r="E79" s="134" t="str">
        <f>IF(E78&gt;$C$12,"$\phi"&amp;IF(VLOOKUP(VLOOKUP(E78,tablas!$R$3:$T$66,2,TRUE)&amp;VLOOKUP(E78,tablas!$R$3:$T$66,3,TRUE),tablas!$Q$3:$R$66,2,FALSE)&lt;E78,VLOOKUP(E78+0.1,tablas!$R$3:$T$66,2,TRUE),VLOOKUP(E78,tablas!$R$3:$T$66,2,TRUE))&amp;"@"&amp;IF(VLOOKUP(VLOOKUP(E78,tablas!$R$3:$T$66,2,TRUE)&amp;VLOOKUP(E78,tablas!$R$3:$T$66,3,TRUE),tablas!$Q$3:$R$66,2,FALSE)&lt;E78,VLOOKUP(E78+0.1,tablas!$R$3:$T$66,3,TRUE),VLOOKUP(E78,tablas!$R$3:$T$66,3,TRUE))&amp;"$",$C$13)</f>
        <v>$\phi8@17$</v>
      </c>
      <c r="F79" s="134" t="str">
        <f>IF(F78&gt;$C$12,"$\phi"&amp;IF(VLOOKUP(VLOOKUP(F78,tablas!$R$3:$T$66,2,TRUE)&amp;VLOOKUP(F78,tablas!$R$3:$T$66,3,TRUE),tablas!$Q$3:$R$66,2,FALSE)&lt;F78,VLOOKUP(F78+0.1,tablas!$R$3:$T$66,2,TRUE),VLOOKUP(F78,tablas!$R$3:$T$66,2,TRUE))&amp;"@"&amp;IF(VLOOKUP(VLOOKUP(F78,tablas!$R$3:$T$66,2,TRUE)&amp;VLOOKUP(F78,tablas!$R$3:$T$66,3,TRUE),tablas!$Q$3:$R$66,2,FALSE)&lt;F78,VLOOKUP(F78+0.1,tablas!$R$3:$T$66,3,TRUE),VLOOKUP(F78,tablas!$R$3:$T$66,3,TRUE))&amp;"$",$C$13)</f>
        <v>$\phi8@17$</v>
      </c>
      <c r="G79" s="134" t="str">
        <f>IF(G78&gt;$C$12,"$\phi"&amp;IF(VLOOKUP(VLOOKUP(G78,tablas!$R$3:$T$66,2,TRUE)&amp;VLOOKUP(G78,tablas!$R$3:$T$66,3,TRUE),tablas!$Q$3:$R$66,2,FALSE)&lt;G78,VLOOKUP(G78+0.1,tablas!$R$3:$T$66,2,TRUE),VLOOKUP(G78,tablas!$R$3:$T$66,2,TRUE))&amp;"@"&amp;IF(VLOOKUP(VLOOKUP(G78,tablas!$R$3:$T$66,2,TRUE)&amp;VLOOKUP(G78,tablas!$R$3:$T$66,3,TRUE),tablas!$Q$3:$R$66,2,FALSE)&lt;G78,VLOOKUP(G78+0.1,tablas!$R$3:$T$66,3,TRUE),VLOOKUP(G78,tablas!$R$3:$T$66,3,TRUE))&amp;"$",$C$13)</f>
        <v>$\phi8@17$</v>
      </c>
      <c r="H79" s="134" t="str">
        <f>IF(H78&gt;$C$12,"$\phi"&amp;IF(VLOOKUP(VLOOKUP(H78,tablas!$R$3:$T$66,2,TRUE)&amp;VLOOKUP(H78,tablas!$R$3:$T$66,3,TRUE),tablas!$Q$3:$R$66,2,FALSE)&lt;H78,VLOOKUP(H78+0.1,tablas!$R$3:$T$66,2,TRUE),VLOOKUP(H78,tablas!$R$3:$T$66,2,TRUE))&amp;"@"&amp;IF(VLOOKUP(VLOOKUP(H78,tablas!$R$3:$T$66,2,TRUE)&amp;VLOOKUP(H78,tablas!$R$3:$T$66,3,TRUE),tablas!$Q$3:$R$66,2,FALSE)&lt;H78,VLOOKUP(H78+0.1,tablas!$R$3:$T$66,3,TRUE),VLOOKUP(H78,tablas!$R$3:$T$66,3,TRUE))&amp;"$",$C$13)</f>
        <v>$\phi8@17$</v>
      </c>
      <c r="I79" s="134" t="str">
        <f>IF(I78&gt;$C$12,"$\phi"&amp;IF(VLOOKUP(VLOOKUP(I78,tablas!$R$3:$T$66,2,TRUE)&amp;VLOOKUP(I78,tablas!$R$3:$T$66,3,TRUE),tablas!$Q$3:$R$66,2,FALSE)&lt;I78,VLOOKUP(I78+0.1,tablas!$R$3:$T$66,2,TRUE),VLOOKUP(I78,tablas!$R$3:$T$66,2,TRUE))&amp;"@"&amp;IF(VLOOKUP(VLOOKUP(I78,tablas!$R$3:$T$66,2,TRUE)&amp;VLOOKUP(I78,tablas!$R$3:$T$66,3,TRUE),tablas!$Q$3:$R$66,2,FALSE)&lt;I78,VLOOKUP(I78+0.1,tablas!$R$3:$T$66,3,TRUE),VLOOKUP(I78,tablas!$R$3:$T$66,3,TRUE))&amp;"$",$C$13)</f>
        <v>$\phi8@17$</v>
      </c>
      <c r="J79" s="134" t="str">
        <f>IF(J78&gt;$C$12,"$\phi"&amp;IF(VLOOKUP(VLOOKUP(J78,tablas!$R$3:$T$66,2,TRUE)&amp;VLOOKUP(J78,tablas!$R$3:$T$66,3,TRUE),tablas!$Q$3:$R$66,2,FALSE)&lt;J78,VLOOKUP(J78+0.1,tablas!$R$3:$T$66,2,TRUE),VLOOKUP(J78,tablas!$R$3:$T$66,2,TRUE))&amp;"@"&amp;IF(VLOOKUP(VLOOKUP(J78,tablas!$R$3:$T$66,2,TRUE)&amp;VLOOKUP(J78,tablas!$R$3:$T$66,3,TRUE),tablas!$Q$3:$R$66,2,FALSE)&lt;J78,VLOOKUP(J78+0.1,tablas!$R$3:$T$66,3,TRUE),VLOOKUP(J78,tablas!$R$3:$T$66,3,TRUE))&amp;"$",$C$13)</f>
        <v>$\phi8@17$</v>
      </c>
      <c r="K79" s="134" t="str">
        <f>IF(K78&gt;$C$12,"$\phi"&amp;IF(VLOOKUP(VLOOKUP(K78,tablas!$R$3:$T$66,2,TRUE)&amp;VLOOKUP(K78,tablas!$R$3:$T$66,3,TRUE),tablas!$Q$3:$R$66,2,FALSE)&lt;K78,VLOOKUP(K78+0.1,tablas!$R$3:$T$66,2,TRUE),VLOOKUP(K78,tablas!$R$3:$T$66,2,TRUE))&amp;"@"&amp;IF(VLOOKUP(VLOOKUP(K78,tablas!$R$3:$T$66,2,TRUE)&amp;VLOOKUP(K78,tablas!$R$3:$T$66,3,TRUE),tablas!$Q$3:$R$66,2,FALSE)&lt;K78,VLOOKUP(K78+0.1,tablas!$R$3:$T$66,3,TRUE),VLOOKUP(K78,tablas!$R$3:$T$66,3,TRUE))&amp;"$",$C$13)</f>
        <v>$\phi8@17$</v>
      </c>
      <c r="L79" s="134" t="str">
        <f>IF(L78&gt;$C$12,"$\phi"&amp;IF(VLOOKUP(VLOOKUP(L78,tablas!$R$3:$T$66,2,TRUE)&amp;VLOOKUP(L78,tablas!$R$3:$T$66,3,TRUE),tablas!$Q$3:$R$66,2,FALSE)&lt;L78,VLOOKUP(L78+0.1,tablas!$R$3:$T$66,2,TRUE),VLOOKUP(L78,tablas!$R$3:$T$66,2,TRUE))&amp;"@"&amp;IF(VLOOKUP(VLOOKUP(L78,tablas!$R$3:$T$66,2,TRUE)&amp;VLOOKUP(L78,tablas!$R$3:$T$66,3,TRUE),tablas!$Q$3:$R$66,2,FALSE)&lt;L78,VLOOKUP(L78+0.1,tablas!$R$3:$T$66,3,TRUE),VLOOKUP(L78,tablas!$R$3:$T$66,3,TRUE))&amp;"$",$C$13)</f>
        <v>$\phi8@17$</v>
      </c>
      <c r="M79" s="134" t="str">
        <f>IF(M78&gt;$C$12,"$\phi"&amp;IF(VLOOKUP(VLOOKUP(M78,tablas!$R$3:$T$66,2,TRUE)&amp;VLOOKUP(M78,tablas!$R$3:$T$66,3,TRUE),tablas!$Q$3:$R$66,2,FALSE)&lt;M78,VLOOKUP(M78+0.1,tablas!$R$3:$T$66,2,TRUE),VLOOKUP(M78,tablas!$R$3:$T$66,2,TRUE))&amp;"@"&amp;IF(VLOOKUP(VLOOKUP(M78,tablas!$R$3:$T$66,2,TRUE)&amp;VLOOKUP(M78,tablas!$R$3:$T$66,3,TRUE),tablas!$Q$3:$R$66,2,FALSE)&lt;M78,VLOOKUP(M78+0.1,tablas!$R$3:$T$66,3,TRUE),VLOOKUP(M78,tablas!$R$3:$T$66,3,TRUE))&amp;"$",$C$13)</f>
        <v>$\phi8@17$</v>
      </c>
      <c r="N79" s="134" t="str">
        <f>IF(N78&gt;$C$12,"$\phi"&amp;IF(VLOOKUP(VLOOKUP(N78,tablas!$R$3:$T$66,2,TRUE)&amp;VLOOKUP(N78,tablas!$R$3:$T$66,3,TRUE),tablas!$Q$3:$R$66,2,FALSE)&lt;N78,VLOOKUP(N78+0.1,tablas!$R$3:$T$66,2,TRUE),VLOOKUP(N78,tablas!$R$3:$T$66,2,TRUE))&amp;"@"&amp;IF(VLOOKUP(VLOOKUP(N78,tablas!$R$3:$T$66,2,TRUE)&amp;VLOOKUP(N78,tablas!$R$3:$T$66,3,TRUE),tablas!$Q$3:$R$66,2,FALSE)&lt;N78,VLOOKUP(N78+0.1,tablas!$R$3:$T$66,3,TRUE),VLOOKUP(N78,tablas!$R$3:$T$66,3,TRUE))&amp;"$",$C$13)</f>
        <v>$\phi8@17$</v>
      </c>
      <c r="O79" s="134" t="str">
        <f>IF(O78&gt;$C$12,"$\phi"&amp;IF(VLOOKUP(VLOOKUP(O78,tablas!$R$3:$T$66,2,TRUE)&amp;VLOOKUP(O78,tablas!$R$3:$T$66,3,TRUE),tablas!$Q$3:$R$66,2,FALSE)&lt;O78,VLOOKUP(O78+0.1,tablas!$R$3:$T$66,2,TRUE),VLOOKUP(O78,tablas!$R$3:$T$66,2,TRUE))&amp;"@"&amp;IF(VLOOKUP(VLOOKUP(O78,tablas!$R$3:$T$66,2,TRUE)&amp;VLOOKUP(O78,tablas!$R$3:$T$66,3,TRUE),tablas!$Q$3:$R$66,2,FALSE)&lt;O78,VLOOKUP(O78+0.1,tablas!$R$3:$T$66,3,TRUE),VLOOKUP(O78,tablas!$R$3:$T$66,3,TRUE))&amp;"$",$C$13)</f>
        <v>$\phi8@17$</v>
      </c>
      <c r="P79" s="134" t="str">
        <f>IF(P78&gt;$C$12,"$\phi"&amp;IF(VLOOKUP(VLOOKUP(P78,tablas!$R$3:$T$66,2,TRUE)&amp;VLOOKUP(P78,tablas!$R$3:$T$66,3,TRUE),tablas!$Q$3:$R$66,2,FALSE)&lt;P78,VLOOKUP(P78+0.1,tablas!$R$3:$T$66,2,TRUE),VLOOKUP(P78,tablas!$R$3:$T$66,2,TRUE))&amp;"@"&amp;IF(VLOOKUP(VLOOKUP(P78,tablas!$R$3:$T$66,2,TRUE)&amp;VLOOKUP(P78,tablas!$R$3:$T$66,3,TRUE),tablas!$Q$3:$R$66,2,FALSE)&lt;P78,VLOOKUP(P78+0.1,tablas!$R$3:$T$66,3,TRUE),VLOOKUP(P78,tablas!$R$3:$T$66,3,TRUE))&amp;"$",$C$13)</f>
        <v>$\phi8@17$</v>
      </c>
      <c r="Q79" s="134" t="str">
        <f>IF(Q78&gt;$C$12,"$\phi"&amp;IF(VLOOKUP(VLOOKUP(Q78,tablas!$R$3:$T$66,2,TRUE)&amp;VLOOKUP(Q78,tablas!$R$3:$T$66,3,TRUE),tablas!$Q$3:$R$66,2,FALSE)&lt;Q78,VLOOKUP(Q78+0.1,tablas!$R$3:$T$66,2,TRUE),VLOOKUP(Q78,tablas!$R$3:$T$66,2,TRUE))&amp;"@"&amp;IF(VLOOKUP(VLOOKUP(Q78,tablas!$R$3:$T$66,2,TRUE)&amp;VLOOKUP(Q78,tablas!$R$3:$T$66,3,TRUE),tablas!$Q$3:$R$66,2,FALSE)&lt;Q78,VLOOKUP(Q78+0.1,tablas!$R$3:$T$66,3,TRUE),VLOOKUP(Q78,tablas!$R$3:$T$66,3,TRUE))&amp;"$",$C$13)</f>
        <v>$\phi8@17$</v>
      </c>
      <c r="R79" s="134" t="str">
        <f>IF(R78&gt;$C$12,"$\phi"&amp;IF(VLOOKUP(VLOOKUP(R78,tablas!$R$3:$T$66,2,TRUE)&amp;VLOOKUP(R78,tablas!$R$3:$T$66,3,TRUE),tablas!$Q$3:$R$66,2,FALSE)&lt;R78,VLOOKUP(R78+0.1,tablas!$R$3:$T$66,2,TRUE),VLOOKUP(R78,tablas!$R$3:$T$66,2,TRUE))&amp;"@"&amp;IF(VLOOKUP(VLOOKUP(R78,tablas!$R$3:$T$66,2,TRUE)&amp;VLOOKUP(R78,tablas!$R$3:$T$66,3,TRUE),tablas!$Q$3:$R$66,2,FALSE)&lt;R78,VLOOKUP(R78+0.1,tablas!$R$3:$T$66,3,TRUE),VLOOKUP(R78,tablas!$R$3:$T$66,3,TRUE))&amp;"$",$C$13)</f>
        <v>$\phi8@17$</v>
      </c>
      <c r="S79" s="134" t="str">
        <f>IF(S78&gt;$C$12,"$\phi"&amp;IF(VLOOKUP(VLOOKUP(S78,tablas!$R$3:$T$66,2,TRUE)&amp;VLOOKUP(S78,tablas!$R$3:$T$66,3,TRUE),tablas!$Q$3:$R$66,2,FALSE)&lt;S78,VLOOKUP(S78+0.1,tablas!$R$3:$T$66,2,TRUE),VLOOKUP(S78,tablas!$R$3:$T$66,2,TRUE))&amp;"@"&amp;IF(VLOOKUP(VLOOKUP(S78,tablas!$R$3:$T$66,2,TRUE)&amp;VLOOKUP(S78,tablas!$R$3:$T$66,3,TRUE),tablas!$Q$3:$R$66,2,FALSE)&lt;S78,VLOOKUP(S78+0.1,tablas!$R$3:$T$66,3,TRUE),VLOOKUP(S78,tablas!$R$3:$T$66,3,TRUE))&amp;"$",$C$13)</f>
        <v>$\phi8@17$</v>
      </c>
      <c r="T79" s="134" t="str">
        <f>IF(T78&gt;$C$12,"$\phi"&amp;IF(VLOOKUP(VLOOKUP(T78,tablas!$R$3:$T$66,2,TRUE)&amp;VLOOKUP(T78,tablas!$R$3:$T$66,3,TRUE),tablas!$Q$3:$R$66,2,FALSE)&lt;T78,VLOOKUP(T78+0.1,tablas!$R$3:$T$66,2,TRUE),VLOOKUP(T78,tablas!$R$3:$T$66,2,TRUE))&amp;"@"&amp;IF(VLOOKUP(VLOOKUP(T78,tablas!$R$3:$T$66,2,TRUE)&amp;VLOOKUP(T78,tablas!$R$3:$T$66,3,TRUE),tablas!$Q$3:$R$66,2,FALSE)&lt;T78,VLOOKUP(T78+0.1,tablas!$R$3:$T$66,3,TRUE),VLOOKUP(T78,tablas!$R$3:$T$66,3,TRUE))&amp;"$",$C$13)</f>
        <v>$\phi8@17$</v>
      </c>
      <c r="U79" s="134" t="str">
        <f>IF(U78&gt;$C$12,"$\phi"&amp;IF(VLOOKUP(VLOOKUP(U78,tablas!$R$3:$T$66,2,TRUE)&amp;VLOOKUP(U78,tablas!$R$3:$T$66,3,TRUE),tablas!$Q$3:$R$66,2,FALSE)&lt;U78,VLOOKUP(U78+0.1,tablas!$R$3:$T$66,2,TRUE),VLOOKUP(U78,tablas!$R$3:$T$66,2,TRUE))&amp;"@"&amp;IF(VLOOKUP(VLOOKUP(U78,tablas!$R$3:$T$66,2,TRUE)&amp;VLOOKUP(U78,tablas!$R$3:$T$66,3,TRUE),tablas!$Q$3:$R$66,2,FALSE)&lt;U78,VLOOKUP(U78+0.1,tablas!$R$3:$T$66,3,TRUE),VLOOKUP(U78,tablas!$R$3:$T$66,3,TRUE))&amp;"$",$C$13)</f>
        <v>$\phi8@17$</v>
      </c>
      <c r="V79" s="134" t="str">
        <f>IF(V78&gt;$C$12,"$\phi"&amp;IF(VLOOKUP(VLOOKUP(V78,tablas!$R$3:$T$66,2,TRUE)&amp;VLOOKUP(V78,tablas!$R$3:$T$66,3,TRUE),tablas!$Q$3:$R$66,2,FALSE)&lt;V78,VLOOKUP(V78+0.1,tablas!$R$3:$T$66,2,TRUE),VLOOKUP(V78,tablas!$R$3:$T$66,2,TRUE))&amp;"@"&amp;IF(VLOOKUP(VLOOKUP(V78,tablas!$R$3:$T$66,2,TRUE)&amp;VLOOKUP(V78,tablas!$R$3:$T$66,3,TRUE),tablas!$Q$3:$R$66,2,FALSE)&lt;V78,VLOOKUP(V78+0.1,tablas!$R$3:$T$66,3,TRUE),VLOOKUP(V78,tablas!$R$3:$T$66,3,TRUE))&amp;"$",$C$13)</f>
        <v>$\phi8@17$</v>
      </c>
      <c r="W79" s="134" t="str">
        <f>IF(W78&gt;$C$12,"$\phi"&amp;IF(VLOOKUP(VLOOKUP(W78,tablas!$R$3:$T$66,2,TRUE)&amp;VLOOKUP(W78,tablas!$R$3:$T$66,3,TRUE),tablas!$Q$3:$R$66,2,FALSE)&lt;W78,VLOOKUP(W78+0.1,tablas!$R$3:$T$66,2,TRUE),VLOOKUP(W78,tablas!$R$3:$T$66,2,TRUE))&amp;"@"&amp;IF(VLOOKUP(VLOOKUP(W78,tablas!$R$3:$T$66,2,TRUE)&amp;VLOOKUP(W78,tablas!$R$3:$T$66,3,TRUE),tablas!$Q$3:$R$66,2,FALSE)&lt;W78,VLOOKUP(W78+0.1,tablas!$R$3:$T$66,3,TRUE),VLOOKUP(W78,tablas!$R$3:$T$66,3,TRUE))&amp;"$",$C$13)</f>
        <v>$\phi8@17$</v>
      </c>
      <c r="X79" s="134" t="str">
        <f>IF(X78&gt;$C$12,"$\phi"&amp;IF(VLOOKUP(VLOOKUP(X78,tablas!$R$3:$T$66,2,TRUE)&amp;VLOOKUP(X78,tablas!$R$3:$T$66,3,TRUE),tablas!$Q$3:$R$66,2,FALSE)&lt;X78,VLOOKUP(X78+0.1,tablas!$R$3:$T$66,2,TRUE),VLOOKUP(X78,tablas!$R$3:$T$66,2,TRUE))&amp;"@"&amp;IF(VLOOKUP(VLOOKUP(X78,tablas!$R$3:$T$66,2,TRUE)&amp;VLOOKUP(X78,tablas!$R$3:$T$66,3,TRUE),tablas!$Q$3:$R$66,2,FALSE)&lt;X78,VLOOKUP(X78+0.1,tablas!$R$3:$T$66,3,TRUE),VLOOKUP(X78,tablas!$R$3:$T$66,3,TRUE))&amp;"$",$C$13)</f>
        <v>$\phi8@17$</v>
      </c>
    </row>
    <row r="80" spans="2:24" x14ac:dyDescent="0.25">
      <c r="B80" s="96" t="s">
        <v>103</v>
      </c>
      <c r="C80" s="89">
        <f>IF(C53&lt;=2,C67/C58,IF(OR(C51=6,C51="5a",C51="3a"),C66*C48^2/12,(IF(OR(C51="2a",C51=4,C51="5b"),C66*C48^2/8,"-"))))</f>
        <v>3157.8048780487807</v>
      </c>
      <c r="D80" s="89">
        <f t="shared" ref="D80:X80" si="15">IF(D53&lt;=2,D67/D58,IF(OR(D51=6,D51="5a",D51="3a"),D66*D48^2/12,(IF(OR(D51="2a",D51=4,D51="5b"),D66*D48^2/8,"-"))))</f>
        <v>1482.063829787234</v>
      </c>
      <c r="E80" s="89">
        <f t="shared" si="15"/>
        <v>1482.063829787234</v>
      </c>
      <c r="F80" s="89">
        <f t="shared" si="15"/>
        <v>2660.2039062500003</v>
      </c>
      <c r="G80" s="89">
        <f t="shared" si="15"/>
        <v>2330.2529032258067</v>
      </c>
      <c r="H80" s="89">
        <f t="shared" si="15"/>
        <v>1428.5638297872338</v>
      </c>
      <c r="I80" s="89">
        <f t="shared" si="15"/>
        <v>670.04318181818178</v>
      </c>
      <c r="J80" s="89">
        <f t="shared" si="15"/>
        <v>227.0333333333333</v>
      </c>
      <c r="K80" s="89">
        <f t="shared" si="15"/>
        <v>974.1583333333333</v>
      </c>
      <c r="L80" s="89">
        <f t="shared" si="15"/>
        <v>1428.5638297872338</v>
      </c>
      <c r="M80" s="89">
        <f t="shared" si="15"/>
        <v>2172.8938709677423</v>
      </c>
      <c r="N80" s="89">
        <f t="shared" si="15"/>
        <v>350.56537500000002</v>
      </c>
      <c r="O80" s="89">
        <f t="shared" si="15"/>
        <v>350.56537500000002</v>
      </c>
      <c r="P80" s="89">
        <f t="shared" si="15"/>
        <v>350.56537500000002</v>
      </c>
      <c r="Q80" s="89">
        <f t="shared" si="15"/>
        <v>350.56537500000002</v>
      </c>
      <c r="R80" s="89">
        <f t="shared" si="15"/>
        <v>166.29600000000002</v>
      </c>
      <c r="S80" s="89">
        <f t="shared" si="15"/>
        <v>166.29600000000002</v>
      </c>
      <c r="T80" s="89">
        <f t="shared" si="15"/>
        <v>276.07350000000002</v>
      </c>
      <c r="U80" s="89">
        <f t="shared" si="15"/>
        <v>276.07350000000002</v>
      </c>
      <c r="V80" s="89">
        <f t="shared" si="15"/>
        <v>84.1935</v>
      </c>
      <c r="W80" s="89">
        <f t="shared" si="15"/>
        <v>75.337499999999991</v>
      </c>
      <c r="X80" s="89">
        <f t="shared" si="15"/>
        <v>734.75928143712576</v>
      </c>
    </row>
    <row r="81" spans="2:26" x14ac:dyDescent="0.25">
      <c r="B81" s="97" t="s">
        <v>15</v>
      </c>
      <c r="C81" s="90">
        <f>C80/(0.9*(0.9*($C$7/100))*($L$9*1000))</f>
        <v>6.5062158558093506</v>
      </c>
      <c r="D81" s="90">
        <f t="shared" ref="D81:X81" si="16">D80/(0.9*(0.9*($C$7/100))*($L$9*1000))</f>
        <v>3.0535855003940102</v>
      </c>
      <c r="E81" s="90">
        <f t="shared" si="16"/>
        <v>3.0535855003940102</v>
      </c>
      <c r="F81" s="90">
        <f t="shared" si="16"/>
        <v>5.4809785604056422</v>
      </c>
      <c r="G81" s="90">
        <f t="shared" si="16"/>
        <v>4.8011606076122195</v>
      </c>
      <c r="H81" s="90">
        <f t="shared" si="16"/>
        <v>2.9433562234980659</v>
      </c>
      <c r="I81" s="90">
        <f t="shared" si="16"/>
        <v>1.3805303816986054</v>
      </c>
      <c r="J81" s="90">
        <f t="shared" si="16"/>
        <v>0.46777047036652414</v>
      </c>
      <c r="K81" s="90">
        <f t="shared" si="16"/>
        <v>2.0071171713175859</v>
      </c>
      <c r="L81" s="90">
        <f t="shared" si="16"/>
        <v>2.9433562234980659</v>
      </c>
      <c r="M81" s="90">
        <f t="shared" si="16"/>
        <v>4.476944302213119</v>
      </c>
      <c r="N81" s="90">
        <f t="shared" si="16"/>
        <v>0.72229098674776226</v>
      </c>
      <c r="O81" s="90">
        <f t="shared" si="16"/>
        <v>0.72229098674776226</v>
      </c>
      <c r="P81" s="90">
        <f t="shared" si="16"/>
        <v>0.72229098674776226</v>
      </c>
      <c r="Q81" s="90">
        <f t="shared" si="16"/>
        <v>0.72229098674776226</v>
      </c>
      <c r="R81" s="90">
        <f t="shared" si="16"/>
        <v>0.34262967907827713</v>
      </c>
      <c r="S81" s="90">
        <f t="shared" si="16"/>
        <v>0.34262967907827713</v>
      </c>
      <c r="T81" s="90">
        <f t="shared" si="16"/>
        <v>0.56881088364733212</v>
      </c>
      <c r="U81" s="90">
        <f t="shared" si="16"/>
        <v>0.56881088364733212</v>
      </c>
      <c r="V81" s="90">
        <f t="shared" si="16"/>
        <v>0.17346894624932002</v>
      </c>
      <c r="W81" s="90">
        <f t="shared" si="16"/>
        <v>0.15522239529248869</v>
      </c>
      <c r="X81" s="90">
        <f t="shared" si="16"/>
        <v>1.5138688651476155</v>
      </c>
    </row>
    <row r="82" spans="2:26" x14ac:dyDescent="0.25">
      <c r="B82" s="97" t="s">
        <v>98</v>
      </c>
      <c r="C82" s="92">
        <f>(C81*($L$9))/(0.85*$L$6*100)</f>
        <v>0.10706114518594394</v>
      </c>
      <c r="D82" s="92">
        <f t="shared" ref="D82:X82" si="17">(D81*($L$9))/(0.85*$L$6*100)</f>
        <v>5.0247389241393173E-2</v>
      </c>
      <c r="E82" s="92">
        <f t="shared" si="17"/>
        <v>5.0247389241393173E-2</v>
      </c>
      <c r="F82" s="92">
        <f t="shared" si="17"/>
        <v>9.019065066719012E-2</v>
      </c>
      <c r="G82" s="92">
        <f t="shared" si="17"/>
        <v>7.9004103808459444E-2</v>
      </c>
      <c r="H82" s="92">
        <f t="shared" si="17"/>
        <v>4.843354339320155E-2</v>
      </c>
      <c r="I82" s="92">
        <f t="shared" si="17"/>
        <v>2.2716916700000121E-2</v>
      </c>
      <c r="J82" s="92">
        <f t="shared" si="17"/>
        <v>7.6972611040704471E-3</v>
      </c>
      <c r="K82" s="92">
        <f t="shared" si="17"/>
        <v>3.302753361491452E-2</v>
      </c>
      <c r="L82" s="92">
        <f t="shared" si="17"/>
        <v>4.843354339320155E-2</v>
      </c>
      <c r="M82" s="92">
        <f t="shared" si="17"/>
        <v>7.3669056568520366E-2</v>
      </c>
      <c r="N82" s="92">
        <f t="shared" si="17"/>
        <v>1.1885449532027768E-2</v>
      </c>
      <c r="O82" s="92">
        <f t="shared" si="17"/>
        <v>1.1885449532027768E-2</v>
      </c>
      <c r="P82" s="92">
        <f t="shared" si="17"/>
        <v>1.1885449532027768E-2</v>
      </c>
      <c r="Q82" s="92">
        <f t="shared" si="17"/>
        <v>1.1885449532027768E-2</v>
      </c>
      <c r="R82" s="92">
        <f t="shared" si="17"/>
        <v>5.6380431620723804E-3</v>
      </c>
      <c r="S82" s="92">
        <f t="shared" si="17"/>
        <v>5.6380431620723804E-3</v>
      </c>
      <c r="T82" s="92">
        <f t="shared" si="17"/>
        <v>9.3599022760883551E-3</v>
      </c>
      <c r="U82" s="92">
        <f t="shared" si="17"/>
        <v>9.3599022760883551E-3</v>
      </c>
      <c r="V82" s="92">
        <f t="shared" si="17"/>
        <v>2.8544678583125324E-3</v>
      </c>
      <c r="W82" s="92">
        <f t="shared" si="17"/>
        <v>2.5542170390305714E-3</v>
      </c>
      <c r="X82" s="92">
        <f t="shared" si="17"/>
        <v>2.4911029384205283E-2</v>
      </c>
    </row>
    <row r="83" spans="2:26" ht="15.75" thickBot="1" x14ac:dyDescent="0.3">
      <c r="B83" s="97" t="s">
        <v>15</v>
      </c>
      <c r="C83" s="76">
        <f>ROUNDUP(C80/(0.9*(($C$7-C82/2)/100)*($L$9*1000)),2)</f>
        <v>5.88</v>
      </c>
      <c r="D83" s="76">
        <f t="shared" ref="D83:X83" si="18">ROUNDUP(D80/(0.9*(($C$7-D82/2)/100)*($L$9*1000)),2)</f>
        <v>2.76</v>
      </c>
      <c r="E83" s="76">
        <f t="shared" si="18"/>
        <v>2.76</v>
      </c>
      <c r="F83" s="76">
        <f t="shared" si="18"/>
        <v>4.95</v>
      </c>
      <c r="G83" s="76">
        <f t="shared" si="18"/>
        <v>4.34</v>
      </c>
      <c r="H83" s="76">
        <f t="shared" si="18"/>
        <v>2.6599999999999997</v>
      </c>
      <c r="I83" s="76">
        <f t="shared" si="18"/>
        <v>1.25</v>
      </c>
      <c r="J83" s="76">
        <f t="shared" si="18"/>
        <v>0.43</v>
      </c>
      <c r="K83" s="76">
        <f t="shared" si="18"/>
        <v>1.81</v>
      </c>
      <c r="L83" s="76">
        <f t="shared" si="18"/>
        <v>2.6599999999999997</v>
      </c>
      <c r="M83" s="76">
        <f t="shared" si="18"/>
        <v>4.04</v>
      </c>
      <c r="N83" s="76">
        <f t="shared" si="18"/>
        <v>0.66</v>
      </c>
      <c r="O83" s="76">
        <f t="shared" si="18"/>
        <v>0.66</v>
      </c>
      <c r="P83" s="76">
        <f t="shared" si="18"/>
        <v>0.66</v>
      </c>
      <c r="Q83" s="76">
        <f t="shared" si="18"/>
        <v>0.66</v>
      </c>
      <c r="R83" s="76">
        <f t="shared" si="18"/>
        <v>0.31</v>
      </c>
      <c r="S83" s="76">
        <f t="shared" si="18"/>
        <v>0.31</v>
      </c>
      <c r="T83" s="76">
        <f t="shared" si="18"/>
        <v>0.52</v>
      </c>
      <c r="U83" s="76">
        <f t="shared" si="18"/>
        <v>0.52</v>
      </c>
      <c r="V83" s="76">
        <f t="shared" si="18"/>
        <v>0.16</v>
      </c>
      <c r="W83" s="76">
        <f t="shared" si="18"/>
        <v>0.14000000000000001</v>
      </c>
      <c r="X83" s="76">
        <f t="shared" si="18"/>
        <v>1.37</v>
      </c>
    </row>
    <row r="84" spans="2:26" ht="16.5" thickBot="1" x14ac:dyDescent="0.3">
      <c r="B84" s="61" t="s">
        <v>105</v>
      </c>
      <c r="C84" s="134" t="str">
        <f>IF(C83&gt;$C$12,"$\phi"&amp;IF(VLOOKUP(VLOOKUP(C83,tablas!$R$3:$T$66,2,TRUE)&amp;VLOOKUP(C83,tablas!$R$3:$T$66,3,TRUE),tablas!$Q$3:$R$66,2,FALSE)&lt;C83,VLOOKUP(C83+0.1,tablas!$R$3:$T$66,2,TRUE),VLOOKUP(C83,tablas!$R$3:$T$66,2,TRUE))&amp;"@"&amp;IF(VLOOKUP(VLOOKUP(C83,tablas!$R$3:$T$66,2,TRUE)&amp;VLOOKUP(C83,tablas!$R$3:$T$66,3,TRUE),tablas!$Q$3:$R$66,2,FALSE)&lt;C83,VLOOKUP(C83+0.1,tablas!$R$3:$T$66,3,TRUE),VLOOKUP(C83,tablas!$R$3:$T$66,3,TRUE))&amp;"$",$C$13)</f>
        <v>$\phi12@19$</v>
      </c>
      <c r="D84" s="134" t="str">
        <f>IF(D83&gt;$C$12,"$\phi"&amp;IF(VLOOKUP(VLOOKUP(D83,tablas!$R$3:$T$66,2,TRUE)&amp;VLOOKUP(D83,tablas!$R$3:$T$66,3,TRUE),tablas!$Q$3:$R$66,2,FALSE)&lt;D83,VLOOKUP(D83+0.1,tablas!$R$3:$T$66,2,TRUE),VLOOKUP(D83,tablas!$R$3:$T$66,2,TRUE))&amp;"@"&amp;IF(VLOOKUP(VLOOKUP(D83,tablas!$R$3:$T$66,2,TRUE)&amp;VLOOKUP(D83,tablas!$R$3:$T$66,3,TRUE),tablas!$Q$3:$R$66,2,FALSE)&lt;D83,VLOOKUP(D83+0.1,tablas!$R$3:$T$66,3,TRUE),VLOOKUP(D83,tablas!$R$3:$T$66,3,TRUE))&amp;"$",$C$13)</f>
        <v>$\phi8@17$</v>
      </c>
      <c r="E84" s="134" t="str">
        <f>IF(E83&gt;$C$12,"$\phi"&amp;IF(VLOOKUP(VLOOKUP(E83,tablas!$R$3:$T$66,2,TRUE)&amp;VLOOKUP(E83,tablas!$R$3:$T$66,3,TRUE),tablas!$Q$3:$R$66,2,FALSE)&lt;E83,VLOOKUP(E83+0.1,tablas!$R$3:$T$66,2,TRUE),VLOOKUP(E83,tablas!$R$3:$T$66,2,TRUE))&amp;"@"&amp;IF(VLOOKUP(VLOOKUP(E83,tablas!$R$3:$T$66,2,TRUE)&amp;VLOOKUP(E83,tablas!$R$3:$T$66,3,TRUE),tablas!$Q$3:$R$66,2,FALSE)&lt;E83,VLOOKUP(E83+0.1,tablas!$R$3:$T$66,3,TRUE),VLOOKUP(E83,tablas!$R$3:$T$66,3,TRUE))&amp;"$",$C$13)</f>
        <v>$\phi8@17$</v>
      </c>
      <c r="F84" s="134" t="str">
        <f>IF(F83&gt;$C$12,"$\phi"&amp;IF(VLOOKUP(VLOOKUP(F83,tablas!$R$3:$T$66,2,TRUE)&amp;VLOOKUP(F83,tablas!$R$3:$T$66,3,TRUE),tablas!$Q$3:$R$66,2,FALSE)&lt;F83,VLOOKUP(F83+0.1,tablas!$R$3:$T$66,2,TRUE),VLOOKUP(F83,tablas!$R$3:$T$66,2,TRUE))&amp;"@"&amp;IF(VLOOKUP(VLOOKUP(F83,tablas!$R$3:$T$66,2,TRUE)&amp;VLOOKUP(F83,tablas!$R$3:$T$66,3,TRUE),tablas!$Q$3:$R$66,2,FALSE)&lt;F83,VLOOKUP(F83+0.1,tablas!$R$3:$T$66,3,TRUE),VLOOKUP(F83,tablas!$R$3:$T$66,3,TRUE))&amp;"$",$C$13)</f>
        <v>$\phi8@10$</v>
      </c>
      <c r="G84" s="134" t="str">
        <f>IF(G83&gt;$C$12,"$\phi"&amp;IF(VLOOKUP(VLOOKUP(G83,tablas!$R$3:$T$66,2,TRUE)&amp;VLOOKUP(G83,tablas!$R$3:$T$66,3,TRUE),tablas!$Q$3:$R$66,2,FALSE)&lt;G83,VLOOKUP(G83+0.1,tablas!$R$3:$T$66,2,TRUE),VLOOKUP(G83,tablas!$R$3:$T$66,2,TRUE))&amp;"@"&amp;IF(VLOOKUP(VLOOKUP(G83,tablas!$R$3:$T$66,2,TRUE)&amp;VLOOKUP(G83,tablas!$R$3:$T$66,3,TRUE),tablas!$Q$3:$R$66,2,FALSE)&lt;G83,VLOOKUP(G83+0.1,tablas!$R$3:$T$66,3,TRUE),VLOOKUP(G83,tablas!$R$3:$T$66,3,TRUE))&amp;"$",$C$13)</f>
        <v>$\phi10@18$</v>
      </c>
      <c r="H84" s="134" t="str">
        <f>IF(H83&gt;$C$12,"$\phi"&amp;IF(VLOOKUP(VLOOKUP(H83,tablas!$R$3:$T$66,2,TRUE)&amp;VLOOKUP(H83,tablas!$R$3:$T$66,3,TRUE),tablas!$Q$3:$R$66,2,FALSE)&lt;H83,VLOOKUP(H83+0.1,tablas!$R$3:$T$66,2,TRUE),VLOOKUP(H83,tablas!$R$3:$T$66,2,TRUE))&amp;"@"&amp;IF(VLOOKUP(VLOOKUP(H83,tablas!$R$3:$T$66,2,TRUE)&amp;VLOOKUP(H83,tablas!$R$3:$T$66,3,TRUE),tablas!$Q$3:$R$66,2,FALSE)&lt;H83,VLOOKUP(H83+0.1,tablas!$R$3:$T$66,3,TRUE),VLOOKUP(H83,tablas!$R$3:$T$66,3,TRUE))&amp;"$",$C$13)</f>
        <v>$\phi8@17$</v>
      </c>
      <c r="I84" s="134" t="str">
        <f>IF(I83&gt;$C$12,"$\phi"&amp;IF(VLOOKUP(VLOOKUP(I83,tablas!$R$3:$T$66,2,TRUE)&amp;VLOOKUP(I83,tablas!$R$3:$T$66,3,TRUE),tablas!$Q$3:$R$66,2,FALSE)&lt;I83,VLOOKUP(I83+0.1,tablas!$R$3:$T$66,2,TRUE),VLOOKUP(I83,tablas!$R$3:$T$66,2,TRUE))&amp;"@"&amp;IF(VLOOKUP(VLOOKUP(I83,tablas!$R$3:$T$66,2,TRUE)&amp;VLOOKUP(I83,tablas!$R$3:$T$66,3,TRUE),tablas!$Q$3:$R$66,2,FALSE)&lt;I83,VLOOKUP(I83+0.1,tablas!$R$3:$T$66,3,TRUE),VLOOKUP(I83,tablas!$R$3:$T$66,3,TRUE))&amp;"$",$C$13)</f>
        <v>$\phi8@17$</v>
      </c>
      <c r="J84" s="134" t="str">
        <f>IF(J83&gt;$C$12,"$\phi"&amp;IF(VLOOKUP(VLOOKUP(J83,tablas!$R$3:$T$66,2,TRUE)&amp;VLOOKUP(J83,tablas!$R$3:$T$66,3,TRUE),tablas!$Q$3:$R$66,2,FALSE)&lt;J83,VLOOKUP(J83+0.1,tablas!$R$3:$T$66,2,TRUE),VLOOKUP(J83,tablas!$R$3:$T$66,2,TRUE))&amp;"@"&amp;IF(VLOOKUP(VLOOKUP(J83,tablas!$R$3:$T$66,2,TRUE)&amp;VLOOKUP(J83,tablas!$R$3:$T$66,3,TRUE),tablas!$Q$3:$R$66,2,FALSE)&lt;J83,VLOOKUP(J83+0.1,tablas!$R$3:$T$66,3,TRUE),VLOOKUP(J83,tablas!$R$3:$T$66,3,TRUE))&amp;"$",$C$13)</f>
        <v>$\phi8@17$</v>
      </c>
      <c r="K84" s="134" t="str">
        <f>IF(K83&gt;$C$12,"$\phi"&amp;IF(VLOOKUP(VLOOKUP(K83,tablas!$R$3:$T$66,2,TRUE)&amp;VLOOKUP(K83,tablas!$R$3:$T$66,3,TRUE),tablas!$Q$3:$R$66,2,FALSE)&lt;K83,VLOOKUP(K83+0.1,tablas!$R$3:$T$66,2,TRUE),VLOOKUP(K83,tablas!$R$3:$T$66,2,TRUE))&amp;"@"&amp;IF(VLOOKUP(VLOOKUP(K83,tablas!$R$3:$T$66,2,TRUE)&amp;VLOOKUP(K83,tablas!$R$3:$T$66,3,TRUE),tablas!$Q$3:$R$66,2,FALSE)&lt;K83,VLOOKUP(K83+0.1,tablas!$R$3:$T$66,3,TRUE),VLOOKUP(K83,tablas!$R$3:$T$66,3,TRUE))&amp;"$",$C$13)</f>
        <v>$\phi8@17$</v>
      </c>
      <c r="L84" s="134" t="str">
        <f>IF(L83&gt;$C$12,"$\phi"&amp;IF(VLOOKUP(VLOOKUP(L83,tablas!$R$3:$T$66,2,TRUE)&amp;VLOOKUP(L83,tablas!$R$3:$T$66,3,TRUE),tablas!$Q$3:$R$66,2,FALSE)&lt;L83,VLOOKUP(L83+0.1,tablas!$R$3:$T$66,2,TRUE),VLOOKUP(L83,tablas!$R$3:$T$66,2,TRUE))&amp;"@"&amp;IF(VLOOKUP(VLOOKUP(L83,tablas!$R$3:$T$66,2,TRUE)&amp;VLOOKUP(L83,tablas!$R$3:$T$66,3,TRUE),tablas!$Q$3:$R$66,2,FALSE)&lt;L83,VLOOKUP(L83+0.1,tablas!$R$3:$T$66,3,TRUE),VLOOKUP(L83,tablas!$R$3:$T$66,3,TRUE))&amp;"$",$C$13)</f>
        <v>$\phi8@17$</v>
      </c>
      <c r="M84" s="134" t="str">
        <f>IF(M83&gt;$C$12,"$\phi"&amp;IF(VLOOKUP(VLOOKUP(M83,tablas!$R$3:$T$66,2,TRUE)&amp;VLOOKUP(M83,tablas!$R$3:$T$66,3,TRUE),tablas!$Q$3:$R$66,2,FALSE)&lt;M83,VLOOKUP(M83+0.1,tablas!$R$3:$T$66,2,TRUE),VLOOKUP(M83,tablas!$R$3:$T$66,2,TRUE))&amp;"@"&amp;IF(VLOOKUP(VLOOKUP(M83,tablas!$R$3:$T$66,2,TRUE)&amp;VLOOKUP(M83,tablas!$R$3:$T$66,3,TRUE),tablas!$Q$3:$R$66,2,FALSE)&lt;M83,VLOOKUP(M83+0.1,tablas!$R$3:$T$66,3,TRUE),VLOOKUP(M83,tablas!$R$3:$T$66,3,TRUE))&amp;"$",$C$13)</f>
        <v>$\phi10@19$</v>
      </c>
      <c r="N84" s="134" t="str">
        <f>IF(N83&gt;$C$12,"$\phi"&amp;IF(VLOOKUP(VLOOKUP(N83,tablas!$R$3:$T$66,2,TRUE)&amp;VLOOKUP(N83,tablas!$R$3:$T$66,3,TRUE),tablas!$Q$3:$R$66,2,FALSE)&lt;N83,VLOOKUP(N83+0.1,tablas!$R$3:$T$66,2,TRUE),VLOOKUP(N83,tablas!$R$3:$T$66,2,TRUE))&amp;"@"&amp;IF(VLOOKUP(VLOOKUP(N83,tablas!$R$3:$T$66,2,TRUE)&amp;VLOOKUP(N83,tablas!$R$3:$T$66,3,TRUE),tablas!$Q$3:$R$66,2,FALSE)&lt;N83,VLOOKUP(N83+0.1,tablas!$R$3:$T$66,3,TRUE),VLOOKUP(N83,tablas!$R$3:$T$66,3,TRUE))&amp;"$",$C$13)</f>
        <v>$\phi8@17$</v>
      </c>
      <c r="O84" s="134" t="str">
        <f>IF(O83&gt;$C$12,"$\phi"&amp;IF(VLOOKUP(VLOOKUP(O83,tablas!$R$3:$T$66,2,TRUE)&amp;VLOOKUP(O83,tablas!$R$3:$T$66,3,TRUE),tablas!$Q$3:$R$66,2,FALSE)&lt;O83,VLOOKUP(O83+0.1,tablas!$R$3:$T$66,2,TRUE),VLOOKUP(O83,tablas!$R$3:$T$66,2,TRUE))&amp;"@"&amp;IF(VLOOKUP(VLOOKUP(O83,tablas!$R$3:$T$66,2,TRUE)&amp;VLOOKUP(O83,tablas!$R$3:$T$66,3,TRUE),tablas!$Q$3:$R$66,2,FALSE)&lt;O83,VLOOKUP(O83+0.1,tablas!$R$3:$T$66,3,TRUE),VLOOKUP(O83,tablas!$R$3:$T$66,3,TRUE))&amp;"$",$C$13)</f>
        <v>$\phi8@17$</v>
      </c>
      <c r="P84" s="134" t="str">
        <f>IF(P83&gt;$C$12,"$\phi"&amp;IF(VLOOKUP(VLOOKUP(P83,tablas!$R$3:$T$66,2,TRUE)&amp;VLOOKUP(P83,tablas!$R$3:$T$66,3,TRUE),tablas!$Q$3:$R$66,2,FALSE)&lt;P83,VLOOKUP(P83+0.1,tablas!$R$3:$T$66,2,TRUE),VLOOKUP(P83,tablas!$R$3:$T$66,2,TRUE))&amp;"@"&amp;IF(VLOOKUP(VLOOKUP(P83,tablas!$R$3:$T$66,2,TRUE)&amp;VLOOKUP(P83,tablas!$R$3:$T$66,3,TRUE),tablas!$Q$3:$R$66,2,FALSE)&lt;P83,VLOOKUP(P83+0.1,tablas!$R$3:$T$66,3,TRUE),VLOOKUP(P83,tablas!$R$3:$T$66,3,TRUE))&amp;"$",$C$13)</f>
        <v>$\phi8@17$</v>
      </c>
      <c r="Q84" s="134" t="str">
        <f>IF(Q83&gt;$C$12,"$\phi"&amp;IF(VLOOKUP(VLOOKUP(Q83,tablas!$R$3:$T$66,2,TRUE)&amp;VLOOKUP(Q83,tablas!$R$3:$T$66,3,TRUE),tablas!$Q$3:$R$66,2,FALSE)&lt;Q83,VLOOKUP(Q83+0.1,tablas!$R$3:$T$66,2,TRUE),VLOOKUP(Q83,tablas!$R$3:$T$66,2,TRUE))&amp;"@"&amp;IF(VLOOKUP(VLOOKUP(Q83,tablas!$R$3:$T$66,2,TRUE)&amp;VLOOKUP(Q83,tablas!$R$3:$T$66,3,TRUE),tablas!$Q$3:$R$66,2,FALSE)&lt;Q83,VLOOKUP(Q83+0.1,tablas!$R$3:$T$66,3,TRUE),VLOOKUP(Q83,tablas!$R$3:$T$66,3,TRUE))&amp;"$",$C$13)</f>
        <v>$\phi8@17$</v>
      </c>
      <c r="R84" s="134" t="str">
        <f>IF(R83&gt;$C$12,"$\phi"&amp;IF(VLOOKUP(VLOOKUP(R83,tablas!$R$3:$T$66,2,TRUE)&amp;VLOOKUP(R83,tablas!$R$3:$T$66,3,TRUE),tablas!$Q$3:$R$66,2,FALSE)&lt;R83,VLOOKUP(R83+0.1,tablas!$R$3:$T$66,2,TRUE),VLOOKUP(R83,tablas!$R$3:$T$66,2,TRUE))&amp;"@"&amp;IF(VLOOKUP(VLOOKUP(R83,tablas!$R$3:$T$66,2,TRUE)&amp;VLOOKUP(R83,tablas!$R$3:$T$66,3,TRUE),tablas!$Q$3:$R$66,2,FALSE)&lt;R83,VLOOKUP(R83+0.1,tablas!$R$3:$T$66,3,TRUE),VLOOKUP(R83,tablas!$R$3:$T$66,3,TRUE))&amp;"$",$C$13)</f>
        <v>$\phi8@17$</v>
      </c>
      <c r="S84" s="134" t="str">
        <f>IF(S83&gt;$C$12,"$\phi"&amp;IF(VLOOKUP(VLOOKUP(S83,tablas!$R$3:$T$66,2,TRUE)&amp;VLOOKUP(S83,tablas!$R$3:$T$66,3,TRUE),tablas!$Q$3:$R$66,2,FALSE)&lt;S83,VLOOKUP(S83+0.1,tablas!$R$3:$T$66,2,TRUE),VLOOKUP(S83,tablas!$R$3:$T$66,2,TRUE))&amp;"@"&amp;IF(VLOOKUP(VLOOKUP(S83,tablas!$R$3:$T$66,2,TRUE)&amp;VLOOKUP(S83,tablas!$R$3:$T$66,3,TRUE),tablas!$Q$3:$R$66,2,FALSE)&lt;S83,VLOOKUP(S83+0.1,tablas!$R$3:$T$66,3,TRUE),VLOOKUP(S83,tablas!$R$3:$T$66,3,TRUE))&amp;"$",$C$13)</f>
        <v>$\phi8@17$</v>
      </c>
      <c r="T84" s="134" t="str">
        <f>IF(T83&gt;$C$12,"$\phi"&amp;IF(VLOOKUP(VLOOKUP(T83,tablas!$R$3:$T$66,2,TRUE)&amp;VLOOKUP(T83,tablas!$R$3:$T$66,3,TRUE),tablas!$Q$3:$R$66,2,FALSE)&lt;T83,VLOOKUP(T83+0.1,tablas!$R$3:$T$66,2,TRUE),VLOOKUP(T83,tablas!$R$3:$T$66,2,TRUE))&amp;"@"&amp;IF(VLOOKUP(VLOOKUP(T83,tablas!$R$3:$T$66,2,TRUE)&amp;VLOOKUP(T83,tablas!$R$3:$T$66,3,TRUE),tablas!$Q$3:$R$66,2,FALSE)&lt;T83,VLOOKUP(T83+0.1,tablas!$R$3:$T$66,3,TRUE),VLOOKUP(T83,tablas!$R$3:$T$66,3,TRUE))&amp;"$",$C$13)</f>
        <v>$\phi8@17$</v>
      </c>
      <c r="U84" s="134" t="str">
        <f>IF(U83&gt;$C$12,"$\phi"&amp;IF(VLOOKUP(VLOOKUP(U83,tablas!$R$3:$T$66,2,TRUE)&amp;VLOOKUP(U83,tablas!$R$3:$T$66,3,TRUE),tablas!$Q$3:$R$66,2,FALSE)&lt;U83,VLOOKUP(U83+0.1,tablas!$R$3:$T$66,2,TRUE),VLOOKUP(U83,tablas!$R$3:$T$66,2,TRUE))&amp;"@"&amp;IF(VLOOKUP(VLOOKUP(U83,tablas!$R$3:$T$66,2,TRUE)&amp;VLOOKUP(U83,tablas!$R$3:$T$66,3,TRUE),tablas!$Q$3:$R$66,2,FALSE)&lt;U83,VLOOKUP(U83+0.1,tablas!$R$3:$T$66,3,TRUE),VLOOKUP(U83,tablas!$R$3:$T$66,3,TRUE))&amp;"$",$C$13)</f>
        <v>$\phi8@17$</v>
      </c>
      <c r="V84" s="134" t="str">
        <f>IF(V83&gt;$C$12,"$\phi"&amp;IF(VLOOKUP(VLOOKUP(V83,tablas!$R$3:$T$66,2,TRUE)&amp;VLOOKUP(V83,tablas!$R$3:$T$66,3,TRUE),tablas!$Q$3:$R$66,2,FALSE)&lt;V83,VLOOKUP(V83+0.1,tablas!$R$3:$T$66,2,TRUE),VLOOKUP(V83,tablas!$R$3:$T$66,2,TRUE))&amp;"@"&amp;IF(VLOOKUP(VLOOKUP(V83,tablas!$R$3:$T$66,2,TRUE)&amp;VLOOKUP(V83,tablas!$R$3:$T$66,3,TRUE),tablas!$Q$3:$R$66,2,FALSE)&lt;V83,VLOOKUP(V83+0.1,tablas!$R$3:$T$66,3,TRUE),VLOOKUP(V83,tablas!$R$3:$T$66,3,TRUE))&amp;"$",$C$13)</f>
        <v>$\phi8@17$</v>
      </c>
      <c r="W84" s="134" t="str">
        <f>IF(W83&gt;$C$12,"$\phi"&amp;IF(VLOOKUP(VLOOKUP(W83,tablas!$R$3:$T$66,2,TRUE)&amp;VLOOKUP(W83,tablas!$R$3:$T$66,3,TRUE),tablas!$Q$3:$R$66,2,FALSE)&lt;W83,VLOOKUP(W83+0.1,tablas!$R$3:$T$66,2,TRUE),VLOOKUP(W83,tablas!$R$3:$T$66,2,TRUE))&amp;"@"&amp;IF(VLOOKUP(VLOOKUP(W83,tablas!$R$3:$T$66,2,TRUE)&amp;VLOOKUP(W83,tablas!$R$3:$T$66,3,TRUE),tablas!$Q$3:$R$66,2,FALSE)&lt;W83,VLOOKUP(W83+0.1,tablas!$R$3:$T$66,3,TRUE),VLOOKUP(W83,tablas!$R$3:$T$66,3,TRUE))&amp;"$",$C$13)</f>
        <v>$\phi8@17$</v>
      </c>
      <c r="X84" s="134" t="str">
        <f>IF(X83&gt;$C$12,"$\phi"&amp;IF(VLOOKUP(VLOOKUP(X83,tablas!$R$3:$T$66,2,TRUE)&amp;VLOOKUP(X83,tablas!$R$3:$T$66,3,TRUE),tablas!$Q$3:$R$66,2,FALSE)&lt;X83,VLOOKUP(X83+0.1,tablas!$R$3:$T$66,2,TRUE),VLOOKUP(X83,tablas!$R$3:$T$66,2,TRUE))&amp;"@"&amp;IF(VLOOKUP(VLOOKUP(X83,tablas!$R$3:$T$66,2,TRUE)&amp;VLOOKUP(X83,tablas!$R$3:$T$66,3,TRUE),tablas!$Q$3:$R$66,2,FALSE)&lt;X83,VLOOKUP(X83+0.1,tablas!$R$3:$T$66,3,TRUE),VLOOKUP(X83,tablas!$R$3:$T$66,3,TRUE))&amp;"$",$C$13)</f>
        <v>$\phi8@17$</v>
      </c>
    </row>
    <row r="85" spans="2:26" x14ac:dyDescent="0.25">
      <c r="B85" s="96" t="s">
        <v>104</v>
      </c>
      <c r="C85" s="89">
        <f>IF(C53&lt;=2,C67/C59,IF(OR(C51=6,C51="5a",C51="3a"),C66*C48^2/17.5,(IF(OR(C51="2a",C51=4,C51="5b"),C66*C48^2/11.25,IF(OR(C51=1,C51="2b",C51="3b"),C66*C48^2/8)))))</f>
        <v>2320.2508960573477</v>
      </c>
      <c r="D85" s="89">
        <f t="shared" ref="D85:X85" si="19">IF(D53&lt;=2,D67/D59,IF(OR(D51=6,D51="5a",D51="3a"),D66*D48^2/17.5,(IF(OR(D51="2a",D51=4,D51="5b"),D66*D48^2/11.25,IF(OR(D51=1,D51="2b",D51="3b"),D66*D48^2/8)))))</f>
        <v>1216.7161572052403</v>
      </c>
      <c r="E85" s="89">
        <f t="shared" si="19"/>
        <v>1216.7161572052403</v>
      </c>
      <c r="F85" s="89">
        <f t="shared" si="19"/>
        <v>2084.7312244897957</v>
      </c>
      <c r="G85" s="89">
        <f t="shared" si="19"/>
        <v>2015.9397209302329</v>
      </c>
      <c r="H85" s="89">
        <f t="shared" si="19"/>
        <v>1323.0049261083741</v>
      </c>
      <c r="I85" s="89">
        <f t="shared" si="19"/>
        <v>479.38048780487804</v>
      </c>
      <c r="J85" s="89">
        <f t="shared" si="19"/>
        <v>155.67999999999998</v>
      </c>
      <c r="K85" s="89">
        <f t="shared" si="19"/>
        <v>667.99428571428564</v>
      </c>
      <c r="L85" s="89">
        <f t="shared" si="19"/>
        <v>1323.0049261083741</v>
      </c>
      <c r="M85" s="89">
        <f t="shared" si="19"/>
        <v>1879.8058604651167</v>
      </c>
      <c r="N85" s="89">
        <f t="shared" si="19"/>
        <v>249.29093333333336</v>
      </c>
      <c r="O85" s="89">
        <f t="shared" si="19"/>
        <v>249.29093333333336</v>
      </c>
      <c r="P85" s="89">
        <f t="shared" si="19"/>
        <v>249.29093333333336</v>
      </c>
      <c r="Q85" s="89">
        <f t="shared" si="19"/>
        <v>249.29093333333336</v>
      </c>
      <c r="R85" s="89">
        <f t="shared" si="19"/>
        <v>118.25493333333335</v>
      </c>
      <c r="S85" s="89">
        <f t="shared" si="19"/>
        <v>118.25493333333335</v>
      </c>
      <c r="T85" s="89">
        <f t="shared" si="19"/>
        <v>196.31893333333335</v>
      </c>
      <c r="U85" s="89">
        <f t="shared" si="19"/>
        <v>196.31893333333335</v>
      </c>
      <c r="V85" s="89">
        <f t="shared" si="19"/>
        <v>59.870933333333333</v>
      </c>
      <c r="W85" s="89">
        <f t="shared" si="19"/>
        <v>53.573333333333331</v>
      </c>
      <c r="X85" s="89">
        <f t="shared" si="19"/>
        <v>555.22533936651575</v>
      </c>
    </row>
    <row r="86" spans="2:26" x14ac:dyDescent="0.25">
      <c r="B86" s="97" t="s">
        <v>15</v>
      </c>
      <c r="C86" s="90">
        <f>C85/(0.9*(0.9*($C$7/100))*($L$9*1000))</f>
        <v>4.7805528689638592</v>
      </c>
      <c r="D86" s="91">
        <f>D85/(0.9*(0.9*($C$7/100))*($L$9*1000))</f>
        <v>2.5068736859129865</v>
      </c>
      <c r="E86" s="91">
        <f t="shared" ref="E86:X86" si="20">E85/(0.9*(0.9*($C$7/100))*($L$9*1000))</f>
        <v>2.5068736859129865</v>
      </c>
      <c r="F86" s="91">
        <f t="shared" si="20"/>
        <v>4.2952974840729929</v>
      </c>
      <c r="G86" s="91">
        <f t="shared" si="20"/>
        <v>4.1535622000738277</v>
      </c>
      <c r="H86" s="91">
        <f t="shared" si="20"/>
        <v>2.7258668473775192</v>
      </c>
      <c r="I86" s="91">
        <f t="shared" si="20"/>
        <v>0.98769653324778284</v>
      </c>
      <c r="J86" s="91">
        <f t="shared" si="20"/>
        <v>0.32075689396561657</v>
      </c>
      <c r="K86" s="91">
        <f t="shared" si="20"/>
        <v>1.3763089174749159</v>
      </c>
      <c r="L86" s="91">
        <f t="shared" si="20"/>
        <v>2.7258668473775192</v>
      </c>
      <c r="M86" s="91">
        <f t="shared" si="20"/>
        <v>3.8730773963332101</v>
      </c>
      <c r="N86" s="91">
        <f t="shared" si="20"/>
        <v>0.51362914613174204</v>
      </c>
      <c r="O86" s="91">
        <f t="shared" si="20"/>
        <v>0.51362914613174204</v>
      </c>
      <c r="P86" s="91">
        <f t="shared" si="20"/>
        <v>0.51362914613174204</v>
      </c>
      <c r="Q86" s="91">
        <f t="shared" si="20"/>
        <v>0.51362914613174204</v>
      </c>
      <c r="R86" s="91">
        <f t="shared" si="20"/>
        <v>0.2436477717889971</v>
      </c>
      <c r="S86" s="91">
        <f t="shared" si="20"/>
        <v>0.2436477717889971</v>
      </c>
      <c r="T86" s="91">
        <f t="shared" si="20"/>
        <v>0.40448773948254729</v>
      </c>
      <c r="U86" s="91">
        <f t="shared" si="20"/>
        <v>0.40448773948254729</v>
      </c>
      <c r="V86" s="91">
        <f t="shared" si="20"/>
        <v>0.12335569511062758</v>
      </c>
      <c r="W86" s="91">
        <f t="shared" si="20"/>
        <v>0.11038036998576974</v>
      </c>
      <c r="X86" s="91">
        <f t="shared" si="20"/>
        <v>1.1439642555640352</v>
      </c>
    </row>
    <row r="87" spans="2:26" x14ac:dyDescent="0.25">
      <c r="B87" s="97" t="s">
        <v>98</v>
      </c>
      <c r="C87" s="92">
        <f>(C86*($L$9))/(0.85*$L$6*100)</f>
        <v>7.8664999150962395E-2</v>
      </c>
      <c r="D87" s="93">
        <f>(D86*($L$9))/(0.85*$L$6*100)</f>
        <v>4.125113177896033E-2</v>
      </c>
      <c r="E87" s="93">
        <f t="shared" ref="E87:X87" si="21">(E86*($L$9))/(0.85*$L$6*100)</f>
        <v>4.125113177896033E-2</v>
      </c>
      <c r="F87" s="93">
        <f t="shared" si="21"/>
        <v>7.0680020114695916E-2</v>
      </c>
      <c r="G87" s="93">
        <f t="shared" si="21"/>
        <v>6.8347736318016078E-2</v>
      </c>
      <c r="H87" s="93">
        <f t="shared" si="21"/>
        <v>4.4854710137546258E-2</v>
      </c>
      <c r="I87" s="93">
        <f t="shared" si="21"/>
        <v>1.6252753411382201E-2</v>
      </c>
      <c r="J87" s="93">
        <f t="shared" si="21"/>
        <v>5.2781218999340216E-3</v>
      </c>
      <c r="K87" s="93">
        <f t="shared" si="21"/>
        <v>2.264745162165567E-2</v>
      </c>
      <c r="L87" s="93">
        <f t="shared" si="21"/>
        <v>4.4854710137546258E-2</v>
      </c>
      <c r="M87" s="93">
        <f t="shared" si="21"/>
        <v>6.3732300101138561E-2</v>
      </c>
      <c r="N87" s="93">
        <f t="shared" si="21"/>
        <v>8.451875222775301E-3</v>
      </c>
      <c r="O87" s="93">
        <f t="shared" si="21"/>
        <v>8.451875222775301E-3</v>
      </c>
      <c r="P87" s="93">
        <f t="shared" si="21"/>
        <v>8.451875222775301E-3</v>
      </c>
      <c r="Q87" s="93">
        <f t="shared" si="21"/>
        <v>8.451875222775301E-3</v>
      </c>
      <c r="R87" s="93">
        <f t="shared" si="21"/>
        <v>4.0092751374736927E-3</v>
      </c>
      <c r="S87" s="93">
        <f t="shared" si="21"/>
        <v>4.0092751374736927E-3</v>
      </c>
      <c r="T87" s="93">
        <f t="shared" si="21"/>
        <v>6.6559305074406086E-3</v>
      </c>
      <c r="U87" s="93">
        <f t="shared" si="21"/>
        <v>6.6559305074406086E-3</v>
      </c>
      <c r="V87" s="93">
        <f t="shared" si="21"/>
        <v>2.029843810355579E-3</v>
      </c>
      <c r="W87" s="93">
        <f t="shared" si="21"/>
        <v>1.8163321166439618E-3</v>
      </c>
      <c r="X87" s="93">
        <f t="shared" si="21"/>
        <v>1.8824171525621186E-2</v>
      </c>
    </row>
    <row r="88" spans="2:26" ht="15.75" thickBot="1" x14ac:dyDescent="0.3">
      <c r="B88" s="97" t="s">
        <v>15</v>
      </c>
      <c r="C88" s="76">
        <f>ROUNDUP(C85/(0.9*(($C$7-C87/2)/100)*($L$9*1000)),2)</f>
        <v>4.3199999999999994</v>
      </c>
      <c r="D88" s="77">
        <f>ROUNDUP(D85/(0.9*(($C$7-D87/2)/100)*($L$9*1000)),2)</f>
        <v>2.2599999999999998</v>
      </c>
      <c r="E88" s="77">
        <f t="shared" ref="E88:X88" si="22">ROUNDUP(E85/(0.9*(($C$7-E87/2)/100)*($L$9*1000)),2)</f>
        <v>2.2599999999999998</v>
      </c>
      <c r="F88" s="77">
        <f t="shared" si="22"/>
        <v>3.88</v>
      </c>
      <c r="G88" s="77">
        <f t="shared" si="22"/>
        <v>3.75</v>
      </c>
      <c r="H88" s="77">
        <f t="shared" si="22"/>
        <v>2.46</v>
      </c>
      <c r="I88" s="77">
        <f t="shared" si="22"/>
        <v>0.89</v>
      </c>
      <c r="J88" s="77">
        <f t="shared" si="22"/>
        <v>0.29000000000000004</v>
      </c>
      <c r="K88" s="77">
        <f t="shared" si="22"/>
        <v>1.24</v>
      </c>
      <c r="L88" s="77">
        <f t="shared" si="22"/>
        <v>2.46</v>
      </c>
      <c r="M88" s="77">
        <f t="shared" si="22"/>
        <v>3.5</v>
      </c>
      <c r="N88" s="77">
        <f t="shared" si="22"/>
        <v>0.47000000000000003</v>
      </c>
      <c r="O88" s="77">
        <f t="shared" si="22"/>
        <v>0.47000000000000003</v>
      </c>
      <c r="P88" s="77">
        <f t="shared" si="22"/>
        <v>0.47000000000000003</v>
      </c>
      <c r="Q88" s="77">
        <f t="shared" si="22"/>
        <v>0.47000000000000003</v>
      </c>
      <c r="R88" s="77">
        <f t="shared" si="22"/>
        <v>0.22</v>
      </c>
      <c r="S88" s="77">
        <f t="shared" si="22"/>
        <v>0.22</v>
      </c>
      <c r="T88" s="77">
        <f t="shared" si="22"/>
        <v>0.37</v>
      </c>
      <c r="U88" s="77">
        <f t="shared" si="22"/>
        <v>0.37</v>
      </c>
      <c r="V88" s="77">
        <f t="shared" si="22"/>
        <v>0.12</v>
      </c>
      <c r="W88" s="77">
        <f t="shared" si="22"/>
        <v>9.9999999999999992E-2</v>
      </c>
      <c r="X88" s="77">
        <f t="shared" si="22"/>
        <v>1.04</v>
      </c>
    </row>
    <row r="89" spans="2:26" ht="16.5" thickBot="1" x14ac:dyDescent="0.3">
      <c r="B89" s="61" t="s">
        <v>106</v>
      </c>
      <c r="C89" s="134" t="str">
        <f>IF(C88&gt;$C$12,"$\phi"&amp;IF(VLOOKUP(VLOOKUP(C88,tablas!$R$3:$T$66,2,TRUE)&amp;VLOOKUP(C88,tablas!$R$3:$T$66,3,TRUE),tablas!$Q$3:$R$66,2,FALSE)&lt;C88,VLOOKUP(C88+0.1,tablas!$R$3:$T$66,2,TRUE),VLOOKUP(C88,tablas!$R$3:$T$66,2,TRUE))&amp;"@"&amp;IF(VLOOKUP(VLOOKUP(C88,tablas!$R$3:$T$66,2,TRUE)&amp;VLOOKUP(C88,tablas!$R$3:$T$66,3,TRUE),tablas!$Q$3:$R$66,2,FALSE)&lt;C88,VLOOKUP(C88+0.1,tablas!$R$3:$T$66,3,TRUE),VLOOKUP(C88,tablas!$R$3:$T$66,3,TRUE))&amp;"$",$C$13)</f>
        <v>$\phi10@18$</v>
      </c>
      <c r="D89" s="134" t="str">
        <f>IF(D88&gt;$C$12,"$\phi"&amp;IF(VLOOKUP(VLOOKUP(D88,tablas!$R$3:$T$66,2,TRUE)&amp;VLOOKUP(D88,tablas!$R$3:$T$66,3,TRUE),tablas!$Q$3:$R$66,2,FALSE)&lt;D88,VLOOKUP(D88+0.1,tablas!$R$3:$T$66,2,TRUE),VLOOKUP(D88,tablas!$R$3:$T$66,2,TRUE))&amp;"@"&amp;IF(VLOOKUP(VLOOKUP(D88,tablas!$R$3:$T$66,2,TRUE)&amp;VLOOKUP(D88,tablas!$R$3:$T$66,3,TRUE),tablas!$Q$3:$R$66,2,FALSE)&lt;D88,VLOOKUP(D88+0.1,tablas!$R$3:$T$66,3,TRUE),VLOOKUP(D88,tablas!$R$3:$T$66,3,TRUE))&amp;"$",$C$13)</f>
        <v>$\phi8@17$</v>
      </c>
      <c r="E89" s="134" t="str">
        <f>IF(E88&gt;$C$12,"$\phi"&amp;IF(VLOOKUP(VLOOKUP(E88,tablas!$R$3:$T$66,2,TRUE)&amp;VLOOKUP(E88,tablas!$R$3:$T$66,3,TRUE),tablas!$Q$3:$R$66,2,FALSE)&lt;E88,VLOOKUP(E88+0.1,tablas!$R$3:$T$66,2,TRUE),VLOOKUP(E88,tablas!$R$3:$T$66,2,TRUE))&amp;"@"&amp;IF(VLOOKUP(VLOOKUP(E88,tablas!$R$3:$T$66,2,TRUE)&amp;VLOOKUP(E88,tablas!$R$3:$T$66,3,TRUE),tablas!$Q$3:$R$66,2,FALSE)&lt;E88,VLOOKUP(E88+0.1,tablas!$R$3:$T$66,3,TRUE),VLOOKUP(E88,tablas!$R$3:$T$66,3,TRUE))&amp;"$",$C$13)</f>
        <v>$\phi8@17$</v>
      </c>
      <c r="F89" s="134" t="str">
        <f>IF(F88&gt;$C$12,"$\phi"&amp;IF(VLOOKUP(VLOOKUP(F88,tablas!$R$3:$T$66,2,TRUE)&amp;VLOOKUP(F88,tablas!$R$3:$T$66,3,TRUE),tablas!$Q$3:$R$66,2,FALSE)&lt;F88,VLOOKUP(F88+0.1,tablas!$R$3:$T$66,2,TRUE),VLOOKUP(F88,tablas!$R$3:$T$66,2,TRUE))&amp;"@"&amp;IF(VLOOKUP(VLOOKUP(F88,tablas!$R$3:$T$66,2,TRUE)&amp;VLOOKUP(F88,tablas!$R$3:$T$66,3,TRUE),tablas!$Q$3:$R$66,2,FALSE)&lt;F88,VLOOKUP(F88+0.1,tablas!$R$3:$T$66,3,TRUE),VLOOKUP(F88,tablas!$R$3:$T$66,3,TRUE))&amp;"$",$C$13)</f>
        <v>$\phi10@20$</v>
      </c>
      <c r="G89" s="134" t="str">
        <f>IF(G88&gt;$C$12,"$\phi"&amp;IF(VLOOKUP(VLOOKUP(G88,tablas!$R$3:$T$66,2,TRUE)&amp;VLOOKUP(G88,tablas!$R$3:$T$66,3,TRUE),tablas!$Q$3:$R$66,2,FALSE)&lt;G88,VLOOKUP(G88+0.1,tablas!$R$3:$T$66,2,TRUE),VLOOKUP(G88,tablas!$R$3:$T$66,2,TRUE))&amp;"@"&amp;IF(VLOOKUP(VLOOKUP(G88,tablas!$R$3:$T$66,2,TRUE)&amp;VLOOKUP(G88,tablas!$R$3:$T$66,3,TRUE),tablas!$Q$3:$R$66,2,FALSE)&lt;G88,VLOOKUP(G88+0.1,tablas!$R$3:$T$66,3,TRUE),VLOOKUP(G88,tablas!$R$3:$T$66,3,TRUE))&amp;"$",$C$13)</f>
        <v>$\phi10@21$</v>
      </c>
      <c r="H89" s="134" t="str">
        <f>IF(H88&gt;$C$12,"$\phi"&amp;IF(VLOOKUP(VLOOKUP(H88,tablas!$R$3:$T$66,2,TRUE)&amp;VLOOKUP(H88,tablas!$R$3:$T$66,3,TRUE),tablas!$Q$3:$R$66,2,FALSE)&lt;H88,VLOOKUP(H88+0.1,tablas!$R$3:$T$66,2,TRUE),VLOOKUP(H88,tablas!$R$3:$T$66,2,TRUE))&amp;"@"&amp;IF(VLOOKUP(VLOOKUP(H88,tablas!$R$3:$T$66,2,TRUE)&amp;VLOOKUP(H88,tablas!$R$3:$T$66,3,TRUE),tablas!$Q$3:$R$66,2,FALSE)&lt;H88,VLOOKUP(H88+0.1,tablas!$R$3:$T$66,3,TRUE),VLOOKUP(H88,tablas!$R$3:$T$66,3,TRUE))&amp;"$",$C$13)</f>
        <v>$\phi8@17$</v>
      </c>
      <c r="I89" s="134" t="str">
        <f>IF(I88&gt;$C$12,"$\phi"&amp;IF(VLOOKUP(VLOOKUP(I88,tablas!$R$3:$T$66,2,TRUE)&amp;VLOOKUP(I88,tablas!$R$3:$T$66,3,TRUE),tablas!$Q$3:$R$66,2,FALSE)&lt;I88,VLOOKUP(I88+0.1,tablas!$R$3:$T$66,2,TRUE),VLOOKUP(I88,tablas!$R$3:$T$66,2,TRUE))&amp;"@"&amp;IF(VLOOKUP(VLOOKUP(I88,tablas!$R$3:$T$66,2,TRUE)&amp;VLOOKUP(I88,tablas!$R$3:$T$66,3,TRUE),tablas!$Q$3:$R$66,2,FALSE)&lt;I88,VLOOKUP(I88+0.1,tablas!$R$3:$T$66,3,TRUE),VLOOKUP(I88,tablas!$R$3:$T$66,3,TRUE))&amp;"$",$C$13)</f>
        <v>$\phi8@17$</v>
      </c>
      <c r="J89" s="134" t="str">
        <f>IF(J88&gt;$C$12,"$\phi"&amp;IF(VLOOKUP(VLOOKUP(J88,tablas!$R$3:$T$66,2,TRUE)&amp;VLOOKUP(J88,tablas!$R$3:$T$66,3,TRUE),tablas!$Q$3:$R$66,2,FALSE)&lt;J88,VLOOKUP(J88+0.1,tablas!$R$3:$T$66,2,TRUE),VLOOKUP(J88,tablas!$R$3:$T$66,2,TRUE))&amp;"@"&amp;IF(VLOOKUP(VLOOKUP(J88,tablas!$R$3:$T$66,2,TRUE)&amp;VLOOKUP(J88,tablas!$R$3:$T$66,3,TRUE),tablas!$Q$3:$R$66,2,FALSE)&lt;J88,VLOOKUP(J88+0.1,tablas!$R$3:$T$66,3,TRUE),VLOOKUP(J88,tablas!$R$3:$T$66,3,TRUE))&amp;"$",$C$13)</f>
        <v>$\phi8@17$</v>
      </c>
      <c r="K89" s="134" t="str">
        <f>IF(K88&gt;$C$12,"$\phi"&amp;IF(VLOOKUP(VLOOKUP(K88,tablas!$R$3:$T$66,2,TRUE)&amp;VLOOKUP(K88,tablas!$R$3:$T$66,3,TRUE),tablas!$Q$3:$R$66,2,FALSE)&lt;K88,VLOOKUP(K88+0.1,tablas!$R$3:$T$66,2,TRUE),VLOOKUP(K88,tablas!$R$3:$T$66,2,TRUE))&amp;"@"&amp;IF(VLOOKUP(VLOOKUP(K88,tablas!$R$3:$T$66,2,TRUE)&amp;VLOOKUP(K88,tablas!$R$3:$T$66,3,TRUE),tablas!$Q$3:$R$66,2,FALSE)&lt;K88,VLOOKUP(K88+0.1,tablas!$R$3:$T$66,3,TRUE),VLOOKUP(K88,tablas!$R$3:$T$66,3,TRUE))&amp;"$",$C$13)</f>
        <v>$\phi8@17$</v>
      </c>
      <c r="L89" s="134" t="str">
        <f>IF(L88&gt;$C$12,"$\phi"&amp;IF(VLOOKUP(VLOOKUP(L88,tablas!$R$3:$T$66,2,TRUE)&amp;VLOOKUP(L88,tablas!$R$3:$T$66,3,TRUE),tablas!$Q$3:$R$66,2,FALSE)&lt;L88,VLOOKUP(L88+0.1,tablas!$R$3:$T$66,2,TRUE),VLOOKUP(L88,tablas!$R$3:$T$66,2,TRUE))&amp;"@"&amp;IF(VLOOKUP(VLOOKUP(L88,tablas!$R$3:$T$66,2,TRUE)&amp;VLOOKUP(L88,tablas!$R$3:$T$66,3,TRUE),tablas!$Q$3:$R$66,2,FALSE)&lt;L88,VLOOKUP(L88+0.1,tablas!$R$3:$T$66,3,TRUE),VLOOKUP(L88,tablas!$R$3:$T$66,3,TRUE))&amp;"$",$C$13)</f>
        <v>$\phi8@17$</v>
      </c>
      <c r="M89" s="134" t="str">
        <f>IF(M88&gt;$C$12,"$\phi"&amp;IF(VLOOKUP(VLOOKUP(M88,tablas!$R$3:$T$66,2,TRUE)&amp;VLOOKUP(M88,tablas!$R$3:$T$66,3,TRUE),tablas!$Q$3:$R$66,2,FALSE)&lt;M88,VLOOKUP(M88+0.1,tablas!$R$3:$T$66,2,TRUE),VLOOKUP(M88,tablas!$R$3:$T$66,2,TRUE))&amp;"@"&amp;IF(VLOOKUP(VLOOKUP(M88,tablas!$R$3:$T$66,2,TRUE)&amp;VLOOKUP(M88,tablas!$R$3:$T$66,3,TRUE),tablas!$Q$3:$R$66,2,FALSE)&lt;M88,VLOOKUP(M88+0.1,tablas!$R$3:$T$66,3,TRUE),VLOOKUP(M88,tablas!$R$3:$T$66,3,TRUE))&amp;"$",$C$13)</f>
        <v>$\phi8@14$</v>
      </c>
      <c r="N89" s="134" t="str">
        <f>IF(N88&gt;$C$12,"$\phi"&amp;IF(VLOOKUP(VLOOKUP(N88,tablas!$R$3:$T$66,2,TRUE)&amp;VLOOKUP(N88,tablas!$R$3:$T$66,3,TRUE),tablas!$Q$3:$R$66,2,FALSE)&lt;N88,VLOOKUP(N88+0.1,tablas!$R$3:$T$66,2,TRUE),VLOOKUP(N88,tablas!$R$3:$T$66,2,TRUE))&amp;"@"&amp;IF(VLOOKUP(VLOOKUP(N88,tablas!$R$3:$T$66,2,TRUE)&amp;VLOOKUP(N88,tablas!$R$3:$T$66,3,TRUE),tablas!$Q$3:$R$66,2,FALSE)&lt;N88,VLOOKUP(N88+0.1,tablas!$R$3:$T$66,3,TRUE),VLOOKUP(N88,tablas!$R$3:$T$66,3,TRUE))&amp;"$",$C$13)</f>
        <v>$\phi8@17$</v>
      </c>
      <c r="O89" s="134" t="str">
        <f>IF(O88&gt;$C$12,"$\phi"&amp;IF(VLOOKUP(VLOOKUP(O88,tablas!$R$3:$T$66,2,TRUE)&amp;VLOOKUP(O88,tablas!$R$3:$T$66,3,TRUE),tablas!$Q$3:$R$66,2,FALSE)&lt;O88,VLOOKUP(O88+0.1,tablas!$R$3:$T$66,2,TRUE),VLOOKUP(O88,tablas!$R$3:$T$66,2,TRUE))&amp;"@"&amp;IF(VLOOKUP(VLOOKUP(O88,tablas!$R$3:$T$66,2,TRUE)&amp;VLOOKUP(O88,tablas!$R$3:$T$66,3,TRUE),tablas!$Q$3:$R$66,2,FALSE)&lt;O88,VLOOKUP(O88+0.1,tablas!$R$3:$T$66,3,TRUE),VLOOKUP(O88,tablas!$R$3:$T$66,3,TRUE))&amp;"$",$C$13)</f>
        <v>$\phi8@17$</v>
      </c>
      <c r="P89" s="134" t="str">
        <f>IF(P88&gt;$C$12,"$\phi"&amp;IF(VLOOKUP(VLOOKUP(P88,tablas!$R$3:$T$66,2,TRUE)&amp;VLOOKUP(P88,tablas!$R$3:$T$66,3,TRUE),tablas!$Q$3:$R$66,2,FALSE)&lt;P88,VLOOKUP(P88+0.1,tablas!$R$3:$T$66,2,TRUE),VLOOKUP(P88,tablas!$R$3:$T$66,2,TRUE))&amp;"@"&amp;IF(VLOOKUP(VLOOKUP(P88,tablas!$R$3:$T$66,2,TRUE)&amp;VLOOKUP(P88,tablas!$R$3:$T$66,3,TRUE),tablas!$Q$3:$R$66,2,FALSE)&lt;P88,VLOOKUP(P88+0.1,tablas!$R$3:$T$66,3,TRUE),VLOOKUP(P88,tablas!$R$3:$T$66,3,TRUE))&amp;"$",$C$13)</f>
        <v>$\phi8@17$</v>
      </c>
      <c r="Q89" s="134" t="str">
        <f>IF(Q88&gt;$C$12,"$\phi"&amp;IF(VLOOKUP(VLOOKUP(Q88,tablas!$R$3:$T$66,2,TRUE)&amp;VLOOKUP(Q88,tablas!$R$3:$T$66,3,TRUE),tablas!$Q$3:$R$66,2,FALSE)&lt;Q88,VLOOKUP(Q88+0.1,tablas!$R$3:$T$66,2,TRUE),VLOOKUP(Q88,tablas!$R$3:$T$66,2,TRUE))&amp;"@"&amp;IF(VLOOKUP(VLOOKUP(Q88,tablas!$R$3:$T$66,2,TRUE)&amp;VLOOKUP(Q88,tablas!$R$3:$T$66,3,TRUE),tablas!$Q$3:$R$66,2,FALSE)&lt;Q88,VLOOKUP(Q88+0.1,tablas!$R$3:$T$66,3,TRUE),VLOOKUP(Q88,tablas!$R$3:$T$66,3,TRUE))&amp;"$",$C$13)</f>
        <v>$\phi8@17$</v>
      </c>
      <c r="R89" s="134" t="str">
        <f>IF(R88&gt;$C$12,"$\phi"&amp;IF(VLOOKUP(VLOOKUP(R88,tablas!$R$3:$T$66,2,TRUE)&amp;VLOOKUP(R88,tablas!$R$3:$T$66,3,TRUE),tablas!$Q$3:$R$66,2,FALSE)&lt;R88,VLOOKUP(R88+0.1,tablas!$R$3:$T$66,2,TRUE),VLOOKUP(R88,tablas!$R$3:$T$66,2,TRUE))&amp;"@"&amp;IF(VLOOKUP(VLOOKUP(R88,tablas!$R$3:$T$66,2,TRUE)&amp;VLOOKUP(R88,tablas!$R$3:$T$66,3,TRUE),tablas!$Q$3:$R$66,2,FALSE)&lt;R88,VLOOKUP(R88+0.1,tablas!$R$3:$T$66,3,TRUE),VLOOKUP(R88,tablas!$R$3:$T$66,3,TRUE))&amp;"$",$C$13)</f>
        <v>$\phi8@17$</v>
      </c>
      <c r="S89" s="134" t="str">
        <f>IF(S88&gt;$C$12,"$\phi"&amp;IF(VLOOKUP(VLOOKUP(S88,tablas!$R$3:$T$66,2,TRUE)&amp;VLOOKUP(S88,tablas!$R$3:$T$66,3,TRUE),tablas!$Q$3:$R$66,2,FALSE)&lt;S88,VLOOKUP(S88+0.1,tablas!$R$3:$T$66,2,TRUE),VLOOKUP(S88,tablas!$R$3:$T$66,2,TRUE))&amp;"@"&amp;IF(VLOOKUP(VLOOKUP(S88,tablas!$R$3:$T$66,2,TRUE)&amp;VLOOKUP(S88,tablas!$R$3:$T$66,3,TRUE),tablas!$Q$3:$R$66,2,FALSE)&lt;S88,VLOOKUP(S88+0.1,tablas!$R$3:$T$66,3,TRUE),VLOOKUP(S88,tablas!$R$3:$T$66,3,TRUE))&amp;"$",$C$13)</f>
        <v>$\phi8@17$</v>
      </c>
      <c r="T89" s="134" t="str">
        <f>IF(T88&gt;$C$12,"$\phi"&amp;IF(VLOOKUP(VLOOKUP(T88,tablas!$R$3:$T$66,2,TRUE)&amp;VLOOKUP(T88,tablas!$R$3:$T$66,3,TRUE),tablas!$Q$3:$R$66,2,FALSE)&lt;T88,VLOOKUP(T88+0.1,tablas!$R$3:$T$66,2,TRUE),VLOOKUP(T88,tablas!$R$3:$T$66,2,TRUE))&amp;"@"&amp;IF(VLOOKUP(VLOOKUP(T88,tablas!$R$3:$T$66,2,TRUE)&amp;VLOOKUP(T88,tablas!$R$3:$T$66,3,TRUE),tablas!$Q$3:$R$66,2,FALSE)&lt;T88,VLOOKUP(T88+0.1,tablas!$R$3:$T$66,3,TRUE),VLOOKUP(T88,tablas!$R$3:$T$66,3,TRUE))&amp;"$",$C$13)</f>
        <v>$\phi8@17$</v>
      </c>
      <c r="U89" s="134" t="str">
        <f>IF(U88&gt;$C$12,"$\phi"&amp;IF(VLOOKUP(VLOOKUP(U88,tablas!$R$3:$T$66,2,TRUE)&amp;VLOOKUP(U88,tablas!$R$3:$T$66,3,TRUE),tablas!$Q$3:$R$66,2,FALSE)&lt;U88,VLOOKUP(U88+0.1,tablas!$R$3:$T$66,2,TRUE),VLOOKUP(U88,tablas!$R$3:$T$66,2,TRUE))&amp;"@"&amp;IF(VLOOKUP(VLOOKUP(U88,tablas!$R$3:$T$66,2,TRUE)&amp;VLOOKUP(U88,tablas!$R$3:$T$66,3,TRUE),tablas!$Q$3:$R$66,2,FALSE)&lt;U88,VLOOKUP(U88+0.1,tablas!$R$3:$T$66,3,TRUE),VLOOKUP(U88,tablas!$R$3:$T$66,3,TRUE))&amp;"$",$C$13)</f>
        <v>$\phi8@17$</v>
      </c>
      <c r="V89" s="134" t="str">
        <f>IF(V88&gt;$C$12,"$\phi"&amp;IF(VLOOKUP(VLOOKUP(V88,tablas!$R$3:$T$66,2,TRUE)&amp;VLOOKUP(V88,tablas!$R$3:$T$66,3,TRUE),tablas!$Q$3:$R$66,2,FALSE)&lt;V88,VLOOKUP(V88+0.1,tablas!$R$3:$T$66,2,TRUE),VLOOKUP(V88,tablas!$R$3:$T$66,2,TRUE))&amp;"@"&amp;IF(VLOOKUP(VLOOKUP(V88,tablas!$R$3:$T$66,2,TRUE)&amp;VLOOKUP(V88,tablas!$R$3:$T$66,3,TRUE),tablas!$Q$3:$R$66,2,FALSE)&lt;V88,VLOOKUP(V88+0.1,tablas!$R$3:$T$66,3,TRUE),VLOOKUP(V88,tablas!$R$3:$T$66,3,TRUE))&amp;"$",$C$13)</f>
        <v>$\phi8@17$</v>
      </c>
      <c r="W89" s="134" t="str">
        <f>IF(W88&gt;$C$12,"$\phi"&amp;IF(VLOOKUP(VLOOKUP(W88,tablas!$R$3:$T$66,2,TRUE)&amp;VLOOKUP(W88,tablas!$R$3:$T$66,3,TRUE),tablas!$Q$3:$R$66,2,FALSE)&lt;W88,VLOOKUP(W88+0.1,tablas!$R$3:$T$66,2,TRUE),VLOOKUP(W88,tablas!$R$3:$T$66,2,TRUE))&amp;"@"&amp;IF(VLOOKUP(VLOOKUP(W88,tablas!$R$3:$T$66,2,TRUE)&amp;VLOOKUP(W88,tablas!$R$3:$T$66,3,TRUE),tablas!$Q$3:$R$66,2,FALSE)&lt;W88,VLOOKUP(W88+0.1,tablas!$R$3:$T$66,3,TRUE),VLOOKUP(W88,tablas!$R$3:$T$66,3,TRUE))&amp;"$",$C$13)</f>
        <v>$\phi8@17$</v>
      </c>
      <c r="X89" s="134" t="str">
        <f>IF(X88&gt;$C$12,"$\phi"&amp;IF(VLOOKUP(VLOOKUP(X88,tablas!$R$3:$T$66,2,TRUE)&amp;VLOOKUP(X88,tablas!$R$3:$T$66,3,TRUE),tablas!$Q$3:$R$66,2,FALSE)&lt;X88,VLOOKUP(X88+0.1,tablas!$R$3:$T$66,2,TRUE),VLOOKUP(X88,tablas!$R$3:$T$66,2,TRUE))&amp;"@"&amp;IF(VLOOKUP(VLOOKUP(X88,tablas!$R$3:$T$66,2,TRUE)&amp;VLOOKUP(X88,tablas!$R$3:$T$66,3,TRUE),tablas!$Q$3:$R$66,2,FALSE)&lt;X88,VLOOKUP(X88+0.1,tablas!$R$3:$T$66,3,TRUE),VLOOKUP(X88,tablas!$R$3:$T$66,3,TRUE))&amp;"$",$C$13)</f>
        <v>$\phi8@17$</v>
      </c>
    </row>
    <row r="90" spans="2:26" x14ac:dyDescent="0.25">
      <c r="C90" t="str">
        <f>IF(AND(C74='2 a 7'!C74,'8 a 13'!C79='2 a 7'!C79,'8 a 13'!C84='2 a 7'!C84,'8 a 13'!C89='2 a 7'!C89),"IGUAL","PUTA LA WEA")</f>
        <v>IGUAL</v>
      </c>
      <c r="D90" t="str">
        <f>IF(AND(D74='2 a 7'!D74,'8 a 13'!D79='2 a 7'!D79,'8 a 13'!D84='2 a 7'!D84,'8 a 13'!D89='2 a 7'!D89),"IGUAL","PUTA LA WEA")</f>
        <v>IGUAL</v>
      </c>
      <c r="E90" t="str">
        <f>IF(AND(E74='2 a 7'!E74,'8 a 13'!E79='2 a 7'!E79,'8 a 13'!E84='2 a 7'!E84,'8 a 13'!E89='2 a 7'!E89),"IGUAL","PUTA LA WEA")</f>
        <v>IGUAL</v>
      </c>
      <c r="F90" t="str">
        <f>IF(AND(F74='2 a 7'!F74,'8 a 13'!F79='2 a 7'!F79,'8 a 13'!F84='2 a 7'!F84,'8 a 13'!F89='2 a 7'!F89),"IGUAL","PUTA LA WEA")</f>
        <v>IGUAL</v>
      </c>
      <c r="G90" t="str">
        <f>IF(AND(G74='2 a 7'!G74,'8 a 13'!G79='2 a 7'!G79,'8 a 13'!G84='2 a 7'!G84,'8 a 13'!G89='2 a 7'!G89),"IGUAL","PUTA LA WEA")</f>
        <v>IGUAL</v>
      </c>
      <c r="H90" t="str">
        <f>IF(AND(H74='2 a 7'!H74,'8 a 13'!H79='2 a 7'!H79,'8 a 13'!H84='2 a 7'!H84,'8 a 13'!H89='2 a 7'!H89),"IGUAL","PUTA LA WEA")</f>
        <v>IGUAL</v>
      </c>
      <c r="I90" t="str">
        <f>IF(AND(I74='2 a 7'!I74,'8 a 13'!I79='2 a 7'!I79,'8 a 13'!I84='2 a 7'!I84,'8 a 13'!I89='2 a 7'!I89),"IGUAL","PUTA LA WEA")</f>
        <v>IGUAL</v>
      </c>
      <c r="J90" t="str">
        <f>IF(AND(J74='2 a 7'!J74,'8 a 13'!J79='2 a 7'!J79,'8 a 13'!J84='2 a 7'!J84,'8 a 13'!J89='2 a 7'!J89),"IGUAL","PUTA LA WEA")</f>
        <v>IGUAL</v>
      </c>
      <c r="K90" t="str">
        <f>IF(AND(K74='2 a 7'!K74,'8 a 13'!K79='2 a 7'!K79,'8 a 13'!K84='2 a 7'!K84,'8 a 13'!K89='2 a 7'!K89),"IGUAL","PUTA LA WEA")</f>
        <v>IGUAL</v>
      </c>
      <c r="L90" t="str">
        <f>IF(AND(L74='2 a 7'!L74,'8 a 13'!L79='2 a 7'!L79,'8 a 13'!L84='2 a 7'!L84,'8 a 13'!L89='2 a 7'!L89),"IGUAL","PUTA LA WEA")</f>
        <v>IGUAL</v>
      </c>
      <c r="M90" t="str">
        <f>IF(AND(M74='2 a 7'!M74,'8 a 13'!M79='2 a 7'!M79,'8 a 13'!M84='2 a 7'!M84,'8 a 13'!M89='2 a 7'!M89),"IGUAL","PUTA LA WEA")</f>
        <v>IGUAL</v>
      </c>
      <c r="N90" t="str">
        <f>IF(AND(N74='2 a 7'!N74,'8 a 13'!N79='2 a 7'!N79,'8 a 13'!N84='2 a 7'!N84,'8 a 13'!N89='2 a 7'!N89),"IGUAL","PUTA LA WEA")</f>
        <v>IGUAL</v>
      </c>
      <c r="O90" t="str">
        <f>IF(AND(O74='2 a 7'!O74,'8 a 13'!O79='2 a 7'!O79,'8 a 13'!O84='2 a 7'!O84,'8 a 13'!O89='2 a 7'!O89),"IGUAL","PUTA LA WEA")</f>
        <v>IGUAL</v>
      </c>
      <c r="P90" t="str">
        <f>IF(AND(P74='2 a 7'!P74,'8 a 13'!P79='2 a 7'!P79,'8 a 13'!P84='2 a 7'!P84,'8 a 13'!P89='2 a 7'!P89),"IGUAL","PUTA LA WEA")</f>
        <v>IGUAL</v>
      </c>
      <c r="Q90" t="str">
        <f>IF(AND(Q74='2 a 7'!Q74,'8 a 13'!Q79='2 a 7'!Q79,'8 a 13'!Q84='2 a 7'!Q84,'8 a 13'!Q89='2 a 7'!Q89),"IGUAL","PUTA LA WEA")</f>
        <v>IGUAL</v>
      </c>
      <c r="R90" t="str">
        <f>IF(AND(R74='2 a 7'!R74,'8 a 13'!R79='2 a 7'!R79,'8 a 13'!R84='2 a 7'!R84,'8 a 13'!R89='2 a 7'!R89),"IGUAL","PUTA LA WEA")</f>
        <v>IGUAL</v>
      </c>
      <c r="S90" t="str">
        <f>IF(AND(S74='2 a 7'!S74,'8 a 13'!S79='2 a 7'!S79,'8 a 13'!S84='2 a 7'!S84,'8 a 13'!S89='2 a 7'!S89),"IGUAL","PUTA LA WEA")</f>
        <v>IGUAL</v>
      </c>
      <c r="T90" t="str">
        <f>IF(AND(T74='2 a 7'!T74,'8 a 13'!T79='2 a 7'!T79,'8 a 13'!T84='2 a 7'!T84,'8 a 13'!T89='2 a 7'!T89),"IGUAL","PUTA LA WEA")</f>
        <v>IGUAL</v>
      </c>
      <c r="U90" t="str">
        <f>IF(AND(U74='2 a 7'!U74,'8 a 13'!U79='2 a 7'!U79,'8 a 13'!U84='2 a 7'!U84,'8 a 13'!U89='2 a 7'!U89),"IGUAL","PUTA LA WEA")</f>
        <v>IGUAL</v>
      </c>
      <c r="V90" t="str">
        <f>IF(AND(V74='2 a 7'!V74,'8 a 13'!V79='2 a 7'!V79,'8 a 13'!V84='2 a 7'!V84,'8 a 13'!V89='2 a 7'!V89),"IGUAL","PUTA LA WEA")</f>
        <v>IGUAL</v>
      </c>
      <c r="W90" t="str">
        <f>IF(AND(W74='2 a 7'!W74,'8 a 13'!W79='2 a 7'!W79,'8 a 13'!W84='2 a 7'!W84,'8 a 13'!W89='2 a 7'!W89),"IGUAL","PUTA LA WEA")</f>
        <v>IGUAL</v>
      </c>
      <c r="X90" t="str">
        <f>IF(AND(X74='2 a 7'!X74,'8 a 13'!X79='2 a 7'!X79,'8 a 13'!X84='2 a 7'!X84,'8 a 13'!X89='2 a 7'!X89),"IGUAL","PUTA LA WEA")</f>
        <v>IGUAL</v>
      </c>
    </row>
    <row r="91" spans="2:26" ht="15.75" thickBot="1" x14ac:dyDescent="0.3">
      <c r="B91" s="219" t="s">
        <v>107</v>
      </c>
      <c r="C91" s="219"/>
      <c r="P91" s="40"/>
      <c r="T91" s="40"/>
      <c r="U91" s="41"/>
    </row>
    <row r="92" spans="2:26" ht="15.75" thickBot="1" x14ac:dyDescent="0.3">
      <c r="B92" s="73" t="s">
        <v>43</v>
      </c>
      <c r="C92" s="74" t="s">
        <v>163</v>
      </c>
      <c r="D92" s="75" t="s">
        <v>165</v>
      </c>
      <c r="E92" s="74" t="s">
        <v>163</v>
      </c>
      <c r="F92" s="75" t="s">
        <v>168</v>
      </c>
      <c r="G92" s="74" t="s">
        <v>163</v>
      </c>
      <c r="H92" s="75" t="s">
        <v>169</v>
      </c>
      <c r="I92" s="74" t="s">
        <v>163</v>
      </c>
      <c r="J92" s="75" t="s">
        <v>175</v>
      </c>
      <c r="K92" s="74" t="s">
        <v>163</v>
      </c>
      <c r="L92" s="75" t="s">
        <v>184</v>
      </c>
      <c r="M92" s="74" t="s">
        <v>165</v>
      </c>
      <c r="N92" s="75" t="s">
        <v>166</v>
      </c>
      <c r="O92" s="74" t="s">
        <v>165</v>
      </c>
      <c r="P92" s="75" t="s">
        <v>171</v>
      </c>
      <c r="Q92" s="74" t="s">
        <v>165</v>
      </c>
      <c r="R92" s="75" t="s">
        <v>176</v>
      </c>
      <c r="S92" s="74" t="s">
        <v>166</v>
      </c>
      <c r="T92" s="75" t="s">
        <v>177</v>
      </c>
      <c r="U92" s="74" t="s">
        <v>166</v>
      </c>
      <c r="V92" s="75" t="s">
        <v>171</v>
      </c>
      <c r="W92" s="74" t="s">
        <v>166</v>
      </c>
      <c r="X92" s="75" t="s">
        <v>167</v>
      </c>
      <c r="Y92" s="74" t="s">
        <v>167</v>
      </c>
      <c r="Z92" s="75" t="s">
        <v>178</v>
      </c>
    </row>
    <row r="93" spans="2:26" ht="15.75" hidden="1" thickBot="1" x14ac:dyDescent="0.3">
      <c r="B93" s="144"/>
      <c r="C93" s="146" t="str">
        <f>C92&amp;"-"&amp;D92</f>
        <v>801-802</v>
      </c>
      <c r="D93" s="146"/>
      <c r="E93" s="146" t="str">
        <f>E92&amp;"-"&amp;F92</f>
        <v>801-805</v>
      </c>
      <c r="F93" s="145"/>
      <c r="G93" s="146" t="str">
        <f>G92&amp;"-"&amp;H92</f>
        <v>801-806</v>
      </c>
      <c r="H93" s="145"/>
      <c r="I93" s="146" t="str">
        <f>I92&amp;"-"&amp;J92</f>
        <v>801-812</v>
      </c>
      <c r="J93" s="145"/>
      <c r="K93" s="146" t="str">
        <f>K92&amp;"-"&amp;L92</f>
        <v>801-821</v>
      </c>
      <c r="L93" s="145"/>
      <c r="M93" s="146" t="str">
        <f>M92&amp;"-"&amp;N92</f>
        <v>802-803</v>
      </c>
      <c r="N93" s="145"/>
      <c r="O93" s="146" t="str">
        <f>O92&amp;"-"&amp;P92</f>
        <v>802-808</v>
      </c>
      <c r="P93" s="145"/>
      <c r="Q93" s="146" t="str">
        <f>Q92&amp;"-"&amp;R92</f>
        <v>802-813</v>
      </c>
      <c r="R93" s="145"/>
      <c r="S93" s="146" t="str">
        <f>S92&amp;"-"&amp;T92</f>
        <v>803-814</v>
      </c>
      <c r="T93" s="145"/>
      <c r="U93" s="146" t="str">
        <f>U92&amp;"-"&amp;V92</f>
        <v>803-808</v>
      </c>
      <c r="V93" s="145"/>
      <c r="W93" s="146" t="str">
        <f>W92&amp;"-"&amp;X92</f>
        <v>803-804</v>
      </c>
      <c r="X93" s="145"/>
      <c r="Y93" s="146" t="str">
        <f>Y92&amp;"-"&amp;Z92</f>
        <v>804-815</v>
      </c>
      <c r="Z93" s="145"/>
    </row>
    <row r="94" spans="2:26" x14ac:dyDescent="0.25">
      <c r="B94" s="105" t="s">
        <v>114</v>
      </c>
      <c r="C94" s="102" t="s">
        <v>109</v>
      </c>
      <c r="D94" s="103" t="s">
        <v>109</v>
      </c>
      <c r="E94" s="102" t="s">
        <v>108</v>
      </c>
      <c r="F94" s="103" t="s">
        <v>108</v>
      </c>
      <c r="G94" s="102" t="s">
        <v>108</v>
      </c>
      <c r="H94" s="103" t="s">
        <v>109</v>
      </c>
      <c r="I94" s="102" t="s">
        <v>108</v>
      </c>
      <c r="J94" s="103" t="s">
        <v>108</v>
      </c>
      <c r="K94" s="102" t="s">
        <v>109</v>
      </c>
      <c r="L94" s="103" t="s">
        <v>108</v>
      </c>
      <c r="M94" s="102" t="s">
        <v>109</v>
      </c>
      <c r="N94" s="103" t="s">
        <v>109</v>
      </c>
      <c r="O94" s="102" t="s">
        <v>108</v>
      </c>
      <c r="P94" s="103" t="s">
        <v>108</v>
      </c>
      <c r="Q94" s="102" t="s">
        <v>108</v>
      </c>
      <c r="R94" s="103" t="s">
        <v>108</v>
      </c>
      <c r="S94" s="102" t="s">
        <v>108</v>
      </c>
      <c r="T94" s="103" t="s">
        <v>108</v>
      </c>
      <c r="U94" s="102" t="s">
        <v>108</v>
      </c>
      <c r="V94" s="103" t="s">
        <v>108</v>
      </c>
      <c r="W94" s="102" t="s">
        <v>109</v>
      </c>
      <c r="X94" s="103" t="s">
        <v>109</v>
      </c>
      <c r="Y94" s="102" t="s">
        <v>108</v>
      </c>
      <c r="Z94" s="103" t="s">
        <v>108</v>
      </c>
    </row>
    <row r="95" spans="2:26" x14ac:dyDescent="0.25">
      <c r="B95" s="106" t="s">
        <v>110</v>
      </c>
      <c r="C95" s="104">
        <f t="shared" ref="C95:K95" si="23">HLOOKUP(C92,$B$46:$V$89,IF(C94="x",35,40),FALSE)</f>
        <v>2320.2508960573477</v>
      </c>
      <c r="D95" s="86">
        <f t="shared" si="23"/>
        <v>1216.7161572052403</v>
      </c>
      <c r="E95" s="104">
        <f t="shared" si="23"/>
        <v>3157.8048780487807</v>
      </c>
      <c r="F95" s="86">
        <f t="shared" si="23"/>
        <v>2330.2529032258067</v>
      </c>
      <c r="G95" s="104">
        <f t="shared" si="23"/>
        <v>3157.8048780487807</v>
      </c>
      <c r="H95" s="86">
        <f t="shared" si="23"/>
        <v>1323.0049261083741</v>
      </c>
      <c r="I95" s="104">
        <f t="shared" si="23"/>
        <v>3157.8048780487807</v>
      </c>
      <c r="J95" s="86">
        <f t="shared" si="23"/>
        <v>350.56537500000002</v>
      </c>
      <c r="K95" s="104">
        <f t="shared" si="23"/>
        <v>2320.2508960573477</v>
      </c>
      <c r="L95" s="86">
        <f>HLOOKUP(L92,$B$46:$X$89,IF(L94="x",35,40),FALSE)</f>
        <v>75.337499999999991</v>
      </c>
      <c r="M95" s="104">
        <f t="shared" ref="M95:Z95" si="24">HLOOKUP(M92,$B$46:$X$89,IF(M94="x",35,40),FALSE)</f>
        <v>1216.7161572052403</v>
      </c>
      <c r="N95" s="86">
        <f t="shared" si="24"/>
        <v>1216.7161572052403</v>
      </c>
      <c r="O95" s="104">
        <f t="shared" si="24"/>
        <v>1482.063829787234</v>
      </c>
      <c r="P95" s="86">
        <f t="shared" si="24"/>
        <v>227.0333333333333</v>
      </c>
      <c r="Q95" s="104">
        <f t="shared" si="24"/>
        <v>1482.063829787234</v>
      </c>
      <c r="R95" s="86">
        <f t="shared" si="24"/>
        <v>350.56537500000002</v>
      </c>
      <c r="S95" s="104">
        <f t="shared" si="24"/>
        <v>1482.063829787234</v>
      </c>
      <c r="T95" s="86">
        <f t="shared" si="24"/>
        <v>350.56537500000002</v>
      </c>
      <c r="U95" s="104">
        <f t="shared" si="24"/>
        <v>1482.063829787234</v>
      </c>
      <c r="V95" s="86">
        <f t="shared" si="24"/>
        <v>227.0333333333333</v>
      </c>
      <c r="W95" s="104">
        <f t="shared" si="24"/>
        <v>1216.7161572052403</v>
      </c>
      <c r="X95" s="86">
        <f t="shared" si="24"/>
        <v>2084.7312244897957</v>
      </c>
      <c r="Y95" s="104">
        <f t="shared" si="24"/>
        <v>2660.2039062500003</v>
      </c>
      <c r="Z95" s="86">
        <f t="shared" si="24"/>
        <v>350.56537500000002</v>
      </c>
    </row>
    <row r="96" spans="2:26" x14ac:dyDescent="0.25">
      <c r="B96" s="106" t="s">
        <v>111</v>
      </c>
      <c r="C96" s="203">
        <f>(MAX(C95:D95)-MIN(C95:D95))/(MAX(C95:D95))</f>
        <v>0.47561009058428666</v>
      </c>
      <c r="D96" s="204"/>
      <c r="E96" s="203">
        <f>(MAX(E95:F95)-MIN(E95:F95))/(MAX(E95:F95))</f>
        <v>0.26206558251133028</v>
      </c>
      <c r="F96" s="204"/>
      <c r="G96" s="203">
        <f>(MAX(G95:H95)-MIN(G95:H95))/(MAX(G95:H95))</f>
        <v>0.58103651834059367</v>
      </c>
      <c r="H96" s="204"/>
      <c r="I96" s="203">
        <f>(MAX(I95:J95)-MIN(I95:J95))/(MAX(I95:J95))</f>
        <v>0.88898447227156863</v>
      </c>
      <c r="J96" s="204"/>
      <c r="K96" s="203">
        <f>(MAX(K95:L95)-MIN(K95:L95))/(MAX(K95:L95))</f>
        <v>0.96753045106974589</v>
      </c>
      <c r="L96" s="204"/>
      <c r="M96" s="203">
        <f>(MAX(M95:N95)-MIN(M95:N95))/(MAX(M95:N95))</f>
        <v>0</v>
      </c>
      <c r="N96" s="204"/>
      <c r="O96" s="203">
        <f>(MAX(O95:P95)-MIN(O95:P95))/(MAX(O95:P95))</f>
        <v>0.84681271563996918</v>
      </c>
      <c r="P96" s="204"/>
      <c r="Q96" s="203">
        <f>(MAX(Q95:R95)-MIN(Q95:R95))/(MAX(Q95:R95))</f>
        <v>0.76346135169473284</v>
      </c>
      <c r="R96" s="204"/>
      <c r="S96" s="203">
        <f>(MAX(S95:T95)-MIN(S95:T95))/(MAX(S95:T95))</f>
        <v>0.76346135169473284</v>
      </c>
      <c r="T96" s="204"/>
      <c r="U96" s="203">
        <f>(MAX(U95:V95)-MIN(U95:V95))/(MAX(U95:V95))</f>
        <v>0.84681271563996918</v>
      </c>
      <c r="V96" s="204"/>
      <c r="W96" s="203">
        <f>(MAX(W95:X95)-MIN(W95:X95))/(MAX(W95:X95))</f>
        <v>0.41636785456455572</v>
      </c>
      <c r="X96" s="204"/>
      <c r="Y96" s="203">
        <f>(MAX(Y95:Z95)-MIN(Y95:Z95))/(MAX(Y95:Z95))</f>
        <v>0.8682186075374273</v>
      </c>
      <c r="Z96" s="204"/>
    </row>
    <row r="97" spans="2:26" x14ac:dyDescent="0.25">
      <c r="B97" s="106" t="s">
        <v>112</v>
      </c>
      <c r="C97" s="205">
        <f>IF(C96&lt;25%,(C95*0.5+D95*0.5)*0.9,IF(C96&lt;50%,(MAX(C95:D95)*0.6+MIN(C95:D95)*0.4)*0.9,IF(C96&lt;70%,(MAX(C95:D95)*0.65+MIN(C95:D95)*0.35)*0.9,IF(C96&lt;100%,(MAX(C95:D95)*0.7+MIN(C95:D95)*0.3)*0.9,0.7*MAX(C95:D95)))))</f>
        <v>1690.9533004648542</v>
      </c>
      <c r="D97" s="206"/>
      <c r="E97" s="205">
        <f>IF(E96&lt;25%,(E95*0.5+F95*0.5)*0.9,IF(E96&lt;50%,(MAX(E95:F95)*0.6+MIN(E95:F95)*0.4)*0.9,IF(E96&lt;70%,(MAX(E95:F95)*0.65+MIN(E95:F95)*0.35)*0.9,IF(E96&lt;100%,(MAX(E95:F95)*0.7+MIN(E95:F95)*0.3)*0.9,0.7*MAX(E95:F95)))))</f>
        <v>2544.1056793076323</v>
      </c>
      <c r="F97" s="206"/>
      <c r="G97" s="205">
        <f>IF(G96&lt;25%,(G95*0.5+H95*0.5)*0.9,IF(G96&lt;50%,(MAX(G95:H95)*0.6+MIN(G95:H95)*0.4)*0.9,IF(G96&lt;70%,(MAX(G95:H95)*0.65+MIN(G95:H95)*0.35)*0.9,IF(G96&lt;100%,(MAX(G95:H95)*0.7+MIN(G95:H95)*0.3)*0.9,0.7*MAX(G95:H95)))))</f>
        <v>2264.0624053826746</v>
      </c>
      <c r="H97" s="206"/>
      <c r="I97" s="205">
        <f>IF(I96&lt;25%,(I95*0.5+J95*0.5)*0.9,IF(I96&lt;50%,(MAX(I95:J95)*0.6+MIN(I95:J95)*0.4)*0.9,IF(I96&lt;70%,(MAX(I95:J95)*0.65+MIN(I95:J95)*0.35)*0.9,IF(I96&lt;100%,(MAX(I95:J95)*0.7+MIN(I95:J95)*0.3)*0.9,0.7*MAX(I95:J95)))))</f>
        <v>2084.0697244207317</v>
      </c>
      <c r="J97" s="206"/>
      <c r="K97" s="205">
        <f>IF(K96&lt;25%,(K95*0.5+L95*0.5)*0.9,IF(K96&lt;50%,(MAX(K95:L95)*0.6+MIN(K95:L95)*0.4)*0.9,IF(K96&lt;70%,(MAX(K95:L95)*0.65+MIN(K95:L95)*0.35)*0.9,IF(K96&lt;100%,(MAX(K95:L95)*0.7+MIN(K95:L95)*0.3)*0.9,0.7*MAX(K95:L95)))))</f>
        <v>1482.0991895161289</v>
      </c>
      <c r="L97" s="206"/>
      <c r="M97" s="205">
        <f>IF(M96&lt;25%,(M95*0.5+N95*0.5)*0.9,IF(M96&lt;50%,(MAX(M95:N95)*0.6+MIN(M95:N95)*0.4)*0.9,IF(M96&lt;70%,(MAX(M95:N95)*0.65+MIN(M95:N95)*0.35)*0.9,IF(M96&lt;100%,(MAX(M95:N95)*0.7+MIN(M95:N95)*0.3)*0.9,0.7*MAX(M95:N95)))))</f>
        <v>1095.0445414847163</v>
      </c>
      <c r="N97" s="206"/>
      <c r="O97" s="205">
        <f>IF(O96&lt;25%,(O95*0.5+P95*0.5)*0.9,IF(O96&lt;50%,(MAX(O95:P95)*0.6+MIN(O95:P95)*0.4)*0.9,IF(O96&lt;70%,(MAX(O95:P95)*0.65+MIN(O95:P95)*0.35)*0.9,IF(O96&lt;100%,(MAX(O95:P95)*0.7+MIN(O95:P95)*0.3)*0.9,0.7*MAX(O95:P95)))))</f>
        <v>994.9992127659574</v>
      </c>
      <c r="P97" s="206"/>
      <c r="Q97" s="205">
        <f>IF(Q96&lt;25%,(Q95*0.5+R95*0.5)*0.9,IF(Q96&lt;50%,(MAX(Q95:R95)*0.6+MIN(Q95:R95)*0.4)*0.9,IF(Q96&lt;70%,(MAX(Q95:R95)*0.65+MIN(Q95:R95)*0.35)*0.9,IF(Q96&lt;100%,(MAX(Q95:R95)*0.7+MIN(Q95:R95)*0.3)*0.9,0.7*MAX(Q95:R95)))))</f>
        <v>1028.3528640159575</v>
      </c>
      <c r="R97" s="206"/>
      <c r="S97" s="205">
        <f>IF(S96&lt;25%,(S95*0.5+T95*0.5)*0.9,IF(S96&lt;50%,(MAX(S95:T95)*0.6+MIN(S95:T95)*0.4)*0.9,IF(S96&lt;70%,(MAX(S95:T95)*0.65+MIN(S95:T95)*0.35)*0.9,IF(S96&lt;100%,(MAX(S95:T95)*0.7+MIN(S95:T95)*0.3)*0.9,0.7*MAX(S95:T95)))))</f>
        <v>1028.3528640159575</v>
      </c>
      <c r="T97" s="206"/>
      <c r="U97" s="205">
        <f>IF(U96&lt;25%,(U95*0.5+V95*0.5)*0.9,IF(U96&lt;50%,(MAX(U95:V95)*0.6+MIN(U95:V95)*0.4)*0.9,IF(U96&lt;70%,(MAX(U95:V95)*0.65+MIN(U95:V95)*0.35)*0.9,IF(U96&lt;100%,(MAX(U95:V95)*0.7+MIN(U95:V95)*0.3)*0.9,0.7*MAX(U95:V95)))))</f>
        <v>994.9992127659574</v>
      </c>
      <c r="V97" s="206"/>
      <c r="W97" s="205">
        <f>IF(W96&lt;25%,(W95*0.5+X95*0.5)*0.9,IF(W96&lt;50%,(MAX(W95:X95)*0.6+MIN(W95:X95)*0.4)*0.9,IF(W96&lt;70%,(MAX(W95:X95)*0.65+MIN(W95:X95)*0.35)*0.9,IF(W96&lt;100%,(MAX(W95:X95)*0.7+MIN(W95:X95)*0.3)*0.9,0.7*MAX(W95:X95)))))</f>
        <v>1563.772677818376</v>
      </c>
      <c r="X97" s="206"/>
      <c r="Y97" s="205">
        <f>IF(Y96&lt;25%,(Y95*0.5+Z95*0.5)*0.9,IF(Y96&lt;50%,(MAX(Y95:Z95)*0.6+MIN(Y95:Z95)*0.4)*0.9,IF(Y96&lt;70%,(MAX(Y95:Z95)*0.65+MIN(Y95:Z95)*0.35)*0.9,IF(Y96&lt;100%,(MAX(Y95:Z95)*0.7+MIN(Y95:Z95)*0.3)*0.9,0.7*MAX(Y95:Z95)))))</f>
        <v>1770.5811121875001</v>
      </c>
      <c r="Z97" s="206"/>
    </row>
    <row r="98" spans="2:26" x14ac:dyDescent="0.25">
      <c r="B98" s="107" t="s">
        <v>15</v>
      </c>
      <c r="C98" s="207">
        <f>C97/(0.9*(0.9*($C$7/100))*($L$9*1000))</f>
        <v>3.4839730761691592</v>
      </c>
      <c r="D98" s="208"/>
      <c r="E98" s="207">
        <f>E97/(0.9*(0.9*($C$7/100))*($L$9*1000))</f>
        <v>5.2417743808774491</v>
      </c>
      <c r="F98" s="208"/>
      <c r="G98" s="207">
        <f>G97/(0.9*(0.9*($C$7/100))*($L$9*1000))</f>
        <v>4.6647843325723883</v>
      </c>
      <c r="H98" s="208"/>
      <c r="I98" s="207">
        <f>I97/(0.9*(0.9*($C$7/100))*($L$9*1000))</f>
        <v>4.2939345555817861</v>
      </c>
      <c r="J98" s="208"/>
      <c r="K98" s="207">
        <f>K97/(0.9*(0.9*($C$7/100))*($L$9*1000))</f>
        <v>3.053658354176203</v>
      </c>
      <c r="L98" s="208"/>
      <c r="M98" s="207">
        <f>M97/(0.9*(0.9*($C$7/100))*($L$9*1000))</f>
        <v>2.2561863173216881</v>
      </c>
      <c r="N98" s="208"/>
      <c r="O98" s="207">
        <f>O97/(0.9*(0.9*($C$7/100))*($L$9*1000))</f>
        <v>2.0500568922471878</v>
      </c>
      <c r="P98" s="208"/>
      <c r="Q98" s="207">
        <f>Q97/(0.9*(0.9*($C$7/100))*($L$9*1000))</f>
        <v>2.1187774316701224</v>
      </c>
      <c r="R98" s="208"/>
      <c r="S98" s="207">
        <f>S97/(0.9*(0.9*($C$7/100))*($L$9*1000))</f>
        <v>2.1187774316701224</v>
      </c>
      <c r="T98" s="208"/>
      <c r="U98" s="207">
        <f>U97/(0.9*(0.9*($C$7/100))*($L$9*1000))</f>
        <v>2.0500568922471878</v>
      </c>
      <c r="V98" s="208"/>
      <c r="W98" s="207">
        <f>W97/(0.9*(0.9*($C$7/100))*($L$9*1000))</f>
        <v>3.2219351683280908</v>
      </c>
      <c r="X98" s="208"/>
      <c r="Y98" s="207">
        <f>Y97/(0.9*(0.9*($C$7/100))*($L$9*1000))</f>
        <v>3.6480350594774507</v>
      </c>
      <c r="Z98" s="208"/>
    </row>
    <row r="99" spans="2:26" x14ac:dyDescent="0.25">
      <c r="B99" s="107" t="s">
        <v>98</v>
      </c>
      <c r="C99" s="209">
        <f>(C98*($L$9))/(0.85*$L$6*100)</f>
        <v>5.7329506981945409E-2</v>
      </c>
      <c r="D99" s="210"/>
      <c r="E99" s="209">
        <f>(E98*($L$9))/(0.85*$L$6*100)</f>
        <v>8.6254495771455136E-2</v>
      </c>
      <c r="F99" s="210"/>
      <c r="G99" s="209">
        <f>(G98*($L$9))/(0.85*$L$6*100)</f>
        <v>7.6760003627104265E-2</v>
      </c>
      <c r="H99" s="210"/>
      <c r="I99" s="209">
        <f>(I98*($L$9))/(0.85*$L$6*100)</f>
        <v>7.0657592840792163E-2</v>
      </c>
      <c r="J99" s="210"/>
      <c r="K99" s="209">
        <f>(K98*($L$9))/(0.85*$L$6*100)</f>
        <v>5.0248588065644556E-2</v>
      </c>
      <c r="L99" s="210"/>
      <c r="M99" s="209">
        <f>(M98*($L$9))/(0.85*$L$6*100)</f>
        <v>3.7126018601064299E-2</v>
      </c>
      <c r="N99" s="210"/>
      <c r="O99" s="209">
        <f>(O98*($L$9))/(0.85*$L$6*100)</f>
        <v>3.3734115720176719E-2</v>
      </c>
      <c r="P99" s="210"/>
      <c r="Q99" s="209">
        <f>(Q98*($L$9))/(0.85*$L$6*100)</f>
        <v>3.4864926595725203E-2</v>
      </c>
      <c r="R99" s="210"/>
      <c r="S99" s="209">
        <f>(S98*($L$9))/(0.85*$L$6*100)</f>
        <v>3.4864926595725203E-2</v>
      </c>
      <c r="T99" s="210"/>
      <c r="U99" s="209">
        <f>(U98*($L$9))/(0.85*$L$6*100)</f>
        <v>3.3734115720176719E-2</v>
      </c>
      <c r="V99" s="210"/>
      <c r="W99" s="209">
        <f>(W98*($L$9))/(0.85*$L$6*100)</f>
        <v>5.3017618302361506E-2</v>
      </c>
      <c r="X99" s="210"/>
      <c r="Y99" s="209">
        <f>(Y98*($L$9))/(0.85*$L$6*100)</f>
        <v>6.0029181293977274E-2</v>
      </c>
      <c r="Z99" s="210"/>
    </row>
    <row r="100" spans="2:26" ht="15.75" thickBot="1" x14ac:dyDescent="0.3">
      <c r="B100" s="108" t="s">
        <v>15</v>
      </c>
      <c r="C100" s="201">
        <f>ROUNDUP(C97/(0.9*(($C$7-C99/2)/100)*($L$9*1000)),2)</f>
        <v>3.15</v>
      </c>
      <c r="D100" s="202"/>
      <c r="E100" s="201">
        <f>ROUNDUP(E97/(0.9*(($C$7-E99/2)/100)*($L$9*1000)),2)</f>
        <v>4.74</v>
      </c>
      <c r="F100" s="202"/>
      <c r="G100" s="201">
        <f>ROUNDUP(G97/(0.9*(($C$7-G99/2)/100)*($L$9*1000)),2)</f>
        <v>4.21</v>
      </c>
      <c r="H100" s="202"/>
      <c r="I100" s="201">
        <f>ROUNDUP(I97/(0.9*(($C$7-I99/2)/100)*($L$9*1000)),2)</f>
        <v>3.88</v>
      </c>
      <c r="J100" s="202"/>
      <c r="K100" s="201">
        <f>ROUNDUP(K97/(0.9*(($C$7-K99/2)/100)*($L$9*1000)),2)</f>
        <v>2.76</v>
      </c>
      <c r="L100" s="202"/>
      <c r="M100" s="201">
        <f>ROUNDUP(M97/(0.9*(($C$7-M99/2)/100)*($L$9*1000)),2)</f>
        <v>2.0399999999999996</v>
      </c>
      <c r="N100" s="202"/>
      <c r="O100" s="201">
        <f>ROUNDUP(O97/(0.9*(($C$7-O99/2)/100)*($L$9*1000)),2)</f>
        <v>1.85</v>
      </c>
      <c r="P100" s="202"/>
      <c r="Q100" s="201">
        <f>ROUNDUP(Q97/(0.9*(($C$7-Q99/2)/100)*($L$9*1000)),2)</f>
        <v>1.91</v>
      </c>
      <c r="R100" s="202"/>
      <c r="S100" s="201">
        <f>ROUNDUP(S97/(0.9*(($C$7-S99/2)/100)*($L$9*1000)),2)</f>
        <v>1.91</v>
      </c>
      <c r="T100" s="202"/>
      <c r="U100" s="201">
        <f>ROUNDUP(U97/(0.9*(($C$7-U99/2)/100)*($L$9*1000)),2)</f>
        <v>1.85</v>
      </c>
      <c r="V100" s="202"/>
      <c r="W100" s="201">
        <f>ROUNDUP(W97/(0.9*(($C$7-W99/2)/100)*($L$9*1000)),2)</f>
        <v>2.9099999999999997</v>
      </c>
      <c r="X100" s="202"/>
      <c r="Y100" s="201">
        <f>ROUNDUP(Y97/(0.9*(($C$7-Y99/2)/100)*($L$9*1000)),2)</f>
        <v>3.3</v>
      </c>
      <c r="Z100" s="202"/>
    </row>
    <row r="101" spans="2:26" ht="16.5" thickBot="1" x14ac:dyDescent="0.3">
      <c r="B101" s="61" t="s">
        <v>113</v>
      </c>
      <c r="C101" s="199" t="str">
        <f>IF(C100&gt;$C$12,"$\phi"&amp;IF(VLOOKUP(VLOOKUP(C100,tablas!$R$3:$T$66,2,TRUE)&amp;VLOOKUP(C100,tablas!$R$3:$T$66,3,TRUE),tablas!$Q$3:$R$66,2,FALSE)&lt;C100,VLOOKUP(C100+0.1,tablas!$R$3:$T$66,2,TRUE),VLOOKUP(C100,tablas!$R$3:$T$66,2,TRUE))&amp;"@"&amp;IF(VLOOKUP(VLOOKUP(C100,tablas!$R$3:$T$66,2,TRUE)&amp;VLOOKUP(C100,tablas!$R$3:$T$66,3,TRUE),tablas!$Q$3:$R$66,2,FALSE)&lt;C100,VLOOKUP(C100+0.1,tablas!$R$3:$T$66,3,TRUE)&amp;"$",VLOOKUP(C100,tablas!$R$3:$T$66,3,TRUE)&amp;"$"),$C$13)</f>
        <v>$\phi10@25$</v>
      </c>
      <c r="D101" s="200"/>
      <c r="E101" s="199" t="str">
        <f>IF(E100&gt;$C$12,"$\phi"&amp;IF(VLOOKUP(VLOOKUP(E100,tablas!$R$3:$T$66,2,TRUE)&amp;VLOOKUP(E100,tablas!$R$3:$T$66,3,TRUE),tablas!$Q$3:$R$66,2,FALSE)&lt;E100,VLOOKUP(E100+0.1,tablas!$R$3:$T$66,2,TRUE),VLOOKUP(E100,tablas!$R$3:$T$66,2,TRUE))&amp;"@"&amp;IF(VLOOKUP(VLOOKUP(E100,tablas!$R$3:$T$66,2,TRUE)&amp;VLOOKUP(E100,tablas!$R$3:$T$66,3,TRUE),tablas!$Q$3:$R$66,2,FALSE)&lt;E100,VLOOKUP(E100+0.1,tablas!$R$3:$T$66,3,TRUE)&amp;"$",VLOOKUP(E100,tablas!$R$3:$T$66,3,TRUE)&amp;"$"),$C$13)</f>
        <v>$\phi12@24$</v>
      </c>
      <c r="F101" s="200"/>
      <c r="G101" s="199" t="str">
        <f>IF(G100&gt;$C$12,"$\phi"&amp;IF(VLOOKUP(VLOOKUP(G100,tablas!$R$3:$T$66,2,TRUE)&amp;VLOOKUP(G100,tablas!$R$3:$T$66,3,TRUE),tablas!$Q$3:$R$66,2,FALSE)&lt;G100,VLOOKUP(G100+0.1,tablas!$R$3:$T$66,2,TRUE),VLOOKUP(G100,tablas!$R$3:$T$66,2,TRUE))&amp;"@"&amp;IF(VLOOKUP(VLOOKUP(G100,tablas!$R$3:$T$66,2,TRUE)&amp;VLOOKUP(G100,tablas!$R$3:$T$66,3,TRUE),tablas!$Q$3:$R$66,2,FALSE)&lt;G100,VLOOKUP(G100+0.1,tablas!$R$3:$T$66,3,TRUE)&amp;"$",VLOOKUP(G100,tablas!$R$3:$T$66,3,TRUE)&amp;"$"),$C$13)</f>
        <v>$\phi8@12$</v>
      </c>
      <c r="H101" s="200"/>
      <c r="I101" s="199" t="str">
        <f>IF(I100&gt;$C$12,"$\phi"&amp;IF(VLOOKUP(VLOOKUP(I100,tablas!$R$3:$T$66,2,TRUE)&amp;VLOOKUP(I100,tablas!$R$3:$T$66,3,TRUE),tablas!$Q$3:$R$66,2,FALSE)&lt;I100,VLOOKUP(I100+0.1,tablas!$R$3:$T$66,2,TRUE),VLOOKUP(I100,tablas!$R$3:$T$66,2,TRUE))&amp;"@"&amp;IF(VLOOKUP(VLOOKUP(I100,tablas!$R$3:$T$66,2,TRUE)&amp;VLOOKUP(I100,tablas!$R$3:$T$66,3,TRUE),tablas!$Q$3:$R$66,2,FALSE)&lt;I100,VLOOKUP(I100+0.1,tablas!$R$3:$T$66,3,TRUE)&amp;"$",VLOOKUP(I100,tablas!$R$3:$T$66,3,TRUE)&amp;"$"),$C$13)</f>
        <v>$\phi10@20$</v>
      </c>
      <c r="J101" s="200"/>
      <c r="K101" s="199" t="str">
        <f>IF(K100&gt;$C$12,"$\phi"&amp;IF(VLOOKUP(VLOOKUP(K100,tablas!$R$3:$T$66,2,TRUE)&amp;VLOOKUP(K100,tablas!$R$3:$T$66,3,TRUE),tablas!$Q$3:$R$66,2,FALSE)&lt;K100,VLOOKUP(K100+0.1,tablas!$R$3:$T$66,2,TRUE),VLOOKUP(K100,tablas!$R$3:$T$66,2,TRUE))&amp;"@"&amp;IF(VLOOKUP(VLOOKUP(K100,tablas!$R$3:$T$66,2,TRUE)&amp;VLOOKUP(K100,tablas!$R$3:$T$66,3,TRUE),tablas!$Q$3:$R$66,2,FALSE)&lt;K100,VLOOKUP(K100+0.1,tablas!$R$3:$T$66,3,TRUE)&amp;"$",VLOOKUP(K100,tablas!$R$3:$T$66,3,TRUE)&amp;"$"),$C$13)</f>
        <v>$\phi8@17$</v>
      </c>
      <c r="L101" s="200"/>
      <c r="M101" s="199" t="str">
        <f>IF(M100&gt;$C$12,"$\phi"&amp;IF(VLOOKUP(VLOOKUP(M100,tablas!$R$3:$T$66,2,TRUE)&amp;VLOOKUP(M100,tablas!$R$3:$T$66,3,TRUE),tablas!$Q$3:$R$66,2,FALSE)&lt;M100,VLOOKUP(M100+0.1,tablas!$R$3:$T$66,2,TRUE),VLOOKUP(M100,tablas!$R$3:$T$66,2,TRUE))&amp;"@"&amp;IF(VLOOKUP(VLOOKUP(M100,tablas!$R$3:$T$66,2,TRUE)&amp;VLOOKUP(M100,tablas!$R$3:$T$66,3,TRUE),tablas!$Q$3:$R$66,2,FALSE)&lt;M100,VLOOKUP(M100+0.1,tablas!$R$3:$T$66,3,TRUE)&amp;"$",VLOOKUP(M100,tablas!$R$3:$T$66,3,TRUE)&amp;"$"),$C$13)</f>
        <v>$\phi8@17$</v>
      </c>
      <c r="N101" s="200"/>
      <c r="O101" s="199" t="str">
        <f>IF(O100&gt;$C$12,"$\phi"&amp;IF(VLOOKUP(VLOOKUP(O100,tablas!$R$3:$T$66,2,TRUE)&amp;VLOOKUP(O100,tablas!$R$3:$T$66,3,TRUE),tablas!$Q$3:$R$66,2,FALSE)&lt;O100,VLOOKUP(O100+0.1,tablas!$R$3:$T$66,2,TRUE),VLOOKUP(O100,tablas!$R$3:$T$66,2,TRUE))&amp;"@"&amp;IF(VLOOKUP(VLOOKUP(O100,tablas!$R$3:$T$66,2,TRUE)&amp;VLOOKUP(O100,tablas!$R$3:$T$66,3,TRUE),tablas!$Q$3:$R$66,2,FALSE)&lt;O100,VLOOKUP(O100+0.1,tablas!$R$3:$T$66,3,TRUE)&amp;"$",VLOOKUP(O100,tablas!$R$3:$T$66,3,TRUE)&amp;"$"),$C$13)</f>
        <v>$\phi8@17$</v>
      </c>
      <c r="P101" s="200"/>
      <c r="Q101" s="199" t="str">
        <f>IF(Q100&gt;$C$12,"$\phi"&amp;IF(VLOOKUP(VLOOKUP(Q100,tablas!$R$3:$T$66,2,TRUE)&amp;VLOOKUP(Q100,tablas!$R$3:$T$66,3,TRUE),tablas!$Q$3:$R$66,2,FALSE)&lt;Q100,VLOOKUP(Q100+0.1,tablas!$R$3:$T$66,2,TRUE),VLOOKUP(Q100,tablas!$R$3:$T$66,2,TRUE))&amp;"@"&amp;IF(VLOOKUP(VLOOKUP(Q100,tablas!$R$3:$T$66,2,TRUE)&amp;VLOOKUP(Q100,tablas!$R$3:$T$66,3,TRUE),tablas!$Q$3:$R$66,2,FALSE)&lt;Q100,VLOOKUP(Q100+0.1,tablas!$R$3:$T$66,3,TRUE)&amp;"$",VLOOKUP(Q100,tablas!$R$3:$T$66,3,TRUE)&amp;"$"),$C$13)</f>
        <v>$\phi8@17$</v>
      </c>
      <c r="R101" s="200"/>
      <c r="S101" s="199" t="str">
        <f>IF(S100&gt;$C$12,"$\phi"&amp;IF(VLOOKUP(VLOOKUP(S100,tablas!$R$3:$T$66,2,TRUE)&amp;VLOOKUP(S100,tablas!$R$3:$T$66,3,TRUE),tablas!$Q$3:$R$66,2,FALSE)&lt;S100,VLOOKUP(S100+0.1,tablas!$R$3:$T$66,2,TRUE),VLOOKUP(S100,tablas!$R$3:$T$66,2,TRUE))&amp;"@"&amp;IF(VLOOKUP(VLOOKUP(S100,tablas!$R$3:$T$66,2,TRUE)&amp;VLOOKUP(S100,tablas!$R$3:$T$66,3,TRUE),tablas!$Q$3:$R$66,2,FALSE)&lt;S100,VLOOKUP(S100+0.1,tablas!$R$3:$T$66,3,TRUE)&amp;"$",VLOOKUP(S100,tablas!$R$3:$T$66,3,TRUE)&amp;"$"),$C$13)</f>
        <v>$\phi8@17$</v>
      </c>
      <c r="T101" s="200"/>
      <c r="U101" s="199" t="str">
        <f>IF(U100&gt;$C$12,"$\phi"&amp;IF(VLOOKUP(VLOOKUP(U100,tablas!$R$3:$T$66,2,TRUE)&amp;VLOOKUP(U100,tablas!$R$3:$T$66,3,TRUE),tablas!$Q$3:$R$66,2,FALSE)&lt;U100,VLOOKUP(U100+0.1,tablas!$R$3:$T$66,2,TRUE),VLOOKUP(U100,tablas!$R$3:$T$66,2,TRUE))&amp;"@"&amp;IF(VLOOKUP(VLOOKUP(U100,tablas!$R$3:$T$66,2,TRUE)&amp;VLOOKUP(U100,tablas!$R$3:$T$66,3,TRUE),tablas!$Q$3:$R$66,2,FALSE)&lt;U100,VLOOKUP(U100+0.1,tablas!$R$3:$T$66,3,TRUE)&amp;"$",VLOOKUP(U100,tablas!$R$3:$T$66,3,TRUE)&amp;"$"),$C$13)</f>
        <v>$\phi8@17$</v>
      </c>
      <c r="V101" s="200"/>
      <c r="W101" s="199" t="str">
        <f>IF(W100&gt;$C$12,"$\phi"&amp;IF(VLOOKUP(VLOOKUP(W100,tablas!$R$3:$T$66,2,TRUE)&amp;VLOOKUP(W100,tablas!$R$3:$T$66,3,TRUE),tablas!$Q$3:$R$66,2,FALSE)&lt;W100,VLOOKUP(W100+0.1,tablas!$R$3:$T$66,2,TRUE),VLOOKUP(W100,tablas!$R$3:$T$66,2,TRUE))&amp;"@"&amp;IF(VLOOKUP(VLOOKUP(W100,tablas!$R$3:$T$66,2,TRUE)&amp;VLOOKUP(W100,tablas!$R$3:$T$66,3,TRUE),tablas!$Q$3:$R$66,2,FALSE)&lt;W100,VLOOKUP(W100+0.1,tablas!$R$3:$T$66,3,TRUE)&amp;"$",VLOOKUP(W100,tablas!$R$3:$T$66,3,TRUE)&amp;"$"),$C$13)</f>
        <v>$\phi8@17$</v>
      </c>
      <c r="X101" s="200"/>
      <c r="Y101" s="199" t="str">
        <f>IF(Y100&gt;$C$12,"$\phi"&amp;IF(VLOOKUP(VLOOKUP(Y100,tablas!$R$3:$T$66,2,TRUE)&amp;VLOOKUP(Y100,tablas!$R$3:$T$66,3,TRUE),tablas!$Q$3:$R$66,2,FALSE)&lt;Y100,VLOOKUP(Y100+0.1,tablas!$R$3:$T$66,2,TRUE),VLOOKUP(Y100,tablas!$R$3:$T$66,2,TRUE))&amp;"@"&amp;IF(VLOOKUP(VLOOKUP(Y100,tablas!$R$3:$T$66,2,TRUE)&amp;VLOOKUP(Y100,tablas!$R$3:$T$66,3,TRUE),tablas!$Q$3:$R$66,2,FALSE)&lt;Y100,VLOOKUP(Y100+0.1,tablas!$R$3:$T$66,3,TRUE)&amp;"$",VLOOKUP(Y100,tablas!$R$3:$T$66,3,TRUE)&amp;"$"),$C$13)</f>
        <v>$\phi8@15$</v>
      </c>
      <c r="Z101" s="200"/>
    </row>
    <row r="102" spans="2:26" ht="15.75" thickBot="1" x14ac:dyDescent="0.3">
      <c r="C102" t="str">
        <f>IF(C101='2 a 7'!C101:D101,"IGUAL","PUTA LA WEA")</f>
        <v>IGUAL</v>
      </c>
      <c r="E102" t="str">
        <f>IF(E101='2 a 7'!E101:F101,"IGUAL","PUTA LA WEA")</f>
        <v>IGUAL</v>
      </c>
      <c r="G102" t="str">
        <f>IF(G101='2 a 7'!G101:H101,"IGUAL","PUTA LA WEA")</f>
        <v>IGUAL</v>
      </c>
      <c r="I102" t="str">
        <f>IF(I101='2 a 7'!I101:J101,"IGUAL","PUTA LA WEA")</f>
        <v>IGUAL</v>
      </c>
      <c r="K102" t="str">
        <f>IF(K101='2 a 7'!K101:L101,"IGUAL","PUTA LA WEA")</f>
        <v>IGUAL</v>
      </c>
      <c r="M102" t="str">
        <f>IF(M101='2 a 7'!M101:N101,"IGUAL","PUTA LA WEA")</f>
        <v>IGUAL</v>
      </c>
      <c r="O102" t="str">
        <f>IF(O101='2 a 7'!O101:P101,"IGUAL","PUTA LA WEA")</f>
        <v>IGUAL</v>
      </c>
      <c r="P102" s="40"/>
      <c r="Q102" t="str">
        <f>IF(Q101='2 a 7'!Q101:R101,"IGUAL","PUTA LA WEA")</f>
        <v>IGUAL</v>
      </c>
      <c r="S102" t="str">
        <f>IF(S101='2 a 7'!S101:T101,"IGUAL","PUTA LA WEA")</f>
        <v>IGUAL</v>
      </c>
      <c r="T102" s="40"/>
      <c r="U102" t="str">
        <f>IF(U101='2 a 7'!U101:V101,"IGUAL","PUTA LA WEA")</f>
        <v>IGUAL</v>
      </c>
      <c r="W102" t="str">
        <f>IF(W101='2 a 7'!W101:X101,"IGUAL","PUTA LA WEA")</f>
        <v>IGUAL</v>
      </c>
      <c r="Y102" t="str">
        <f>IF(Y101='2 a 7'!Y101:Z101,"IGUAL","PUTA LA WEA")</f>
        <v>IGUAL</v>
      </c>
    </row>
    <row r="103" spans="2:26" ht="15.75" thickBot="1" x14ac:dyDescent="0.3">
      <c r="B103" s="73" t="s">
        <v>43</v>
      </c>
      <c r="C103" s="74" t="s">
        <v>167</v>
      </c>
      <c r="D103" s="75" t="s">
        <v>171</v>
      </c>
      <c r="E103" s="74" t="s">
        <v>167</v>
      </c>
      <c r="F103" s="75" t="s">
        <v>179</v>
      </c>
      <c r="G103" s="74" t="s">
        <v>167</v>
      </c>
      <c r="H103" s="75" t="s">
        <v>173</v>
      </c>
      <c r="I103" s="74" t="s">
        <v>167</v>
      </c>
      <c r="J103" s="75" t="s">
        <v>174</v>
      </c>
      <c r="K103" s="74" t="s">
        <v>168</v>
      </c>
      <c r="L103" s="75" t="s">
        <v>183</v>
      </c>
      <c r="M103" s="74" t="s">
        <v>168</v>
      </c>
      <c r="N103" s="75" t="s">
        <v>169</v>
      </c>
      <c r="O103" s="74" t="s">
        <v>168</v>
      </c>
      <c r="P103" s="75" t="s">
        <v>182</v>
      </c>
      <c r="Q103" s="74" t="s">
        <v>169</v>
      </c>
      <c r="R103" s="75" t="s">
        <v>182</v>
      </c>
      <c r="S103" s="74" t="s">
        <v>169</v>
      </c>
      <c r="T103" s="75" t="s">
        <v>171</v>
      </c>
      <c r="U103" s="74" t="s">
        <v>169</v>
      </c>
      <c r="V103" s="75" t="s">
        <v>170</v>
      </c>
      <c r="W103" s="74" t="s">
        <v>169</v>
      </c>
      <c r="X103" s="75" t="s">
        <v>185</v>
      </c>
      <c r="Y103" s="74" t="s">
        <v>170</v>
      </c>
      <c r="Z103" s="75" t="s">
        <v>171</v>
      </c>
    </row>
    <row r="104" spans="2:26" ht="15.75" hidden="1" thickBot="1" x14ac:dyDescent="0.3">
      <c r="B104" s="144"/>
      <c r="C104" s="146" t="str">
        <f>C103&amp;"-"&amp;D103</f>
        <v>804-808</v>
      </c>
      <c r="D104" s="146"/>
      <c r="E104" s="146" t="str">
        <f>E103&amp;"-"&amp;F103</f>
        <v>804-816</v>
      </c>
      <c r="F104" s="145"/>
      <c r="G104" s="146" t="str">
        <f>G103&amp;"-"&amp;H103</f>
        <v>804-810</v>
      </c>
      <c r="H104" s="145"/>
      <c r="I104" s="146" t="str">
        <f>I103&amp;"-"&amp;J103</f>
        <v>804-811</v>
      </c>
      <c r="J104" s="145"/>
      <c r="K104" s="146" t="str">
        <f>K103&amp;"-"&amp;L103</f>
        <v>805-820</v>
      </c>
      <c r="L104" s="145"/>
      <c r="M104" s="146" t="str">
        <f>M103&amp;"-"&amp;N103</f>
        <v>805-806</v>
      </c>
      <c r="N104" s="145"/>
      <c r="O104" s="146" t="str">
        <f>O103&amp;"-"&amp;P103</f>
        <v>805-819</v>
      </c>
      <c r="P104" s="145"/>
      <c r="Q104" s="146" t="str">
        <f>Q103&amp;"-"&amp;R103</f>
        <v>806-819</v>
      </c>
      <c r="R104" s="145"/>
      <c r="S104" s="146" t="str">
        <f>S103&amp;"-"&amp;T103</f>
        <v>806-808</v>
      </c>
      <c r="T104" s="145"/>
      <c r="U104" s="146" t="str">
        <f>U103&amp;"-"&amp;V103</f>
        <v>806-807</v>
      </c>
      <c r="V104" s="145"/>
      <c r="W104" s="146" t="str">
        <f>W103&amp;"-"&amp;X103</f>
        <v>806-822</v>
      </c>
      <c r="X104" s="145"/>
      <c r="Y104" s="146" t="str">
        <f>Y103&amp;"-"&amp;Z103</f>
        <v>807-808</v>
      </c>
      <c r="Z104" s="145"/>
    </row>
    <row r="105" spans="2:26" x14ac:dyDescent="0.25">
      <c r="B105" s="105" t="s">
        <v>114</v>
      </c>
      <c r="C105" s="102" t="s">
        <v>109</v>
      </c>
      <c r="D105" s="103" t="s">
        <v>109</v>
      </c>
      <c r="E105" s="102" t="s">
        <v>109</v>
      </c>
      <c r="F105" s="103" t="s">
        <v>108</v>
      </c>
      <c r="G105" s="102" t="s">
        <v>108</v>
      </c>
      <c r="H105" s="103" t="s">
        <v>108</v>
      </c>
      <c r="I105" s="102" t="s">
        <v>108</v>
      </c>
      <c r="J105" s="103" t="s">
        <v>108</v>
      </c>
      <c r="K105" s="102" t="s">
        <v>109</v>
      </c>
      <c r="L105" s="103" t="s">
        <v>108</v>
      </c>
      <c r="M105" s="102" t="s">
        <v>109</v>
      </c>
      <c r="N105" s="103" t="s">
        <v>108</v>
      </c>
      <c r="O105" s="102" t="s">
        <v>108</v>
      </c>
      <c r="P105" s="103" t="s">
        <v>108</v>
      </c>
      <c r="Q105" s="102" t="s">
        <v>109</v>
      </c>
      <c r="R105" s="103" t="s">
        <v>108</v>
      </c>
      <c r="S105" s="102" t="s">
        <v>109</v>
      </c>
      <c r="T105" s="103" t="s">
        <v>108</v>
      </c>
      <c r="U105" s="102" t="s">
        <v>108</v>
      </c>
      <c r="V105" s="103" t="s">
        <v>108</v>
      </c>
      <c r="W105" s="102" t="s">
        <v>108</v>
      </c>
      <c r="X105" s="103" t="s">
        <v>109</v>
      </c>
      <c r="Y105" s="102" t="s">
        <v>109</v>
      </c>
      <c r="Z105" s="103" t="s">
        <v>108</v>
      </c>
    </row>
    <row r="106" spans="2:26" x14ac:dyDescent="0.25">
      <c r="B106" s="106" t="s">
        <v>110</v>
      </c>
      <c r="C106" s="104">
        <f t="shared" ref="C106:Z106" si="25">HLOOKUP(C103,$B$46:$X$89,IF(C105="x",35,40),FALSE)</f>
        <v>2084.7312244897957</v>
      </c>
      <c r="D106" s="86">
        <f t="shared" si="25"/>
        <v>155.67999999999998</v>
      </c>
      <c r="E106" s="104">
        <f t="shared" si="25"/>
        <v>2084.7312244897957</v>
      </c>
      <c r="F106" s="86">
        <f t="shared" si="25"/>
        <v>166.29600000000002</v>
      </c>
      <c r="G106" s="104">
        <f t="shared" si="25"/>
        <v>2660.2039062500003</v>
      </c>
      <c r="H106" s="86">
        <f t="shared" si="25"/>
        <v>1428.5638297872338</v>
      </c>
      <c r="I106" s="104">
        <f t="shared" si="25"/>
        <v>2660.2039062500003</v>
      </c>
      <c r="J106" s="86">
        <f t="shared" si="25"/>
        <v>2172.8938709677423</v>
      </c>
      <c r="K106" s="104">
        <f t="shared" si="25"/>
        <v>2015.9397209302329</v>
      </c>
      <c r="L106" s="86">
        <f t="shared" si="25"/>
        <v>84.1935</v>
      </c>
      <c r="M106" s="104">
        <f t="shared" si="25"/>
        <v>2015.9397209302329</v>
      </c>
      <c r="N106" s="86">
        <f t="shared" si="25"/>
        <v>1428.5638297872338</v>
      </c>
      <c r="O106" s="104">
        <f t="shared" si="25"/>
        <v>2330.2529032258067</v>
      </c>
      <c r="P106" s="86">
        <f t="shared" si="25"/>
        <v>276.07350000000002</v>
      </c>
      <c r="Q106" s="104">
        <f t="shared" si="25"/>
        <v>1323.0049261083741</v>
      </c>
      <c r="R106" s="86">
        <f t="shared" si="25"/>
        <v>276.07350000000002</v>
      </c>
      <c r="S106" s="104">
        <f t="shared" si="25"/>
        <v>1323.0049261083741</v>
      </c>
      <c r="T106" s="86">
        <f t="shared" si="25"/>
        <v>227.0333333333333</v>
      </c>
      <c r="U106" s="104">
        <f t="shared" si="25"/>
        <v>1428.5638297872338</v>
      </c>
      <c r="V106" s="86">
        <f t="shared" si="25"/>
        <v>670.04318181818178</v>
      </c>
      <c r="W106" s="104">
        <f t="shared" si="25"/>
        <v>1428.5638297872338</v>
      </c>
      <c r="X106" s="86">
        <f t="shared" si="25"/>
        <v>555.22533936651575</v>
      </c>
      <c r="Y106" s="104">
        <f t="shared" si="25"/>
        <v>479.38048780487804</v>
      </c>
      <c r="Z106" s="86">
        <f t="shared" si="25"/>
        <v>227.0333333333333</v>
      </c>
    </row>
    <row r="107" spans="2:26" x14ac:dyDescent="0.25">
      <c r="B107" s="106" t="s">
        <v>111</v>
      </c>
      <c r="C107" s="203">
        <f>(MAX(C106:D106)-MIN(C106:D106))/(MAX(C106:D106))</f>
        <v>0.92532370687828103</v>
      </c>
      <c r="D107" s="204"/>
      <c r="E107" s="203">
        <f>(MAX(E106:F106)-MIN(E106:F106))/(MAX(E106:F106))</f>
        <v>0.92023144372450305</v>
      </c>
      <c r="F107" s="204"/>
      <c r="G107" s="203">
        <f>(MAX(G106:H106)-MIN(G106:H106))/(MAX(G106:H106))</f>
        <v>0.46298709417315609</v>
      </c>
      <c r="H107" s="204"/>
      <c r="I107" s="203">
        <f>(MAX(I106:J106)-MIN(I106:J106))/(MAX(I106:J106))</f>
        <v>0.18318521904931812</v>
      </c>
      <c r="J107" s="204"/>
      <c r="K107" s="203">
        <f>(MAX(K106:L106)-MIN(K106:L106))/(MAX(K106:L106))</f>
        <v>0.95823610243606394</v>
      </c>
      <c r="L107" s="204"/>
      <c r="M107" s="203">
        <f>(MAX(M106:N106)-MIN(M106:N106))/(MAX(M106:N106))</f>
        <v>0.29136580079485763</v>
      </c>
      <c r="N107" s="204"/>
      <c r="O107" s="203">
        <f>(MAX(O106:P106)-MIN(O106:P106))/(MAX(O106:P106))</f>
        <v>0.88152637869570849</v>
      </c>
      <c r="P107" s="204"/>
      <c r="Q107" s="203">
        <f>(MAX(Q106:R106)-MIN(Q106:R106))/(MAX(Q106:R106))</f>
        <v>0.79132844137468816</v>
      </c>
      <c r="R107" s="204"/>
      <c r="S107" s="203">
        <f>(MAX(S106:T106)-MIN(S106:T106))/(MAX(S106:T106))</f>
        <v>0.82839570068635116</v>
      </c>
      <c r="T107" s="204"/>
      <c r="U107" s="203">
        <f>(MAX(U106:V106)-MIN(U106:V106))/(MAX(U106:V106))</f>
        <v>0.53096727787236775</v>
      </c>
      <c r="V107" s="204"/>
      <c r="W107" s="211">
        <f>(MAX(W106:X106)-MIN(W106:X106))/(MAX(W106:X106))</f>
        <v>0.61134019510405113</v>
      </c>
      <c r="X107" s="204"/>
      <c r="Y107" s="203">
        <f>(MAX(Y106:Z106)-MIN(Y106:Z106))/(MAX(Y106:Z106))</f>
        <v>0.5264026402640265</v>
      </c>
      <c r="Z107" s="204"/>
    </row>
    <row r="108" spans="2:26" x14ac:dyDescent="0.25">
      <c r="B108" s="106" t="s">
        <v>112</v>
      </c>
      <c r="C108" s="205">
        <f>IF(C107&lt;25%,(C106*0.5+D106*0.5)*0.9,IF(C107&lt;50%,(MAX(C106:D106)*0.6+MIN(C106:D106)*0.4)*0.9,IF(C107&lt;70%,(MAX(C106:D106)*0.65+MIN(C106:D106)*0.35)*0.9,IF(C107&lt;100%,(MAX(C106:D106)*0.7+MIN(C106:D106)*0.3)*0.9,0.7*MAX(C106:D106)))))</f>
        <v>1355.4142714285713</v>
      </c>
      <c r="D108" s="206"/>
      <c r="E108" s="205">
        <f>IF(E107&lt;25%,(E106*0.5+F106*0.5)*0.9,IF(E107&lt;50%,(MAX(E106:F106)*0.6+MIN(E106:F106)*0.4)*0.9,IF(E107&lt;70%,(MAX(E106:F106)*0.65+MIN(E106:F106)*0.35)*0.9,IF(E107&lt;100%,(MAX(E106:F106)*0.7+MIN(E106:F106)*0.3)*0.9,0.7*MAX(E106:F106)))))</f>
        <v>1358.2805914285714</v>
      </c>
      <c r="F108" s="206"/>
      <c r="G108" s="205">
        <f>IF(G107&lt;25%,(G106*0.5+H106*0.5)*0.9,IF(G107&lt;50%,(MAX(G106:H106)*0.6+MIN(G106:H106)*0.4)*0.9,IF(G107&lt;70%,(MAX(G106:H106)*0.65+MIN(G106:H106)*0.35)*0.9,IF(G107&lt;100%,(MAX(G106:H106)*0.7+MIN(G106:H106)*0.3)*0.9,0.7*MAX(G106:H106)))))</f>
        <v>1950.7930880984043</v>
      </c>
      <c r="H108" s="206"/>
      <c r="I108" s="205">
        <f>IF(I107&lt;25%,(I106*0.5+J106*0.5)*0.9,IF(I107&lt;50%,(MAX(I106:J106)*0.6+MIN(I106:J106)*0.4)*0.9,IF(I107&lt;70%,(MAX(I106:J106)*0.65+MIN(I106:J106)*0.35)*0.9,IF(I107&lt;100%,(MAX(I106:J106)*0.7+MIN(I106:J106)*0.3)*0.9,0.7*MAX(I106:J106)))))</f>
        <v>2174.8939997479843</v>
      </c>
      <c r="J108" s="206"/>
      <c r="K108" s="205">
        <f>IF(K107&lt;25%,(K106*0.5+L106*0.5)*0.9,IF(K107&lt;50%,(MAX(K106:L106)*0.6+MIN(K106:L106)*0.4)*0.9,IF(K107&lt;70%,(MAX(K106:L106)*0.65+MIN(K106:L106)*0.35)*0.9,IF(K107&lt;100%,(MAX(K106:L106)*0.7+MIN(K106:L106)*0.3)*0.9,0.7*MAX(K106:L106)))))</f>
        <v>1292.7742691860465</v>
      </c>
      <c r="L108" s="206"/>
      <c r="M108" s="205">
        <f>IF(M107&lt;25%,(M106*0.5+N106*0.5)*0.9,IF(M107&lt;50%,(MAX(M106:N106)*0.6+MIN(M106:N106)*0.4)*0.9,IF(M107&lt;70%,(MAX(M106:N106)*0.65+MIN(M106:N106)*0.35)*0.9,IF(M107&lt;100%,(MAX(M106:N106)*0.7+MIN(M106:N106)*0.3)*0.9,0.7*MAX(M106:N106)))))</f>
        <v>1602.89042802573</v>
      </c>
      <c r="N108" s="206"/>
      <c r="O108" s="205">
        <f>IF(O107&lt;25%,(O106*0.5+P106*0.5)*0.9,IF(O107&lt;50%,(MAX(O106:P106)*0.6+MIN(O106:P106)*0.4)*0.9,IF(O107&lt;70%,(MAX(O106:P106)*0.65+MIN(O106:P106)*0.35)*0.9,IF(O107&lt;100%,(MAX(O106:P106)*0.7+MIN(O106:P106)*0.3)*0.9,0.7*MAX(O106:P106)))))</f>
        <v>1542.5991740322581</v>
      </c>
      <c r="P108" s="206"/>
      <c r="Q108" s="205">
        <f>IF(Q107&lt;25%,(Q106*0.5+R106*0.5)*0.9,IF(Q107&lt;50%,(MAX(Q106:R106)*0.6+MIN(Q106:R106)*0.4)*0.9,IF(Q107&lt;70%,(MAX(Q106:R106)*0.65+MIN(Q106:R106)*0.35)*0.9,IF(Q107&lt;100%,(MAX(Q106:R106)*0.7+MIN(Q106:R106)*0.3)*0.9,0.7*MAX(Q106:R106)))))</f>
        <v>908.03294844827553</v>
      </c>
      <c r="R108" s="206"/>
      <c r="S108" s="205">
        <f>IF(S107&lt;25%,(S106*0.5+T106*0.5)*0.9,IF(S107&lt;50%,(MAX(S106:T106)*0.6+MIN(S106:T106)*0.4)*0.9,IF(S107&lt;70%,(MAX(S106:T106)*0.65+MIN(S106:T106)*0.35)*0.9,IF(S107&lt;100%,(MAX(S106:T106)*0.7+MIN(S106:T106)*0.3)*0.9,0.7*MAX(S106:T106)))))</f>
        <v>894.79210344827561</v>
      </c>
      <c r="T108" s="206"/>
      <c r="U108" s="205">
        <f>IF(U107&lt;25%,(U106*0.5+V106*0.5)*0.9,IF(U107&lt;50%,(MAX(U106:V106)*0.6+MIN(U106:V106)*0.4)*0.9,IF(U107&lt;70%,(MAX(U106:V106)*0.65+MIN(U106:V106)*0.35)*0.9,IF(U107&lt;100%,(MAX(U106:V106)*0.7+MIN(U106:V106)*0.3)*0.9,0.7*MAX(U106:V106)))))</f>
        <v>1046.773442698259</v>
      </c>
      <c r="V108" s="206"/>
      <c r="W108" s="212">
        <f>IF(W107&lt;25%,(W106*0.5+X106*0.5)*0.9,IF(W107&lt;50%,(MAX(W106:X106)*0.6+MIN(W106:X106)*0.4)*0.9,IF(W107&lt;70%,(MAX(W106:X106)*0.65+MIN(W106:X106)*0.35)*0.9,IF(W107&lt;100%,(MAX(W106:X106)*0.7+MIN(W106:X106)*0.3)*0.9,0.7*MAX(W106:X106)))))</f>
        <v>1010.6058223259844</v>
      </c>
      <c r="X108" s="206"/>
      <c r="Y108" s="205">
        <f>IF(Y107&lt;25%,(Y106*0.5+Z106*0.5)*0.9,IF(Y107&lt;50%,(MAX(Y106:Z106)*0.6+MIN(Y106:Z106)*0.4)*0.9,IF(Y107&lt;70%,(MAX(Y106:Z106)*0.65+MIN(Y106:Z106)*0.35)*0.9,IF(Y107&lt;100%,(MAX(Y106:Z106)*0.7+MIN(Y106:Z106)*0.3)*0.9,0.7*MAX(Y106:Z106)))))</f>
        <v>351.95308536585367</v>
      </c>
      <c r="Z108" s="206"/>
    </row>
    <row r="109" spans="2:26" x14ac:dyDescent="0.25">
      <c r="B109" s="107" t="s">
        <v>15</v>
      </c>
      <c r="C109" s="207">
        <f>C108/(0.9*(0.9*($C$7/100))*($L$9*1000))</f>
        <v>2.7926417763367017</v>
      </c>
      <c r="D109" s="208"/>
      <c r="E109" s="207">
        <f>E108/(0.9*(0.9*($C$7/100))*($L$9*1000))</f>
        <v>2.7985474283171201</v>
      </c>
      <c r="F109" s="208"/>
      <c r="G109" s="207">
        <f>G108/(0.9*(0.9*($C$7/100))*($L$9*1000))</f>
        <v>4.0193366630783505</v>
      </c>
      <c r="H109" s="208"/>
      <c r="I109" s="207">
        <f>I108/(0.9*(0.9*($C$7/100))*($L$9*1000))</f>
        <v>4.481065288178443</v>
      </c>
      <c r="J109" s="208"/>
      <c r="K109" s="207">
        <f>K108/(0.9*(0.9*($C$7/100))*($L$9*1000))</f>
        <v>2.6635808015338274</v>
      </c>
      <c r="L109" s="208"/>
      <c r="M109" s="207">
        <f>M108/(0.9*(0.9*($C$7/100))*($L$9*1000))</f>
        <v>3.3025318284991707</v>
      </c>
      <c r="N109" s="208"/>
      <c r="O109" s="207">
        <f>O108/(0.9*(0.9*($C$7/100))*($L$9*1000))</f>
        <v>3.1783101213804779</v>
      </c>
      <c r="P109" s="208"/>
      <c r="Q109" s="207">
        <f>Q108/(0.9*(0.9*($C$7/100))*($L$9*1000))</f>
        <v>1.8708750524326165</v>
      </c>
      <c r="R109" s="208"/>
      <c r="S109" s="207">
        <f>S108/(0.9*(0.9*($C$7/100))*($L$9*1000))</f>
        <v>1.8435941408467984</v>
      </c>
      <c r="T109" s="208"/>
      <c r="U109" s="207">
        <f>U108/(0.9*(0.9*($C$7/100))*($L$9*1000))</f>
        <v>2.1567304609814295</v>
      </c>
      <c r="V109" s="208"/>
      <c r="W109" s="213">
        <f>W108/(0.9*(0.9*($C$7/100))*($L$9*1000))</f>
        <v>2.0822121312490398</v>
      </c>
      <c r="X109" s="208"/>
      <c r="Y109" s="207">
        <f>Y108/(0.9*(0.9*($C$7/100))*($L$9*1000))</f>
        <v>0.72515017011540817</v>
      </c>
      <c r="Z109" s="208"/>
    </row>
    <row r="110" spans="2:26" x14ac:dyDescent="0.25">
      <c r="B110" s="107" t="s">
        <v>98</v>
      </c>
      <c r="C110" s="209">
        <f>(C109*($L$9))/(0.85*$L$6*100)</f>
        <v>4.5953505585240612E-2</v>
      </c>
      <c r="D110" s="210"/>
      <c r="E110" s="209">
        <f>(E109*($L$9))/(0.85*$L$6*100)</f>
        <v>4.6050684326017971E-2</v>
      </c>
      <c r="F110" s="210"/>
      <c r="G110" s="209">
        <f>(G109*($L$9))/(0.85*$L$6*100)</f>
        <v>6.6139026981835214E-2</v>
      </c>
      <c r="H110" s="210"/>
      <c r="I110" s="209">
        <f>(I109*($L$9))/(0.85*$L$6*100)</f>
        <v>7.3736868256069718E-2</v>
      </c>
      <c r="J110" s="210"/>
      <c r="K110" s="209">
        <f>(K109*($L$9))/(0.85*$L$6*100)</f>
        <v>4.3829780202094507E-2</v>
      </c>
      <c r="L110" s="210"/>
      <c r="M110" s="209">
        <f>(M109*($L$9))/(0.85*$L$6*100)</f>
        <v>5.4343853233281239E-2</v>
      </c>
      <c r="N110" s="210"/>
      <c r="O110" s="209">
        <f>(O109*($L$9))/(0.85*$L$6*100)</f>
        <v>5.2299759013873293E-2</v>
      </c>
      <c r="P110" s="210"/>
      <c r="Q110" s="209">
        <f>(Q109*($L$9))/(0.85*$L$6*100)</f>
        <v>3.0785641001197996E-2</v>
      </c>
      <c r="R110" s="210"/>
      <c r="S110" s="209">
        <f>(S109*($L$9))/(0.85*$L$6*100)</f>
        <v>3.0336727884753157E-2</v>
      </c>
      <c r="T110" s="210"/>
      <c r="U110" s="209">
        <f>(U109*($L$9))/(0.85*$L$6*100)</f>
        <v>3.5489451645522946E-2</v>
      </c>
      <c r="V110" s="210"/>
      <c r="W110" s="214">
        <f>(W109*($L$9))/(0.85*$L$6*100)</f>
        <v>3.4263236915593583E-2</v>
      </c>
      <c r="X110" s="210"/>
      <c r="Y110" s="209">
        <f>(Y109*($L$9))/(0.85*$L$6*100)</f>
        <v>1.193249799344078E-2</v>
      </c>
      <c r="Z110" s="210"/>
    </row>
    <row r="111" spans="2:26" ht="15.75" thickBot="1" x14ac:dyDescent="0.3">
      <c r="B111" s="108" t="s">
        <v>15</v>
      </c>
      <c r="C111" s="201">
        <f>ROUNDUP(C108/(0.9*(($C$7-C110/2)/100)*($L$9*1000)),2)</f>
        <v>2.5199999999999996</v>
      </c>
      <c r="D111" s="202"/>
      <c r="E111" s="201">
        <f>ROUNDUP(E108/(0.9*(($C$7-E110/2)/100)*($L$9*1000)),2)</f>
        <v>2.5299999999999998</v>
      </c>
      <c r="F111" s="202"/>
      <c r="G111" s="201">
        <f>ROUNDUP(G108/(0.9*(($C$7-G110/2)/100)*($L$9*1000)),2)</f>
        <v>3.63</v>
      </c>
      <c r="H111" s="202"/>
      <c r="I111" s="201">
        <f>ROUNDUP(I108/(0.9*(($C$7-I110/2)/100)*($L$9*1000)),2)</f>
        <v>4.05</v>
      </c>
      <c r="J111" s="202"/>
      <c r="K111" s="201">
        <f>ROUNDUP(K108/(0.9*(($C$7-K110/2)/100)*($L$9*1000)),2)</f>
        <v>2.4099999999999997</v>
      </c>
      <c r="L111" s="202"/>
      <c r="M111" s="201">
        <f>ROUNDUP(M108/(0.9*(($C$7-M110/2)/100)*($L$9*1000)),2)</f>
        <v>2.98</v>
      </c>
      <c r="N111" s="202"/>
      <c r="O111" s="201">
        <f>ROUNDUP(O108/(0.9*(($C$7-O110/2)/100)*($L$9*1000)),2)</f>
        <v>2.8699999999999997</v>
      </c>
      <c r="P111" s="202"/>
      <c r="Q111" s="201">
        <f>ROUNDUP(Q108/(0.9*(($C$7-Q110/2)/100)*($L$9*1000)),2)</f>
        <v>1.69</v>
      </c>
      <c r="R111" s="202"/>
      <c r="S111" s="201">
        <f>ROUNDUP(S108/(0.9*(($C$7-S110/2)/100)*($L$9*1000)),2)</f>
        <v>1.67</v>
      </c>
      <c r="T111" s="202"/>
      <c r="U111" s="201">
        <f>ROUNDUP(U108/(0.9*(($C$7-U110/2)/100)*($L$9*1000)),2)</f>
        <v>1.95</v>
      </c>
      <c r="V111" s="202"/>
      <c r="W111" s="215">
        <f>ROUNDUP(W108/(0.9*(($C$7-W110/2)/100)*($L$9*1000)),2)</f>
        <v>1.8800000000000001</v>
      </c>
      <c r="X111" s="216"/>
      <c r="Y111" s="201">
        <f>ROUNDUP(Y108/(0.9*(($C$7-Y110/2)/100)*($L$9*1000)),2)</f>
        <v>0.66</v>
      </c>
      <c r="Z111" s="202"/>
    </row>
    <row r="112" spans="2:26" ht="16.5" thickBot="1" x14ac:dyDescent="0.3">
      <c r="B112" s="61" t="s">
        <v>113</v>
      </c>
      <c r="C112" s="199" t="str">
        <f>IF(C111&gt;$C$12,"$\phi"&amp;IF(VLOOKUP(VLOOKUP(C111,tablas!$R$3:$T$66,2,TRUE)&amp;VLOOKUP(C111,tablas!$R$3:$T$66,3,TRUE),tablas!$Q$3:$R$66,2,FALSE)&lt;C111,VLOOKUP(C111+0.1,tablas!$R$3:$T$66,2,TRUE),VLOOKUP(C111,tablas!$R$3:$T$66,2,TRUE))&amp;"@"&amp;IF(VLOOKUP(VLOOKUP(C111,tablas!$R$3:$T$66,2,TRUE)&amp;VLOOKUP(C111,tablas!$R$3:$T$66,3,TRUE),tablas!$Q$3:$R$66,2,FALSE)&lt;C111,VLOOKUP(C111+0.1,tablas!$R$3:$T$66,3,TRUE)&amp;"$",VLOOKUP(C111,tablas!$R$3:$T$66,3,TRUE)&amp;"$"),$C$13)</f>
        <v>$\phi8@17$</v>
      </c>
      <c r="D112" s="200"/>
      <c r="E112" s="199" t="str">
        <f>IF(E111&gt;$C$12,"$\phi"&amp;IF(VLOOKUP(VLOOKUP(E111,tablas!$R$3:$T$66,2,TRUE)&amp;VLOOKUP(E111,tablas!$R$3:$T$66,3,TRUE),tablas!$Q$3:$R$66,2,FALSE)&lt;E111,VLOOKUP(E111+0.1,tablas!$R$3:$T$66,2,TRUE),VLOOKUP(E111,tablas!$R$3:$T$66,2,TRUE))&amp;"@"&amp;IF(VLOOKUP(VLOOKUP(E111,tablas!$R$3:$T$66,2,TRUE)&amp;VLOOKUP(E111,tablas!$R$3:$T$66,3,TRUE),tablas!$Q$3:$R$66,2,FALSE)&lt;E111,VLOOKUP(E111+0.1,tablas!$R$3:$T$66,3,TRUE)&amp;"$",VLOOKUP(E111,tablas!$R$3:$T$66,3,TRUE)&amp;"$"),$C$13)</f>
        <v>$\phi8@17$</v>
      </c>
      <c r="F112" s="200"/>
      <c r="G112" s="199" t="str">
        <f>IF(G111&gt;$C$12,"$\phi"&amp;IF(VLOOKUP(VLOOKUP(G111,tablas!$R$3:$T$66,2,TRUE)&amp;VLOOKUP(G111,tablas!$R$3:$T$66,3,TRUE),tablas!$Q$3:$R$66,2,FALSE)&lt;G111,VLOOKUP(G111+0.1,tablas!$R$3:$T$66,2,TRUE),VLOOKUP(G111,tablas!$R$3:$T$66,2,TRUE))&amp;"@"&amp;IF(VLOOKUP(VLOOKUP(G111,tablas!$R$3:$T$66,2,TRUE)&amp;VLOOKUP(G111,tablas!$R$3:$T$66,3,TRUE),tablas!$Q$3:$R$66,2,FALSE)&lt;G111,VLOOKUP(G111+0.1,tablas!$R$3:$T$66,3,TRUE)&amp;"$",VLOOKUP(G111,tablas!$R$3:$T$66,3,TRUE)&amp;"$"),$C$13)</f>
        <v>$\phi8@14$</v>
      </c>
      <c r="H112" s="200"/>
      <c r="I112" s="199" t="str">
        <f>IF(I111&gt;$C$12,"$\phi"&amp;IF(VLOOKUP(VLOOKUP(I111,tablas!$R$3:$T$66,2,TRUE)&amp;VLOOKUP(I111,tablas!$R$3:$T$66,3,TRUE),tablas!$Q$3:$R$66,2,FALSE)&lt;I111,VLOOKUP(I111+0.1,tablas!$R$3:$T$66,2,TRUE),VLOOKUP(I111,tablas!$R$3:$T$66,2,TRUE))&amp;"@"&amp;IF(VLOOKUP(VLOOKUP(I111,tablas!$R$3:$T$66,2,TRUE)&amp;VLOOKUP(I111,tablas!$R$3:$T$66,3,TRUE),tablas!$Q$3:$R$66,2,FALSE)&lt;I111,VLOOKUP(I111+0.1,tablas!$R$3:$T$66,3,TRUE)&amp;"$",VLOOKUP(I111,tablas!$R$3:$T$66,3,TRUE)&amp;"$"),$C$13)</f>
        <v>$\phi10@19$</v>
      </c>
      <c r="J112" s="200"/>
      <c r="K112" s="199" t="str">
        <f>IF(K111&gt;$C$12,"$\phi"&amp;IF(VLOOKUP(VLOOKUP(K111,tablas!$R$3:$T$66,2,TRUE)&amp;VLOOKUP(K111,tablas!$R$3:$T$66,3,TRUE),tablas!$Q$3:$R$66,2,FALSE)&lt;K111,VLOOKUP(K111+0.1,tablas!$R$3:$T$66,2,TRUE),VLOOKUP(K111,tablas!$R$3:$T$66,2,TRUE))&amp;"@"&amp;IF(VLOOKUP(VLOOKUP(K111,tablas!$R$3:$T$66,2,TRUE)&amp;VLOOKUP(K111,tablas!$R$3:$T$66,3,TRUE),tablas!$Q$3:$R$66,2,FALSE)&lt;K111,VLOOKUP(K111+0.1,tablas!$R$3:$T$66,3,TRUE)&amp;"$",VLOOKUP(K111,tablas!$R$3:$T$66,3,TRUE)&amp;"$"),$C$13)</f>
        <v>$\phi8@17$</v>
      </c>
      <c r="L112" s="200"/>
      <c r="M112" s="199" t="str">
        <f>IF(M111&gt;$C$12,"$\phi"&amp;IF(VLOOKUP(VLOOKUP(M111,tablas!$R$3:$T$66,2,TRUE)&amp;VLOOKUP(M111,tablas!$R$3:$T$66,3,TRUE),tablas!$Q$3:$R$66,2,FALSE)&lt;M111,VLOOKUP(M111+0.1,tablas!$R$3:$T$66,2,TRUE),VLOOKUP(M111,tablas!$R$3:$T$66,2,TRUE))&amp;"@"&amp;IF(VLOOKUP(VLOOKUP(M111,tablas!$R$3:$T$66,2,TRUE)&amp;VLOOKUP(M111,tablas!$R$3:$T$66,3,TRUE),tablas!$Q$3:$R$66,2,FALSE)&lt;M111,VLOOKUP(M111+0.1,tablas!$R$3:$T$66,3,TRUE)&amp;"$",VLOOKUP(M111,tablas!$R$3:$T$66,3,TRUE)&amp;"$"),$C$13)</f>
        <v>$\phi8@17$</v>
      </c>
      <c r="N112" s="200"/>
      <c r="O112" s="199" t="str">
        <f>IF(O111&gt;$C$12,"$\phi"&amp;IF(VLOOKUP(VLOOKUP(O111,tablas!$R$3:$T$66,2,TRUE)&amp;VLOOKUP(O111,tablas!$R$3:$T$66,3,TRUE),tablas!$Q$3:$R$66,2,FALSE)&lt;O111,VLOOKUP(O111+0.1,tablas!$R$3:$T$66,2,TRUE),VLOOKUP(O111,tablas!$R$3:$T$66,2,TRUE))&amp;"@"&amp;IF(VLOOKUP(VLOOKUP(O111,tablas!$R$3:$T$66,2,TRUE)&amp;VLOOKUP(O111,tablas!$R$3:$T$66,3,TRUE),tablas!$Q$3:$R$66,2,FALSE)&lt;O111,VLOOKUP(O111+0.1,tablas!$R$3:$T$66,3,TRUE)&amp;"$",VLOOKUP(O111,tablas!$R$3:$T$66,3,TRUE)&amp;"$"),$C$13)</f>
        <v>$\phi8@17$</v>
      </c>
      <c r="P112" s="200"/>
      <c r="Q112" s="199" t="str">
        <f>IF(Q111&gt;$C$12,"$\phi"&amp;IF(VLOOKUP(VLOOKUP(Q111,tablas!$R$3:$T$66,2,TRUE)&amp;VLOOKUP(Q111,tablas!$R$3:$T$66,3,TRUE),tablas!$Q$3:$R$66,2,FALSE)&lt;Q111,VLOOKUP(Q111+0.1,tablas!$R$3:$T$66,2,TRUE),VLOOKUP(Q111,tablas!$R$3:$T$66,2,TRUE))&amp;"@"&amp;IF(VLOOKUP(VLOOKUP(Q111,tablas!$R$3:$T$66,2,TRUE)&amp;VLOOKUP(Q111,tablas!$R$3:$T$66,3,TRUE),tablas!$Q$3:$R$66,2,FALSE)&lt;Q111,VLOOKUP(Q111+0.1,tablas!$R$3:$T$66,3,TRUE)&amp;"$",VLOOKUP(Q111,tablas!$R$3:$T$66,3,TRUE)&amp;"$"),$C$13)</f>
        <v>$\phi8@17$</v>
      </c>
      <c r="R112" s="200"/>
      <c r="S112" s="199" t="str">
        <f>IF(S111&gt;$C$12,"$\phi"&amp;IF(VLOOKUP(VLOOKUP(S111,tablas!$R$3:$T$66,2,TRUE)&amp;VLOOKUP(S111,tablas!$R$3:$T$66,3,TRUE),tablas!$Q$3:$R$66,2,FALSE)&lt;S111,VLOOKUP(S111+0.1,tablas!$R$3:$T$66,2,TRUE),VLOOKUP(S111,tablas!$R$3:$T$66,2,TRUE))&amp;"@"&amp;IF(VLOOKUP(VLOOKUP(S111,tablas!$R$3:$T$66,2,TRUE)&amp;VLOOKUP(S111,tablas!$R$3:$T$66,3,TRUE),tablas!$Q$3:$R$66,2,FALSE)&lt;S111,VLOOKUP(S111+0.1,tablas!$R$3:$T$66,3,TRUE)&amp;"$",VLOOKUP(S111,tablas!$R$3:$T$66,3,TRUE)&amp;"$"),$C$13)</f>
        <v>$\phi8@17$</v>
      </c>
      <c r="T112" s="200"/>
      <c r="U112" s="199" t="str">
        <f>IF(U111&gt;$C$12,"$\phi"&amp;IF(VLOOKUP(VLOOKUP(U111,tablas!$R$3:$T$66,2,TRUE)&amp;VLOOKUP(U111,tablas!$R$3:$T$66,3,TRUE),tablas!$Q$3:$R$66,2,FALSE)&lt;U111,VLOOKUP(U111+0.1,tablas!$R$3:$T$66,2,TRUE),VLOOKUP(U111,tablas!$R$3:$T$66,2,TRUE))&amp;"@"&amp;IF(VLOOKUP(VLOOKUP(U111,tablas!$R$3:$T$66,2,TRUE)&amp;VLOOKUP(U111,tablas!$R$3:$T$66,3,TRUE),tablas!$Q$3:$R$66,2,FALSE)&lt;U111,VLOOKUP(U111+0.1,tablas!$R$3:$T$66,3,TRUE)&amp;"$",VLOOKUP(U111,tablas!$R$3:$T$66,3,TRUE)&amp;"$"),$C$13)</f>
        <v>$\phi8@17$</v>
      </c>
      <c r="V112" s="200"/>
      <c r="W112" s="199" t="str">
        <f>IF(W111&gt;$C$12,"$\phi"&amp;IF(VLOOKUP(VLOOKUP(W111,tablas!$R$3:$T$66,2,TRUE)&amp;VLOOKUP(W111,tablas!$R$3:$T$66,3,TRUE),tablas!$Q$3:$R$66,2,FALSE)&lt;W111,VLOOKUP(W111+0.1,tablas!$R$3:$T$66,2,TRUE),VLOOKUP(W111,tablas!$R$3:$T$66,2,TRUE))&amp;"@"&amp;IF(VLOOKUP(VLOOKUP(W111,tablas!$R$3:$T$66,2,TRUE)&amp;VLOOKUP(W111,tablas!$R$3:$T$66,3,TRUE),tablas!$Q$3:$R$66,2,FALSE)&lt;W111,VLOOKUP(W111+0.1,tablas!$R$3:$T$66,3,TRUE)&amp;"$",VLOOKUP(W111,tablas!$R$3:$T$66,3,TRUE)&amp;"$"),$C$13)</f>
        <v>$\phi8@17$</v>
      </c>
      <c r="X112" s="200"/>
      <c r="Y112" s="199" t="str">
        <f>IF(Y111&gt;$C$12,"$\phi"&amp;IF(VLOOKUP(VLOOKUP(Y111,tablas!$R$3:$T$66,2,TRUE)&amp;VLOOKUP(Y111,tablas!$R$3:$T$66,3,TRUE),tablas!$Q$3:$R$66,2,FALSE)&lt;Y111,VLOOKUP(Y111+0.1,tablas!$R$3:$T$66,2,TRUE),VLOOKUP(Y111,tablas!$R$3:$T$66,2,TRUE))&amp;"@"&amp;IF(VLOOKUP(VLOOKUP(Y111,tablas!$R$3:$T$66,2,TRUE)&amp;VLOOKUP(Y111,tablas!$R$3:$T$66,3,TRUE),tablas!$Q$3:$R$66,2,FALSE)&lt;Y111,VLOOKUP(Y111+0.1,tablas!$R$3:$T$66,3,TRUE)&amp;"$",VLOOKUP(Y111,tablas!$R$3:$T$66,3,TRUE)&amp;"$"),$C$13)</f>
        <v>$\phi8@17$</v>
      </c>
      <c r="Z112" s="200"/>
    </row>
    <row r="113" spans="2:25" ht="15.75" thickBot="1" x14ac:dyDescent="0.3">
      <c r="C113" t="str">
        <f>IF(C112='2 a 7'!C112:D112,"IGUAL","PUTA LA WEA")</f>
        <v>IGUAL</v>
      </c>
      <c r="E113" t="str">
        <f>IF(E112='2 a 7'!E112:F112,"IGUAL","PUTA LA WEA")</f>
        <v>IGUAL</v>
      </c>
      <c r="G113" t="str">
        <f>IF(G112='2 a 7'!G112:H112,"IGUAL","PUTA LA WEA")</f>
        <v>IGUAL</v>
      </c>
      <c r="I113" t="str">
        <f>IF(I112='2 a 7'!I112:J112,"IGUAL","PUTA LA WEA")</f>
        <v>IGUAL</v>
      </c>
      <c r="K113" t="str">
        <f>IF(K112='2 a 7'!K112:L112,"IGUAL","PUTA LA WEA")</f>
        <v>IGUAL</v>
      </c>
      <c r="M113" t="str">
        <f>IF(M112='2 a 7'!M112:N112,"IGUAL","PUTA LA WEA")</f>
        <v>IGUAL</v>
      </c>
      <c r="O113" t="str">
        <f>IF(O112='2 a 7'!O112:P112,"IGUAL","PUTA LA WEA")</f>
        <v>IGUAL</v>
      </c>
      <c r="P113" s="40"/>
      <c r="Q113" t="str">
        <f>IF(Q112='2 a 7'!Q112:R112,"IGUAL","PUTA LA WEA")</f>
        <v>IGUAL</v>
      </c>
      <c r="S113" t="str">
        <f>IF(S112='2 a 7'!S112:T112,"IGUAL","PUTA LA WEA")</f>
        <v>IGUAL</v>
      </c>
      <c r="T113" s="40"/>
      <c r="U113" t="str">
        <f>IF(U112='2 a 7'!U112:V112,"IGUAL","PUTA LA WEA")</f>
        <v>IGUAL</v>
      </c>
      <c r="W113" t="str">
        <f>IF(W112='2 a 7'!W112:X112,"IGUAL","PUTA LA WEA")</f>
        <v>IGUAL</v>
      </c>
      <c r="Y113" t="str">
        <f>IF(Y112='2 a 7'!Y112:Z112,"IGUAL","PUTA LA WEA")</f>
        <v>IGUAL</v>
      </c>
    </row>
    <row r="114" spans="2:25" ht="15.75" thickBot="1" x14ac:dyDescent="0.3">
      <c r="B114" s="73" t="s">
        <v>43</v>
      </c>
      <c r="C114" s="74" t="s">
        <v>170</v>
      </c>
      <c r="D114" s="75" t="s">
        <v>185</v>
      </c>
      <c r="E114" s="74" t="s">
        <v>171</v>
      </c>
      <c r="F114" s="75" t="s">
        <v>172</v>
      </c>
      <c r="G114" s="74" t="s">
        <v>171</v>
      </c>
      <c r="H114" s="75" t="s">
        <v>173</v>
      </c>
      <c r="I114" s="74" t="s">
        <v>172</v>
      </c>
      <c r="J114" s="75" t="s">
        <v>185</v>
      </c>
      <c r="K114" s="74" t="s">
        <v>172</v>
      </c>
      <c r="L114" s="75" t="s">
        <v>173</v>
      </c>
      <c r="M114" s="74" t="s">
        <v>173</v>
      </c>
      <c r="N114" s="75" t="s">
        <v>174</v>
      </c>
      <c r="O114" s="74" t="s">
        <v>173</v>
      </c>
      <c r="P114" s="75" t="s">
        <v>181</v>
      </c>
      <c r="Q114" s="74" t="s">
        <v>174</v>
      </c>
      <c r="R114" s="75" t="s">
        <v>181</v>
      </c>
      <c r="S114" s="74" t="s">
        <v>174</v>
      </c>
      <c r="T114" s="75" t="s">
        <v>180</v>
      </c>
      <c r="U114" s="74" t="s">
        <v>176</v>
      </c>
      <c r="V114" s="75" t="s">
        <v>177</v>
      </c>
    </row>
    <row r="115" spans="2:25" ht="15.75" hidden="1" thickBot="1" x14ac:dyDescent="0.3">
      <c r="B115" s="144"/>
      <c r="C115" s="146" t="str">
        <f>C114&amp;"-"&amp;D114</f>
        <v>807-822</v>
      </c>
      <c r="D115" s="146"/>
      <c r="E115" s="146" t="str">
        <f>E114&amp;"-"&amp;F114</f>
        <v>808-809</v>
      </c>
      <c r="F115" s="145"/>
      <c r="G115" s="146" t="str">
        <f>G114&amp;"-"&amp;H114</f>
        <v>808-810</v>
      </c>
      <c r="H115" s="145"/>
      <c r="I115" s="146" t="str">
        <f>I114&amp;"-"&amp;J114</f>
        <v>809-822</v>
      </c>
      <c r="J115" s="145"/>
      <c r="K115" s="146" t="str">
        <f>K114&amp;"-"&amp;L114</f>
        <v>809-810</v>
      </c>
      <c r="L115" s="145"/>
      <c r="M115" s="146" t="str">
        <f>M114&amp;"-"&amp;N114</f>
        <v>810-811</v>
      </c>
      <c r="N115" s="145"/>
      <c r="O115" s="146" t="str">
        <f>O114&amp;"-"&amp;P114</f>
        <v>810-818</v>
      </c>
      <c r="P115" s="145"/>
      <c r="Q115" s="146" t="str">
        <f>Q114&amp;"-"&amp;R114</f>
        <v>811-818</v>
      </c>
      <c r="R115" s="145"/>
      <c r="S115" s="146" t="str">
        <f>S114&amp;"-"&amp;T114</f>
        <v>811-817</v>
      </c>
      <c r="T115" s="145"/>
      <c r="U115" s="146" t="str">
        <f>U114&amp;"-"&amp;V114</f>
        <v>813-814</v>
      </c>
      <c r="V115" s="145"/>
    </row>
    <row r="116" spans="2:25" x14ac:dyDescent="0.25">
      <c r="B116" s="105" t="s">
        <v>114</v>
      </c>
      <c r="C116" s="102" t="s">
        <v>109</v>
      </c>
      <c r="D116" s="103" t="s">
        <v>108</v>
      </c>
      <c r="E116" s="102" t="s">
        <v>108</v>
      </c>
      <c r="F116" s="103" t="s">
        <v>109</v>
      </c>
      <c r="G116" s="102" t="s">
        <v>108</v>
      </c>
      <c r="H116" s="103" t="s">
        <v>108</v>
      </c>
      <c r="I116" s="102" t="s">
        <v>108</v>
      </c>
      <c r="J116" s="103" t="s">
        <v>109</v>
      </c>
      <c r="K116" s="102" t="s">
        <v>108</v>
      </c>
      <c r="L116" s="103" t="s">
        <v>109</v>
      </c>
      <c r="M116" s="102" t="s">
        <v>109</v>
      </c>
      <c r="N116" s="103" t="s">
        <v>109</v>
      </c>
      <c r="O116" s="102" t="s">
        <v>108</v>
      </c>
      <c r="P116" s="103" t="s">
        <v>108</v>
      </c>
      <c r="Q116" s="102" t="s">
        <v>108</v>
      </c>
      <c r="R116" s="103" t="s">
        <v>108</v>
      </c>
      <c r="S116" s="102" t="s">
        <v>109</v>
      </c>
      <c r="T116" s="103" t="s">
        <v>108</v>
      </c>
      <c r="U116" s="102" t="s">
        <v>109</v>
      </c>
      <c r="V116" s="103" t="s">
        <v>109</v>
      </c>
    </row>
    <row r="117" spans="2:25" x14ac:dyDescent="0.25">
      <c r="B117" s="106" t="s">
        <v>110</v>
      </c>
      <c r="C117" s="104">
        <f t="shared" ref="C117:V117" si="26">HLOOKUP(C114,$B$46:$X$89,IF(C116="x",35,40),FALSE)</f>
        <v>479.38048780487804</v>
      </c>
      <c r="D117" s="86">
        <f t="shared" si="26"/>
        <v>734.75928143712576</v>
      </c>
      <c r="E117" s="104">
        <f t="shared" si="26"/>
        <v>227.0333333333333</v>
      </c>
      <c r="F117" s="86">
        <f t="shared" si="26"/>
        <v>667.99428571428564</v>
      </c>
      <c r="G117" s="104">
        <f t="shared" si="26"/>
        <v>227.0333333333333</v>
      </c>
      <c r="H117" s="86">
        <f t="shared" si="26"/>
        <v>1428.5638297872338</v>
      </c>
      <c r="I117" s="104">
        <f t="shared" si="26"/>
        <v>974.1583333333333</v>
      </c>
      <c r="J117" s="86">
        <f t="shared" si="26"/>
        <v>555.22533936651575</v>
      </c>
      <c r="K117" s="104">
        <f t="shared" si="26"/>
        <v>974.1583333333333</v>
      </c>
      <c r="L117" s="86">
        <f t="shared" si="26"/>
        <v>1323.0049261083741</v>
      </c>
      <c r="M117" s="104">
        <f t="shared" si="26"/>
        <v>1323.0049261083741</v>
      </c>
      <c r="N117" s="86">
        <f t="shared" si="26"/>
        <v>1879.8058604651167</v>
      </c>
      <c r="O117" s="104">
        <f t="shared" si="26"/>
        <v>1428.5638297872338</v>
      </c>
      <c r="P117" s="86">
        <f t="shared" si="26"/>
        <v>276.07350000000002</v>
      </c>
      <c r="Q117" s="104">
        <f t="shared" si="26"/>
        <v>2172.8938709677423</v>
      </c>
      <c r="R117" s="86">
        <f t="shared" si="26"/>
        <v>276.07350000000002</v>
      </c>
      <c r="S117" s="104">
        <f t="shared" si="26"/>
        <v>1879.8058604651167</v>
      </c>
      <c r="T117" s="86">
        <f t="shared" si="26"/>
        <v>166.29600000000002</v>
      </c>
      <c r="U117" s="104">
        <f t="shared" si="26"/>
        <v>249.29093333333336</v>
      </c>
      <c r="V117" s="86">
        <f t="shared" si="26"/>
        <v>249.29093333333336</v>
      </c>
    </row>
    <row r="118" spans="2:25" x14ac:dyDescent="0.25">
      <c r="B118" s="106" t="s">
        <v>111</v>
      </c>
      <c r="C118" s="203">
        <f>(MAX(C117:D117)-MIN(C117:D117))/(MAX(C117:D117))</f>
        <v>0.34756797237422959</v>
      </c>
      <c r="D118" s="204"/>
      <c r="E118" s="203">
        <f>(MAX(E117:F117)-MIN(E117:F117))/(MAX(E117:F117))</f>
        <v>0.66012683313515652</v>
      </c>
      <c r="F118" s="204"/>
      <c r="G118" s="203">
        <f>(MAX(G117:H117)-MIN(G117:H117))/(MAX(G117:H117))</f>
        <v>0.84107582132529068</v>
      </c>
      <c r="H118" s="204"/>
      <c r="I118" s="203">
        <f>(MAX(I117:J117)-MIN(I117:J117))/(MAX(I117:J117))</f>
        <v>0.43004610198562954</v>
      </c>
      <c r="J118" s="204"/>
      <c r="K118" s="203">
        <f>(MAX(K117:L117)-MIN(K117:L117))/(MAX(K117:L117))</f>
        <v>0.26367747080214954</v>
      </c>
      <c r="L118" s="204"/>
      <c r="M118" s="203">
        <f>(MAX(M117:N117)-MIN(M117:N117))/(MAX(M117:N117))</f>
        <v>0.29620129720149635</v>
      </c>
      <c r="N118" s="204"/>
      <c r="O118" s="203">
        <f>(MAX(O117:P117)-MIN(O117:P117))/(MAX(O117:P117))</f>
        <v>0.80674752206128753</v>
      </c>
      <c r="P118" s="204"/>
      <c r="Q118" s="203">
        <f>(MAX(Q117:R117)-MIN(Q117:R117))/(MAX(Q117:R117))</f>
        <v>0.87294662491866437</v>
      </c>
      <c r="R118" s="204"/>
      <c r="S118" s="203">
        <f>(MAX(S117:T117)-MIN(S117:T117))/(MAX(S117:T117))</f>
        <v>0.91153554550635685</v>
      </c>
      <c r="T118" s="204"/>
      <c r="U118" s="203">
        <f>(MAX(U117:V117)-MIN(U117:V117))/(MAX(U117:V117))</f>
        <v>0</v>
      </c>
      <c r="V118" s="204"/>
    </row>
    <row r="119" spans="2:25" x14ac:dyDescent="0.25">
      <c r="B119" s="106" t="s">
        <v>112</v>
      </c>
      <c r="C119" s="205">
        <f>IF(C118&lt;25%,(C117*0.5+D117*0.5)*0.9,IF(C118&lt;50%,(MAX(C117:D117)*0.6+MIN(C117:D117)*0.4)*0.9,IF(C118&lt;70%,(MAX(C117:D117)*0.65+MIN(C117:D117)*0.35)*0.9,IF(C118&lt;100%,(MAX(C117:D117)*0.7+MIN(C117:D117)*0.3)*0.9,0.7*MAX(C117:D117)))))</f>
        <v>569.34698758580407</v>
      </c>
      <c r="D119" s="206"/>
      <c r="E119" s="205">
        <f>IF(E118&lt;25%,(E117*0.5+F117*0.5)*0.9,IF(E118&lt;50%,(MAX(E117:F117)*0.6+MIN(E117:F117)*0.4)*0.9,IF(E118&lt;70%,(MAX(E117:F117)*0.65+MIN(E117:F117)*0.35)*0.9,IF(E118&lt;100%,(MAX(E117:F117)*0.7+MIN(E117:F117)*0.3)*0.9,0.7*MAX(E117:F117)))))</f>
        <v>462.29215714285709</v>
      </c>
      <c r="F119" s="206"/>
      <c r="G119" s="205">
        <f>IF(G118&lt;25%,(G117*0.5+H117*0.5)*0.9,IF(G118&lt;50%,(MAX(G117:H117)*0.6+MIN(G117:H117)*0.4)*0.9,IF(G118&lt;70%,(MAX(G117:H117)*0.65+MIN(G117:H117)*0.35)*0.9,IF(G118&lt;100%,(MAX(G117:H117)*0.7+MIN(G117:H117)*0.3)*0.9,0.7*MAX(G117:H117)))))</f>
        <v>961.29421276595713</v>
      </c>
      <c r="H119" s="206"/>
      <c r="I119" s="205">
        <f>IF(I118&lt;25%,(I117*0.5+J117*0.5)*0.9,IF(I118&lt;50%,(MAX(I117:J117)*0.6+MIN(I117:J117)*0.4)*0.9,IF(I118&lt;70%,(MAX(I117:J117)*0.65+MIN(I117:J117)*0.35)*0.9,IF(I118&lt;100%,(MAX(I117:J117)*0.7+MIN(I117:J117)*0.3)*0.9,0.7*MAX(I117:J117)))))</f>
        <v>725.92662217194572</v>
      </c>
      <c r="J119" s="206"/>
      <c r="K119" s="205">
        <f>IF(K118&lt;25%,(K117*0.5+L117*0.5)*0.9,IF(K118&lt;50%,(MAX(K117:L117)*0.6+MIN(K117:L117)*0.4)*0.9,IF(K118&lt;70%,(MAX(K117:L117)*0.65+MIN(K117:L117)*0.35)*0.9,IF(K118&lt;100%,(MAX(K117:L117)*0.7+MIN(K117:L117)*0.3)*0.9,0.7*MAX(K117:L117)))))</f>
        <v>1065.1196600985222</v>
      </c>
      <c r="L119" s="206"/>
      <c r="M119" s="205">
        <f>IF(M118&lt;25%,(M117*0.5+N117*0.5)*0.9,IF(M118&lt;50%,(MAX(M117:N117)*0.6+MIN(M117:N117)*0.4)*0.9,IF(M118&lt;70%,(MAX(M117:N117)*0.65+MIN(M117:N117)*0.35)*0.9,IF(M118&lt;100%,(MAX(M117:N117)*0.7+MIN(M117:N117)*0.3)*0.9,0.7*MAX(M117:N117)))))</f>
        <v>1491.3769380501776</v>
      </c>
      <c r="N119" s="206"/>
      <c r="O119" s="205">
        <f>IF(O118&lt;25%,(O117*0.5+P117*0.5)*0.9,IF(O118&lt;50%,(MAX(O117:P117)*0.6+MIN(O117:P117)*0.4)*0.9,IF(O118&lt;70%,(MAX(O117:P117)*0.65+MIN(O117:P117)*0.35)*0.9,IF(O118&lt;100%,(MAX(O117:P117)*0.7+MIN(O117:P117)*0.3)*0.9,0.7*MAX(O117:P117)))))</f>
        <v>974.53505776595716</v>
      </c>
      <c r="P119" s="206"/>
      <c r="Q119" s="205">
        <f>IF(Q118&lt;25%,(Q117*0.5+R117*0.5)*0.9,IF(Q118&lt;50%,(MAX(Q117:R117)*0.6+MIN(Q117:R117)*0.4)*0.9,IF(Q118&lt;70%,(MAX(Q117:R117)*0.65+MIN(Q117:R117)*0.35)*0.9,IF(Q118&lt;100%,(MAX(Q117:R117)*0.7+MIN(Q117:R117)*0.3)*0.9,0.7*MAX(Q117:R117)))))</f>
        <v>1443.4629837096775</v>
      </c>
      <c r="R119" s="206"/>
      <c r="S119" s="205">
        <f>IF(S118&lt;25%,(S117*0.5+T117*0.5)*0.9,IF(S118&lt;50%,(MAX(S117:T117)*0.6+MIN(S117:T117)*0.4)*0.9,IF(S118&lt;70%,(MAX(S117:T117)*0.65+MIN(S117:T117)*0.35)*0.9,IF(S118&lt;100%,(MAX(S117:T117)*0.7+MIN(S117:T117)*0.3)*0.9,0.7*MAX(S117:T117)))))</f>
        <v>1229.1776120930235</v>
      </c>
      <c r="T119" s="206"/>
      <c r="U119" s="205">
        <f>IF(U118&lt;25%,(U117*0.5+V117*0.5)*0.9,IF(U118&lt;50%,(MAX(U117:V117)*0.6+MIN(U117:V117)*0.4)*0.9,IF(U118&lt;70%,(MAX(U117:V117)*0.65+MIN(U117:V117)*0.35)*0.9,IF(U118&lt;100%,(MAX(U117:V117)*0.7+MIN(U117:V117)*0.3)*0.9,0.7*MAX(U117:V117)))))</f>
        <v>224.36184000000003</v>
      </c>
      <c r="V119" s="206"/>
    </row>
    <row r="120" spans="2:25" x14ac:dyDescent="0.25">
      <c r="B120" s="107" t="s">
        <v>15</v>
      </c>
      <c r="C120" s="207">
        <f>C119/(0.9*(0.9*($C$7/100))*($L$9*1000))</f>
        <v>1.1730599391489145</v>
      </c>
      <c r="D120" s="208"/>
      <c r="E120" s="207">
        <f>E119/(0.9*(0.9*($C$7/100))*($L$9*1000))</f>
        <v>0.95248841488828095</v>
      </c>
      <c r="F120" s="208"/>
      <c r="G120" s="207">
        <f>G119/(0.9*(0.9*($C$7/100))*($L$9*1000))</f>
        <v>1.9806124478027429</v>
      </c>
      <c r="H120" s="208"/>
      <c r="I120" s="207">
        <f>I119/(0.9*(0.9*($C$7/100))*($L$9*1000))</f>
        <v>1.4956704045145492</v>
      </c>
      <c r="J120" s="208"/>
      <c r="K120" s="207">
        <f>K119/(0.9*(0.9*($C$7/100))*($L$9*1000))</f>
        <v>2.194530279258192</v>
      </c>
      <c r="L120" s="208"/>
      <c r="M120" s="207">
        <f>M119/(0.9*(0.9*($C$7/100))*($L$9*1000))</f>
        <v>3.07277385907584</v>
      </c>
      <c r="N120" s="208"/>
      <c r="O120" s="207">
        <f>O119/(0.9*(0.9*($C$7/100))*($L$9*1000))</f>
        <v>2.0078933593885608</v>
      </c>
      <c r="P120" s="208"/>
      <c r="Q120" s="207">
        <f>Q119/(0.9*(0.9*($C$7/100))*($L$9*1000))</f>
        <v>2.974053848979044</v>
      </c>
      <c r="R120" s="208"/>
      <c r="S120" s="207">
        <f>S119/(0.9*(0.9*($C$7/100))*($L$9*1000))</f>
        <v>2.5325487730410572</v>
      </c>
      <c r="T120" s="208"/>
      <c r="U120" s="207">
        <f>U119/(0.9*(0.9*($C$7/100))*($L$9*1000))</f>
        <v>0.46226623151856788</v>
      </c>
      <c r="V120" s="208"/>
    </row>
    <row r="121" spans="2:25" x14ac:dyDescent="0.25">
      <c r="B121" s="107" t="s">
        <v>98</v>
      </c>
      <c r="C121" s="209">
        <f>(C120*($L$9))/(0.85*$L$6*100)</f>
        <v>1.930294709556845E-2</v>
      </c>
      <c r="D121" s="210"/>
      <c r="E121" s="209">
        <f>(E120*($L$9))/(0.85*$L$6*100)</f>
        <v>1.5673396446450757E-2</v>
      </c>
      <c r="F121" s="210"/>
      <c r="G121" s="209">
        <f>(G120*($L$9))/(0.85*$L$6*100)</f>
        <v>3.2591392835815997E-2</v>
      </c>
      <c r="H121" s="210"/>
      <c r="I121" s="209">
        <f>(I120*($L$9))/(0.85*$L$6*100)</f>
        <v>2.4611569901277473E-2</v>
      </c>
      <c r="J121" s="210"/>
      <c r="K121" s="209">
        <f>(K120*($L$9))/(0.85*$L$6*100)</f>
        <v>3.611145557564422E-2</v>
      </c>
      <c r="L121" s="210"/>
      <c r="M121" s="209">
        <f>(M120*($L$9))/(0.85*$L$6*100)</f>
        <v>5.0563137704131469E-2</v>
      </c>
      <c r="N121" s="210"/>
      <c r="O121" s="209">
        <f>(O120*($L$9))/(0.85*$L$6*100)</f>
        <v>3.3040305952260825E-2</v>
      </c>
      <c r="P121" s="210"/>
      <c r="Q121" s="209">
        <f>(Q120*($L$9))/(0.85*$L$6*100)</f>
        <v>4.8938679252711684E-2</v>
      </c>
      <c r="R121" s="210"/>
      <c r="S121" s="209">
        <f>(S120*($L$9))/(0.85*$L$6*100)</f>
        <v>4.1673620717476829E-2</v>
      </c>
      <c r="T121" s="210"/>
      <c r="U121" s="209">
        <f>(U120*($L$9))/(0.85*$L$6*100)</f>
        <v>7.6066877004977726E-3</v>
      </c>
      <c r="V121" s="210"/>
    </row>
    <row r="122" spans="2:25" ht="15.75" thickBot="1" x14ac:dyDescent="0.3">
      <c r="B122" s="108" t="s">
        <v>15</v>
      </c>
      <c r="C122" s="201">
        <f>ROUNDUP(C119/(0.9*(($C$7-C121/2)/100)*($L$9*1000)),2)</f>
        <v>1.06</v>
      </c>
      <c r="D122" s="202"/>
      <c r="E122" s="201">
        <f>ROUNDUP(E119/(0.9*(($C$7-E121/2)/100)*($L$9*1000)),2)</f>
        <v>0.86</v>
      </c>
      <c r="F122" s="202"/>
      <c r="G122" s="201">
        <f>ROUNDUP(G119/(0.9*(($C$7-G121/2)/100)*($L$9*1000)),2)</f>
        <v>1.79</v>
      </c>
      <c r="H122" s="202"/>
      <c r="I122" s="201">
        <f>ROUNDUP(I119/(0.9*(($C$7-I121/2)/100)*($L$9*1000)),2)</f>
        <v>1.35</v>
      </c>
      <c r="J122" s="202"/>
      <c r="K122" s="201">
        <f>ROUNDUP(K119/(0.9*(($C$7-K121/2)/100)*($L$9*1000)),2)</f>
        <v>1.98</v>
      </c>
      <c r="L122" s="202"/>
      <c r="M122" s="201">
        <f>ROUNDUP(M119/(0.9*(($C$7-M121/2)/100)*($L$9*1000)),2)</f>
        <v>2.78</v>
      </c>
      <c r="N122" s="202"/>
      <c r="O122" s="201">
        <f>ROUNDUP(O119/(0.9*(($C$7-O121/2)/100)*($L$9*1000)),2)</f>
        <v>1.81</v>
      </c>
      <c r="P122" s="202"/>
      <c r="Q122" s="201">
        <f>ROUNDUP(Q119/(0.9*(($C$7-Q121/2)/100)*($L$9*1000)),2)</f>
        <v>2.69</v>
      </c>
      <c r="R122" s="202"/>
      <c r="S122" s="201">
        <f>ROUNDUP(S119/(0.9*(($C$7-S121/2)/100)*($L$9*1000)),2)</f>
        <v>2.2899999999999996</v>
      </c>
      <c r="T122" s="202"/>
      <c r="U122" s="201">
        <f>ROUNDUP(U119/(0.9*(($C$7-U121/2)/100)*($L$9*1000)),2)</f>
        <v>0.42</v>
      </c>
      <c r="V122" s="202"/>
    </row>
    <row r="123" spans="2:25" ht="16.5" thickBot="1" x14ac:dyDescent="0.3">
      <c r="B123" s="61" t="s">
        <v>113</v>
      </c>
      <c r="C123" s="199" t="str">
        <f>IF(C122&gt;$C$12,"$\phi"&amp;IF(VLOOKUP(VLOOKUP(C122,tablas!$R$3:$T$66,2,TRUE)&amp;VLOOKUP(C122,tablas!$R$3:$T$66,3,TRUE),tablas!$Q$3:$R$66,2,FALSE)&lt;C122,VLOOKUP(C122+0.1,tablas!$R$3:$T$66,2,TRUE),VLOOKUP(C122,tablas!$R$3:$T$66,2,TRUE))&amp;"@"&amp;IF(VLOOKUP(VLOOKUP(C122,tablas!$R$3:$T$66,2,TRUE)&amp;VLOOKUP(C122,tablas!$R$3:$T$66,3,TRUE),tablas!$Q$3:$R$66,2,FALSE)&lt;C122,VLOOKUP(C122+0.1,tablas!$R$3:$T$66,3,TRUE)&amp;"$",VLOOKUP(C122,tablas!$R$3:$T$66,3,TRUE)&amp;"$"),$C$13)</f>
        <v>$\phi8@17$</v>
      </c>
      <c r="D123" s="200"/>
      <c r="E123" s="199" t="str">
        <f>IF(E122&gt;$C$12,"$\phi"&amp;IF(VLOOKUP(VLOOKUP(E122,tablas!$R$3:$T$66,2,TRUE)&amp;VLOOKUP(E122,tablas!$R$3:$T$66,3,TRUE),tablas!$Q$3:$R$66,2,FALSE)&lt;E122,VLOOKUP(E122+0.1,tablas!$R$3:$T$66,2,TRUE),VLOOKUP(E122,tablas!$R$3:$T$66,2,TRUE))&amp;"@"&amp;IF(VLOOKUP(VLOOKUP(E122,tablas!$R$3:$T$66,2,TRUE)&amp;VLOOKUP(E122,tablas!$R$3:$T$66,3,TRUE),tablas!$Q$3:$R$66,2,FALSE)&lt;E122,VLOOKUP(E122+0.1,tablas!$R$3:$T$66,3,TRUE)&amp;"$",VLOOKUP(E122,tablas!$R$3:$T$66,3,TRUE)&amp;"$"),$C$13)</f>
        <v>$\phi8@17$</v>
      </c>
      <c r="F123" s="200"/>
      <c r="G123" s="199" t="str">
        <f>IF(G122&gt;$C$12,"$\phi"&amp;IF(VLOOKUP(VLOOKUP(G122,tablas!$R$3:$T$66,2,TRUE)&amp;VLOOKUP(G122,tablas!$R$3:$T$66,3,TRUE),tablas!$Q$3:$R$66,2,FALSE)&lt;G122,VLOOKUP(G122+0.1,tablas!$R$3:$T$66,2,TRUE),VLOOKUP(G122,tablas!$R$3:$T$66,2,TRUE))&amp;"@"&amp;IF(VLOOKUP(VLOOKUP(G122,tablas!$R$3:$T$66,2,TRUE)&amp;VLOOKUP(G122,tablas!$R$3:$T$66,3,TRUE),tablas!$Q$3:$R$66,2,FALSE)&lt;G122,VLOOKUP(G122+0.1,tablas!$R$3:$T$66,3,TRUE)&amp;"$",VLOOKUP(G122,tablas!$R$3:$T$66,3,TRUE)&amp;"$"),$C$13)</f>
        <v>$\phi8@17$</v>
      </c>
      <c r="H123" s="200"/>
      <c r="I123" s="199" t="str">
        <f>IF(I122&gt;$C$12,"$\phi"&amp;IF(VLOOKUP(VLOOKUP(I122,tablas!$R$3:$T$66,2,TRUE)&amp;VLOOKUP(I122,tablas!$R$3:$T$66,3,TRUE),tablas!$Q$3:$R$66,2,FALSE)&lt;I122,VLOOKUP(I122+0.1,tablas!$R$3:$T$66,2,TRUE),VLOOKUP(I122,tablas!$R$3:$T$66,2,TRUE))&amp;"@"&amp;IF(VLOOKUP(VLOOKUP(I122,tablas!$R$3:$T$66,2,TRUE)&amp;VLOOKUP(I122,tablas!$R$3:$T$66,3,TRUE),tablas!$Q$3:$R$66,2,FALSE)&lt;I122,VLOOKUP(I122+0.1,tablas!$R$3:$T$66,3,TRUE)&amp;"$",VLOOKUP(I122,tablas!$R$3:$T$66,3,TRUE)&amp;"$"),$C$13)</f>
        <v>$\phi8@17$</v>
      </c>
      <c r="J123" s="200"/>
      <c r="K123" s="199" t="str">
        <f>IF(K122&gt;$C$12,"$\phi"&amp;IF(VLOOKUP(VLOOKUP(K122,tablas!$R$3:$T$66,2,TRUE)&amp;VLOOKUP(K122,tablas!$R$3:$T$66,3,TRUE),tablas!$Q$3:$R$66,2,FALSE)&lt;K122,VLOOKUP(K122+0.1,tablas!$R$3:$T$66,2,TRUE),VLOOKUP(K122,tablas!$R$3:$T$66,2,TRUE))&amp;"@"&amp;IF(VLOOKUP(VLOOKUP(K122,tablas!$R$3:$T$66,2,TRUE)&amp;VLOOKUP(K122,tablas!$R$3:$T$66,3,TRUE),tablas!$Q$3:$R$66,2,FALSE)&lt;K122,VLOOKUP(K122+0.1,tablas!$R$3:$T$66,3,TRUE)&amp;"$",VLOOKUP(K122,tablas!$R$3:$T$66,3,TRUE)&amp;"$"),$C$13)</f>
        <v>$\phi8@17$</v>
      </c>
      <c r="L123" s="200"/>
      <c r="M123" s="199" t="str">
        <f>IF(M122&gt;$C$12,"$\phi"&amp;IF(VLOOKUP(VLOOKUP(M122,tablas!$R$3:$T$66,2,TRUE)&amp;VLOOKUP(M122,tablas!$R$3:$T$66,3,TRUE),tablas!$Q$3:$R$66,2,FALSE)&lt;M122,VLOOKUP(M122+0.1,tablas!$R$3:$T$66,2,TRUE),VLOOKUP(M122,tablas!$R$3:$T$66,2,TRUE))&amp;"@"&amp;IF(VLOOKUP(VLOOKUP(M122,tablas!$R$3:$T$66,2,TRUE)&amp;VLOOKUP(M122,tablas!$R$3:$T$66,3,TRUE),tablas!$Q$3:$R$66,2,FALSE)&lt;M122,VLOOKUP(M122+0.1,tablas!$R$3:$T$66,3,TRUE)&amp;"$",VLOOKUP(M122,tablas!$R$3:$T$66,3,TRUE)&amp;"$"),$C$13)</f>
        <v>$\phi8@17$</v>
      </c>
      <c r="N123" s="200"/>
      <c r="O123" s="199" t="str">
        <f>IF(O122&gt;$C$12,"$\phi"&amp;IF(VLOOKUP(VLOOKUP(O122,tablas!$R$3:$T$66,2,TRUE)&amp;VLOOKUP(O122,tablas!$R$3:$T$66,3,TRUE),tablas!$Q$3:$R$66,2,FALSE)&lt;O122,VLOOKUP(O122+0.1,tablas!$R$3:$T$66,2,TRUE),VLOOKUP(O122,tablas!$R$3:$T$66,2,TRUE))&amp;"@"&amp;IF(VLOOKUP(VLOOKUP(O122,tablas!$R$3:$T$66,2,TRUE)&amp;VLOOKUP(O122,tablas!$R$3:$T$66,3,TRUE),tablas!$Q$3:$R$66,2,FALSE)&lt;O122,VLOOKUP(O122+0.1,tablas!$R$3:$T$66,3,TRUE)&amp;"$",VLOOKUP(O122,tablas!$R$3:$T$66,3,TRUE)&amp;"$"),$C$13)</f>
        <v>$\phi8@17$</v>
      </c>
      <c r="P123" s="200"/>
      <c r="Q123" s="199" t="str">
        <f>IF(Q122&gt;$C$12,"$\phi"&amp;IF(VLOOKUP(VLOOKUP(Q122,tablas!$R$3:$T$66,2,TRUE)&amp;VLOOKUP(Q122,tablas!$R$3:$T$66,3,TRUE),tablas!$Q$3:$R$66,2,FALSE)&lt;Q122,VLOOKUP(Q122+0.1,tablas!$R$3:$T$66,2,TRUE),VLOOKUP(Q122,tablas!$R$3:$T$66,2,TRUE))&amp;"@"&amp;IF(VLOOKUP(VLOOKUP(Q122,tablas!$R$3:$T$66,2,TRUE)&amp;VLOOKUP(Q122,tablas!$R$3:$T$66,3,TRUE),tablas!$Q$3:$R$66,2,FALSE)&lt;Q122,VLOOKUP(Q122+0.1,tablas!$R$3:$T$66,3,TRUE)&amp;"$",VLOOKUP(Q122,tablas!$R$3:$T$66,3,TRUE)&amp;"$"),$C$13)</f>
        <v>$\phi8@17$</v>
      </c>
      <c r="R123" s="200"/>
      <c r="S123" s="199" t="str">
        <f>IF(S122&gt;$C$12,"$\phi"&amp;IF(VLOOKUP(VLOOKUP(S122,tablas!$R$3:$T$66,2,TRUE)&amp;VLOOKUP(S122,tablas!$R$3:$T$66,3,TRUE),tablas!$Q$3:$R$66,2,FALSE)&lt;S122,VLOOKUP(S122+0.1,tablas!$R$3:$T$66,2,TRUE),VLOOKUP(S122,tablas!$R$3:$T$66,2,TRUE))&amp;"@"&amp;IF(VLOOKUP(VLOOKUP(S122,tablas!$R$3:$T$66,2,TRUE)&amp;VLOOKUP(S122,tablas!$R$3:$T$66,3,TRUE),tablas!$Q$3:$R$66,2,FALSE)&lt;S122,VLOOKUP(S122+0.1,tablas!$R$3:$T$66,3,TRUE)&amp;"$",VLOOKUP(S122,tablas!$R$3:$T$66,3,TRUE)&amp;"$"),$C$13)</f>
        <v>$\phi8@17$</v>
      </c>
      <c r="T123" s="200"/>
      <c r="U123" s="199" t="str">
        <f>IF(U122&gt;$C$12,"$\phi"&amp;IF(VLOOKUP(VLOOKUP(U122,tablas!$R$3:$T$66,2,TRUE)&amp;VLOOKUP(U122,tablas!$R$3:$T$66,3,TRUE),tablas!$Q$3:$R$66,2,FALSE)&lt;U122,VLOOKUP(U122+0.1,tablas!$R$3:$T$66,2,TRUE),VLOOKUP(U122,tablas!$R$3:$T$66,2,TRUE))&amp;"@"&amp;IF(VLOOKUP(VLOOKUP(U122,tablas!$R$3:$T$66,2,TRUE)&amp;VLOOKUP(U122,tablas!$R$3:$T$66,3,TRUE),tablas!$Q$3:$R$66,2,FALSE)&lt;U122,VLOOKUP(U122+0.1,tablas!$R$3:$T$66,3,TRUE)&amp;"$",VLOOKUP(U122,tablas!$R$3:$T$66,3,TRUE)&amp;"$"),$C$13)</f>
        <v>$\phi8@17$</v>
      </c>
      <c r="V123" s="200"/>
    </row>
    <row r="124" spans="2:25" x14ac:dyDescent="0.25">
      <c r="C124" t="str">
        <f>IF(C123='2 a 7'!C123:D123,"IGUAL","PUTA LA WEA")</f>
        <v>IGUAL</v>
      </c>
      <c r="E124" t="str">
        <f>IF(E123='2 a 7'!E123:F123,"IGUAL","PUTA LA WEA")</f>
        <v>IGUAL</v>
      </c>
      <c r="G124" t="str">
        <f>IF(G123='2 a 7'!G123:H123,"IGUAL","PUTA LA WEA")</f>
        <v>IGUAL</v>
      </c>
      <c r="I124" t="str">
        <f>IF(I123='2 a 7'!I123:J123,"IGUAL","PUTA LA WEA")</f>
        <v>IGUAL</v>
      </c>
      <c r="K124" t="str">
        <f>IF(K123='2 a 7'!K123:L123,"IGUAL","PUTA LA WEA")</f>
        <v>IGUAL</v>
      </c>
      <c r="M124" t="str">
        <f>IF(M123='2 a 7'!M123:N123,"IGUAL","PUTA LA WEA")</f>
        <v>IGUAL</v>
      </c>
      <c r="O124" t="str">
        <f>IF(O123='2 a 7'!O123:P123,"IGUAL","PUTA LA WEA")</f>
        <v>IGUAL</v>
      </c>
      <c r="Q124" t="str">
        <f>IF(Q123='2 a 7'!Q123:R123,"IGUAL","PUTA LA WEA")</f>
        <v>IGUAL</v>
      </c>
      <c r="S124" t="str">
        <f>IF(S123='2 a 7'!S123:T123,"IGUAL","PUTA LA WEA")</f>
        <v>IGUAL</v>
      </c>
      <c r="U124" t="str">
        <f>IF(U123='2 a 7'!U123:V123,"IGUAL","PUTA LA WEA")</f>
        <v>IGUAL</v>
      </c>
    </row>
  </sheetData>
  <mergeCells count="208">
    <mergeCell ref="E4:F4"/>
    <mergeCell ref="H4:I4"/>
    <mergeCell ref="K4:L4"/>
    <mergeCell ref="B91:C91"/>
    <mergeCell ref="C96:D96"/>
    <mergeCell ref="E96:F96"/>
    <mergeCell ref="G96:H96"/>
    <mergeCell ref="I96:J96"/>
    <mergeCell ref="K96:L96"/>
    <mergeCell ref="Y96:Z96"/>
    <mergeCell ref="C97:D97"/>
    <mergeCell ref="E97:F97"/>
    <mergeCell ref="G97:H97"/>
    <mergeCell ref="I97:J97"/>
    <mergeCell ref="K97:L97"/>
    <mergeCell ref="M97:N97"/>
    <mergeCell ref="O97:P97"/>
    <mergeCell ref="Q97:R97"/>
    <mergeCell ref="S97:T97"/>
    <mergeCell ref="M96:N96"/>
    <mergeCell ref="O96:P96"/>
    <mergeCell ref="Q96:R96"/>
    <mergeCell ref="S96:T96"/>
    <mergeCell ref="U96:V96"/>
    <mergeCell ref="W96:X96"/>
    <mergeCell ref="U97:V97"/>
    <mergeCell ref="W97:X97"/>
    <mergeCell ref="Y97:Z97"/>
    <mergeCell ref="U98:V98"/>
    <mergeCell ref="W98:X98"/>
    <mergeCell ref="Y98:Z98"/>
    <mergeCell ref="C99:D99"/>
    <mergeCell ref="E99:F99"/>
    <mergeCell ref="G99:H99"/>
    <mergeCell ref="I99:J99"/>
    <mergeCell ref="K99:L99"/>
    <mergeCell ref="Y99:Z99"/>
    <mergeCell ref="M99:N99"/>
    <mergeCell ref="O99:P99"/>
    <mergeCell ref="Q99:R99"/>
    <mergeCell ref="S99:T99"/>
    <mergeCell ref="U99:V99"/>
    <mergeCell ref="W99:X99"/>
    <mergeCell ref="C98:D98"/>
    <mergeCell ref="E98:F98"/>
    <mergeCell ref="G98:H98"/>
    <mergeCell ref="I98:J98"/>
    <mergeCell ref="K98:L98"/>
    <mergeCell ref="M98:N98"/>
    <mergeCell ref="O98:P98"/>
    <mergeCell ref="Q98:R98"/>
    <mergeCell ref="S98:T98"/>
    <mergeCell ref="U100:V100"/>
    <mergeCell ref="W100:X100"/>
    <mergeCell ref="Y100:Z100"/>
    <mergeCell ref="C101:D101"/>
    <mergeCell ref="E101:F101"/>
    <mergeCell ref="G101:H101"/>
    <mergeCell ref="I101:J101"/>
    <mergeCell ref="K101:L101"/>
    <mergeCell ref="M101:N101"/>
    <mergeCell ref="O101:P101"/>
    <mergeCell ref="Q101:R101"/>
    <mergeCell ref="S101:T101"/>
    <mergeCell ref="U101:V101"/>
    <mergeCell ref="W101:X101"/>
    <mergeCell ref="Y101:Z101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C107:D107"/>
    <mergeCell ref="E107:F107"/>
    <mergeCell ref="G107:H107"/>
    <mergeCell ref="I107:J107"/>
    <mergeCell ref="K107:L107"/>
    <mergeCell ref="Y107:Z107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M107:N107"/>
    <mergeCell ref="O107:P107"/>
    <mergeCell ref="Q107:R107"/>
    <mergeCell ref="S107:T107"/>
    <mergeCell ref="U107:V107"/>
    <mergeCell ref="W107:X107"/>
    <mergeCell ref="U108:V108"/>
    <mergeCell ref="W108:X108"/>
    <mergeCell ref="Y108:Z108"/>
    <mergeCell ref="U109:V109"/>
    <mergeCell ref="W109:X109"/>
    <mergeCell ref="Y109:Z109"/>
    <mergeCell ref="C110:D110"/>
    <mergeCell ref="E110:F110"/>
    <mergeCell ref="G110:H110"/>
    <mergeCell ref="I110:J110"/>
    <mergeCell ref="K110:L110"/>
    <mergeCell ref="Y110:Z110"/>
    <mergeCell ref="M110:N110"/>
    <mergeCell ref="O110:P110"/>
    <mergeCell ref="Q110:R110"/>
    <mergeCell ref="S110:T110"/>
    <mergeCell ref="U110:V110"/>
    <mergeCell ref="W110:X110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U111:V111"/>
    <mergeCell ref="W111:X111"/>
    <mergeCell ref="Y111:Z111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C111:D111"/>
    <mergeCell ref="E111:F111"/>
    <mergeCell ref="G111:H111"/>
    <mergeCell ref="I111:J111"/>
    <mergeCell ref="K111:L111"/>
    <mergeCell ref="M111:N111"/>
    <mergeCell ref="O111:P111"/>
    <mergeCell ref="Q111:R111"/>
    <mergeCell ref="S111:T111"/>
    <mergeCell ref="S121:T121"/>
    <mergeCell ref="U118:V118"/>
    <mergeCell ref="C119:D119"/>
    <mergeCell ref="E119:F119"/>
    <mergeCell ref="G119:H119"/>
    <mergeCell ref="I119:J119"/>
    <mergeCell ref="K119:L119"/>
    <mergeCell ref="M119:N119"/>
    <mergeCell ref="O119:P119"/>
    <mergeCell ref="Q119:R119"/>
    <mergeCell ref="S119:T119"/>
    <mergeCell ref="U119:V119"/>
    <mergeCell ref="C118:D118"/>
    <mergeCell ref="E118:F118"/>
    <mergeCell ref="G118:H118"/>
    <mergeCell ref="I118:J118"/>
    <mergeCell ref="K118:L118"/>
    <mergeCell ref="M118:N118"/>
    <mergeCell ref="O118:P118"/>
    <mergeCell ref="Q118:R118"/>
    <mergeCell ref="S118:T118"/>
    <mergeCell ref="C120:D120"/>
    <mergeCell ref="E120:F120"/>
    <mergeCell ref="G120:H120"/>
    <mergeCell ref="I120:J120"/>
    <mergeCell ref="K120:L120"/>
    <mergeCell ref="U121:V121"/>
    <mergeCell ref="C122:D122"/>
    <mergeCell ref="E122:F122"/>
    <mergeCell ref="G122:H122"/>
    <mergeCell ref="I122:J122"/>
    <mergeCell ref="K122:L122"/>
    <mergeCell ref="M120:N120"/>
    <mergeCell ref="O120:P120"/>
    <mergeCell ref="Q120:R120"/>
    <mergeCell ref="S120:T120"/>
    <mergeCell ref="U120:V120"/>
    <mergeCell ref="C121:D121"/>
    <mergeCell ref="E121:F121"/>
    <mergeCell ref="G121:H121"/>
    <mergeCell ref="I121:J121"/>
    <mergeCell ref="K121:L121"/>
    <mergeCell ref="M121:N121"/>
    <mergeCell ref="O121:P121"/>
    <mergeCell ref="Q121:R121"/>
    <mergeCell ref="U123:V123"/>
    <mergeCell ref="M122:N122"/>
    <mergeCell ref="O122:P122"/>
    <mergeCell ref="Q122:R122"/>
    <mergeCell ref="S122:T122"/>
    <mergeCell ref="U122:V122"/>
    <mergeCell ref="C123:D123"/>
    <mergeCell ref="E123:F123"/>
    <mergeCell ref="G123:H123"/>
    <mergeCell ref="I123:J123"/>
    <mergeCell ref="K123:L123"/>
    <mergeCell ref="M123:N123"/>
    <mergeCell ref="O123:P123"/>
    <mergeCell ref="Q123:R123"/>
    <mergeCell ref="S123:T123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C3EF-FB81-4A2E-9ECB-3E291B7925E4}">
  <dimension ref="B2:Z124"/>
  <sheetViews>
    <sheetView showGridLines="0" topLeftCell="K57" zoomScale="70" zoomScaleNormal="70" workbookViewId="0">
      <selection activeCell="X75" sqref="X75:X78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3" width="17.28515625" customWidth="1"/>
    <col min="4" max="24" width="17" customWidth="1"/>
  </cols>
  <sheetData>
    <row r="2" spans="2:21" ht="18.75" x14ac:dyDescent="0.3">
      <c r="B2" s="52" t="s">
        <v>210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4" t="s">
        <v>19</v>
      </c>
      <c r="C4" s="113">
        <v>16</v>
      </c>
      <c r="E4" s="217" t="s">
        <v>29</v>
      </c>
      <c r="F4" s="218"/>
      <c r="H4" s="217" t="s">
        <v>30</v>
      </c>
      <c r="I4" s="218"/>
      <c r="K4" s="217" t="s">
        <v>39</v>
      </c>
      <c r="L4" s="218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187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2.04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&amp;"$"</f>
        <v>$\phi8@17$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25">
      <c r="B16" s="63" t="s">
        <v>186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188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25">
      <c r="B18" s="63" t="s">
        <v>189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187</v>
      </c>
      <c r="I18" s="7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3" t="s">
        <v>190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187</v>
      </c>
      <c r="I19" s="7">
        <v>2.04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3" t="s">
        <v>191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187</v>
      </c>
      <c r="I20" s="7">
        <v>2.04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3" t="s">
        <v>192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187</v>
      </c>
      <c r="I21" s="7">
        <v>2.04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3" t="s">
        <v>193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187</v>
      </c>
      <c r="I22" s="7">
        <v>2.04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3" t="s">
        <v>194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187</v>
      </c>
      <c r="I23" s="7">
        <v>2.04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3" t="s">
        <v>195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187</v>
      </c>
      <c r="I24" s="7">
        <v>2.04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3" t="s">
        <v>196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187</v>
      </c>
      <c r="I25" s="7">
        <v>2.04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3" t="s">
        <v>197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187</v>
      </c>
      <c r="I26" s="7">
        <v>2.04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3" t="s">
        <v>198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187</v>
      </c>
      <c r="I27" s="7">
        <v>2.04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3" t="s">
        <v>199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187</v>
      </c>
      <c r="I28" s="7">
        <v>2.04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3" t="s">
        <v>200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187</v>
      </c>
      <c r="I29" s="7">
        <v>2.04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3" t="s">
        <v>201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187</v>
      </c>
      <c r="I30" s="7">
        <v>2.04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3" t="s">
        <v>202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187</v>
      </c>
      <c r="I31" s="7">
        <v>2.04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3" t="s">
        <v>203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187</v>
      </c>
      <c r="I32" s="7">
        <v>2.04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25">
      <c r="B33" s="63" t="s">
        <v>204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187</v>
      </c>
      <c r="I33" s="7">
        <v>2.04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25">
      <c r="B34" s="63" t="s">
        <v>205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187</v>
      </c>
      <c r="I34" s="7">
        <v>2.04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25">
      <c r="B35" s="63" t="s">
        <v>206</v>
      </c>
      <c r="C35" s="6">
        <v>0.74</v>
      </c>
      <c r="D35" s="6">
        <v>3.83</v>
      </c>
      <c r="E35" s="6">
        <v>16</v>
      </c>
      <c r="F35" s="112" t="s">
        <v>8</v>
      </c>
      <c r="G35" s="6">
        <v>300</v>
      </c>
      <c r="H35" s="6" t="s">
        <v>187</v>
      </c>
      <c r="I35" s="7">
        <v>2.04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25">
      <c r="B36" s="63" t="s">
        <v>207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187</v>
      </c>
      <c r="I36" s="7">
        <v>2.04</v>
      </c>
      <c r="J36" s="64"/>
      <c r="K36" s="6"/>
      <c r="L36" s="6"/>
      <c r="M36" s="6"/>
      <c r="N36" s="112"/>
      <c r="O36" s="6"/>
      <c r="P36" s="6"/>
      <c r="Q36" s="6"/>
      <c r="T36" s="40"/>
      <c r="U36" s="41"/>
    </row>
    <row r="37" spans="2:24" ht="15.75" hidden="1" thickBot="1" x14ac:dyDescent="0.3">
      <c r="B37" s="66" t="s">
        <v>208</v>
      </c>
      <c r="C37" s="9">
        <v>2.3199999999999998</v>
      </c>
      <c r="D37" s="9">
        <v>4.3</v>
      </c>
      <c r="E37" s="9">
        <v>16</v>
      </c>
      <c r="F37" s="109" t="s">
        <v>10</v>
      </c>
      <c r="G37" s="9">
        <v>400</v>
      </c>
      <c r="H37" s="9" t="s">
        <v>187</v>
      </c>
      <c r="I37" s="10">
        <v>2.04</v>
      </c>
      <c r="P37" s="40"/>
      <c r="T37" s="40"/>
      <c r="U37" s="41"/>
    </row>
    <row r="38" spans="2:24" hidden="1" x14ac:dyDescent="0.25">
      <c r="B38" s="64"/>
      <c r="C38" s="6"/>
      <c r="D38" s="6"/>
      <c r="E38" s="6"/>
      <c r="F38" s="112"/>
      <c r="G38" s="6"/>
      <c r="H38" s="6"/>
      <c r="I38" s="6"/>
      <c r="P38" s="40"/>
      <c r="T38" s="40"/>
      <c r="U38" s="41"/>
    </row>
    <row r="39" spans="2:24" hidden="1" x14ac:dyDescent="0.25">
      <c r="B39" s="64"/>
      <c r="C39" s="6"/>
      <c r="D39" s="6"/>
      <c r="E39" s="6"/>
      <c r="F39" s="112"/>
      <c r="G39" s="6"/>
      <c r="H39" s="6"/>
      <c r="I39" s="6"/>
      <c r="P39" s="40"/>
      <c r="T39" s="40"/>
      <c r="U39" s="41"/>
    </row>
    <row r="40" spans="2:24" hidden="1" x14ac:dyDescent="0.25">
      <c r="B40" s="64"/>
      <c r="C40" s="6"/>
      <c r="D40" s="6"/>
      <c r="E40" s="6"/>
      <c r="F40" s="112"/>
      <c r="G40" s="6"/>
      <c r="H40" s="6"/>
      <c r="I40" s="6"/>
      <c r="P40" s="40"/>
      <c r="T40" s="40"/>
      <c r="U40" s="41"/>
    </row>
    <row r="41" spans="2:24" hidden="1" x14ac:dyDescent="0.25">
      <c r="B41" s="64"/>
      <c r="C41" s="6"/>
      <c r="D41" s="6"/>
      <c r="E41" s="6"/>
      <c r="F41" s="112"/>
      <c r="G41" s="6"/>
      <c r="H41" s="6"/>
      <c r="I41" s="6"/>
      <c r="P41" s="40"/>
      <c r="T41" s="40"/>
      <c r="U41" s="41"/>
    </row>
    <row r="42" spans="2:24" hidden="1" x14ac:dyDescent="0.25">
      <c r="B42" s="64"/>
      <c r="C42" s="6"/>
      <c r="D42" s="6"/>
      <c r="E42" s="6"/>
      <c r="F42" s="112"/>
      <c r="G42" s="6"/>
      <c r="H42" s="6"/>
      <c r="I42" s="6"/>
      <c r="P42" s="40"/>
      <c r="T42" s="40"/>
      <c r="U42" s="41"/>
    </row>
    <row r="43" spans="2:24" hidden="1" x14ac:dyDescent="0.25">
      <c r="B43" s="64"/>
      <c r="C43" s="6"/>
      <c r="D43" s="6"/>
      <c r="E43" s="6"/>
      <c r="F43" s="112"/>
      <c r="G43" s="6"/>
      <c r="H43" s="6"/>
      <c r="I43" s="6"/>
      <c r="P43" s="40"/>
      <c r="T43" s="40"/>
      <c r="U43" s="41"/>
    </row>
    <row r="44" spans="2:24" s="39" customFormat="1" hidden="1" x14ac:dyDescent="0.25">
      <c r="B44" s="64"/>
      <c r="C44" s="6"/>
      <c r="D44" s="6"/>
      <c r="E44" s="6"/>
      <c r="F44" s="112"/>
      <c r="G44" s="6"/>
      <c r="H44" s="6"/>
      <c r="I44" s="6"/>
      <c r="P44" s="110"/>
      <c r="T44" s="110"/>
      <c r="U44" s="154"/>
    </row>
    <row r="45" spans="2:24" s="39" customFormat="1" ht="15.75" thickBot="1" x14ac:dyDescent="0.3">
      <c r="B45" s="64"/>
      <c r="C45" s="6"/>
      <c r="D45" s="6"/>
      <c r="E45" s="6"/>
      <c r="F45" s="112"/>
      <c r="G45" s="6"/>
      <c r="H45" s="6"/>
      <c r="I45" s="6"/>
      <c r="P45" s="110"/>
      <c r="T45" s="110"/>
      <c r="U45" s="154"/>
    </row>
    <row r="46" spans="2:24" ht="15.75" thickBot="1" x14ac:dyDescent="0.3">
      <c r="B46" s="73" t="s">
        <v>43</v>
      </c>
      <c r="C46" s="74" t="s">
        <v>186</v>
      </c>
      <c r="D46" s="74" t="s">
        <v>188</v>
      </c>
      <c r="E46" s="74" t="s">
        <v>189</v>
      </c>
      <c r="F46" s="74" t="s">
        <v>190</v>
      </c>
      <c r="G46" s="74" t="s">
        <v>191</v>
      </c>
      <c r="H46" s="74" t="s">
        <v>192</v>
      </c>
      <c r="I46" s="74" t="s">
        <v>193</v>
      </c>
      <c r="J46" s="74" t="s">
        <v>194</v>
      </c>
      <c r="K46" s="74" t="s">
        <v>195</v>
      </c>
      <c r="L46" s="74" t="s">
        <v>196</v>
      </c>
      <c r="M46" s="74" t="s">
        <v>197</v>
      </c>
      <c r="N46" s="74" t="s">
        <v>198</v>
      </c>
      <c r="O46" s="74" t="s">
        <v>199</v>
      </c>
      <c r="P46" s="74" t="s">
        <v>200</v>
      </c>
      <c r="Q46" s="74" t="s">
        <v>201</v>
      </c>
      <c r="R46" s="74" t="s">
        <v>202</v>
      </c>
      <c r="S46" s="74" t="s">
        <v>203</v>
      </c>
      <c r="T46" s="74" t="s">
        <v>204</v>
      </c>
      <c r="U46" s="74" t="s">
        <v>205</v>
      </c>
      <c r="V46" s="74" t="s">
        <v>206</v>
      </c>
      <c r="W46" s="74" t="s">
        <v>207</v>
      </c>
      <c r="X46" s="74" t="s">
        <v>208</v>
      </c>
    </row>
    <row r="47" spans="2:24" ht="15.75" thickBot="1" x14ac:dyDescent="0.3">
      <c r="B47" s="71" t="s">
        <v>95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72"/>
      <c r="X47" s="72"/>
    </row>
    <row r="48" spans="2:24" x14ac:dyDescent="0.25">
      <c r="B48" s="97" t="s">
        <v>81</v>
      </c>
      <c r="C48" s="76">
        <f>VLOOKUP(C$46,$B$16:$H$37,2)</f>
        <v>6.05</v>
      </c>
      <c r="D48" s="76">
        <f t="shared" ref="D48:X48" si="0">VLOOKUP(D$46,$B$16:$H$37,2)</f>
        <v>4.6500000000000004</v>
      </c>
      <c r="E48" s="76">
        <f t="shared" si="0"/>
        <v>4.6500000000000004</v>
      </c>
      <c r="F48" s="76">
        <f t="shared" si="0"/>
        <v>6.05</v>
      </c>
      <c r="G48" s="76">
        <f t="shared" si="0"/>
        <v>5.82</v>
      </c>
      <c r="H48" s="76">
        <f t="shared" si="0"/>
        <v>5</v>
      </c>
      <c r="I48" s="76">
        <f t="shared" si="0"/>
        <v>2.1</v>
      </c>
      <c r="J48" s="76">
        <f t="shared" si="0"/>
        <v>1.4</v>
      </c>
      <c r="K48" s="76">
        <f t="shared" si="0"/>
        <v>2.9</v>
      </c>
      <c r="L48" s="76">
        <f t="shared" si="0"/>
        <v>5</v>
      </c>
      <c r="M48" s="76">
        <f t="shared" si="0"/>
        <v>5.82</v>
      </c>
      <c r="N48" s="76">
        <f t="shared" si="0"/>
        <v>1.51</v>
      </c>
      <c r="O48" s="76">
        <f t="shared" si="0"/>
        <v>1.51</v>
      </c>
      <c r="P48" s="76">
        <f t="shared" si="0"/>
        <v>1.51</v>
      </c>
      <c r="Q48" s="76">
        <f t="shared" si="0"/>
        <v>1.51</v>
      </c>
      <c r="R48" s="76">
        <f t="shared" si="0"/>
        <v>1.04</v>
      </c>
      <c r="S48" s="76">
        <f t="shared" si="0"/>
        <v>1.04</v>
      </c>
      <c r="T48" s="76">
        <f t="shared" si="0"/>
        <v>1.34</v>
      </c>
      <c r="U48" s="76">
        <f t="shared" si="0"/>
        <v>1.34</v>
      </c>
      <c r="V48" s="76">
        <f t="shared" si="0"/>
        <v>0.74</v>
      </c>
      <c r="W48" s="76">
        <f t="shared" si="0"/>
        <v>0.7</v>
      </c>
      <c r="X48" s="76">
        <f t="shared" si="0"/>
        <v>2.3199999999999998</v>
      </c>
    </row>
    <row r="49" spans="2:24" x14ac:dyDescent="0.25">
      <c r="B49" s="97" t="s">
        <v>82</v>
      </c>
      <c r="C49" s="76">
        <f>VLOOKUP(C$46,$B$16:$H$37,3)</f>
        <v>10</v>
      </c>
      <c r="D49" s="76">
        <f t="shared" ref="D49:X49" si="1">VLOOKUP(D$46,$B$16:$H$37,3)</f>
        <v>5.6</v>
      </c>
      <c r="E49" s="76">
        <f t="shared" si="1"/>
        <v>5.6</v>
      </c>
      <c r="F49" s="76">
        <f t="shared" si="1"/>
        <v>7.89</v>
      </c>
      <c r="G49" s="76">
        <f t="shared" si="1"/>
        <v>6.96</v>
      </c>
      <c r="H49" s="76">
        <f t="shared" si="1"/>
        <v>5.0199999999999996</v>
      </c>
      <c r="I49" s="76">
        <f t="shared" si="1"/>
        <v>4.04</v>
      </c>
      <c r="J49" s="76">
        <f t="shared" si="1"/>
        <v>11.2</v>
      </c>
      <c r="K49" s="76">
        <f t="shared" si="1"/>
        <v>6.36</v>
      </c>
      <c r="L49" s="76">
        <f t="shared" si="1"/>
        <v>5.0199999999999996</v>
      </c>
      <c r="M49" s="76">
        <f t="shared" si="1"/>
        <v>6.49</v>
      </c>
      <c r="N49" s="76">
        <f t="shared" si="1"/>
        <v>5.33</v>
      </c>
      <c r="O49" s="76">
        <f t="shared" si="1"/>
        <v>5.6</v>
      </c>
      <c r="P49" s="76">
        <f t="shared" si="1"/>
        <v>5.6</v>
      </c>
      <c r="Q49" s="76">
        <f t="shared" si="1"/>
        <v>5.25</v>
      </c>
      <c r="R49" s="76">
        <f t="shared" si="1"/>
        <v>3.83</v>
      </c>
      <c r="S49" s="76">
        <f t="shared" si="1"/>
        <v>3.83</v>
      </c>
      <c r="T49" s="76">
        <f t="shared" si="1"/>
        <v>7.01</v>
      </c>
      <c r="U49" s="76">
        <f t="shared" si="1"/>
        <v>7.09</v>
      </c>
      <c r="V49" s="76">
        <f t="shared" si="1"/>
        <v>3.83</v>
      </c>
      <c r="W49" s="76">
        <f t="shared" si="1"/>
        <v>3.83</v>
      </c>
      <c r="X49" s="76">
        <f t="shared" si="1"/>
        <v>4.3</v>
      </c>
    </row>
    <row r="50" spans="2:24" x14ac:dyDescent="0.25">
      <c r="B50" s="100" t="s">
        <v>86</v>
      </c>
      <c r="C50" s="76">
        <f>ROUNDUP((C54*C48*100)/C55+$C$5,0)</f>
        <v>13</v>
      </c>
      <c r="D50" s="76">
        <f t="shared" ref="D50:X50" si="2">ROUNDUP((D54*D48*100)/D55+$C$5,0)</f>
        <v>10</v>
      </c>
      <c r="E50" s="76">
        <f t="shared" si="2"/>
        <v>10</v>
      </c>
      <c r="F50" s="76">
        <f t="shared" si="2"/>
        <v>12</v>
      </c>
      <c r="G50" s="76">
        <f t="shared" si="2"/>
        <v>11</v>
      </c>
      <c r="H50" s="76">
        <f t="shared" si="2"/>
        <v>10</v>
      </c>
      <c r="I50" s="76">
        <f t="shared" si="2"/>
        <v>6</v>
      </c>
      <c r="J50" s="76">
        <f t="shared" si="2"/>
        <v>4</v>
      </c>
      <c r="K50" s="76">
        <f t="shared" si="2"/>
        <v>7</v>
      </c>
      <c r="L50" s="76">
        <f t="shared" si="2"/>
        <v>9</v>
      </c>
      <c r="M50" s="76">
        <f t="shared" si="2"/>
        <v>10</v>
      </c>
      <c r="N50" s="76">
        <f t="shared" si="2"/>
        <v>5</v>
      </c>
      <c r="O50" s="76">
        <f t="shared" si="2"/>
        <v>5</v>
      </c>
      <c r="P50" s="76">
        <f t="shared" si="2"/>
        <v>5</v>
      </c>
      <c r="Q50" s="76">
        <f t="shared" si="2"/>
        <v>5</v>
      </c>
      <c r="R50" s="76">
        <f t="shared" si="2"/>
        <v>4</v>
      </c>
      <c r="S50" s="76">
        <f t="shared" si="2"/>
        <v>4</v>
      </c>
      <c r="T50" s="76">
        <f t="shared" si="2"/>
        <v>5</v>
      </c>
      <c r="U50" s="76">
        <f t="shared" si="2"/>
        <v>5</v>
      </c>
      <c r="V50" s="76">
        <f t="shared" si="2"/>
        <v>4</v>
      </c>
      <c r="W50" s="76">
        <f t="shared" si="2"/>
        <v>4</v>
      </c>
      <c r="X50" s="76">
        <f t="shared" si="2"/>
        <v>6</v>
      </c>
    </row>
    <row r="51" spans="2:24" ht="15.75" thickBot="1" x14ac:dyDescent="0.3">
      <c r="B51" s="101" t="s">
        <v>0</v>
      </c>
      <c r="C51" s="116">
        <f>VLOOKUP(C$46,$B$16:$I$37,5)</f>
        <v>6</v>
      </c>
      <c r="D51" s="116">
        <f t="shared" ref="D51:X51" si="3">VLOOKUP(D$46,$B$16:$I$37,5)</f>
        <v>6</v>
      </c>
      <c r="E51" s="116">
        <f t="shared" si="3"/>
        <v>6</v>
      </c>
      <c r="F51" s="116">
        <f t="shared" si="3"/>
        <v>6</v>
      </c>
      <c r="G51" s="116">
        <f t="shared" si="3"/>
        <v>6</v>
      </c>
      <c r="H51" s="116">
        <f t="shared" si="3"/>
        <v>6</v>
      </c>
      <c r="I51" s="116" t="str">
        <f t="shared" si="3"/>
        <v>5b</v>
      </c>
      <c r="J51" s="116">
        <f t="shared" si="3"/>
        <v>6</v>
      </c>
      <c r="K51" s="116">
        <f t="shared" si="3"/>
        <v>6</v>
      </c>
      <c r="L51" s="116">
        <f t="shared" si="3"/>
        <v>6</v>
      </c>
      <c r="M51" s="116">
        <f t="shared" si="3"/>
        <v>6</v>
      </c>
      <c r="N51" s="116" t="str">
        <f t="shared" si="3"/>
        <v>2a</v>
      </c>
      <c r="O51" s="116" t="str">
        <f t="shared" si="3"/>
        <v>5b</v>
      </c>
      <c r="P51" s="116" t="str">
        <f t="shared" si="3"/>
        <v>5b</v>
      </c>
      <c r="Q51" s="116" t="str">
        <f t="shared" si="3"/>
        <v>2a</v>
      </c>
      <c r="R51" s="116" t="str">
        <f t="shared" si="3"/>
        <v>2a</v>
      </c>
      <c r="S51" s="116" t="str">
        <f t="shared" si="3"/>
        <v>2a</v>
      </c>
      <c r="T51" s="116" t="str">
        <f t="shared" si="3"/>
        <v>2a</v>
      </c>
      <c r="U51" s="116" t="str">
        <f t="shared" si="3"/>
        <v>2a</v>
      </c>
      <c r="V51" s="116" t="str">
        <f t="shared" si="3"/>
        <v>2a</v>
      </c>
      <c r="W51" s="116" t="str">
        <f t="shared" si="3"/>
        <v>2a</v>
      </c>
      <c r="X51" s="116" t="str">
        <f t="shared" si="3"/>
        <v>5b</v>
      </c>
    </row>
    <row r="52" spans="2:24" ht="15.75" thickBot="1" x14ac:dyDescent="0.3">
      <c r="B52" s="71" t="s">
        <v>94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72"/>
      <c r="X52" s="72"/>
    </row>
    <row r="53" spans="2:24" x14ac:dyDescent="0.25">
      <c r="B53" s="100" t="s">
        <v>84</v>
      </c>
      <c r="C53" s="80">
        <f>ROUNDUP(C49/C48,1)</f>
        <v>1.7000000000000002</v>
      </c>
      <c r="D53" s="81">
        <f>ROUNDUP(D49/D48,1)</f>
        <v>1.3</v>
      </c>
      <c r="E53" s="81">
        <f t="shared" ref="E53:X53" si="4">ROUNDUP(E49/E48,1)</f>
        <v>1.3</v>
      </c>
      <c r="F53" s="81">
        <f t="shared" si="4"/>
        <v>1.4000000000000001</v>
      </c>
      <c r="G53" s="81">
        <f t="shared" si="4"/>
        <v>1.2000000000000002</v>
      </c>
      <c r="H53" s="81">
        <f t="shared" si="4"/>
        <v>1.1000000000000001</v>
      </c>
      <c r="I53" s="81">
        <f t="shared" si="4"/>
        <v>2</v>
      </c>
      <c r="J53" s="81">
        <f t="shared" si="4"/>
        <v>8</v>
      </c>
      <c r="K53" s="81">
        <f t="shared" si="4"/>
        <v>2.2000000000000002</v>
      </c>
      <c r="L53" s="81">
        <f t="shared" si="4"/>
        <v>1.1000000000000001</v>
      </c>
      <c r="M53" s="81">
        <f t="shared" si="4"/>
        <v>1.2000000000000002</v>
      </c>
      <c r="N53" s="81">
        <f t="shared" si="4"/>
        <v>3.6</v>
      </c>
      <c r="O53" s="81">
        <f t="shared" si="4"/>
        <v>3.8000000000000003</v>
      </c>
      <c r="P53" s="81">
        <f t="shared" si="4"/>
        <v>3.8000000000000003</v>
      </c>
      <c r="Q53" s="81">
        <f t="shared" si="4"/>
        <v>3.5</v>
      </c>
      <c r="R53" s="81">
        <f t="shared" si="4"/>
        <v>3.7</v>
      </c>
      <c r="S53" s="81">
        <f t="shared" si="4"/>
        <v>3.7</v>
      </c>
      <c r="T53" s="81">
        <f t="shared" si="4"/>
        <v>5.3</v>
      </c>
      <c r="U53" s="81">
        <f t="shared" si="4"/>
        <v>5.3</v>
      </c>
      <c r="V53" s="81">
        <f t="shared" si="4"/>
        <v>5.1999999999999993</v>
      </c>
      <c r="W53" s="81">
        <f t="shared" si="4"/>
        <v>5.5</v>
      </c>
      <c r="X53" s="81">
        <f t="shared" si="4"/>
        <v>1.9000000000000001</v>
      </c>
    </row>
    <row r="54" spans="2:24" x14ac:dyDescent="0.25">
      <c r="B54" s="100" t="s">
        <v>11</v>
      </c>
      <c r="C54" s="76">
        <f>IF(C53&gt;1.5,VLOOKUP(C51&amp;1.5,tablas!$L$3:$O$56,4,FALSE),VLOOKUP(C51&amp;C53,tablas!$L$3:$O$56,4,FALSE))</f>
        <v>0.57999999999999996</v>
      </c>
      <c r="D54" s="77">
        <f>IF(D53&gt;1.5,VLOOKUP(D51&amp;1.5,tablas!$L$3:$O$56,4,FALSE),VLOOKUP(D51&amp;D53,tablas!$L$3:$O$56,4,FALSE))</f>
        <v>0.56000000000000005</v>
      </c>
      <c r="E54" s="77">
        <f>IF(E53&gt;1.5,VLOOKUP(E51&amp;1.5,tablas!$L$3:$O$56,4,FALSE),VLOOKUP(E51&amp;E53,tablas!$L$3:$O$56,4,FALSE))</f>
        <v>0.56000000000000005</v>
      </c>
      <c r="F54" s="77">
        <f>IF(F53&gt;1.5,VLOOKUP(F51&amp;1.5,tablas!$L$3:$O$56,4,FALSE),VLOOKUP(F51&amp;F53,tablas!$L$3:$O$56,4,FALSE))</f>
        <v>0.56999999999999995</v>
      </c>
      <c r="G54" s="77">
        <f>IF(G53&gt;1.5,VLOOKUP(G51&amp;1.5,tablas!$L$3:$O$56,4,FALSE),VLOOKUP(G51&amp;G53,tablas!$L$3:$O$56,4,FALSE))</f>
        <v>0.56000000000000005</v>
      </c>
      <c r="H54" s="77">
        <f>IF(H53&gt;1.5,VLOOKUP(H51&amp;1.5,tablas!$L$3:$O$56,4,FALSE),VLOOKUP(H51&amp;H53,tablas!$L$3:$O$56,4,FALSE))</f>
        <v>0.55000000000000004</v>
      </c>
      <c r="I54" s="77">
        <f>IF(I53&gt;1.5,VLOOKUP(I51&amp;1.5,tablas!$L$3:$O$56,4,FALSE),VLOOKUP(I51&amp;I53,tablas!$L$3:$O$56,4,FALSE))</f>
        <v>0.75</v>
      </c>
      <c r="J54" s="77">
        <f>IF(J53&gt;1.5,VLOOKUP(J51&amp;1.5,tablas!$L$3:$O$56,4,FALSE),VLOOKUP(J51&amp;J53,tablas!$L$3:$O$56,4,FALSE))</f>
        <v>0.57999999999999996</v>
      </c>
      <c r="K54" s="77">
        <f>IF(K53&gt;1.5,VLOOKUP(K51&amp;1.5,tablas!$L$3:$O$56,4,FALSE),VLOOKUP(K51&amp;K53,tablas!$L$3:$O$56,4,FALSE))</f>
        <v>0.57999999999999996</v>
      </c>
      <c r="L54" s="77">
        <f>IF(L53&gt;1.5,VLOOKUP(L51&amp;1.5,tablas!$L$3:$O$56,4,FALSE),VLOOKUP(L51&amp;L53,tablas!$L$3:$O$56,4,FALSE))</f>
        <v>0.55000000000000004</v>
      </c>
      <c r="M54" s="77">
        <f>IF(M53&gt;1.5,VLOOKUP(M51&amp;1.5,tablas!$L$3:$O$56,4,FALSE),VLOOKUP(M51&amp;M53,tablas!$L$3:$O$56,4,FALSE))</f>
        <v>0.56000000000000005</v>
      </c>
      <c r="N54" s="77">
        <f>IF(N53&gt;1.5,VLOOKUP(N51&amp;1.5,tablas!$L$3:$O$56,4,FALSE),VLOOKUP(N51&amp;N53,tablas!$L$3:$O$56,4,FALSE))</f>
        <v>0.8</v>
      </c>
      <c r="O54" s="77">
        <f>IF(O53&gt;1.5,VLOOKUP(O51&amp;1.5,tablas!$L$3:$O$56,4,FALSE),VLOOKUP(O51&amp;O53,tablas!$L$3:$O$56,4,FALSE))</f>
        <v>0.75</v>
      </c>
      <c r="P54" s="77">
        <f>IF(P53&gt;1.5,VLOOKUP(P51&amp;1.5,tablas!$L$3:$O$56,4,FALSE),VLOOKUP(P51&amp;P53,tablas!$L$3:$O$56,4,FALSE))</f>
        <v>0.75</v>
      </c>
      <c r="Q54" s="77">
        <f>IF(Q53&gt;1.5,VLOOKUP(Q51&amp;1.5,tablas!$L$3:$O$56,4,FALSE),VLOOKUP(Q51&amp;Q53,tablas!$L$3:$O$56,4,FALSE))</f>
        <v>0.8</v>
      </c>
      <c r="R54" s="77">
        <f>IF(R53&gt;1.5,VLOOKUP(R51&amp;1.5,tablas!$L$3:$O$56,4,FALSE),VLOOKUP(R51&amp;R53,tablas!$L$3:$O$56,4,FALSE))</f>
        <v>0.8</v>
      </c>
      <c r="S54" s="77">
        <f>IF(S53&gt;1.5,VLOOKUP(S51&amp;1.5,tablas!$L$3:$O$56,4,FALSE),VLOOKUP(S51&amp;S53,tablas!$L$3:$O$56,4,FALSE))</f>
        <v>0.8</v>
      </c>
      <c r="T54" s="77">
        <f>IF(T53&gt;1.5,VLOOKUP(T51&amp;1.5,tablas!$L$3:$O$56,4,FALSE),VLOOKUP(T51&amp;T53,tablas!$L$3:$O$56,4,FALSE))</f>
        <v>0.8</v>
      </c>
      <c r="U54" s="77">
        <f>IF(U53&gt;1.5,VLOOKUP(U51&amp;1.5,tablas!$L$3:$O$56,4,FALSE),VLOOKUP(U51&amp;U53,tablas!$L$3:$O$56,4,FALSE))</f>
        <v>0.8</v>
      </c>
      <c r="V54" s="77">
        <f>IF(V53&gt;1.5,VLOOKUP(V51&amp;1.5,tablas!$L$3:$O$56,4,FALSE),VLOOKUP(V51&amp;V53,tablas!$L$3:$O$56,4,FALSE))</f>
        <v>0.8</v>
      </c>
      <c r="W54" s="77">
        <f>IF(W53&gt;1.5,VLOOKUP(W51&amp;1.5,tablas!$L$3:$O$56,4,FALSE),VLOOKUP(W51&amp;W53,tablas!$L$3:$O$56,4,FALSE))</f>
        <v>0.8</v>
      </c>
      <c r="X54" s="77">
        <f>IF(X53&gt;1.5,VLOOKUP(X51&amp;1.5,tablas!$L$3:$O$56,4,FALSE),VLOOKUP(X51&amp;X53,tablas!$L$3:$O$56,4,FALSE))</f>
        <v>0.75</v>
      </c>
    </row>
    <row r="55" spans="2:24" x14ac:dyDescent="0.25">
      <c r="B55" s="100" t="s">
        <v>85</v>
      </c>
      <c r="C55" s="76">
        <v>35</v>
      </c>
      <c r="D55" s="77">
        <v>35</v>
      </c>
      <c r="E55" s="77">
        <v>36</v>
      </c>
      <c r="F55" s="77">
        <v>37</v>
      </c>
      <c r="G55" s="77">
        <v>38</v>
      </c>
      <c r="H55" s="77">
        <v>39</v>
      </c>
      <c r="I55" s="77">
        <v>40</v>
      </c>
      <c r="J55" s="77">
        <v>41</v>
      </c>
      <c r="K55" s="77">
        <v>42</v>
      </c>
      <c r="L55" s="77">
        <v>43</v>
      </c>
      <c r="M55" s="77">
        <v>44</v>
      </c>
      <c r="N55" s="77">
        <v>45</v>
      </c>
      <c r="O55" s="77">
        <v>46</v>
      </c>
      <c r="P55" s="77">
        <v>47</v>
      </c>
      <c r="Q55" s="77">
        <v>48</v>
      </c>
      <c r="R55" s="77">
        <v>49</v>
      </c>
      <c r="S55" s="77">
        <v>50</v>
      </c>
      <c r="T55" s="77">
        <v>51</v>
      </c>
      <c r="U55" s="77">
        <v>52</v>
      </c>
      <c r="V55" s="77">
        <v>53</v>
      </c>
      <c r="W55" s="77">
        <v>54</v>
      </c>
      <c r="X55" s="77">
        <v>55</v>
      </c>
    </row>
    <row r="56" spans="2:24" x14ac:dyDescent="0.25">
      <c r="B56" s="97" t="s">
        <v>4</v>
      </c>
      <c r="C56" s="76">
        <f>IF(C53&lt;=2,VLOOKUP(C51&amp;C53-0.1,tablas!$B$3:$J$92,6,FALSE),"Franja de losa")</f>
        <v>46.1</v>
      </c>
      <c r="D56" s="77">
        <f>IF(D53&lt;=2,VLOOKUP(D51&amp;D53,tablas!$B$3:$J$92,6,FALSE),"Franja de losa")</f>
        <v>45.2</v>
      </c>
      <c r="E56" s="77">
        <f>IF(E53&lt;=2,VLOOKUP(E51&amp;E53,tablas!$B$3:$J$92,6,FALSE),"Franja de losa")</f>
        <v>45.2</v>
      </c>
      <c r="F56" s="77">
        <f>IF(F53&lt;=2,VLOOKUP(F51&amp;F53,tablas!$B$3:$J$92,6,FALSE),"Franja de losa")</f>
        <v>44.6</v>
      </c>
      <c r="G56" s="77">
        <f>IF(G53&lt;=2,VLOOKUP(G51&amp;G53,tablas!$B$3:$J$92,6,FALSE),"Franja de losa")</f>
        <v>47.2</v>
      </c>
      <c r="H56" s="77">
        <f>IF(H53&lt;=2,VLOOKUP(H51&amp;H53,tablas!$B$3:$J$92,6,FALSE),"Franja de losa")</f>
        <v>50.7</v>
      </c>
      <c r="I56" s="77">
        <f>IF(I53&lt;=2,VLOOKUP(I51&amp;I53,tablas!$B$3:$J$92,6,FALSE),"Franja de losa")</f>
        <v>37.5</v>
      </c>
      <c r="J56" s="77" t="str">
        <f>IF(J53&lt;=2,VLOOKUP(J51&amp;J53,tablas!$B$3:$J$92,6,FALSE),"Franja de losa")</f>
        <v>Franja de losa</v>
      </c>
      <c r="K56" s="77" t="str">
        <f>IF(K53&lt;=2,VLOOKUP(K51&amp;K53,tablas!$B$3:$J$92,6,FALSE),"Franja de losa")</f>
        <v>Franja de losa</v>
      </c>
      <c r="L56" s="77">
        <f>IF(L53&lt;=2,VLOOKUP(L51&amp;L53,tablas!$B$3:$J$92,6,FALSE),"Franja de losa")</f>
        <v>50.7</v>
      </c>
      <c r="M56" s="77">
        <f>IF(M53&lt;=2,VLOOKUP(M51&amp;M53,tablas!$B$3:$J$92,6,FALSE),"Franja de losa")</f>
        <v>47.2</v>
      </c>
      <c r="N56" s="77" t="str">
        <f>IF(N53&lt;=2,VLOOKUP(N51&amp;N53,tablas!$B$3:$J$92,6,FALSE),"Franja de losa")</f>
        <v>Franja de losa</v>
      </c>
      <c r="O56" s="77" t="str">
        <f>IF(O53&lt;=2,VLOOKUP(O51&amp;O53,tablas!$B$3:$J$92,6,FALSE),"Franja de losa")</f>
        <v>Franja de losa</v>
      </c>
      <c r="P56" s="77" t="str">
        <f>IF(P53&lt;=2,VLOOKUP(P51&amp;P53,tablas!$B$3:$J$92,6,FALSE),"Franja de losa")</f>
        <v>Franja de losa</v>
      </c>
      <c r="Q56" s="77" t="str">
        <f>IF(Q53&lt;=2,VLOOKUP(Q51&amp;Q53,tablas!$B$3:$J$92,6,FALSE),"Franja de losa")</f>
        <v>Franja de losa</v>
      </c>
      <c r="R56" s="77" t="str">
        <f>IF(R53&lt;=2,VLOOKUP(R51&amp;R53,tablas!$B$3:$J$92,6,FALSE),"Franja de losa")</f>
        <v>Franja de losa</v>
      </c>
      <c r="S56" s="77" t="str">
        <f>IF(S53&lt;=2,VLOOKUP(S51&amp;S53,tablas!$B$3:$J$92,6,FALSE),"Franja de losa")</f>
        <v>Franja de losa</v>
      </c>
      <c r="T56" s="77" t="str">
        <f>IF(T53&lt;=2,VLOOKUP(T51&amp;T53,tablas!$B$3:$J$92,6,FALSE),"Franja de losa")</f>
        <v>Franja de losa</v>
      </c>
      <c r="U56" s="77" t="str">
        <f>IF(U53&lt;=2,VLOOKUP(U51&amp;U53,tablas!$B$3:$J$92,6,FALSE),"Franja de losa")</f>
        <v>Franja de losa</v>
      </c>
      <c r="V56" s="77" t="str">
        <f>IF(V53&lt;=2,VLOOKUP(V51&amp;V53,tablas!$B$3:$J$92,6,FALSE),"Franja de losa")</f>
        <v>Franja de losa</v>
      </c>
      <c r="W56" s="77" t="str">
        <f>IF(W53&lt;=2,VLOOKUP(W51&amp;W53,tablas!$B$3:$J$92,6,FALSE),"Franja de losa")</f>
        <v>Franja de losa</v>
      </c>
      <c r="X56" s="77">
        <f>IF(X53&lt;=2,VLOOKUP(X51&amp;X53-0.1,tablas!$B$3:$J$92,6,FALSE),"Franja de losa")</f>
        <v>37.6</v>
      </c>
    </row>
    <row r="57" spans="2:24" x14ac:dyDescent="0.25">
      <c r="B57" s="97" t="s">
        <v>5</v>
      </c>
      <c r="C57" s="76">
        <f>IF(C53&lt;=2,VLOOKUP(C51&amp;C53-0.1,tablas!$B$3:$J$92,7,FALSE),"Franja de losa")</f>
        <v>163</v>
      </c>
      <c r="D57" s="77">
        <f>IF(D53&lt;=2,VLOOKUP(D51&amp;D53,tablas!$B$3:$J$92,7,FALSE),"Franja de losa")</f>
        <v>95.6</v>
      </c>
      <c r="E57" s="77">
        <f>IF(E53&lt;=2,VLOOKUP(E51&amp;E53,tablas!$B$3:$J$92,7,FALSE),"Franja de losa")</f>
        <v>95.6</v>
      </c>
      <c r="F57" s="77">
        <f>IF(F53&lt;=2,VLOOKUP(F51&amp;F53,tablas!$B$3:$J$92,7,FALSE),"Franja de losa")</f>
        <v>116.6</v>
      </c>
      <c r="G57" s="77">
        <f>IF(G53&lt;=2,VLOOKUP(G51&amp;G53,tablas!$B$3:$J$92,7,FALSE),"Franja de losa")</f>
        <v>78.900000000000006</v>
      </c>
      <c r="H57" s="77">
        <f>IF(H53&lt;=2,VLOOKUP(H51&amp;H53,tablas!$B$3:$J$92,7,FALSE),"Franja de losa")</f>
        <v>66.3</v>
      </c>
      <c r="I57" s="77">
        <f>IF(I53&lt;=2,VLOOKUP(I51&amp;I53,tablas!$B$3:$J$92,7,FALSE),"Franja de losa")</f>
        <v>202</v>
      </c>
      <c r="J57" s="77" t="str">
        <f>IF(J53&lt;=2,VLOOKUP(J51&amp;J53,tablas!$B$3:$J$92,7,FALSE),"Franja de losa")</f>
        <v>Franja de losa</v>
      </c>
      <c r="K57" s="77" t="str">
        <f>IF(K53&lt;=2,VLOOKUP(K51&amp;K53,tablas!$B$3:$J$92,7,FALSE),"Franja de losa")</f>
        <v>Franja de losa</v>
      </c>
      <c r="L57" s="77">
        <f>IF(L53&lt;=2,VLOOKUP(L51&amp;L53,tablas!$B$3:$J$92,7,FALSE),"Franja de losa")</f>
        <v>66.3</v>
      </c>
      <c r="M57" s="77">
        <f>IF(M53&lt;=2,VLOOKUP(M51&amp;M53,tablas!$B$3:$J$92,7,FALSE),"Franja de losa")</f>
        <v>78.900000000000006</v>
      </c>
      <c r="N57" s="77" t="str">
        <f>IF(N53&lt;=2,VLOOKUP(N51&amp;N53,tablas!$B$3:$J$92,7,FALSE),"Franja de losa")</f>
        <v>Franja de losa</v>
      </c>
      <c r="O57" s="77" t="str">
        <f>IF(O53&lt;=2,VLOOKUP(O51&amp;O53,tablas!$B$3:$J$92,7,FALSE),"Franja de losa")</f>
        <v>Franja de losa</v>
      </c>
      <c r="P57" s="77" t="str">
        <f>IF(P53&lt;=2,VLOOKUP(P51&amp;P53,tablas!$B$3:$J$92,7,FALSE),"Franja de losa")</f>
        <v>Franja de losa</v>
      </c>
      <c r="Q57" s="77" t="str">
        <f>IF(Q53&lt;=2,VLOOKUP(Q51&amp;Q53,tablas!$B$3:$J$92,7,FALSE),"Franja de losa")</f>
        <v>Franja de losa</v>
      </c>
      <c r="R57" s="77" t="str">
        <f>IF(R53&lt;=2,VLOOKUP(R51&amp;R53,tablas!$B$3:$J$92,7,FALSE),"Franja de losa")</f>
        <v>Franja de losa</v>
      </c>
      <c r="S57" s="77" t="str">
        <f>IF(S53&lt;=2,VLOOKUP(S51&amp;S53,tablas!$B$3:$J$92,7,FALSE),"Franja de losa")</f>
        <v>Franja de losa</v>
      </c>
      <c r="T57" s="77" t="str">
        <f>IF(T53&lt;=2,VLOOKUP(T51&amp;T53,tablas!$B$3:$J$92,7,FALSE),"Franja de losa")</f>
        <v>Franja de losa</v>
      </c>
      <c r="U57" s="77" t="str">
        <f>IF(U53&lt;=2,VLOOKUP(U51&amp;U53,tablas!$B$3:$J$92,7,FALSE),"Franja de losa")</f>
        <v>Franja de losa</v>
      </c>
      <c r="V57" s="77" t="str">
        <f>IF(V53&lt;=2,VLOOKUP(V51&amp;V53,tablas!$B$3:$J$92,7,FALSE),"Franja de losa")</f>
        <v>Franja de losa</v>
      </c>
      <c r="W57" s="77" t="str">
        <f>IF(W53&lt;=2,VLOOKUP(W51&amp;W53,tablas!$B$3:$J$92,7,FALSE),"Franja de losa")</f>
        <v>Franja de losa</v>
      </c>
      <c r="X57" s="77">
        <f>IF(X53&lt;=2,VLOOKUP(X51&amp;X53-0.1,tablas!$B$3:$J$92,7,FALSE),"Franja de losa")</f>
        <v>143</v>
      </c>
    </row>
    <row r="58" spans="2:24" x14ac:dyDescent="0.25">
      <c r="B58" s="97" t="s">
        <v>6</v>
      </c>
      <c r="C58" s="76">
        <f>IF(C53&lt;2,VLOOKUP(C51&amp;C53-0.1,tablas!$B$3:$J$92,8,FALSE),"Franja de losa")</f>
        <v>20.5</v>
      </c>
      <c r="D58" s="77">
        <f>IF(D53&lt;=2,VLOOKUP(D51&amp;D53,tablas!$B$3:$J$92,8,FALSE),"Franja de losa")</f>
        <v>18.8</v>
      </c>
      <c r="E58" s="77">
        <f>IF(E53&lt;=2,VLOOKUP(E51&amp;E53,tablas!$B$3:$J$92,8,FALSE),"Franja de losa")</f>
        <v>18.8</v>
      </c>
      <c r="F58" s="77">
        <f>IF(F53&lt;=2,VLOOKUP(F51&amp;F53,tablas!$B$3:$J$92,8,FALSE),"Franja de losa")</f>
        <v>19.2</v>
      </c>
      <c r="G58" s="77">
        <f>IF(G53&lt;=2,VLOOKUP(G51&amp;G53,tablas!$B$3:$J$92,8,FALSE),"Franja de losa")</f>
        <v>18.600000000000001</v>
      </c>
      <c r="H58" s="77">
        <f>IF(H53&lt;=2,VLOOKUP(H51&amp;H53,tablas!$B$3:$J$92,8,FALSE),"Franja de losa")</f>
        <v>18.8</v>
      </c>
      <c r="I58" s="77">
        <f>IF(I53&lt;=2,VLOOKUP(I51&amp;I53,tablas!$B$3:$J$92,8,FALSE),"Franja de losa")</f>
        <v>17.600000000000001</v>
      </c>
      <c r="J58" s="77" t="str">
        <f>IF(J53&lt;=2,VLOOKUP(J51&amp;J53,tablas!$B$3:$J$92,8,FALSE),"Franja de losa")</f>
        <v>Franja de losa</v>
      </c>
      <c r="K58" s="77" t="str">
        <f>IF(K53&lt;=2,VLOOKUP(K51&amp;K53,tablas!$B$3:$J$92,8,FALSE),"Franja de losa")</f>
        <v>Franja de losa</v>
      </c>
      <c r="L58" s="77">
        <f>IF(L53&lt;=2,VLOOKUP(L51&amp;L53,tablas!$B$3:$J$92,8,FALSE),"Franja de losa")</f>
        <v>18.8</v>
      </c>
      <c r="M58" s="77">
        <f>IF(M53&lt;=2,VLOOKUP(M51&amp;M53,tablas!$B$3:$J$92,8,FALSE),"Franja de losa")</f>
        <v>18.600000000000001</v>
      </c>
      <c r="N58" s="77" t="str">
        <f>IF(N53&lt;=2,VLOOKUP(N51&amp;N53,tablas!$B$3:$J$92,8,FALSE),"Franja de losa")</f>
        <v>Franja de losa</v>
      </c>
      <c r="O58" s="77" t="str">
        <f>IF(O53&lt;=2,VLOOKUP(O51&amp;O53,tablas!$B$3:$J$92,8,FALSE),"Franja de losa")</f>
        <v>Franja de losa</v>
      </c>
      <c r="P58" s="77" t="str">
        <f>IF(P53&lt;=2,VLOOKUP(P51&amp;P53,tablas!$B$3:$J$92,8,FALSE),"Franja de losa")</f>
        <v>Franja de losa</v>
      </c>
      <c r="Q58" s="77" t="str">
        <f>IF(Q53&lt;=2,VLOOKUP(Q51&amp;Q53,tablas!$B$3:$J$92,8,FALSE),"Franja de losa")</f>
        <v>Franja de losa</v>
      </c>
      <c r="R58" s="77" t="str">
        <f>IF(R53&lt;=2,VLOOKUP(R51&amp;R53,tablas!$B$3:$J$92,8,FALSE),"Franja de losa")</f>
        <v>Franja de losa</v>
      </c>
      <c r="S58" s="77" t="str">
        <f>IF(S53&lt;=2,VLOOKUP(S51&amp;S53,tablas!$B$3:$J$92,8,FALSE),"Franja de losa")</f>
        <v>Franja de losa</v>
      </c>
      <c r="T58" s="77" t="str">
        <f>IF(T53&lt;=2,VLOOKUP(T51&amp;T53,tablas!$B$3:$J$92,8,FALSE),"Franja de losa")</f>
        <v>Franja de losa</v>
      </c>
      <c r="U58" s="77" t="str">
        <f>IF(U53&lt;=2,VLOOKUP(U51&amp;U53,tablas!$B$3:$J$92,8,FALSE),"Franja de losa")</f>
        <v>Franja de losa</v>
      </c>
      <c r="V58" s="77" t="str">
        <f>IF(V53&lt;=2,VLOOKUP(V51&amp;V53,tablas!$B$3:$J$92,8,FALSE),"Franja de losa")</f>
        <v>Franja de losa</v>
      </c>
      <c r="W58" s="77" t="str">
        <f>IF(W53&lt;=2,VLOOKUP(W51&amp;W53,tablas!$B$3:$J$92,8,FALSE),"Franja de losa")</f>
        <v>Franja de losa</v>
      </c>
      <c r="X58" s="77">
        <f>IF(X53&lt;=2,VLOOKUP(X51&amp;X53-0.1,tablas!$B$3:$J$92,8,FALSE),"Franja de losa")</f>
        <v>16.7</v>
      </c>
    </row>
    <row r="59" spans="2:24" x14ac:dyDescent="0.25">
      <c r="B59" s="97" t="s">
        <v>7</v>
      </c>
      <c r="C59" s="76">
        <f>IF(C53&lt;2,VLOOKUP(C51&amp;C53-0.1,tablas!$B$3:$J$92,9,FALSE),"Franja de losa")</f>
        <v>27.9</v>
      </c>
      <c r="D59" s="77">
        <f>IF(D53&lt;=2,VLOOKUP(D51&amp;D53,tablas!$B$3:$J$92,9,FALSE),"Franja de losa")</f>
        <v>22.9</v>
      </c>
      <c r="E59" s="77">
        <f>IF(E53&lt;=2,VLOOKUP(E51&amp;E53,tablas!$B$3:$J$92,9,FALSE),"Franja de losa")</f>
        <v>22.9</v>
      </c>
      <c r="F59" s="77">
        <f>IF(F53&lt;=2,VLOOKUP(F51&amp;F53,tablas!$B$3:$J$92,9,FALSE),"Franja de losa")</f>
        <v>24.5</v>
      </c>
      <c r="G59" s="77">
        <f>IF(G53&lt;=2,VLOOKUP(G51&amp;G53,tablas!$B$3:$J$92,9,FALSE),"Franja de losa")</f>
        <v>21.5</v>
      </c>
      <c r="H59" s="77">
        <f>IF(H53&lt;=2,VLOOKUP(H51&amp;H53,tablas!$B$3:$J$92,9,FALSE),"Franja de losa")</f>
        <v>20.3</v>
      </c>
      <c r="I59" s="77">
        <f>IF(I53&lt;=2,VLOOKUP(I51&amp;I53,tablas!$B$3:$J$92,9,FALSE),"Franja de losa")</f>
        <v>24.6</v>
      </c>
      <c r="J59" s="77" t="str">
        <f>IF(J53&lt;=2,VLOOKUP(J51&amp;J53,tablas!$B$3:$J$92,9,FALSE),"Franja de losa")</f>
        <v>Franja de losa</v>
      </c>
      <c r="K59" s="77" t="str">
        <f>IF(K53&lt;=2,VLOOKUP(K51&amp;K53,tablas!$B$3:$J$92,9,FALSE),"Franja de losa")</f>
        <v>Franja de losa</v>
      </c>
      <c r="L59" s="77">
        <f>IF(L53&lt;=2,VLOOKUP(L51&amp;L53,tablas!$B$3:$J$92,9,FALSE),"Franja de losa")</f>
        <v>20.3</v>
      </c>
      <c r="M59" s="77">
        <f>IF(M53&lt;=2,VLOOKUP(M51&amp;M53,tablas!$B$3:$J$92,9,FALSE),"Franja de losa")</f>
        <v>21.5</v>
      </c>
      <c r="N59" s="77" t="str">
        <f>IF(N53&lt;=2,VLOOKUP(N51&amp;N53,tablas!$B$3:$J$92,9,FALSE),"Franja de losa")</f>
        <v>Franja de losa</v>
      </c>
      <c r="O59" s="77" t="str">
        <f>IF(O53&lt;=2,VLOOKUP(O51&amp;O53,tablas!$B$3:$J$92,9,FALSE),"Franja de losa")</f>
        <v>Franja de losa</v>
      </c>
      <c r="P59" s="77" t="str">
        <f>IF(P53&lt;=2,VLOOKUP(P51&amp;P53,tablas!$B$3:$J$92,9,FALSE),"Franja de losa")</f>
        <v>Franja de losa</v>
      </c>
      <c r="Q59" s="77" t="str">
        <f>IF(Q53&lt;=2,VLOOKUP(Q51&amp;Q53,tablas!$B$3:$J$92,9,FALSE),"Franja de losa")</f>
        <v>Franja de losa</v>
      </c>
      <c r="R59" s="77" t="str">
        <f>IF(R53&lt;=2,VLOOKUP(R51&amp;R53,tablas!$B$3:$J$92,9,FALSE),"Franja de losa")</f>
        <v>Franja de losa</v>
      </c>
      <c r="S59" s="77" t="str">
        <f>IF(S53&lt;=2,VLOOKUP(S51&amp;S53,tablas!$B$3:$J$92,9,FALSE),"Franja de losa")</f>
        <v>Franja de losa</v>
      </c>
      <c r="T59" s="77" t="str">
        <f>IF(T53&lt;=2,VLOOKUP(T51&amp;T53,tablas!$B$3:$J$92,9,FALSE),"Franja de losa")</f>
        <v>Franja de losa</v>
      </c>
      <c r="U59" s="77" t="str">
        <f>IF(U53&lt;=2,VLOOKUP(U51&amp;U53,tablas!$B$3:$J$92,9,FALSE),"Franja de losa")</f>
        <v>Franja de losa</v>
      </c>
      <c r="V59" s="77" t="str">
        <f>IF(V53&lt;=2,VLOOKUP(V51&amp;V53,tablas!$B$3:$J$92,9,FALSE),"Franja de losa")</f>
        <v>Franja de losa</v>
      </c>
      <c r="W59" s="77" t="str">
        <f>IF(W53&lt;=2,VLOOKUP(W51&amp;W53,tablas!$B$3:$J$92,9,FALSE),"Franja de losa")</f>
        <v>Franja de losa</v>
      </c>
      <c r="X59" s="77">
        <f>IF(X53&lt;=2,VLOOKUP(X51&amp;X53-0.1,tablas!$B$3:$J$92,9,FALSE),"Franja de losa")</f>
        <v>22.1</v>
      </c>
    </row>
    <row r="60" spans="2:24" x14ac:dyDescent="0.25">
      <c r="B60" s="100" t="s">
        <v>2</v>
      </c>
      <c r="C60" s="76">
        <f>IF(C53&lt;2,VLOOKUP(C51&amp;C53-0.1,tablas!$B$3:$J$92,4,FALSE),"Franja de losa")</f>
        <v>1.39</v>
      </c>
      <c r="D60" s="77">
        <f>IF(D53&lt;=2,VLOOKUP(D51&amp;D53,tablas!$B$3:$J$92,4,FALSE),"Franja de losa")</f>
        <v>1.17</v>
      </c>
      <c r="E60" s="77">
        <f>IF(E53&lt;=2,VLOOKUP(E51&amp;E53,tablas!$B$3:$J$92,4,FALSE),"Franja de losa")</f>
        <v>1.17</v>
      </c>
      <c r="F60" s="77">
        <f>IF(F53&lt;=2,VLOOKUP(F51&amp;F53,tablas!$B$3:$J$92,4,FALSE),"Franja de losa")</f>
        <v>1.24</v>
      </c>
      <c r="G60" s="77">
        <f>IF(G53&lt;=2,VLOOKUP(G51&amp;G53,tablas!$B$3:$J$92,4,FALSE),"Franja de losa")</f>
        <v>1.1000000000000001</v>
      </c>
      <c r="H60" s="77">
        <f>IF(H53&lt;=2,VLOOKUP(H51&amp;H53,tablas!$B$3:$J$92,4,FALSE),"Franja de losa")</f>
        <v>1.05</v>
      </c>
      <c r="I60" s="77">
        <f>IF(I53&lt;=2,VLOOKUP(I51&amp;I53,tablas!$B$3:$J$92,4,FALSE),"Franja de losa")</f>
        <v>0.68</v>
      </c>
      <c r="J60" s="77" t="str">
        <f>IF(J53&lt;=2,VLOOKUP(J51&amp;J53,tablas!$B$3:$J$92,4,FALSE),"Franja de losa")</f>
        <v>Franja de losa</v>
      </c>
      <c r="K60" s="77" t="str">
        <f>IF(K53&lt;=2,VLOOKUP(K51&amp;K53,tablas!$B$3:$J$92,4,FALSE),"Franja de losa")</f>
        <v>Franja de losa</v>
      </c>
      <c r="L60" s="77">
        <f>IF(L53&lt;=2,VLOOKUP(L51&amp;L53,tablas!$B$3:$J$92,4,FALSE),"Franja de losa")</f>
        <v>1.05</v>
      </c>
      <c r="M60" s="77">
        <f>IF(M53&lt;=2,VLOOKUP(M51&amp;M53,tablas!$B$3:$J$92,4,FALSE),"Franja de losa")</f>
        <v>1.1000000000000001</v>
      </c>
      <c r="N60" s="77" t="str">
        <f>IF(N53&lt;=2,VLOOKUP(N51&amp;N53,tablas!$B$3:$J$92,4,FALSE),"Franja de losa")</f>
        <v>Franja de losa</v>
      </c>
      <c r="O60" s="77" t="str">
        <f>IF(O53&lt;=2,VLOOKUP(O51&amp;O53,tablas!$B$3:$J$92,4,FALSE),"Franja de losa")</f>
        <v>Franja de losa</v>
      </c>
      <c r="P60" s="77" t="str">
        <f>IF(P53&lt;=2,VLOOKUP(P51&amp;P53,tablas!$B$3:$J$92,4,FALSE),"Franja de losa")</f>
        <v>Franja de losa</v>
      </c>
      <c r="Q60" s="77" t="str">
        <f>IF(Q53&lt;=2,VLOOKUP(Q51&amp;Q53,tablas!$B$3:$J$92,4,FALSE),"Franja de losa")</f>
        <v>Franja de losa</v>
      </c>
      <c r="R60" s="77" t="str">
        <f>IF(R53&lt;=2,VLOOKUP(R51&amp;R53,tablas!$B$3:$J$92,4,FALSE),"Franja de losa")</f>
        <v>Franja de losa</v>
      </c>
      <c r="S60" s="77" t="str">
        <f>IF(S53&lt;=2,VLOOKUP(S51&amp;S53,tablas!$B$3:$J$92,4,FALSE),"Franja de losa")</f>
        <v>Franja de losa</v>
      </c>
      <c r="T60" s="77" t="str">
        <f>IF(T53&lt;=2,VLOOKUP(T51&amp;T53,tablas!$B$3:$J$92,4,FALSE),"Franja de losa")</f>
        <v>Franja de losa</v>
      </c>
      <c r="U60" s="77" t="str">
        <f>IF(U53&lt;=2,VLOOKUP(U51&amp;U53,tablas!$B$3:$J$92,4,FALSE),"Franja de losa")</f>
        <v>Franja de losa</v>
      </c>
      <c r="V60" s="77" t="str">
        <f>IF(V53&lt;=2,VLOOKUP(V51&amp;V53,tablas!$B$3:$J$92,4,FALSE),"Franja de losa")</f>
        <v>Franja de losa</v>
      </c>
      <c r="W60" s="77" t="str">
        <f>IF(W53&lt;=2,VLOOKUP(W51&amp;W53,tablas!$B$3:$J$92,4,FALSE),"Franja de losa")</f>
        <v>Franja de losa</v>
      </c>
      <c r="X60" s="77">
        <f>IF(X53&lt;=2,VLOOKUP(X51&amp;X53-0.1,tablas!$B$3:$J$92,4,FALSE),"Franja de losa")</f>
        <v>0.68</v>
      </c>
    </row>
    <row r="61" spans="2:24" ht="15.75" thickBot="1" x14ac:dyDescent="0.3">
      <c r="B61" s="101" t="s">
        <v>3</v>
      </c>
      <c r="C61" s="82">
        <f>IF(C53&lt;2,VLOOKUP(C51&amp;C53-0.1,tablas!$B$3:$J$92,5,FALSE),"Franja de losa")</f>
        <v>1.39</v>
      </c>
      <c r="D61" s="83">
        <f>IF(D53&lt;=2,VLOOKUP(D51&amp;D53,tablas!$B$3:$J$92,5,FALSE),"Franja de losa")</f>
        <v>1.17</v>
      </c>
      <c r="E61" s="83">
        <f>IF(E53&lt;=2,VLOOKUP(E51&amp;E53,tablas!$B$3:$J$92,5,FALSE),"Franja de losa")</f>
        <v>1.17</v>
      </c>
      <c r="F61" s="83">
        <f>IF(F53&lt;=2,VLOOKUP(F51&amp;F53,tablas!$B$3:$J$92,5,FALSE),"Franja de losa")</f>
        <v>1.24</v>
      </c>
      <c r="G61" s="83">
        <f>IF(G53&lt;=2,VLOOKUP(G51&amp;G53,tablas!$B$3:$J$92,5,FALSE),"Franja de losa")</f>
        <v>1.1000000000000001</v>
      </c>
      <c r="H61" s="83">
        <f>IF(H53&lt;=2,VLOOKUP(H51&amp;H53,tablas!$B$3:$J$92,5,FALSE),"Franja de losa")</f>
        <v>1.05</v>
      </c>
      <c r="I61" s="83">
        <f>IF(I53&lt;=2,VLOOKUP(I51&amp;I53,tablas!$B$3:$J$92,5,FALSE),"Franja de losa")</f>
        <v>0.46</v>
      </c>
      <c r="J61" s="83" t="str">
        <f>IF(J53&lt;=2,VLOOKUP(J51&amp;J53,tablas!$B$3:$J$92,5,FALSE),"Franja de losa")</f>
        <v>Franja de losa</v>
      </c>
      <c r="K61" s="83" t="str">
        <f>IF(K53&lt;=2,VLOOKUP(K51&amp;K53,tablas!$B$3:$J$92,5,FALSE),"Franja de losa")</f>
        <v>Franja de losa</v>
      </c>
      <c r="L61" s="83">
        <f>IF(L53&lt;=2,VLOOKUP(L51&amp;L53,tablas!$B$3:$J$92,5,FALSE),"Franja de losa")</f>
        <v>1.05</v>
      </c>
      <c r="M61" s="83">
        <f>IF(M53&lt;=2,VLOOKUP(M51&amp;M53,tablas!$B$3:$J$92,5,FALSE),"Franja de losa")</f>
        <v>1.1000000000000001</v>
      </c>
      <c r="N61" s="83" t="str">
        <f>IF(N53&lt;=2,VLOOKUP(N51&amp;N53,tablas!$B$3:$J$92,5,FALSE),"Franja de losa")</f>
        <v>Franja de losa</v>
      </c>
      <c r="O61" s="83" t="str">
        <f>IF(O53&lt;=2,VLOOKUP(O51&amp;O53,tablas!$B$3:$J$92,5,FALSE),"Franja de losa")</f>
        <v>Franja de losa</v>
      </c>
      <c r="P61" s="83" t="str">
        <f>IF(P53&lt;=2,VLOOKUP(P51&amp;P53,tablas!$B$3:$J$92,5,FALSE),"Franja de losa")</f>
        <v>Franja de losa</v>
      </c>
      <c r="Q61" s="83" t="str">
        <f>IF(Q53&lt;=2,VLOOKUP(Q51&amp;Q53,tablas!$B$3:$J$92,5,FALSE),"Franja de losa")</f>
        <v>Franja de losa</v>
      </c>
      <c r="R61" s="83" t="str">
        <f>IF(R53&lt;=2,VLOOKUP(R51&amp;R53,tablas!$B$3:$J$92,5,FALSE),"Franja de losa")</f>
        <v>Franja de losa</v>
      </c>
      <c r="S61" s="83" t="str">
        <f>IF(S53&lt;=2,VLOOKUP(S51&amp;S53,tablas!$B$3:$J$92,5,FALSE),"Franja de losa")</f>
        <v>Franja de losa</v>
      </c>
      <c r="T61" s="83" t="str">
        <f>IF(T53&lt;=2,VLOOKUP(T51&amp;T53,tablas!$B$3:$J$92,5,FALSE),"Franja de losa")</f>
        <v>Franja de losa</v>
      </c>
      <c r="U61" s="83" t="str">
        <f>IF(U53&lt;=2,VLOOKUP(U51&amp;U53,tablas!$B$3:$J$92,5,FALSE),"Franja de losa")</f>
        <v>Franja de losa</v>
      </c>
      <c r="V61" s="83" t="str">
        <f>IF(V53&lt;=2,VLOOKUP(V51&amp;V53,tablas!$B$3:$J$92,5,FALSE),"Franja de losa")</f>
        <v>Franja de losa</v>
      </c>
      <c r="W61" s="83" t="str">
        <f>IF(W53&lt;=2,VLOOKUP(W51&amp;W53,tablas!$B$3:$J$92,5,FALSE),"Franja de losa")</f>
        <v>Franja de losa</v>
      </c>
      <c r="X61" s="83">
        <f>IF(X53&lt;=2,VLOOKUP(X51&amp;X53-0.1,tablas!$B$3:$J$92,5,FALSE),"Franja de losa")</f>
        <v>0.46</v>
      </c>
    </row>
    <row r="62" spans="2:24" ht="15.75" thickBot="1" x14ac:dyDescent="0.3">
      <c r="B62" s="71" t="s">
        <v>87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72"/>
      <c r="X62" s="72"/>
    </row>
    <row r="63" spans="2:24" x14ac:dyDescent="0.25">
      <c r="B63" s="97" t="s">
        <v>83</v>
      </c>
      <c r="C63" s="84">
        <f>VLOOKUP(C$46,$B$16:$H$35,6)</f>
        <v>200</v>
      </c>
      <c r="D63" s="84">
        <f t="shared" ref="D63:X63" si="5">VLOOKUP(D$46,$B$16:$H$35,6)</f>
        <v>200</v>
      </c>
      <c r="E63" s="84">
        <f t="shared" si="5"/>
        <v>200</v>
      </c>
      <c r="F63" s="84">
        <f t="shared" si="5"/>
        <v>200</v>
      </c>
      <c r="G63" s="84">
        <f t="shared" si="5"/>
        <v>200</v>
      </c>
      <c r="H63" s="84">
        <f t="shared" si="5"/>
        <v>200</v>
      </c>
      <c r="I63" s="84">
        <f t="shared" si="5"/>
        <v>400</v>
      </c>
      <c r="J63" s="84">
        <f t="shared" si="5"/>
        <v>400</v>
      </c>
      <c r="K63" s="84">
        <f t="shared" si="5"/>
        <v>400</v>
      </c>
      <c r="L63" s="84">
        <f t="shared" si="5"/>
        <v>200</v>
      </c>
      <c r="M63" s="84">
        <f t="shared" si="5"/>
        <v>200</v>
      </c>
      <c r="N63" s="84">
        <f t="shared" si="5"/>
        <v>300</v>
      </c>
      <c r="O63" s="84">
        <f t="shared" si="5"/>
        <v>300</v>
      </c>
      <c r="P63" s="84">
        <f t="shared" si="5"/>
        <v>300</v>
      </c>
      <c r="Q63" s="84">
        <f t="shared" si="5"/>
        <v>300</v>
      </c>
      <c r="R63" s="84">
        <f t="shared" si="5"/>
        <v>300</v>
      </c>
      <c r="S63" s="84">
        <f t="shared" si="5"/>
        <v>300</v>
      </c>
      <c r="T63" s="84">
        <f t="shared" si="5"/>
        <v>300</v>
      </c>
      <c r="U63" s="84">
        <f t="shared" si="5"/>
        <v>300</v>
      </c>
      <c r="V63" s="84">
        <f t="shared" si="5"/>
        <v>300</v>
      </c>
      <c r="W63" s="84">
        <f t="shared" si="5"/>
        <v>300</v>
      </c>
      <c r="X63" s="84">
        <f t="shared" si="5"/>
        <v>300</v>
      </c>
    </row>
    <row r="64" spans="2:24" x14ac:dyDescent="0.25">
      <c r="B64" s="97" t="s">
        <v>89</v>
      </c>
      <c r="C64" s="76">
        <f>$L$7*($C$4/100)</f>
        <v>400</v>
      </c>
      <c r="D64" s="77">
        <f>$L$7*($C$4/100)</f>
        <v>400</v>
      </c>
      <c r="E64" s="77">
        <f t="shared" ref="E64:X64" si="6">$L$7*($C$4/100)</f>
        <v>400</v>
      </c>
      <c r="F64" s="77">
        <f t="shared" si="6"/>
        <v>400</v>
      </c>
      <c r="G64" s="77">
        <f t="shared" si="6"/>
        <v>400</v>
      </c>
      <c r="H64" s="77">
        <f t="shared" si="6"/>
        <v>400</v>
      </c>
      <c r="I64" s="77">
        <f t="shared" si="6"/>
        <v>400</v>
      </c>
      <c r="J64" s="77">
        <f t="shared" si="6"/>
        <v>400</v>
      </c>
      <c r="K64" s="77">
        <f t="shared" si="6"/>
        <v>400</v>
      </c>
      <c r="L64" s="77">
        <f t="shared" si="6"/>
        <v>400</v>
      </c>
      <c r="M64" s="77">
        <f t="shared" si="6"/>
        <v>400</v>
      </c>
      <c r="N64" s="77">
        <f t="shared" si="6"/>
        <v>400</v>
      </c>
      <c r="O64" s="77">
        <f t="shared" si="6"/>
        <v>400</v>
      </c>
      <c r="P64" s="77">
        <f t="shared" si="6"/>
        <v>400</v>
      </c>
      <c r="Q64" s="77">
        <f t="shared" si="6"/>
        <v>400</v>
      </c>
      <c r="R64" s="77">
        <f t="shared" si="6"/>
        <v>400</v>
      </c>
      <c r="S64" s="77">
        <f t="shared" si="6"/>
        <v>400</v>
      </c>
      <c r="T64" s="77">
        <f t="shared" si="6"/>
        <v>400</v>
      </c>
      <c r="U64" s="77">
        <f t="shared" si="6"/>
        <v>400</v>
      </c>
      <c r="V64" s="77">
        <f t="shared" si="6"/>
        <v>400</v>
      </c>
      <c r="W64" s="77">
        <f t="shared" si="6"/>
        <v>400</v>
      </c>
      <c r="X64" s="77">
        <f t="shared" si="6"/>
        <v>400</v>
      </c>
    </row>
    <row r="65" spans="2:24" x14ac:dyDescent="0.25">
      <c r="B65" s="97" t="s">
        <v>90</v>
      </c>
      <c r="C65" s="76">
        <f>C64+$I$8</f>
        <v>625</v>
      </c>
      <c r="D65" s="77">
        <f>D64+$I$8</f>
        <v>625</v>
      </c>
      <c r="E65" s="77">
        <f t="shared" ref="E65:X65" si="7">E64+$I$8</f>
        <v>625</v>
      </c>
      <c r="F65" s="77">
        <f t="shared" si="7"/>
        <v>625</v>
      </c>
      <c r="G65" s="77">
        <f t="shared" si="7"/>
        <v>625</v>
      </c>
      <c r="H65" s="77">
        <f t="shared" si="7"/>
        <v>625</v>
      </c>
      <c r="I65" s="77">
        <f t="shared" si="7"/>
        <v>625</v>
      </c>
      <c r="J65" s="77">
        <f t="shared" si="7"/>
        <v>625</v>
      </c>
      <c r="K65" s="77">
        <f t="shared" si="7"/>
        <v>625</v>
      </c>
      <c r="L65" s="77">
        <f t="shared" si="7"/>
        <v>625</v>
      </c>
      <c r="M65" s="77">
        <f t="shared" si="7"/>
        <v>625</v>
      </c>
      <c r="N65" s="77">
        <f t="shared" si="7"/>
        <v>625</v>
      </c>
      <c r="O65" s="77">
        <f t="shared" si="7"/>
        <v>625</v>
      </c>
      <c r="P65" s="77">
        <f t="shared" si="7"/>
        <v>625</v>
      </c>
      <c r="Q65" s="77">
        <f t="shared" si="7"/>
        <v>625</v>
      </c>
      <c r="R65" s="77">
        <f t="shared" si="7"/>
        <v>625</v>
      </c>
      <c r="S65" s="77">
        <f t="shared" si="7"/>
        <v>625</v>
      </c>
      <c r="T65" s="77">
        <f t="shared" si="7"/>
        <v>625</v>
      </c>
      <c r="U65" s="77">
        <f t="shared" si="7"/>
        <v>625</v>
      </c>
      <c r="V65" s="77">
        <f t="shared" si="7"/>
        <v>625</v>
      </c>
      <c r="W65" s="77">
        <f t="shared" si="7"/>
        <v>625</v>
      </c>
      <c r="X65" s="77">
        <f t="shared" si="7"/>
        <v>625</v>
      </c>
    </row>
    <row r="66" spans="2:24" x14ac:dyDescent="0.25">
      <c r="B66" s="97" t="s">
        <v>91</v>
      </c>
      <c r="C66" s="76">
        <f>1.2*C65+1.6*C63</f>
        <v>1070</v>
      </c>
      <c r="D66" s="77">
        <f>1.2*D65+1.6*D63</f>
        <v>1070</v>
      </c>
      <c r="E66" s="77">
        <f t="shared" ref="E66:X66" si="8">1.2*E65+1.6*E63</f>
        <v>1070</v>
      </c>
      <c r="F66" s="77">
        <f t="shared" si="8"/>
        <v>1070</v>
      </c>
      <c r="G66" s="77">
        <f t="shared" si="8"/>
        <v>1070</v>
      </c>
      <c r="H66" s="77">
        <f t="shared" si="8"/>
        <v>1070</v>
      </c>
      <c r="I66" s="77">
        <f t="shared" si="8"/>
        <v>1390</v>
      </c>
      <c r="J66" s="77">
        <f t="shared" si="8"/>
        <v>1390</v>
      </c>
      <c r="K66" s="77">
        <f t="shared" si="8"/>
        <v>1390</v>
      </c>
      <c r="L66" s="77">
        <f t="shared" si="8"/>
        <v>1070</v>
      </c>
      <c r="M66" s="77">
        <f t="shared" si="8"/>
        <v>1070</v>
      </c>
      <c r="N66" s="77">
        <f t="shared" si="8"/>
        <v>1230</v>
      </c>
      <c r="O66" s="77">
        <f t="shared" si="8"/>
        <v>1230</v>
      </c>
      <c r="P66" s="77">
        <f t="shared" si="8"/>
        <v>1230</v>
      </c>
      <c r="Q66" s="77">
        <f t="shared" si="8"/>
        <v>1230</v>
      </c>
      <c r="R66" s="77">
        <f t="shared" si="8"/>
        <v>1230</v>
      </c>
      <c r="S66" s="77">
        <f t="shared" si="8"/>
        <v>1230</v>
      </c>
      <c r="T66" s="77">
        <f t="shared" si="8"/>
        <v>1230</v>
      </c>
      <c r="U66" s="77">
        <f t="shared" si="8"/>
        <v>1230</v>
      </c>
      <c r="V66" s="77">
        <f t="shared" si="8"/>
        <v>1230</v>
      </c>
      <c r="W66" s="77">
        <f t="shared" si="8"/>
        <v>1230</v>
      </c>
      <c r="X66" s="77">
        <f t="shared" si="8"/>
        <v>1230</v>
      </c>
    </row>
    <row r="67" spans="2:24" x14ac:dyDescent="0.25">
      <c r="B67" s="98" t="s">
        <v>92</v>
      </c>
      <c r="C67" s="85">
        <f>C66*C48*C49</f>
        <v>64735</v>
      </c>
      <c r="D67" s="86">
        <f>D66*D48*D49</f>
        <v>27862.799999999999</v>
      </c>
      <c r="E67" s="86">
        <f t="shared" ref="E67:X67" si="9">E66*E48*E49</f>
        <v>27862.799999999999</v>
      </c>
      <c r="F67" s="86">
        <f t="shared" si="9"/>
        <v>51075.915000000001</v>
      </c>
      <c r="G67" s="86">
        <f t="shared" si="9"/>
        <v>43342.704000000005</v>
      </c>
      <c r="H67" s="86">
        <f t="shared" si="9"/>
        <v>26856.999999999996</v>
      </c>
      <c r="I67" s="86">
        <f t="shared" si="9"/>
        <v>11792.76</v>
      </c>
      <c r="J67" s="86">
        <f t="shared" si="9"/>
        <v>21795.199999999997</v>
      </c>
      <c r="K67" s="86">
        <f t="shared" si="9"/>
        <v>25637.16</v>
      </c>
      <c r="L67" s="86">
        <f>L66*L48*L49</f>
        <v>26856.999999999996</v>
      </c>
      <c r="M67" s="86">
        <f t="shared" si="9"/>
        <v>40415.826000000008</v>
      </c>
      <c r="N67" s="86">
        <f t="shared" si="9"/>
        <v>9899.4089999999997</v>
      </c>
      <c r="O67" s="86">
        <f t="shared" si="9"/>
        <v>10400.879999999999</v>
      </c>
      <c r="P67" s="86">
        <f t="shared" si="9"/>
        <v>10400.879999999999</v>
      </c>
      <c r="Q67" s="86">
        <f t="shared" si="9"/>
        <v>9750.8249999999989</v>
      </c>
      <c r="R67" s="86">
        <f t="shared" si="9"/>
        <v>4899.3360000000002</v>
      </c>
      <c r="S67" s="86">
        <f t="shared" si="9"/>
        <v>4899.3360000000002</v>
      </c>
      <c r="T67" s="86">
        <f t="shared" si="9"/>
        <v>11553.882</v>
      </c>
      <c r="U67" s="86">
        <f t="shared" si="9"/>
        <v>11685.737999999999</v>
      </c>
      <c r="V67" s="86">
        <f t="shared" si="9"/>
        <v>3486.0660000000003</v>
      </c>
      <c r="W67" s="86">
        <f t="shared" si="9"/>
        <v>3297.63</v>
      </c>
      <c r="X67" s="86">
        <f t="shared" si="9"/>
        <v>12270.48</v>
      </c>
    </row>
    <row r="68" spans="2:24" ht="15.75" thickBot="1" x14ac:dyDescent="0.3">
      <c r="B68" s="99" t="s">
        <v>93</v>
      </c>
      <c r="C68" s="87">
        <f>C63/(2*C66)</f>
        <v>9.3457943925233641E-2</v>
      </c>
      <c r="D68" s="88">
        <f>D63/(2*D66)</f>
        <v>9.3457943925233641E-2</v>
      </c>
      <c r="E68" s="88">
        <f t="shared" ref="E68:X68" si="10">E63/(2*E66)</f>
        <v>9.3457943925233641E-2</v>
      </c>
      <c r="F68" s="88">
        <f t="shared" si="10"/>
        <v>9.3457943925233641E-2</v>
      </c>
      <c r="G68" s="88">
        <f t="shared" si="10"/>
        <v>9.3457943925233641E-2</v>
      </c>
      <c r="H68" s="88">
        <f t="shared" si="10"/>
        <v>9.3457943925233641E-2</v>
      </c>
      <c r="I68" s="88">
        <f t="shared" si="10"/>
        <v>0.14388489208633093</v>
      </c>
      <c r="J68" s="88">
        <f t="shared" si="10"/>
        <v>0.14388489208633093</v>
      </c>
      <c r="K68" s="88">
        <f t="shared" si="10"/>
        <v>0.14388489208633093</v>
      </c>
      <c r="L68" s="88">
        <f t="shared" si="10"/>
        <v>9.3457943925233641E-2</v>
      </c>
      <c r="M68" s="88">
        <f t="shared" si="10"/>
        <v>9.3457943925233641E-2</v>
      </c>
      <c r="N68" s="88">
        <f t="shared" si="10"/>
        <v>0.12195121951219512</v>
      </c>
      <c r="O68" s="88">
        <f t="shared" si="10"/>
        <v>0.12195121951219512</v>
      </c>
      <c r="P68" s="88">
        <f t="shared" si="10"/>
        <v>0.12195121951219512</v>
      </c>
      <c r="Q68" s="88">
        <f t="shared" si="10"/>
        <v>0.12195121951219512</v>
      </c>
      <c r="R68" s="88">
        <f t="shared" si="10"/>
        <v>0.12195121951219512</v>
      </c>
      <c r="S68" s="88">
        <f t="shared" si="10"/>
        <v>0.12195121951219512</v>
      </c>
      <c r="T68" s="88">
        <f t="shared" si="10"/>
        <v>0.12195121951219512</v>
      </c>
      <c r="U68" s="88">
        <f t="shared" si="10"/>
        <v>0.12195121951219512</v>
      </c>
      <c r="V68" s="88">
        <f t="shared" si="10"/>
        <v>0.12195121951219512</v>
      </c>
      <c r="W68" s="88">
        <f t="shared" si="10"/>
        <v>0.12195121951219512</v>
      </c>
      <c r="X68" s="88">
        <f t="shared" si="10"/>
        <v>0.12195121951219512</v>
      </c>
    </row>
    <row r="69" spans="2:24" ht="15.75" thickBot="1" x14ac:dyDescent="0.3">
      <c r="B69" s="71" t="s">
        <v>96</v>
      </c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72"/>
      <c r="X69" s="72"/>
    </row>
    <row r="70" spans="2:24" x14ac:dyDescent="0.25">
      <c r="B70" s="96" t="s">
        <v>97</v>
      </c>
      <c r="C70" s="89">
        <f>IF(C53&lt;=2,C67/C56*(1+C68*C60)*C54,IF(OR(C51=6,C51="5a",C51="3a"),C66*C48^2/17,(IF(OR(C51="2a",C51=4,C51="5b"),C66*C48^2/12,IF(OR(C51=1,C51="2b",C51="3b"),C66*C48^2/8)))))</f>
        <v>920.25618221258128</v>
      </c>
      <c r="D70" s="89">
        <f t="shared" ref="D70:X70" si="11">IF(D53&lt;=2,D67/D56*(1+D68*D60)*D54,IF(OR(D51=6,D51="5a",D51="3a"),D66*D48^2/17,(IF(OR(D51="2a",D51=4,D51="5b"),D66*D48^2/12,IF(OR(D51=1,D51="2b",D51="3b"),D66*D48^2/8)))))</f>
        <v>382.94930973451329</v>
      </c>
      <c r="E70" s="89">
        <f t="shared" si="11"/>
        <v>382.94930973451329</v>
      </c>
      <c r="F70" s="89">
        <f t="shared" si="11"/>
        <v>728.41134551569496</v>
      </c>
      <c r="G70" s="89">
        <f t="shared" si="11"/>
        <v>567.10080000000005</v>
      </c>
      <c r="H70" s="89">
        <f t="shared" si="11"/>
        <v>319.93836291913209</v>
      </c>
      <c r="I70" s="89">
        <f t="shared" si="11"/>
        <v>258.93168000000003</v>
      </c>
      <c r="J70" s="89">
        <f t="shared" si="11"/>
        <v>160.25882352941176</v>
      </c>
      <c r="K70" s="89">
        <f t="shared" si="11"/>
        <v>687.64117647058822</v>
      </c>
      <c r="L70" s="89">
        <f t="shared" si="11"/>
        <v>319.93836291913209</v>
      </c>
      <c r="M70" s="89">
        <f t="shared" si="11"/>
        <v>528.80520000000013</v>
      </c>
      <c r="N70" s="89">
        <f t="shared" si="11"/>
        <v>233.71025</v>
      </c>
      <c r="O70" s="89">
        <f t="shared" si="11"/>
        <v>233.71025</v>
      </c>
      <c r="P70" s="89">
        <f t="shared" si="11"/>
        <v>233.71025</v>
      </c>
      <c r="Q70" s="89">
        <f t="shared" si="11"/>
        <v>233.71025</v>
      </c>
      <c r="R70" s="89">
        <f t="shared" si="11"/>
        <v>110.86400000000002</v>
      </c>
      <c r="S70" s="89">
        <f t="shared" si="11"/>
        <v>110.86400000000002</v>
      </c>
      <c r="T70" s="89">
        <f t="shared" si="11"/>
        <v>184.04900000000001</v>
      </c>
      <c r="U70" s="89">
        <f t="shared" si="11"/>
        <v>184.04900000000001</v>
      </c>
      <c r="V70" s="89">
        <f t="shared" si="11"/>
        <v>56.128999999999998</v>
      </c>
      <c r="W70" s="89">
        <f t="shared" si="11"/>
        <v>50.224999999999994</v>
      </c>
      <c r="X70" s="89">
        <f t="shared" si="11"/>
        <v>265.05382978723401</v>
      </c>
    </row>
    <row r="71" spans="2:24" x14ac:dyDescent="0.25">
      <c r="B71" s="97" t="s">
        <v>15</v>
      </c>
      <c r="C71" s="90">
        <f>C70/(0.9*(0.9*($C$7/100))*($L$9*1000))</f>
        <v>1.8960593182114858</v>
      </c>
      <c r="D71" s="90">
        <f t="shared" ref="D71:X71" si="12">D70/(0.9*(0.9*($C$7/100))*($L$9*1000))</f>
        <v>0.78901356074460016</v>
      </c>
      <c r="E71" s="90">
        <f t="shared" si="12"/>
        <v>0.78901356074460016</v>
      </c>
      <c r="F71" s="90">
        <f t="shared" si="12"/>
        <v>1.500789829887782</v>
      </c>
      <c r="G71" s="90">
        <f t="shared" si="12"/>
        <v>1.1684319833852541</v>
      </c>
      <c r="H71" s="90">
        <f t="shared" si="12"/>
        <v>0.65918830646444637</v>
      </c>
      <c r="I71" s="90">
        <f t="shared" si="12"/>
        <v>0.53349255797853923</v>
      </c>
      <c r="J71" s="90">
        <f t="shared" si="12"/>
        <v>0.33019092025872299</v>
      </c>
      <c r="K71" s="90">
        <f t="shared" si="12"/>
        <v>1.4167885915182961</v>
      </c>
      <c r="L71" s="90">
        <f t="shared" si="12"/>
        <v>0.65918830646444637</v>
      </c>
      <c r="M71" s="90">
        <f t="shared" si="12"/>
        <v>1.0895292488750432</v>
      </c>
      <c r="N71" s="90">
        <f t="shared" si="12"/>
        <v>0.48152732449850816</v>
      </c>
      <c r="O71" s="90">
        <f t="shared" si="12"/>
        <v>0.48152732449850816</v>
      </c>
      <c r="P71" s="90">
        <f t="shared" si="12"/>
        <v>0.48152732449850816</v>
      </c>
      <c r="Q71" s="90">
        <f t="shared" si="12"/>
        <v>0.48152732449850816</v>
      </c>
      <c r="R71" s="90">
        <f t="shared" si="12"/>
        <v>0.22841978605218477</v>
      </c>
      <c r="S71" s="90">
        <f t="shared" si="12"/>
        <v>0.22841978605218477</v>
      </c>
      <c r="T71" s="90">
        <f t="shared" si="12"/>
        <v>0.37920725576488806</v>
      </c>
      <c r="U71" s="90">
        <f t="shared" si="12"/>
        <v>0.37920725576488806</v>
      </c>
      <c r="V71" s="90">
        <f t="shared" si="12"/>
        <v>0.11564596416621335</v>
      </c>
      <c r="W71" s="90">
        <f t="shared" si="12"/>
        <v>0.10348159686165913</v>
      </c>
      <c r="X71" s="90">
        <f t="shared" si="12"/>
        <v>0.54610639244761316</v>
      </c>
    </row>
    <row r="72" spans="2:24" x14ac:dyDescent="0.25">
      <c r="B72" s="97" t="s">
        <v>98</v>
      </c>
      <c r="C72" s="92">
        <f>(C71*($L$9))/(0.85*$L$6*100)</f>
        <v>4.6800080057353859E-2</v>
      </c>
      <c r="D72" s="92">
        <f t="shared" ref="D72:X72" si="13">(D71*($L$9))/(0.85*$L$6*100)</f>
        <v>1.9475075201769831E-2</v>
      </c>
      <c r="E72" s="92">
        <f t="shared" si="13"/>
        <v>1.9475075201769831E-2</v>
      </c>
      <c r="F72" s="92">
        <f t="shared" si="13"/>
        <v>3.7043716677737641E-2</v>
      </c>
      <c r="G72" s="92">
        <f t="shared" si="13"/>
        <v>2.8840189670639491E-2</v>
      </c>
      <c r="H72" s="92">
        <f t="shared" si="13"/>
        <v>1.6270622558638009E-2</v>
      </c>
      <c r="I72" s="92">
        <f t="shared" si="13"/>
        <v>1.3168097740185397E-2</v>
      </c>
      <c r="J72" s="92">
        <f t="shared" si="13"/>
        <v>8.1500411690157686E-3</v>
      </c>
      <c r="K72" s="92">
        <f t="shared" si="13"/>
        <v>3.4970329709909501E-2</v>
      </c>
      <c r="L72" s="92">
        <f t="shared" si="13"/>
        <v>1.6270622558638009E-2</v>
      </c>
      <c r="M72" s="92">
        <f t="shared" si="13"/>
        <v>2.6892648126788838E-2</v>
      </c>
      <c r="N72" s="92">
        <f t="shared" si="13"/>
        <v>1.1885449532027768E-2</v>
      </c>
      <c r="O72" s="92">
        <f t="shared" si="13"/>
        <v>1.1885449532027768E-2</v>
      </c>
      <c r="P72" s="92">
        <f t="shared" si="13"/>
        <v>1.1885449532027768E-2</v>
      </c>
      <c r="Q72" s="92">
        <f t="shared" si="13"/>
        <v>1.1885449532027768E-2</v>
      </c>
      <c r="R72" s="92">
        <f t="shared" si="13"/>
        <v>5.6380431620723804E-3</v>
      </c>
      <c r="S72" s="92">
        <f t="shared" si="13"/>
        <v>5.6380431620723804E-3</v>
      </c>
      <c r="T72" s="92">
        <f t="shared" si="13"/>
        <v>9.3599022760883551E-3</v>
      </c>
      <c r="U72" s="92">
        <f t="shared" si="13"/>
        <v>9.3599022760883551E-3</v>
      </c>
      <c r="V72" s="92">
        <f t="shared" si="13"/>
        <v>2.8544678583125329E-3</v>
      </c>
      <c r="W72" s="92">
        <f t="shared" si="13"/>
        <v>2.5542170390305714E-3</v>
      </c>
      <c r="X72" s="92">
        <f t="shared" si="13"/>
        <v>1.3479442674024133E-2</v>
      </c>
    </row>
    <row r="73" spans="2:24" ht="15.75" thickBot="1" x14ac:dyDescent="0.3">
      <c r="B73" s="97" t="s">
        <v>15</v>
      </c>
      <c r="C73" s="76">
        <f>ROUNDUP(C70/(0.9*(($C$7-C72/2)/100)*($L$9*1000)),2)</f>
        <v>1.71</v>
      </c>
      <c r="D73" s="76">
        <f t="shared" ref="D73:X73" si="14">ROUNDUP(D70/(0.9*(($C$7-D72/2)/100)*($L$9*1000)),2)</f>
        <v>0.72</v>
      </c>
      <c r="E73" s="76">
        <f t="shared" si="14"/>
        <v>0.72</v>
      </c>
      <c r="F73" s="76">
        <f t="shared" si="14"/>
        <v>1.36</v>
      </c>
      <c r="G73" s="76">
        <f t="shared" si="14"/>
        <v>1.06</v>
      </c>
      <c r="H73" s="76">
        <f t="shared" si="14"/>
        <v>0.6</v>
      </c>
      <c r="I73" s="76">
        <f t="shared" si="14"/>
        <v>0.49</v>
      </c>
      <c r="J73" s="76">
        <f t="shared" si="14"/>
        <v>0.3</v>
      </c>
      <c r="K73" s="76">
        <f t="shared" si="14"/>
        <v>1.28</v>
      </c>
      <c r="L73" s="76">
        <f t="shared" si="14"/>
        <v>0.6</v>
      </c>
      <c r="M73" s="76">
        <f t="shared" si="14"/>
        <v>0.99</v>
      </c>
      <c r="N73" s="76">
        <f t="shared" si="14"/>
        <v>0.44</v>
      </c>
      <c r="O73" s="76">
        <f t="shared" si="14"/>
        <v>0.44</v>
      </c>
      <c r="P73" s="76">
        <f t="shared" si="14"/>
        <v>0.44</v>
      </c>
      <c r="Q73" s="76">
        <f t="shared" si="14"/>
        <v>0.44</v>
      </c>
      <c r="R73" s="76">
        <f t="shared" si="14"/>
        <v>0.21000000000000002</v>
      </c>
      <c r="S73" s="76">
        <f t="shared" si="14"/>
        <v>0.21000000000000002</v>
      </c>
      <c r="T73" s="76">
        <f t="shared" si="14"/>
        <v>0.35000000000000003</v>
      </c>
      <c r="U73" s="76">
        <f t="shared" si="14"/>
        <v>0.35000000000000003</v>
      </c>
      <c r="V73" s="76">
        <f t="shared" si="14"/>
        <v>0.11</v>
      </c>
      <c r="W73" s="76">
        <f t="shared" si="14"/>
        <v>9.9999999999999992E-2</v>
      </c>
      <c r="X73" s="76">
        <f t="shared" si="14"/>
        <v>0.5</v>
      </c>
    </row>
    <row r="74" spans="2:24" ht="16.5" thickBot="1" x14ac:dyDescent="0.3">
      <c r="B74" s="61" t="s">
        <v>100</v>
      </c>
      <c r="C74" s="134" t="str">
        <f>IF(C73&gt;$C$12,"$\phi"&amp;IF(VLOOKUP(VLOOKUP(C73,tablas!$R$3:$T$66,2,TRUE)&amp;VLOOKUP(C73,tablas!$R$3:$T$66,3,TRUE),tablas!$Q$3:$R$66,2,FALSE)&lt;C73,VLOOKUP(C73+0.1,tablas!$R$3:$T$66,2,TRUE),VLOOKUP(C73,tablas!$R$3:$T$66,2,TRUE))&amp;"@"&amp;IF(VLOOKUP(VLOOKUP(C73,tablas!$R$3:$T$66,2,TRUE)&amp;VLOOKUP(C73,tablas!$R$3:$T$66,3,TRUE),tablas!$Q$3:$R$66,2,FALSE)&lt;C73,VLOOKUP(C73+0.1,tablas!$R$3:$T$66,3,TRUE),VLOOKUP(C73,tablas!$R$3:$T$66,3,TRUE))&amp;"$",$C$13)</f>
        <v>$\phi8@17$</v>
      </c>
      <c r="D74" s="134" t="str">
        <f>IF(D73&gt;$C$12,"$\phi"&amp;IF(VLOOKUP(VLOOKUP(D73,tablas!$R$3:$T$66,2,TRUE)&amp;VLOOKUP(D73,tablas!$R$3:$T$66,3,TRUE),tablas!$Q$3:$R$66,2,FALSE)&lt;D73,VLOOKUP(D73+0.1,tablas!$R$3:$T$66,2,TRUE),VLOOKUP(D73,tablas!$R$3:$T$66,2,TRUE))&amp;"@"&amp;IF(VLOOKUP(VLOOKUP(D73,tablas!$R$3:$T$66,2,TRUE)&amp;VLOOKUP(D73,tablas!$R$3:$T$66,3,TRUE),tablas!$Q$3:$R$66,2,FALSE)&lt;D73,VLOOKUP(D73+0.1,tablas!$R$3:$T$66,3,TRUE),VLOOKUP(D73,tablas!$R$3:$T$66,3,TRUE))&amp;"$",$C$13)</f>
        <v>$\phi8@17$</v>
      </c>
      <c r="E74" s="134" t="str">
        <f>IF(E73&gt;$C$12,"$\phi"&amp;IF(VLOOKUP(VLOOKUP(E73,tablas!$R$3:$T$66,2,TRUE)&amp;VLOOKUP(E73,tablas!$R$3:$T$66,3,TRUE),tablas!$Q$3:$R$66,2,FALSE)&lt;E73,VLOOKUP(E73+0.1,tablas!$R$3:$T$66,2,TRUE),VLOOKUP(E73,tablas!$R$3:$T$66,2,TRUE))&amp;"@"&amp;IF(VLOOKUP(VLOOKUP(E73,tablas!$R$3:$T$66,2,TRUE)&amp;VLOOKUP(E73,tablas!$R$3:$T$66,3,TRUE),tablas!$Q$3:$R$66,2,FALSE)&lt;E73,VLOOKUP(E73+0.1,tablas!$R$3:$T$66,3,TRUE),VLOOKUP(E73,tablas!$R$3:$T$66,3,TRUE))&amp;"$",$C$13)</f>
        <v>$\phi8@17$</v>
      </c>
      <c r="F74" s="134" t="str">
        <f>IF(F73&gt;$C$12,"$\phi"&amp;IF(VLOOKUP(VLOOKUP(F73,tablas!$R$3:$T$66,2,TRUE)&amp;VLOOKUP(F73,tablas!$R$3:$T$66,3,TRUE),tablas!$Q$3:$R$66,2,FALSE)&lt;F73,VLOOKUP(F73+0.1,tablas!$R$3:$T$66,2,TRUE),VLOOKUP(F73,tablas!$R$3:$T$66,2,TRUE))&amp;"@"&amp;IF(VLOOKUP(VLOOKUP(F73,tablas!$R$3:$T$66,2,TRUE)&amp;VLOOKUP(F73,tablas!$R$3:$T$66,3,TRUE),tablas!$Q$3:$R$66,2,FALSE)&lt;F73,VLOOKUP(F73+0.1,tablas!$R$3:$T$66,3,TRUE),VLOOKUP(F73,tablas!$R$3:$T$66,3,TRUE))&amp;"$",$C$13)</f>
        <v>$\phi8@17$</v>
      </c>
      <c r="G74" s="134" t="str">
        <f>IF(G73&gt;$C$12,"$\phi"&amp;IF(VLOOKUP(VLOOKUP(G73,tablas!$R$3:$T$66,2,TRUE)&amp;VLOOKUP(G73,tablas!$R$3:$T$66,3,TRUE),tablas!$Q$3:$R$66,2,FALSE)&lt;G73,VLOOKUP(G73+0.1,tablas!$R$3:$T$66,2,TRUE),VLOOKUP(G73,tablas!$R$3:$T$66,2,TRUE))&amp;"@"&amp;IF(VLOOKUP(VLOOKUP(G73,tablas!$R$3:$T$66,2,TRUE)&amp;VLOOKUP(G73,tablas!$R$3:$T$66,3,TRUE),tablas!$Q$3:$R$66,2,FALSE)&lt;G73,VLOOKUP(G73+0.1,tablas!$R$3:$T$66,3,TRUE),VLOOKUP(G73,tablas!$R$3:$T$66,3,TRUE))&amp;"$",$C$13)</f>
        <v>$\phi8@17$</v>
      </c>
      <c r="H74" s="134" t="str">
        <f>IF(H73&gt;$C$12,"$\phi"&amp;IF(VLOOKUP(VLOOKUP(H73,tablas!$R$3:$T$66,2,TRUE)&amp;VLOOKUP(H73,tablas!$R$3:$T$66,3,TRUE),tablas!$Q$3:$R$66,2,FALSE)&lt;H73,VLOOKUP(H73+0.1,tablas!$R$3:$T$66,2,TRUE),VLOOKUP(H73,tablas!$R$3:$T$66,2,TRUE))&amp;"@"&amp;IF(VLOOKUP(VLOOKUP(H73,tablas!$R$3:$T$66,2,TRUE)&amp;VLOOKUP(H73,tablas!$R$3:$T$66,3,TRUE),tablas!$Q$3:$R$66,2,FALSE)&lt;H73,VLOOKUP(H73+0.1,tablas!$R$3:$T$66,3,TRUE),VLOOKUP(H73,tablas!$R$3:$T$66,3,TRUE))&amp;"$",$C$13)</f>
        <v>$\phi8@17$</v>
      </c>
      <c r="I74" s="134" t="str">
        <f>IF(I73&gt;$C$12,"$\phi"&amp;IF(VLOOKUP(VLOOKUP(I73,tablas!$R$3:$T$66,2,TRUE)&amp;VLOOKUP(I73,tablas!$R$3:$T$66,3,TRUE),tablas!$Q$3:$R$66,2,FALSE)&lt;I73,VLOOKUP(I73+0.1,tablas!$R$3:$T$66,2,TRUE),VLOOKUP(I73,tablas!$R$3:$T$66,2,TRUE))&amp;"@"&amp;IF(VLOOKUP(VLOOKUP(I73,tablas!$R$3:$T$66,2,TRUE)&amp;VLOOKUP(I73,tablas!$R$3:$T$66,3,TRUE),tablas!$Q$3:$R$66,2,FALSE)&lt;I73,VLOOKUP(I73+0.1,tablas!$R$3:$T$66,3,TRUE),VLOOKUP(I73,tablas!$R$3:$T$66,3,TRUE))&amp;"$",$C$13)</f>
        <v>$\phi8@17$</v>
      </c>
      <c r="J74" s="134" t="str">
        <f>IF(J73&gt;$C$12,"$\phi"&amp;IF(VLOOKUP(VLOOKUP(J73,tablas!$R$3:$T$66,2,TRUE)&amp;VLOOKUP(J73,tablas!$R$3:$T$66,3,TRUE),tablas!$Q$3:$R$66,2,FALSE)&lt;J73,VLOOKUP(J73+0.1,tablas!$R$3:$T$66,2,TRUE),VLOOKUP(J73,tablas!$R$3:$T$66,2,TRUE))&amp;"@"&amp;IF(VLOOKUP(VLOOKUP(J73,tablas!$R$3:$T$66,2,TRUE)&amp;VLOOKUP(J73,tablas!$R$3:$T$66,3,TRUE),tablas!$Q$3:$R$66,2,FALSE)&lt;J73,VLOOKUP(J73+0.1,tablas!$R$3:$T$66,3,TRUE),VLOOKUP(J73,tablas!$R$3:$T$66,3,TRUE))&amp;"$",$C$13)</f>
        <v>$\phi8@17$</v>
      </c>
      <c r="K74" s="134" t="str">
        <f>IF(K73&gt;$C$12,"$\phi"&amp;IF(VLOOKUP(VLOOKUP(K73,tablas!$R$3:$T$66,2,TRUE)&amp;VLOOKUP(K73,tablas!$R$3:$T$66,3,TRUE),tablas!$Q$3:$R$66,2,FALSE)&lt;K73,VLOOKUP(K73+0.1,tablas!$R$3:$T$66,2,TRUE),VLOOKUP(K73,tablas!$R$3:$T$66,2,TRUE))&amp;"@"&amp;IF(VLOOKUP(VLOOKUP(K73,tablas!$R$3:$T$66,2,TRUE)&amp;VLOOKUP(K73,tablas!$R$3:$T$66,3,TRUE),tablas!$Q$3:$R$66,2,FALSE)&lt;K73,VLOOKUP(K73+0.1,tablas!$R$3:$T$66,3,TRUE),VLOOKUP(K73,tablas!$R$3:$T$66,3,TRUE))&amp;"$",$C$13)</f>
        <v>$\phi8@17$</v>
      </c>
      <c r="L74" s="134" t="str">
        <f>IF(L73&gt;$C$12,"$\phi"&amp;IF(VLOOKUP(VLOOKUP(L73,tablas!$R$3:$T$66,2,TRUE)&amp;VLOOKUP(L73,tablas!$R$3:$T$66,3,TRUE),tablas!$Q$3:$R$66,2,FALSE)&lt;L73,VLOOKUP(L73+0.1,tablas!$R$3:$T$66,2,TRUE),VLOOKUP(L73,tablas!$R$3:$T$66,2,TRUE))&amp;"@"&amp;IF(VLOOKUP(VLOOKUP(L73,tablas!$R$3:$T$66,2,TRUE)&amp;VLOOKUP(L73,tablas!$R$3:$T$66,3,TRUE),tablas!$Q$3:$R$66,2,FALSE)&lt;L73,VLOOKUP(L73+0.1,tablas!$R$3:$T$66,3,TRUE),VLOOKUP(L73,tablas!$R$3:$T$66,3,TRUE))&amp;"$",$C$13)</f>
        <v>$\phi8@17$</v>
      </c>
      <c r="M74" s="134" t="str">
        <f>IF(M73&gt;$C$12,"$\phi"&amp;IF(VLOOKUP(VLOOKUP(M73,tablas!$R$3:$T$66,2,TRUE)&amp;VLOOKUP(M73,tablas!$R$3:$T$66,3,TRUE),tablas!$Q$3:$R$66,2,FALSE)&lt;M73,VLOOKUP(M73+0.1,tablas!$R$3:$T$66,2,TRUE),VLOOKUP(M73,tablas!$R$3:$T$66,2,TRUE))&amp;"@"&amp;IF(VLOOKUP(VLOOKUP(M73,tablas!$R$3:$T$66,2,TRUE)&amp;VLOOKUP(M73,tablas!$R$3:$T$66,3,TRUE),tablas!$Q$3:$R$66,2,FALSE)&lt;M73,VLOOKUP(M73+0.1,tablas!$R$3:$T$66,3,TRUE),VLOOKUP(M73,tablas!$R$3:$T$66,3,TRUE))&amp;"$",$C$13)</f>
        <v>$\phi8@17$</v>
      </c>
      <c r="N74" s="134" t="str">
        <f>IF(N73&gt;$C$12,"$\phi"&amp;IF(VLOOKUP(VLOOKUP(N73,tablas!$R$3:$T$66,2,TRUE)&amp;VLOOKUP(N73,tablas!$R$3:$T$66,3,TRUE),tablas!$Q$3:$R$66,2,FALSE)&lt;N73,VLOOKUP(N73+0.1,tablas!$R$3:$T$66,2,TRUE),VLOOKUP(N73,tablas!$R$3:$T$66,2,TRUE))&amp;"@"&amp;IF(VLOOKUP(VLOOKUP(N73,tablas!$R$3:$T$66,2,TRUE)&amp;VLOOKUP(N73,tablas!$R$3:$T$66,3,TRUE),tablas!$Q$3:$R$66,2,FALSE)&lt;N73,VLOOKUP(N73+0.1,tablas!$R$3:$T$66,3,TRUE),VLOOKUP(N73,tablas!$R$3:$T$66,3,TRUE))&amp;"$",$C$13)</f>
        <v>$\phi8@17$</v>
      </c>
      <c r="O74" s="134" t="str">
        <f>IF(O73&gt;$C$12,"$\phi"&amp;IF(VLOOKUP(VLOOKUP(O73,tablas!$R$3:$T$66,2,TRUE)&amp;VLOOKUP(O73,tablas!$R$3:$T$66,3,TRUE),tablas!$Q$3:$R$66,2,FALSE)&lt;O73,VLOOKUP(O73+0.1,tablas!$R$3:$T$66,2,TRUE),VLOOKUP(O73,tablas!$R$3:$T$66,2,TRUE))&amp;"@"&amp;IF(VLOOKUP(VLOOKUP(O73,tablas!$R$3:$T$66,2,TRUE)&amp;VLOOKUP(O73,tablas!$R$3:$T$66,3,TRUE),tablas!$Q$3:$R$66,2,FALSE)&lt;O73,VLOOKUP(O73+0.1,tablas!$R$3:$T$66,3,TRUE),VLOOKUP(O73,tablas!$R$3:$T$66,3,TRUE))&amp;"$",$C$13)</f>
        <v>$\phi8@17$</v>
      </c>
      <c r="P74" s="134" t="str">
        <f>IF(P73&gt;$C$12,"$\phi"&amp;IF(VLOOKUP(VLOOKUP(P73,tablas!$R$3:$T$66,2,TRUE)&amp;VLOOKUP(P73,tablas!$R$3:$T$66,3,TRUE),tablas!$Q$3:$R$66,2,FALSE)&lt;P73,VLOOKUP(P73+0.1,tablas!$R$3:$T$66,2,TRUE),VLOOKUP(P73,tablas!$R$3:$T$66,2,TRUE))&amp;"@"&amp;IF(VLOOKUP(VLOOKUP(P73,tablas!$R$3:$T$66,2,TRUE)&amp;VLOOKUP(P73,tablas!$R$3:$T$66,3,TRUE),tablas!$Q$3:$R$66,2,FALSE)&lt;P73,VLOOKUP(P73+0.1,tablas!$R$3:$T$66,3,TRUE),VLOOKUP(P73,tablas!$R$3:$T$66,3,TRUE))&amp;"$",$C$13)</f>
        <v>$\phi8@17$</v>
      </c>
      <c r="Q74" s="134" t="str">
        <f>IF(Q73&gt;$C$12,"$\phi"&amp;IF(VLOOKUP(VLOOKUP(Q73,tablas!$R$3:$T$66,2,TRUE)&amp;VLOOKUP(Q73,tablas!$R$3:$T$66,3,TRUE),tablas!$Q$3:$R$66,2,FALSE)&lt;Q73,VLOOKUP(Q73+0.1,tablas!$R$3:$T$66,2,TRUE),VLOOKUP(Q73,tablas!$R$3:$T$66,2,TRUE))&amp;"@"&amp;IF(VLOOKUP(VLOOKUP(Q73,tablas!$R$3:$T$66,2,TRUE)&amp;VLOOKUP(Q73,tablas!$R$3:$T$66,3,TRUE),tablas!$Q$3:$R$66,2,FALSE)&lt;Q73,VLOOKUP(Q73+0.1,tablas!$R$3:$T$66,3,TRUE),VLOOKUP(Q73,tablas!$R$3:$T$66,3,TRUE))&amp;"$",$C$13)</f>
        <v>$\phi8@17$</v>
      </c>
      <c r="R74" s="134" t="str">
        <f>IF(R73&gt;$C$12,"$\phi"&amp;IF(VLOOKUP(VLOOKUP(R73,tablas!$R$3:$T$66,2,TRUE)&amp;VLOOKUP(R73,tablas!$R$3:$T$66,3,TRUE),tablas!$Q$3:$R$66,2,FALSE)&lt;R73,VLOOKUP(R73+0.1,tablas!$R$3:$T$66,2,TRUE),VLOOKUP(R73,tablas!$R$3:$T$66,2,TRUE))&amp;"@"&amp;IF(VLOOKUP(VLOOKUP(R73,tablas!$R$3:$T$66,2,TRUE)&amp;VLOOKUP(R73,tablas!$R$3:$T$66,3,TRUE),tablas!$Q$3:$R$66,2,FALSE)&lt;R73,VLOOKUP(R73+0.1,tablas!$R$3:$T$66,3,TRUE),VLOOKUP(R73,tablas!$R$3:$T$66,3,TRUE))&amp;"$",$C$13)</f>
        <v>$\phi8@17$</v>
      </c>
      <c r="S74" s="134" t="str">
        <f>IF(S73&gt;$C$12,"$\phi"&amp;IF(VLOOKUP(VLOOKUP(S73,tablas!$R$3:$T$66,2,TRUE)&amp;VLOOKUP(S73,tablas!$R$3:$T$66,3,TRUE),tablas!$Q$3:$R$66,2,FALSE)&lt;S73,VLOOKUP(S73+0.1,tablas!$R$3:$T$66,2,TRUE),VLOOKUP(S73,tablas!$R$3:$T$66,2,TRUE))&amp;"@"&amp;IF(VLOOKUP(VLOOKUP(S73,tablas!$R$3:$T$66,2,TRUE)&amp;VLOOKUP(S73,tablas!$R$3:$T$66,3,TRUE),tablas!$Q$3:$R$66,2,FALSE)&lt;S73,VLOOKUP(S73+0.1,tablas!$R$3:$T$66,3,TRUE),VLOOKUP(S73,tablas!$R$3:$T$66,3,TRUE))&amp;"$",$C$13)</f>
        <v>$\phi8@17$</v>
      </c>
      <c r="T74" s="134" t="str">
        <f>IF(T73&gt;$C$12,"$\phi"&amp;IF(VLOOKUP(VLOOKUP(T73,tablas!$R$3:$T$66,2,TRUE)&amp;VLOOKUP(T73,tablas!$R$3:$T$66,3,TRUE),tablas!$Q$3:$R$66,2,FALSE)&lt;T73,VLOOKUP(T73+0.1,tablas!$R$3:$T$66,2,TRUE),VLOOKUP(T73,tablas!$R$3:$T$66,2,TRUE))&amp;"@"&amp;IF(VLOOKUP(VLOOKUP(T73,tablas!$R$3:$T$66,2,TRUE)&amp;VLOOKUP(T73,tablas!$R$3:$T$66,3,TRUE),tablas!$Q$3:$R$66,2,FALSE)&lt;T73,VLOOKUP(T73+0.1,tablas!$R$3:$T$66,3,TRUE),VLOOKUP(T73,tablas!$R$3:$T$66,3,TRUE))&amp;"$",$C$13)</f>
        <v>$\phi8@17$</v>
      </c>
      <c r="U74" s="134" t="str">
        <f>IF(U73&gt;$C$12,"$\phi"&amp;IF(VLOOKUP(VLOOKUP(U73,tablas!$R$3:$T$66,2,TRUE)&amp;VLOOKUP(U73,tablas!$R$3:$T$66,3,TRUE),tablas!$Q$3:$R$66,2,FALSE)&lt;U73,VLOOKUP(U73+0.1,tablas!$R$3:$T$66,2,TRUE),VLOOKUP(U73,tablas!$R$3:$T$66,2,TRUE))&amp;"@"&amp;IF(VLOOKUP(VLOOKUP(U73,tablas!$R$3:$T$66,2,TRUE)&amp;VLOOKUP(U73,tablas!$R$3:$T$66,3,TRUE),tablas!$Q$3:$R$66,2,FALSE)&lt;U73,VLOOKUP(U73+0.1,tablas!$R$3:$T$66,3,TRUE),VLOOKUP(U73,tablas!$R$3:$T$66,3,TRUE))&amp;"$",$C$13)</f>
        <v>$\phi8@17$</v>
      </c>
      <c r="V74" s="134" t="str">
        <f>IF(V73&gt;$C$12,"$\phi"&amp;IF(VLOOKUP(VLOOKUP(V73,tablas!$R$3:$T$66,2,TRUE)&amp;VLOOKUP(V73,tablas!$R$3:$T$66,3,TRUE),tablas!$Q$3:$R$66,2,FALSE)&lt;V73,VLOOKUP(V73+0.1,tablas!$R$3:$T$66,2,TRUE),VLOOKUP(V73,tablas!$R$3:$T$66,2,TRUE))&amp;"@"&amp;IF(VLOOKUP(VLOOKUP(V73,tablas!$R$3:$T$66,2,TRUE)&amp;VLOOKUP(V73,tablas!$R$3:$T$66,3,TRUE),tablas!$Q$3:$R$66,2,FALSE)&lt;V73,VLOOKUP(V73+0.1,tablas!$R$3:$T$66,3,TRUE),VLOOKUP(V73,tablas!$R$3:$T$66,3,TRUE))&amp;"$",$C$13)</f>
        <v>$\phi8@17$</v>
      </c>
      <c r="W74" s="134" t="str">
        <f>IF(W73&gt;$C$12,"$\phi"&amp;IF(VLOOKUP(VLOOKUP(W73,tablas!$R$3:$T$66,2,TRUE)&amp;VLOOKUP(W73,tablas!$R$3:$T$66,3,TRUE),tablas!$Q$3:$R$66,2,FALSE)&lt;W73,VLOOKUP(W73+0.1,tablas!$R$3:$T$66,2,TRUE),VLOOKUP(W73,tablas!$R$3:$T$66,2,TRUE))&amp;"@"&amp;IF(VLOOKUP(VLOOKUP(W73,tablas!$R$3:$T$66,2,TRUE)&amp;VLOOKUP(W73,tablas!$R$3:$T$66,3,TRUE),tablas!$Q$3:$R$66,2,FALSE)&lt;W73,VLOOKUP(W73+0.1,tablas!$R$3:$T$66,3,TRUE),VLOOKUP(W73,tablas!$R$3:$T$66,3,TRUE))&amp;"$",$C$13)</f>
        <v>$\phi8@17$</v>
      </c>
      <c r="X74" s="134" t="str">
        <f>IF(X73&gt;$C$12,"$\phi"&amp;IF(VLOOKUP(VLOOKUP(X73,tablas!$R$3:$T$66,2,TRUE)&amp;VLOOKUP(X73,tablas!$R$3:$T$66,3,TRUE),tablas!$Q$3:$R$66,2,FALSE)&lt;X73,VLOOKUP(X73+0.1,tablas!$R$3:$T$66,2,TRUE),VLOOKUP(X73,tablas!$R$3:$T$66,2,TRUE))&amp;"@"&amp;IF(VLOOKUP(VLOOKUP(X73,tablas!$R$3:$T$66,2,TRUE)&amp;VLOOKUP(X73,tablas!$R$3:$T$66,3,TRUE),tablas!$Q$3:$R$66,2,FALSE)&lt;X73,VLOOKUP(X73+0.1,tablas!$R$3:$T$66,3,TRUE),VLOOKUP(X73,tablas!$R$3:$T$66,3,TRUE))&amp;"$",$C$13)</f>
        <v>$\phi8@17$</v>
      </c>
    </row>
    <row r="75" spans="2:24" x14ac:dyDescent="0.25">
      <c r="B75" s="96" t="s">
        <v>102</v>
      </c>
      <c r="C75" s="89">
        <f>IF(C53&lt;=2,C67/C57*(1+C68*C61)*C54,"0")</f>
        <v>260.26877300613495</v>
      </c>
      <c r="D75" s="89">
        <f>IF(D53&lt;=2,D67/D57*(1+D68*D61)*D54,"0")</f>
        <v>181.05971548117157</v>
      </c>
      <c r="E75" s="89">
        <f>IF(E53&lt;=2,E67/E57*(1+E68*E61)*E54,"0")</f>
        <v>181.05971548117157</v>
      </c>
      <c r="F75" s="89">
        <f>IF(F53&lt;=2,F67/F57*(1+F68*F61)*F54,"0")</f>
        <v>278.62046320754717</v>
      </c>
      <c r="G75" s="89">
        <f>IF(G53&lt;=2,G67/G57*(1+G68*G61)*G54,"0")</f>
        <v>339.2542174904944</v>
      </c>
      <c r="H75" s="89">
        <f>IF(H53&lt;=2,H67/H57*(1+H68*H61)*H54,"0")</f>
        <v>244.65874811463047</v>
      </c>
      <c r="I75" s="89">
        <f>IF(I53&lt;=2,I67/I57*(1+I68*I61)*I54,"0")</f>
        <v>46.683</v>
      </c>
      <c r="J75" s="89" t="str">
        <f>IF(J53&lt;=2,J67/J57*(1+J68*J61)*J54,"0")</f>
        <v>0</v>
      </c>
      <c r="K75" s="89" t="str">
        <f>IF(K53&lt;=2,K67/K57*(1+K68*K61)*K54,"0")</f>
        <v>0</v>
      </c>
      <c r="L75" s="89">
        <f>IF(L53&lt;=2,L67/L57*(1+L68*L61)*L54,"0")</f>
        <v>244.65874811463047</v>
      </c>
      <c r="M75" s="89">
        <f>IF(M53&lt;=2,M67/M57*(1+M68*M61)*M54,"0")</f>
        <v>316.34480912547536</v>
      </c>
      <c r="N75" s="89" t="str">
        <f>IF(N53&lt;=2,N67/N57*(1+N68*N61)*N54,"0")</f>
        <v>0</v>
      </c>
      <c r="O75" s="89" t="str">
        <f>IF(O53&lt;=2,O67/O57*(1+O68*O61)*O54,"0")</f>
        <v>0</v>
      </c>
      <c r="P75" s="89" t="str">
        <f>IF(P53&lt;=2,P67/P57*(1+P68*P61)*P54,"0")</f>
        <v>0</v>
      </c>
      <c r="Q75" s="89" t="str">
        <f>IF(Q53&lt;=2,Q67/Q57*(1+Q68*Q61)*Q54,"0")</f>
        <v>0</v>
      </c>
      <c r="R75" s="89" t="str">
        <f>IF(R53&lt;=2,R67/R57*(1+R68*R61)*R54,"0")</f>
        <v>0</v>
      </c>
      <c r="S75" s="89" t="str">
        <f>IF(S53&lt;=2,S67/S57*(1+S68*S61)*S54,"0")</f>
        <v>0</v>
      </c>
      <c r="T75" s="89" t="str">
        <f>IF(T53&lt;=2,T67/T57*(1+T68*T61)*T54,"0")</f>
        <v>0</v>
      </c>
      <c r="U75" s="89" t="str">
        <f>IF(U53&lt;=2,U67/U57*(1+U68*U61)*U54,"0")</f>
        <v>0</v>
      </c>
      <c r="V75" s="89" t="str">
        <f>IF(V53&lt;=2,V67/V57*(1+V68*V61)*V54,"0")</f>
        <v>0</v>
      </c>
      <c r="W75" s="89" t="str">
        <f>IF(W53&lt;=2,W67/W57*(1+W68*W61)*W54,"0")</f>
        <v>0</v>
      </c>
      <c r="X75" s="89">
        <f>IF(X53&lt;=2,X67/X57*(1+X68*X61)*X54,"0")</f>
        <v>67.965860139860141</v>
      </c>
    </row>
    <row r="76" spans="2:24" x14ac:dyDescent="0.25">
      <c r="B76" s="97" t="s">
        <v>15</v>
      </c>
      <c r="C76" s="85">
        <f>C75/(0.9*(0.9*($C$7/100))*($L$9*1000))</f>
        <v>0.53624745134692942</v>
      </c>
      <c r="D76" s="85">
        <f>D75/(0.9*(0.9*($C$7/100))*($L$9*1000))</f>
        <v>0.37304825256962271</v>
      </c>
      <c r="E76" s="85">
        <f>E75/(0.9*(0.9*($C$7/100))*($L$9*1000))</f>
        <v>0.37304825256962271</v>
      </c>
      <c r="F76" s="85">
        <f>F75/(0.9*(0.9*($C$7/100))*($L$9*1000))</f>
        <v>0.57405854556599556</v>
      </c>
      <c r="G76" s="85">
        <f>G75/(0.9*(0.9*($C$7/100))*($L$9*1000))</f>
        <v>0.69898592668927761</v>
      </c>
      <c r="H76" s="85">
        <f>H75/(0.9*(0.9*($C$7/100))*($L$9*1000))</f>
        <v>0.50408517553163557</v>
      </c>
      <c r="I76" s="85">
        <f>I75/(0.9*(0.9*($C$7/100))*($L$9*1000))</f>
        <v>9.6183800623052929E-2</v>
      </c>
      <c r="J76" s="85">
        <f>J75/(0.9*(0.9*($C$7/100))*($L$9*1000))</f>
        <v>0</v>
      </c>
      <c r="K76" s="85">
        <f>K75/(0.9*(0.9*($C$7/100))*($L$9*1000))</f>
        <v>0</v>
      </c>
      <c r="L76" s="85">
        <f>L75/(0.9*(0.9*($C$7/100))*($L$9*1000))</f>
        <v>0.50408517553163557</v>
      </c>
      <c r="M76" s="85">
        <f>M75/(0.9*(0.9*($C$7/100))*($L$9*1000))</f>
        <v>0.65178429083526035</v>
      </c>
      <c r="N76" s="85">
        <f>N75/(0.9*(0.9*($C$7/100))*($L$9*1000))</f>
        <v>0</v>
      </c>
      <c r="O76" s="85">
        <f>O75/(0.9*(0.9*($C$7/100))*($L$9*1000))</f>
        <v>0</v>
      </c>
      <c r="P76" s="85">
        <f>P75/(0.9*(0.9*($C$7/100))*($L$9*1000))</f>
        <v>0</v>
      </c>
      <c r="Q76" s="85">
        <f>Q75/(0.9*(0.9*($C$7/100))*($L$9*1000))</f>
        <v>0</v>
      </c>
      <c r="R76" s="85">
        <f>R75/(0.9*(0.9*($C$7/100))*($L$9*1000))</f>
        <v>0</v>
      </c>
      <c r="S76" s="85">
        <f>S75/(0.9*(0.9*($C$7/100))*($L$9*1000))</f>
        <v>0</v>
      </c>
      <c r="T76" s="85">
        <f>T75/(0.9*(0.9*($C$7/100))*($L$9*1000))</f>
        <v>0</v>
      </c>
      <c r="U76" s="85">
        <f>U75/(0.9*(0.9*($C$7/100))*($L$9*1000))</f>
        <v>0</v>
      </c>
      <c r="V76" s="85">
        <f>V75/(0.9*(0.9*($C$7/100))*($L$9*1000))</f>
        <v>0</v>
      </c>
      <c r="W76" s="85">
        <f>W75/(0.9*(0.9*($C$7/100))*($L$9*1000))</f>
        <v>0</v>
      </c>
      <c r="X76" s="85">
        <f>X75/(0.9*(0.9*($C$7/100))*($L$9*1000))</f>
        <v>0.1400341610621984</v>
      </c>
    </row>
    <row r="77" spans="2:24" x14ac:dyDescent="0.25">
      <c r="B77" s="97" t="s">
        <v>98</v>
      </c>
      <c r="C77" s="85">
        <f>(C76*($L$9))/(0.85*$L$6*100)</f>
        <v>1.3236096261619713E-2</v>
      </c>
      <c r="D77" s="85">
        <f>(D76*($L$9))/(0.85*$L$6*100)</f>
        <v>9.2078807439330175E-3</v>
      </c>
      <c r="E77" s="85">
        <f>(E76*($L$9))/(0.85*$L$6*100)</f>
        <v>9.2078807439330175E-3</v>
      </c>
      <c r="F77" s="85">
        <f>(F76*($L$9))/(0.85*$L$6*100)</f>
        <v>1.4169380478791587E-2</v>
      </c>
      <c r="G77" s="85">
        <f>(G76*($L$9))/(0.85*$L$6*100)</f>
        <v>1.7252939828316657E-2</v>
      </c>
      <c r="H77" s="85">
        <f>(H76*($L$9))/(0.85*$L$6*100)</f>
        <v>1.2442240780134948E-2</v>
      </c>
      <c r="I77" s="85">
        <f>(I76*($L$9))/(0.85*$L$6*100)</f>
        <v>2.3740868896578232E-3</v>
      </c>
      <c r="J77" s="85">
        <f>(J76*($L$9))/(0.85*$L$6*100)</f>
        <v>0</v>
      </c>
      <c r="K77" s="85">
        <f>(K76*($L$9))/(0.85*$L$6*100)</f>
        <v>0</v>
      </c>
      <c r="L77" s="85">
        <f>(L76*($L$9))/(0.85*$L$6*100)</f>
        <v>1.2442240780134948E-2</v>
      </c>
      <c r="M77" s="85">
        <f>(M76*($L$9))/(0.85*$L$6*100)</f>
        <v>1.6087870615772284E-2</v>
      </c>
      <c r="N77" s="85">
        <f>(N76*($L$9))/(0.85*$L$6*100)</f>
        <v>0</v>
      </c>
      <c r="O77" s="85">
        <f>(O76*($L$9))/(0.85*$L$6*100)</f>
        <v>0</v>
      </c>
      <c r="P77" s="85">
        <f>(P76*($L$9))/(0.85*$L$6*100)</f>
        <v>0</v>
      </c>
      <c r="Q77" s="85">
        <f>(Q76*($L$9))/(0.85*$L$6*100)</f>
        <v>0</v>
      </c>
      <c r="R77" s="85">
        <f>(R76*($L$9))/(0.85*$L$6*100)</f>
        <v>0</v>
      </c>
      <c r="S77" s="85">
        <f>(S76*($L$9))/(0.85*$L$6*100)</f>
        <v>0</v>
      </c>
      <c r="T77" s="85">
        <f>(T76*($L$9))/(0.85*$L$6*100)</f>
        <v>0</v>
      </c>
      <c r="U77" s="85">
        <f>(U76*($L$9))/(0.85*$L$6*100)</f>
        <v>0</v>
      </c>
      <c r="V77" s="85">
        <f>(V76*($L$9))/(0.85*$L$6*100)</f>
        <v>0</v>
      </c>
      <c r="W77" s="85">
        <f>(W76*($L$9))/(0.85*$L$6*100)</f>
        <v>0</v>
      </c>
      <c r="X77" s="85">
        <f>(X76*($L$9))/(0.85*$L$6*100)</f>
        <v>3.4564371934614137E-3</v>
      </c>
    </row>
    <row r="78" spans="2:24" ht="15.75" thickBot="1" x14ac:dyDescent="0.3">
      <c r="B78" s="97" t="s">
        <v>15</v>
      </c>
      <c r="C78" s="76">
        <f>ROUNDUP(C75/(0.9*(($C$7-C77/2)/100)*($L$9*1000)),2)</f>
        <v>0.49</v>
      </c>
      <c r="D78" s="76">
        <f>ROUNDUP(D75/(0.9*(($C$7-D77/2)/100)*($L$9*1000)),2)</f>
        <v>0.34</v>
      </c>
      <c r="E78" s="76">
        <f>ROUNDUP(E75/(0.9*(($C$7-E77/2)/100)*($L$9*1000)),2)</f>
        <v>0.34</v>
      </c>
      <c r="F78" s="76">
        <f>ROUNDUP(F75/(0.9*(($C$7-F77/2)/100)*($L$9*1000)),2)</f>
        <v>0.52</v>
      </c>
      <c r="G78" s="76">
        <f>ROUNDUP(G75/(0.9*(($C$7-G77/2)/100)*($L$9*1000)),2)</f>
        <v>0.63</v>
      </c>
      <c r="H78" s="76">
        <f>ROUNDUP(H75/(0.9*(($C$7-H77/2)/100)*($L$9*1000)),2)</f>
        <v>0.46</v>
      </c>
      <c r="I78" s="76">
        <f>ROUNDUP(I75/(0.9*(($C$7-I77/2)/100)*($L$9*1000)),2)</f>
        <v>0.09</v>
      </c>
      <c r="J78" s="76">
        <f>ROUNDUP(J75/(0.9*(($C$7-J77/2)/100)*($L$9*1000)),2)</f>
        <v>0</v>
      </c>
      <c r="K78" s="76">
        <f>ROUNDUP(K75/(0.9*(($C$7-K77/2)/100)*($L$9*1000)),2)</f>
        <v>0</v>
      </c>
      <c r="L78" s="76">
        <f>ROUNDUP(L75/(0.9*(($C$7-L77/2)/100)*($L$9*1000)),2)</f>
        <v>0.46</v>
      </c>
      <c r="M78" s="76">
        <f>ROUNDUP(M75/(0.9*(($C$7-M77/2)/100)*($L$9*1000)),2)</f>
        <v>0.59</v>
      </c>
      <c r="N78" s="76">
        <f>ROUNDUP(N75/(0.9*(($C$7-N77/2)/100)*($L$9*1000)),2)</f>
        <v>0</v>
      </c>
      <c r="O78" s="76">
        <f>ROUNDUP(O75/(0.9*(($C$7-O77/2)/100)*($L$9*1000)),2)</f>
        <v>0</v>
      </c>
      <c r="P78" s="76">
        <f>ROUNDUP(P75/(0.9*(($C$7-P77/2)/100)*($L$9*1000)),2)</f>
        <v>0</v>
      </c>
      <c r="Q78" s="76">
        <f>ROUNDUP(Q75/(0.9*(($C$7-Q77/2)/100)*($L$9*1000)),2)</f>
        <v>0</v>
      </c>
      <c r="R78" s="76">
        <f>ROUNDUP(R75/(0.9*(($C$7-R77/2)/100)*($L$9*1000)),2)</f>
        <v>0</v>
      </c>
      <c r="S78" s="76">
        <f>ROUNDUP(S75/(0.9*(($C$7-S77/2)/100)*($L$9*1000)),2)</f>
        <v>0</v>
      </c>
      <c r="T78" s="76">
        <f>ROUNDUP(T75/(0.9*(($C$7-T77/2)/100)*($L$9*1000)),2)</f>
        <v>0</v>
      </c>
      <c r="U78" s="76">
        <f>ROUNDUP(U75/(0.9*(($C$7-U77/2)/100)*($L$9*1000)),2)</f>
        <v>0</v>
      </c>
      <c r="V78" s="76">
        <f>ROUNDUP(V75/(0.9*(($C$7-V77/2)/100)*($L$9*1000)),2)</f>
        <v>0</v>
      </c>
      <c r="W78" s="76">
        <f>ROUNDUP(W75/(0.9*(($C$7-W77/2)/100)*($L$9*1000)),2)</f>
        <v>0</v>
      </c>
      <c r="X78" s="76">
        <f>ROUNDUP(X75/(0.9*(($C$7-X77/2)/100)*($L$9*1000)),2)</f>
        <v>0.13</v>
      </c>
    </row>
    <row r="79" spans="2:24" ht="16.5" thickBot="1" x14ac:dyDescent="0.3">
      <c r="B79" s="61" t="s">
        <v>101</v>
      </c>
      <c r="C79" s="134" t="str">
        <f>IF(C78&gt;$C$12,"$\phi"&amp;IF(VLOOKUP(VLOOKUP(C78,tablas!$R$3:$T$66,2,TRUE)&amp;VLOOKUP(C78,tablas!$R$3:$T$66,3,TRUE),tablas!$Q$3:$R$66,2,FALSE)&lt;C78,VLOOKUP(C78+0.1,tablas!$R$3:$T$66,2,TRUE),VLOOKUP(C78,tablas!$R$3:$T$66,2,TRUE))&amp;"@"&amp;IF(VLOOKUP(VLOOKUP(C78,tablas!$R$3:$T$66,2,TRUE)&amp;VLOOKUP(C78,tablas!$R$3:$T$66,3,TRUE),tablas!$Q$3:$R$66,2,FALSE)&lt;C78,VLOOKUP(C78+0.1,tablas!$R$3:$T$66,3,TRUE),VLOOKUP(C78,tablas!$R$3:$T$66,3,TRUE))&amp;"$",$C$13)</f>
        <v>$\phi8@17$</v>
      </c>
      <c r="D79" s="134" t="str">
        <f>IF(D78&gt;$C$12,"$\phi"&amp;IF(VLOOKUP(VLOOKUP(D78,tablas!$R$3:$T$66,2,TRUE)&amp;VLOOKUP(D78,tablas!$R$3:$T$66,3,TRUE),tablas!$Q$3:$R$66,2,FALSE)&lt;D78,VLOOKUP(D78+0.1,tablas!$R$3:$T$66,2,TRUE),VLOOKUP(D78,tablas!$R$3:$T$66,2,TRUE))&amp;"@"&amp;IF(VLOOKUP(VLOOKUP(D78,tablas!$R$3:$T$66,2,TRUE)&amp;VLOOKUP(D78,tablas!$R$3:$T$66,3,TRUE),tablas!$Q$3:$R$66,2,FALSE)&lt;D78,VLOOKUP(D78+0.1,tablas!$R$3:$T$66,3,TRUE),VLOOKUP(D78,tablas!$R$3:$T$66,3,TRUE))&amp;"$",$C$13)</f>
        <v>$\phi8@17$</v>
      </c>
      <c r="E79" s="134" t="str">
        <f>IF(E78&gt;$C$12,"$\phi"&amp;IF(VLOOKUP(VLOOKUP(E78,tablas!$R$3:$T$66,2,TRUE)&amp;VLOOKUP(E78,tablas!$R$3:$T$66,3,TRUE),tablas!$Q$3:$R$66,2,FALSE)&lt;E78,VLOOKUP(E78+0.1,tablas!$R$3:$T$66,2,TRUE),VLOOKUP(E78,tablas!$R$3:$T$66,2,TRUE))&amp;"@"&amp;IF(VLOOKUP(VLOOKUP(E78,tablas!$R$3:$T$66,2,TRUE)&amp;VLOOKUP(E78,tablas!$R$3:$T$66,3,TRUE),tablas!$Q$3:$R$66,2,FALSE)&lt;E78,VLOOKUP(E78+0.1,tablas!$R$3:$T$66,3,TRUE),VLOOKUP(E78,tablas!$R$3:$T$66,3,TRUE))&amp;"$",$C$13)</f>
        <v>$\phi8@17$</v>
      </c>
      <c r="F79" s="134" t="str">
        <f>IF(F78&gt;$C$12,"$\phi"&amp;IF(VLOOKUP(VLOOKUP(F78,tablas!$R$3:$T$66,2,TRUE)&amp;VLOOKUP(F78,tablas!$R$3:$T$66,3,TRUE),tablas!$Q$3:$R$66,2,FALSE)&lt;F78,VLOOKUP(F78+0.1,tablas!$R$3:$T$66,2,TRUE),VLOOKUP(F78,tablas!$R$3:$T$66,2,TRUE))&amp;"@"&amp;IF(VLOOKUP(VLOOKUP(F78,tablas!$R$3:$T$66,2,TRUE)&amp;VLOOKUP(F78,tablas!$R$3:$T$66,3,TRUE),tablas!$Q$3:$R$66,2,FALSE)&lt;F78,VLOOKUP(F78+0.1,tablas!$R$3:$T$66,3,TRUE),VLOOKUP(F78,tablas!$R$3:$T$66,3,TRUE))&amp;"$",$C$13)</f>
        <v>$\phi8@17$</v>
      </c>
      <c r="G79" s="134" t="str">
        <f>IF(G78&gt;$C$12,"$\phi"&amp;IF(VLOOKUP(VLOOKUP(G78,tablas!$R$3:$T$66,2,TRUE)&amp;VLOOKUP(G78,tablas!$R$3:$T$66,3,TRUE),tablas!$Q$3:$R$66,2,FALSE)&lt;G78,VLOOKUP(G78+0.1,tablas!$R$3:$T$66,2,TRUE),VLOOKUP(G78,tablas!$R$3:$T$66,2,TRUE))&amp;"@"&amp;IF(VLOOKUP(VLOOKUP(G78,tablas!$R$3:$T$66,2,TRUE)&amp;VLOOKUP(G78,tablas!$R$3:$T$66,3,TRUE),tablas!$Q$3:$R$66,2,FALSE)&lt;G78,VLOOKUP(G78+0.1,tablas!$R$3:$T$66,3,TRUE),VLOOKUP(G78,tablas!$R$3:$T$66,3,TRUE))&amp;"$",$C$13)</f>
        <v>$\phi8@17$</v>
      </c>
      <c r="H79" s="134" t="str">
        <f>IF(H78&gt;$C$12,"$\phi"&amp;IF(VLOOKUP(VLOOKUP(H78,tablas!$R$3:$T$66,2,TRUE)&amp;VLOOKUP(H78,tablas!$R$3:$T$66,3,TRUE),tablas!$Q$3:$R$66,2,FALSE)&lt;H78,VLOOKUP(H78+0.1,tablas!$R$3:$T$66,2,TRUE),VLOOKUP(H78,tablas!$R$3:$T$66,2,TRUE))&amp;"@"&amp;IF(VLOOKUP(VLOOKUP(H78,tablas!$R$3:$T$66,2,TRUE)&amp;VLOOKUP(H78,tablas!$R$3:$T$66,3,TRUE),tablas!$Q$3:$R$66,2,FALSE)&lt;H78,VLOOKUP(H78+0.1,tablas!$R$3:$T$66,3,TRUE),VLOOKUP(H78,tablas!$R$3:$T$66,3,TRUE))&amp;"$",$C$13)</f>
        <v>$\phi8@17$</v>
      </c>
      <c r="I79" s="134" t="str">
        <f>IF(I78&gt;$C$12,"$\phi"&amp;IF(VLOOKUP(VLOOKUP(I78,tablas!$R$3:$T$66,2,TRUE)&amp;VLOOKUP(I78,tablas!$R$3:$T$66,3,TRUE),tablas!$Q$3:$R$66,2,FALSE)&lt;I78,VLOOKUP(I78+0.1,tablas!$R$3:$T$66,2,TRUE),VLOOKUP(I78,tablas!$R$3:$T$66,2,TRUE))&amp;"@"&amp;IF(VLOOKUP(VLOOKUP(I78,tablas!$R$3:$T$66,2,TRUE)&amp;VLOOKUP(I78,tablas!$R$3:$T$66,3,TRUE),tablas!$Q$3:$R$66,2,FALSE)&lt;I78,VLOOKUP(I78+0.1,tablas!$R$3:$T$66,3,TRUE),VLOOKUP(I78,tablas!$R$3:$T$66,3,TRUE))&amp;"$",$C$13)</f>
        <v>$\phi8@17$</v>
      </c>
      <c r="J79" s="134" t="str">
        <f>IF(J78&gt;$C$12,"$\phi"&amp;IF(VLOOKUP(VLOOKUP(J78,tablas!$R$3:$T$66,2,TRUE)&amp;VLOOKUP(J78,tablas!$R$3:$T$66,3,TRUE),tablas!$Q$3:$R$66,2,FALSE)&lt;J78,VLOOKUP(J78+0.1,tablas!$R$3:$T$66,2,TRUE),VLOOKUP(J78,tablas!$R$3:$T$66,2,TRUE))&amp;"@"&amp;IF(VLOOKUP(VLOOKUP(J78,tablas!$R$3:$T$66,2,TRUE)&amp;VLOOKUP(J78,tablas!$R$3:$T$66,3,TRUE),tablas!$Q$3:$R$66,2,FALSE)&lt;J78,VLOOKUP(J78+0.1,tablas!$R$3:$T$66,3,TRUE),VLOOKUP(J78,tablas!$R$3:$T$66,3,TRUE))&amp;"$",$C$13)</f>
        <v>$\phi8@17$</v>
      </c>
      <c r="K79" s="134" t="str">
        <f>IF(K78&gt;$C$12,"$\phi"&amp;IF(VLOOKUP(VLOOKUP(K78,tablas!$R$3:$T$66,2,TRUE)&amp;VLOOKUP(K78,tablas!$R$3:$T$66,3,TRUE),tablas!$Q$3:$R$66,2,FALSE)&lt;K78,VLOOKUP(K78+0.1,tablas!$R$3:$T$66,2,TRUE),VLOOKUP(K78,tablas!$R$3:$T$66,2,TRUE))&amp;"@"&amp;IF(VLOOKUP(VLOOKUP(K78,tablas!$R$3:$T$66,2,TRUE)&amp;VLOOKUP(K78,tablas!$R$3:$T$66,3,TRUE),tablas!$Q$3:$R$66,2,FALSE)&lt;K78,VLOOKUP(K78+0.1,tablas!$R$3:$T$66,3,TRUE),VLOOKUP(K78,tablas!$R$3:$T$66,3,TRUE))&amp;"$",$C$13)</f>
        <v>$\phi8@17$</v>
      </c>
      <c r="L79" s="134" t="str">
        <f>IF(L78&gt;$C$12,"$\phi"&amp;IF(VLOOKUP(VLOOKUP(L78,tablas!$R$3:$T$66,2,TRUE)&amp;VLOOKUP(L78,tablas!$R$3:$T$66,3,TRUE),tablas!$Q$3:$R$66,2,FALSE)&lt;L78,VLOOKUP(L78+0.1,tablas!$R$3:$T$66,2,TRUE),VLOOKUP(L78,tablas!$R$3:$T$66,2,TRUE))&amp;"@"&amp;IF(VLOOKUP(VLOOKUP(L78,tablas!$R$3:$T$66,2,TRUE)&amp;VLOOKUP(L78,tablas!$R$3:$T$66,3,TRUE),tablas!$Q$3:$R$66,2,FALSE)&lt;L78,VLOOKUP(L78+0.1,tablas!$R$3:$T$66,3,TRUE),VLOOKUP(L78,tablas!$R$3:$T$66,3,TRUE))&amp;"$",$C$13)</f>
        <v>$\phi8@17$</v>
      </c>
      <c r="M79" s="134" t="str">
        <f>IF(M78&gt;$C$12,"$\phi"&amp;IF(VLOOKUP(VLOOKUP(M78,tablas!$R$3:$T$66,2,TRUE)&amp;VLOOKUP(M78,tablas!$R$3:$T$66,3,TRUE),tablas!$Q$3:$R$66,2,FALSE)&lt;M78,VLOOKUP(M78+0.1,tablas!$R$3:$T$66,2,TRUE),VLOOKUP(M78,tablas!$R$3:$T$66,2,TRUE))&amp;"@"&amp;IF(VLOOKUP(VLOOKUP(M78,tablas!$R$3:$T$66,2,TRUE)&amp;VLOOKUP(M78,tablas!$R$3:$T$66,3,TRUE),tablas!$Q$3:$R$66,2,FALSE)&lt;M78,VLOOKUP(M78+0.1,tablas!$R$3:$T$66,3,TRUE),VLOOKUP(M78,tablas!$R$3:$T$66,3,TRUE))&amp;"$",$C$13)</f>
        <v>$\phi8@17$</v>
      </c>
      <c r="N79" s="134" t="str">
        <f>IF(N78&gt;$C$12,"$\phi"&amp;IF(VLOOKUP(VLOOKUP(N78,tablas!$R$3:$T$66,2,TRUE)&amp;VLOOKUP(N78,tablas!$R$3:$T$66,3,TRUE),tablas!$Q$3:$R$66,2,FALSE)&lt;N78,VLOOKUP(N78+0.1,tablas!$R$3:$T$66,2,TRUE),VLOOKUP(N78,tablas!$R$3:$T$66,2,TRUE))&amp;"@"&amp;IF(VLOOKUP(VLOOKUP(N78,tablas!$R$3:$T$66,2,TRUE)&amp;VLOOKUP(N78,tablas!$R$3:$T$66,3,TRUE),tablas!$Q$3:$R$66,2,FALSE)&lt;N78,VLOOKUP(N78+0.1,tablas!$R$3:$T$66,3,TRUE),VLOOKUP(N78,tablas!$R$3:$T$66,3,TRUE))&amp;"$",$C$13)</f>
        <v>$\phi8@17$</v>
      </c>
      <c r="O79" s="134" t="str">
        <f>IF(O78&gt;$C$12,"$\phi"&amp;IF(VLOOKUP(VLOOKUP(O78,tablas!$R$3:$T$66,2,TRUE)&amp;VLOOKUP(O78,tablas!$R$3:$T$66,3,TRUE),tablas!$Q$3:$R$66,2,FALSE)&lt;O78,VLOOKUP(O78+0.1,tablas!$R$3:$T$66,2,TRUE),VLOOKUP(O78,tablas!$R$3:$T$66,2,TRUE))&amp;"@"&amp;IF(VLOOKUP(VLOOKUP(O78,tablas!$R$3:$T$66,2,TRUE)&amp;VLOOKUP(O78,tablas!$R$3:$T$66,3,TRUE),tablas!$Q$3:$R$66,2,FALSE)&lt;O78,VLOOKUP(O78+0.1,tablas!$R$3:$T$66,3,TRUE),VLOOKUP(O78,tablas!$R$3:$T$66,3,TRUE))&amp;"$",$C$13)</f>
        <v>$\phi8@17$</v>
      </c>
      <c r="P79" s="134" t="str">
        <f>IF(P78&gt;$C$12,"$\phi"&amp;IF(VLOOKUP(VLOOKUP(P78,tablas!$R$3:$T$66,2,TRUE)&amp;VLOOKUP(P78,tablas!$R$3:$T$66,3,TRUE),tablas!$Q$3:$R$66,2,FALSE)&lt;P78,VLOOKUP(P78+0.1,tablas!$R$3:$T$66,2,TRUE),VLOOKUP(P78,tablas!$R$3:$T$66,2,TRUE))&amp;"@"&amp;IF(VLOOKUP(VLOOKUP(P78,tablas!$R$3:$T$66,2,TRUE)&amp;VLOOKUP(P78,tablas!$R$3:$T$66,3,TRUE),tablas!$Q$3:$R$66,2,FALSE)&lt;P78,VLOOKUP(P78+0.1,tablas!$R$3:$T$66,3,TRUE),VLOOKUP(P78,tablas!$R$3:$T$66,3,TRUE))&amp;"$",$C$13)</f>
        <v>$\phi8@17$</v>
      </c>
      <c r="Q79" s="134" t="str">
        <f>IF(Q78&gt;$C$12,"$\phi"&amp;IF(VLOOKUP(VLOOKUP(Q78,tablas!$R$3:$T$66,2,TRUE)&amp;VLOOKUP(Q78,tablas!$R$3:$T$66,3,TRUE),tablas!$Q$3:$R$66,2,FALSE)&lt;Q78,VLOOKUP(Q78+0.1,tablas!$R$3:$T$66,2,TRUE),VLOOKUP(Q78,tablas!$R$3:$T$66,2,TRUE))&amp;"@"&amp;IF(VLOOKUP(VLOOKUP(Q78,tablas!$R$3:$T$66,2,TRUE)&amp;VLOOKUP(Q78,tablas!$R$3:$T$66,3,TRUE),tablas!$Q$3:$R$66,2,FALSE)&lt;Q78,VLOOKUP(Q78+0.1,tablas!$R$3:$T$66,3,TRUE),VLOOKUP(Q78,tablas!$R$3:$T$66,3,TRUE))&amp;"$",$C$13)</f>
        <v>$\phi8@17$</v>
      </c>
      <c r="R79" s="134" t="str">
        <f>IF(R78&gt;$C$12,"$\phi"&amp;IF(VLOOKUP(VLOOKUP(R78,tablas!$R$3:$T$66,2,TRUE)&amp;VLOOKUP(R78,tablas!$R$3:$T$66,3,TRUE),tablas!$Q$3:$R$66,2,FALSE)&lt;R78,VLOOKUP(R78+0.1,tablas!$R$3:$T$66,2,TRUE),VLOOKUP(R78,tablas!$R$3:$T$66,2,TRUE))&amp;"@"&amp;IF(VLOOKUP(VLOOKUP(R78,tablas!$R$3:$T$66,2,TRUE)&amp;VLOOKUP(R78,tablas!$R$3:$T$66,3,TRUE),tablas!$Q$3:$R$66,2,FALSE)&lt;R78,VLOOKUP(R78+0.1,tablas!$R$3:$T$66,3,TRUE),VLOOKUP(R78,tablas!$R$3:$T$66,3,TRUE))&amp;"$",$C$13)</f>
        <v>$\phi8@17$</v>
      </c>
      <c r="S79" s="134" t="str">
        <f>IF(S78&gt;$C$12,"$\phi"&amp;IF(VLOOKUP(VLOOKUP(S78,tablas!$R$3:$T$66,2,TRUE)&amp;VLOOKUP(S78,tablas!$R$3:$T$66,3,TRUE),tablas!$Q$3:$R$66,2,FALSE)&lt;S78,VLOOKUP(S78+0.1,tablas!$R$3:$T$66,2,TRUE),VLOOKUP(S78,tablas!$R$3:$T$66,2,TRUE))&amp;"@"&amp;IF(VLOOKUP(VLOOKUP(S78,tablas!$R$3:$T$66,2,TRUE)&amp;VLOOKUP(S78,tablas!$R$3:$T$66,3,TRUE),tablas!$Q$3:$R$66,2,FALSE)&lt;S78,VLOOKUP(S78+0.1,tablas!$R$3:$T$66,3,TRUE),VLOOKUP(S78,tablas!$R$3:$T$66,3,TRUE))&amp;"$",$C$13)</f>
        <v>$\phi8@17$</v>
      </c>
      <c r="T79" s="134" t="str">
        <f>IF(T78&gt;$C$12,"$\phi"&amp;IF(VLOOKUP(VLOOKUP(T78,tablas!$R$3:$T$66,2,TRUE)&amp;VLOOKUP(T78,tablas!$R$3:$T$66,3,TRUE),tablas!$Q$3:$R$66,2,FALSE)&lt;T78,VLOOKUP(T78+0.1,tablas!$R$3:$T$66,2,TRUE),VLOOKUP(T78,tablas!$R$3:$T$66,2,TRUE))&amp;"@"&amp;IF(VLOOKUP(VLOOKUP(T78,tablas!$R$3:$T$66,2,TRUE)&amp;VLOOKUP(T78,tablas!$R$3:$T$66,3,TRUE),tablas!$Q$3:$R$66,2,FALSE)&lt;T78,VLOOKUP(T78+0.1,tablas!$R$3:$T$66,3,TRUE),VLOOKUP(T78,tablas!$R$3:$T$66,3,TRUE))&amp;"$",$C$13)</f>
        <v>$\phi8@17$</v>
      </c>
      <c r="U79" s="134" t="str">
        <f>IF(U78&gt;$C$12,"$\phi"&amp;IF(VLOOKUP(VLOOKUP(U78,tablas!$R$3:$T$66,2,TRUE)&amp;VLOOKUP(U78,tablas!$R$3:$T$66,3,TRUE),tablas!$Q$3:$R$66,2,FALSE)&lt;U78,VLOOKUP(U78+0.1,tablas!$R$3:$T$66,2,TRUE),VLOOKUP(U78,tablas!$R$3:$T$66,2,TRUE))&amp;"@"&amp;IF(VLOOKUP(VLOOKUP(U78,tablas!$R$3:$T$66,2,TRUE)&amp;VLOOKUP(U78,tablas!$R$3:$T$66,3,TRUE),tablas!$Q$3:$R$66,2,FALSE)&lt;U78,VLOOKUP(U78+0.1,tablas!$R$3:$T$66,3,TRUE),VLOOKUP(U78,tablas!$R$3:$T$66,3,TRUE))&amp;"$",$C$13)</f>
        <v>$\phi8@17$</v>
      </c>
      <c r="V79" s="134" t="str">
        <f>IF(V78&gt;$C$12,"$\phi"&amp;IF(VLOOKUP(VLOOKUP(V78,tablas!$R$3:$T$66,2,TRUE)&amp;VLOOKUP(V78,tablas!$R$3:$T$66,3,TRUE),tablas!$Q$3:$R$66,2,FALSE)&lt;V78,VLOOKUP(V78+0.1,tablas!$R$3:$T$66,2,TRUE),VLOOKUP(V78,tablas!$R$3:$T$66,2,TRUE))&amp;"@"&amp;IF(VLOOKUP(VLOOKUP(V78,tablas!$R$3:$T$66,2,TRUE)&amp;VLOOKUP(V78,tablas!$R$3:$T$66,3,TRUE),tablas!$Q$3:$R$66,2,FALSE)&lt;V78,VLOOKUP(V78+0.1,tablas!$R$3:$T$66,3,TRUE),VLOOKUP(V78,tablas!$R$3:$T$66,3,TRUE))&amp;"$",$C$13)</f>
        <v>$\phi8@17$</v>
      </c>
      <c r="W79" s="134" t="str">
        <f>IF(W78&gt;$C$12,"$\phi"&amp;IF(VLOOKUP(VLOOKUP(W78,tablas!$R$3:$T$66,2,TRUE)&amp;VLOOKUP(W78,tablas!$R$3:$T$66,3,TRUE),tablas!$Q$3:$R$66,2,FALSE)&lt;W78,VLOOKUP(W78+0.1,tablas!$R$3:$T$66,2,TRUE),VLOOKUP(W78,tablas!$R$3:$T$66,2,TRUE))&amp;"@"&amp;IF(VLOOKUP(VLOOKUP(W78,tablas!$R$3:$T$66,2,TRUE)&amp;VLOOKUP(W78,tablas!$R$3:$T$66,3,TRUE),tablas!$Q$3:$R$66,2,FALSE)&lt;W78,VLOOKUP(W78+0.1,tablas!$R$3:$T$66,3,TRUE),VLOOKUP(W78,tablas!$R$3:$T$66,3,TRUE))&amp;"$",$C$13)</f>
        <v>$\phi8@17$</v>
      </c>
      <c r="X79" s="134" t="str">
        <f>IF(X78&gt;$C$12,"$\phi"&amp;IF(VLOOKUP(VLOOKUP(X78,tablas!$R$3:$T$66,2,TRUE)&amp;VLOOKUP(X78,tablas!$R$3:$T$66,3,TRUE),tablas!$Q$3:$R$66,2,FALSE)&lt;X78,VLOOKUP(X78+0.1,tablas!$R$3:$T$66,2,TRUE),VLOOKUP(X78,tablas!$R$3:$T$66,2,TRUE))&amp;"@"&amp;IF(VLOOKUP(VLOOKUP(X78,tablas!$R$3:$T$66,2,TRUE)&amp;VLOOKUP(X78,tablas!$R$3:$T$66,3,TRUE),tablas!$Q$3:$R$66,2,FALSE)&lt;X78,VLOOKUP(X78+0.1,tablas!$R$3:$T$66,3,TRUE),VLOOKUP(X78,tablas!$R$3:$T$66,3,TRUE))&amp;"$",$C$13)</f>
        <v>$\phi8@17$</v>
      </c>
    </row>
    <row r="80" spans="2:24" x14ac:dyDescent="0.25">
      <c r="B80" s="96" t="s">
        <v>103</v>
      </c>
      <c r="C80" s="89">
        <f>IF(C53&lt;=2,C67/C58,IF(OR(C51=6,C51="5a",C51="3a"),C66*C48^2/12,(IF(OR(C51="2a",C51=4,C51="5b"),C66*C48^2/8,"-"))))</f>
        <v>3157.8048780487807</v>
      </c>
      <c r="D80" s="89">
        <f t="shared" ref="D80:X80" si="15">IF(D53&lt;=2,D67/D58,IF(OR(D51=6,D51="5a",D51="3a"),D66*D48^2/12,(IF(OR(D51="2a",D51=4,D51="5b"),D66*D48^2/8,"-"))))</f>
        <v>1482.063829787234</v>
      </c>
      <c r="E80" s="89">
        <f t="shared" si="15"/>
        <v>1482.063829787234</v>
      </c>
      <c r="F80" s="89">
        <f t="shared" si="15"/>
        <v>2660.2039062500003</v>
      </c>
      <c r="G80" s="89">
        <f t="shared" si="15"/>
        <v>2330.2529032258067</v>
      </c>
      <c r="H80" s="89">
        <f t="shared" si="15"/>
        <v>1428.5638297872338</v>
      </c>
      <c r="I80" s="89">
        <f t="shared" si="15"/>
        <v>670.04318181818178</v>
      </c>
      <c r="J80" s="89">
        <f t="shared" si="15"/>
        <v>227.0333333333333</v>
      </c>
      <c r="K80" s="89">
        <f t="shared" si="15"/>
        <v>974.1583333333333</v>
      </c>
      <c r="L80" s="89">
        <f t="shared" si="15"/>
        <v>1428.5638297872338</v>
      </c>
      <c r="M80" s="89">
        <f t="shared" si="15"/>
        <v>2172.8938709677423</v>
      </c>
      <c r="N80" s="89">
        <f t="shared" si="15"/>
        <v>350.56537500000002</v>
      </c>
      <c r="O80" s="89">
        <f t="shared" si="15"/>
        <v>350.56537500000002</v>
      </c>
      <c r="P80" s="89">
        <f t="shared" si="15"/>
        <v>350.56537500000002</v>
      </c>
      <c r="Q80" s="89">
        <f t="shared" si="15"/>
        <v>350.56537500000002</v>
      </c>
      <c r="R80" s="89">
        <f t="shared" si="15"/>
        <v>166.29600000000002</v>
      </c>
      <c r="S80" s="89">
        <f t="shared" si="15"/>
        <v>166.29600000000002</v>
      </c>
      <c r="T80" s="89">
        <f t="shared" si="15"/>
        <v>276.07350000000002</v>
      </c>
      <c r="U80" s="89">
        <f t="shared" si="15"/>
        <v>276.07350000000002</v>
      </c>
      <c r="V80" s="89">
        <f t="shared" si="15"/>
        <v>84.1935</v>
      </c>
      <c r="W80" s="89">
        <f t="shared" si="15"/>
        <v>75.337499999999991</v>
      </c>
      <c r="X80" s="89">
        <f t="shared" si="15"/>
        <v>734.75928143712576</v>
      </c>
    </row>
    <row r="81" spans="2:26" x14ac:dyDescent="0.25">
      <c r="B81" s="97" t="s">
        <v>15</v>
      </c>
      <c r="C81" s="90">
        <f>C80/(0.9*(0.9*($C$7/100))*($L$9*1000))</f>
        <v>6.5062158558093506</v>
      </c>
      <c r="D81" s="90">
        <f t="shared" ref="D81:X81" si="16">D80/(0.9*(0.9*($C$7/100))*($L$9*1000))</f>
        <v>3.0535855003940102</v>
      </c>
      <c r="E81" s="90">
        <f t="shared" si="16"/>
        <v>3.0535855003940102</v>
      </c>
      <c r="F81" s="90">
        <f t="shared" si="16"/>
        <v>5.4809785604056422</v>
      </c>
      <c r="G81" s="90">
        <f t="shared" si="16"/>
        <v>4.8011606076122195</v>
      </c>
      <c r="H81" s="90">
        <f t="shared" si="16"/>
        <v>2.9433562234980659</v>
      </c>
      <c r="I81" s="90">
        <f t="shared" si="16"/>
        <v>1.3805303816986054</v>
      </c>
      <c r="J81" s="90">
        <f t="shared" si="16"/>
        <v>0.46777047036652414</v>
      </c>
      <c r="K81" s="90">
        <f t="shared" si="16"/>
        <v>2.0071171713175859</v>
      </c>
      <c r="L81" s="90">
        <f t="shared" si="16"/>
        <v>2.9433562234980659</v>
      </c>
      <c r="M81" s="90">
        <f t="shared" si="16"/>
        <v>4.476944302213119</v>
      </c>
      <c r="N81" s="90">
        <f t="shared" si="16"/>
        <v>0.72229098674776226</v>
      </c>
      <c r="O81" s="90">
        <f t="shared" si="16"/>
        <v>0.72229098674776226</v>
      </c>
      <c r="P81" s="90">
        <f t="shared" si="16"/>
        <v>0.72229098674776226</v>
      </c>
      <c r="Q81" s="90">
        <f t="shared" si="16"/>
        <v>0.72229098674776226</v>
      </c>
      <c r="R81" s="90">
        <f t="shared" si="16"/>
        <v>0.34262967907827713</v>
      </c>
      <c r="S81" s="90">
        <f t="shared" si="16"/>
        <v>0.34262967907827713</v>
      </c>
      <c r="T81" s="90">
        <f t="shared" si="16"/>
        <v>0.56881088364733212</v>
      </c>
      <c r="U81" s="90">
        <f t="shared" si="16"/>
        <v>0.56881088364733212</v>
      </c>
      <c r="V81" s="90">
        <f t="shared" si="16"/>
        <v>0.17346894624932002</v>
      </c>
      <c r="W81" s="90">
        <f t="shared" si="16"/>
        <v>0.15522239529248869</v>
      </c>
      <c r="X81" s="90">
        <f t="shared" si="16"/>
        <v>1.5138688651476155</v>
      </c>
    </row>
    <row r="82" spans="2:26" x14ac:dyDescent="0.25">
      <c r="B82" s="97" t="s">
        <v>98</v>
      </c>
      <c r="C82" s="92">
        <f>(C81*($L$9))/(0.85*$L$6*100)</f>
        <v>0.16059171777891593</v>
      </c>
      <c r="D82" s="92">
        <f t="shared" ref="D82:X82" si="17">(D81*($L$9))/(0.85*$L$6*100)</f>
        <v>7.5371083862089752E-2</v>
      </c>
      <c r="E82" s="92">
        <f t="shared" si="17"/>
        <v>7.5371083862089752E-2</v>
      </c>
      <c r="F82" s="92">
        <f t="shared" si="17"/>
        <v>0.13528597600078518</v>
      </c>
      <c r="G82" s="92">
        <f t="shared" si="17"/>
        <v>0.11850615571268917</v>
      </c>
      <c r="H82" s="92">
        <f t="shared" si="17"/>
        <v>7.2650315089802325E-2</v>
      </c>
      <c r="I82" s="92">
        <f t="shared" si="17"/>
        <v>3.4075375050000183E-2</v>
      </c>
      <c r="J82" s="92">
        <f t="shared" si="17"/>
        <v>1.1545891656105672E-2</v>
      </c>
      <c r="K82" s="92">
        <f t="shared" si="17"/>
        <v>4.9541300422371787E-2</v>
      </c>
      <c r="L82" s="92">
        <f t="shared" si="17"/>
        <v>7.2650315089802325E-2</v>
      </c>
      <c r="M82" s="92">
        <f t="shared" si="17"/>
        <v>0.11050358485278057</v>
      </c>
      <c r="N82" s="92">
        <f t="shared" si="17"/>
        <v>1.7828174298041653E-2</v>
      </c>
      <c r="O82" s="92">
        <f t="shared" si="17"/>
        <v>1.7828174298041653E-2</v>
      </c>
      <c r="P82" s="92">
        <f t="shared" si="17"/>
        <v>1.7828174298041653E-2</v>
      </c>
      <c r="Q82" s="92">
        <f t="shared" si="17"/>
        <v>1.7828174298041653E-2</v>
      </c>
      <c r="R82" s="92">
        <f t="shared" si="17"/>
        <v>8.4570647431085715E-3</v>
      </c>
      <c r="S82" s="92">
        <f t="shared" si="17"/>
        <v>8.4570647431085715E-3</v>
      </c>
      <c r="T82" s="92">
        <f t="shared" si="17"/>
        <v>1.4039853414132534E-2</v>
      </c>
      <c r="U82" s="92">
        <f t="shared" si="17"/>
        <v>1.4039853414132534E-2</v>
      </c>
      <c r="V82" s="92">
        <f t="shared" si="17"/>
        <v>4.2817017874687991E-3</v>
      </c>
      <c r="W82" s="92">
        <f t="shared" si="17"/>
        <v>3.8313255585458571E-3</v>
      </c>
      <c r="X82" s="92">
        <f t="shared" si="17"/>
        <v>3.7366544076307927E-2</v>
      </c>
    </row>
    <row r="83" spans="2:26" ht="15.75" thickBot="1" x14ac:dyDescent="0.3">
      <c r="B83" s="97" t="s">
        <v>15</v>
      </c>
      <c r="C83" s="76">
        <f>ROUNDUP(C80/(0.9*(($C$7-C82/2)/100)*($L$9*1000)),2)</f>
        <v>5.89</v>
      </c>
      <c r="D83" s="76">
        <f t="shared" ref="D83:X83" si="18">ROUNDUP(D80/(0.9*(($C$7-D82/2)/100)*($L$9*1000)),2)</f>
        <v>2.76</v>
      </c>
      <c r="E83" s="76">
        <f t="shared" si="18"/>
        <v>2.76</v>
      </c>
      <c r="F83" s="76">
        <f t="shared" si="18"/>
        <v>4.96</v>
      </c>
      <c r="G83" s="76">
        <f t="shared" si="18"/>
        <v>4.34</v>
      </c>
      <c r="H83" s="76">
        <f t="shared" si="18"/>
        <v>2.6599999999999997</v>
      </c>
      <c r="I83" s="76">
        <f t="shared" si="18"/>
        <v>1.25</v>
      </c>
      <c r="J83" s="76">
        <f t="shared" si="18"/>
        <v>0.43</v>
      </c>
      <c r="K83" s="76">
        <f t="shared" si="18"/>
        <v>1.81</v>
      </c>
      <c r="L83" s="76">
        <f t="shared" si="18"/>
        <v>2.6599999999999997</v>
      </c>
      <c r="M83" s="76">
        <f t="shared" si="18"/>
        <v>4.05</v>
      </c>
      <c r="N83" s="76">
        <f t="shared" si="18"/>
        <v>0.66</v>
      </c>
      <c r="O83" s="76">
        <f t="shared" si="18"/>
        <v>0.66</v>
      </c>
      <c r="P83" s="76">
        <f t="shared" si="18"/>
        <v>0.66</v>
      </c>
      <c r="Q83" s="76">
        <f t="shared" si="18"/>
        <v>0.66</v>
      </c>
      <c r="R83" s="76">
        <f t="shared" si="18"/>
        <v>0.31</v>
      </c>
      <c r="S83" s="76">
        <f t="shared" si="18"/>
        <v>0.31</v>
      </c>
      <c r="T83" s="76">
        <f t="shared" si="18"/>
        <v>0.52</v>
      </c>
      <c r="U83" s="76">
        <f t="shared" si="18"/>
        <v>0.52</v>
      </c>
      <c r="V83" s="76">
        <f t="shared" si="18"/>
        <v>0.16</v>
      </c>
      <c r="W83" s="76">
        <f t="shared" si="18"/>
        <v>0.14000000000000001</v>
      </c>
      <c r="X83" s="76">
        <f t="shared" si="18"/>
        <v>1.37</v>
      </c>
    </row>
    <row r="84" spans="2:26" ht="16.5" thickBot="1" x14ac:dyDescent="0.3">
      <c r="B84" s="61" t="s">
        <v>105</v>
      </c>
      <c r="C84" s="134" t="str">
        <f>IF(C83&gt;$C$12,"$\phi"&amp;IF(VLOOKUP(VLOOKUP(C83,tablas!$R$3:$T$66,2,TRUE)&amp;VLOOKUP(C83,tablas!$R$3:$T$66,3,TRUE),tablas!$Q$3:$R$66,2,FALSE)&lt;C83,VLOOKUP(C83+0.1,tablas!$R$3:$T$66,2,TRUE),VLOOKUP(C83,tablas!$R$3:$T$66,2,TRUE))&amp;"@"&amp;IF(VLOOKUP(VLOOKUP(C83,tablas!$R$3:$T$66,2,TRUE)&amp;VLOOKUP(C83,tablas!$R$3:$T$66,3,TRUE),tablas!$Q$3:$R$66,2,FALSE)&lt;C83,VLOOKUP(C83+0.1,tablas!$R$3:$T$66,3,TRUE),VLOOKUP(C83,tablas!$R$3:$T$66,3,TRUE))&amp;"$",$C$13)</f>
        <v>$\phi12@19$</v>
      </c>
      <c r="D84" s="134" t="str">
        <f>IF(D83&gt;$C$12,"$\phi"&amp;IF(VLOOKUP(VLOOKUP(D83,tablas!$R$3:$T$66,2,TRUE)&amp;VLOOKUP(D83,tablas!$R$3:$T$66,3,TRUE),tablas!$Q$3:$R$66,2,FALSE)&lt;D83,VLOOKUP(D83+0.1,tablas!$R$3:$T$66,2,TRUE),VLOOKUP(D83,tablas!$R$3:$T$66,2,TRUE))&amp;"@"&amp;IF(VLOOKUP(VLOOKUP(D83,tablas!$R$3:$T$66,2,TRUE)&amp;VLOOKUP(D83,tablas!$R$3:$T$66,3,TRUE),tablas!$Q$3:$R$66,2,FALSE)&lt;D83,VLOOKUP(D83+0.1,tablas!$R$3:$T$66,3,TRUE),VLOOKUP(D83,tablas!$R$3:$T$66,3,TRUE))&amp;"$",$C$13)</f>
        <v>$\phi8@17$</v>
      </c>
      <c r="E84" s="134" t="str">
        <f>IF(E83&gt;$C$12,"$\phi"&amp;IF(VLOOKUP(VLOOKUP(E83,tablas!$R$3:$T$66,2,TRUE)&amp;VLOOKUP(E83,tablas!$R$3:$T$66,3,TRUE),tablas!$Q$3:$R$66,2,FALSE)&lt;E83,VLOOKUP(E83+0.1,tablas!$R$3:$T$66,2,TRUE),VLOOKUP(E83,tablas!$R$3:$T$66,2,TRUE))&amp;"@"&amp;IF(VLOOKUP(VLOOKUP(E83,tablas!$R$3:$T$66,2,TRUE)&amp;VLOOKUP(E83,tablas!$R$3:$T$66,3,TRUE),tablas!$Q$3:$R$66,2,FALSE)&lt;E83,VLOOKUP(E83+0.1,tablas!$R$3:$T$66,3,TRUE),VLOOKUP(E83,tablas!$R$3:$T$66,3,TRUE))&amp;"$",$C$13)</f>
        <v>$\phi8@17$</v>
      </c>
      <c r="F84" s="134" t="str">
        <f>IF(F83&gt;$C$12,"$\phi"&amp;IF(VLOOKUP(VLOOKUP(F83,tablas!$R$3:$T$66,2,TRUE)&amp;VLOOKUP(F83,tablas!$R$3:$T$66,3,TRUE),tablas!$Q$3:$R$66,2,FALSE)&lt;F83,VLOOKUP(F83+0.1,tablas!$R$3:$T$66,2,TRUE),VLOOKUP(F83,tablas!$R$3:$T$66,2,TRUE))&amp;"@"&amp;IF(VLOOKUP(VLOOKUP(F83,tablas!$R$3:$T$66,2,TRUE)&amp;VLOOKUP(F83,tablas!$R$3:$T$66,3,TRUE),tablas!$Q$3:$R$66,2,FALSE)&lt;F83,VLOOKUP(F83+0.1,tablas!$R$3:$T$66,3,TRUE),VLOOKUP(F83,tablas!$R$3:$T$66,3,TRUE))&amp;"$",$C$13)</f>
        <v>$\phi8@10$</v>
      </c>
      <c r="G84" s="134" t="str">
        <f>IF(G83&gt;$C$12,"$\phi"&amp;IF(VLOOKUP(VLOOKUP(G83,tablas!$R$3:$T$66,2,TRUE)&amp;VLOOKUP(G83,tablas!$R$3:$T$66,3,TRUE),tablas!$Q$3:$R$66,2,FALSE)&lt;G83,VLOOKUP(G83+0.1,tablas!$R$3:$T$66,2,TRUE),VLOOKUP(G83,tablas!$R$3:$T$66,2,TRUE))&amp;"@"&amp;IF(VLOOKUP(VLOOKUP(G83,tablas!$R$3:$T$66,2,TRUE)&amp;VLOOKUP(G83,tablas!$R$3:$T$66,3,TRUE),tablas!$Q$3:$R$66,2,FALSE)&lt;G83,VLOOKUP(G83+0.1,tablas!$R$3:$T$66,3,TRUE),VLOOKUP(G83,tablas!$R$3:$T$66,3,TRUE))&amp;"$",$C$13)</f>
        <v>$\phi10@18$</v>
      </c>
      <c r="H84" s="134" t="str">
        <f>IF(H83&gt;$C$12,"$\phi"&amp;IF(VLOOKUP(VLOOKUP(H83,tablas!$R$3:$T$66,2,TRUE)&amp;VLOOKUP(H83,tablas!$R$3:$T$66,3,TRUE),tablas!$Q$3:$R$66,2,FALSE)&lt;H83,VLOOKUP(H83+0.1,tablas!$R$3:$T$66,2,TRUE),VLOOKUP(H83,tablas!$R$3:$T$66,2,TRUE))&amp;"@"&amp;IF(VLOOKUP(VLOOKUP(H83,tablas!$R$3:$T$66,2,TRUE)&amp;VLOOKUP(H83,tablas!$R$3:$T$66,3,TRUE),tablas!$Q$3:$R$66,2,FALSE)&lt;H83,VLOOKUP(H83+0.1,tablas!$R$3:$T$66,3,TRUE),VLOOKUP(H83,tablas!$R$3:$T$66,3,TRUE))&amp;"$",$C$13)</f>
        <v>$\phi8@17$</v>
      </c>
      <c r="I84" s="134" t="str">
        <f>IF(I83&gt;$C$12,"$\phi"&amp;IF(VLOOKUP(VLOOKUP(I83,tablas!$R$3:$T$66,2,TRUE)&amp;VLOOKUP(I83,tablas!$R$3:$T$66,3,TRUE),tablas!$Q$3:$R$66,2,FALSE)&lt;I83,VLOOKUP(I83+0.1,tablas!$R$3:$T$66,2,TRUE),VLOOKUP(I83,tablas!$R$3:$T$66,2,TRUE))&amp;"@"&amp;IF(VLOOKUP(VLOOKUP(I83,tablas!$R$3:$T$66,2,TRUE)&amp;VLOOKUP(I83,tablas!$R$3:$T$66,3,TRUE),tablas!$Q$3:$R$66,2,FALSE)&lt;I83,VLOOKUP(I83+0.1,tablas!$R$3:$T$66,3,TRUE),VLOOKUP(I83,tablas!$R$3:$T$66,3,TRUE))&amp;"$",$C$13)</f>
        <v>$\phi8@17$</v>
      </c>
      <c r="J84" s="134" t="str">
        <f>IF(J83&gt;$C$12,"$\phi"&amp;IF(VLOOKUP(VLOOKUP(J83,tablas!$R$3:$T$66,2,TRUE)&amp;VLOOKUP(J83,tablas!$R$3:$T$66,3,TRUE),tablas!$Q$3:$R$66,2,FALSE)&lt;J83,VLOOKUP(J83+0.1,tablas!$R$3:$T$66,2,TRUE),VLOOKUP(J83,tablas!$R$3:$T$66,2,TRUE))&amp;"@"&amp;IF(VLOOKUP(VLOOKUP(J83,tablas!$R$3:$T$66,2,TRUE)&amp;VLOOKUP(J83,tablas!$R$3:$T$66,3,TRUE),tablas!$Q$3:$R$66,2,FALSE)&lt;J83,VLOOKUP(J83+0.1,tablas!$R$3:$T$66,3,TRUE),VLOOKUP(J83,tablas!$R$3:$T$66,3,TRUE))&amp;"$",$C$13)</f>
        <v>$\phi8@17$</v>
      </c>
      <c r="K84" s="134" t="str">
        <f>IF(K83&gt;$C$12,"$\phi"&amp;IF(VLOOKUP(VLOOKUP(K83,tablas!$R$3:$T$66,2,TRUE)&amp;VLOOKUP(K83,tablas!$R$3:$T$66,3,TRUE),tablas!$Q$3:$R$66,2,FALSE)&lt;K83,VLOOKUP(K83+0.1,tablas!$R$3:$T$66,2,TRUE),VLOOKUP(K83,tablas!$R$3:$T$66,2,TRUE))&amp;"@"&amp;IF(VLOOKUP(VLOOKUP(K83,tablas!$R$3:$T$66,2,TRUE)&amp;VLOOKUP(K83,tablas!$R$3:$T$66,3,TRUE),tablas!$Q$3:$R$66,2,FALSE)&lt;K83,VLOOKUP(K83+0.1,tablas!$R$3:$T$66,3,TRUE),VLOOKUP(K83,tablas!$R$3:$T$66,3,TRUE))&amp;"$",$C$13)</f>
        <v>$\phi8@17$</v>
      </c>
      <c r="L84" s="134" t="str">
        <f>IF(L83&gt;$C$12,"$\phi"&amp;IF(VLOOKUP(VLOOKUP(L83,tablas!$R$3:$T$66,2,TRUE)&amp;VLOOKUP(L83,tablas!$R$3:$T$66,3,TRUE),tablas!$Q$3:$R$66,2,FALSE)&lt;L83,VLOOKUP(L83+0.1,tablas!$R$3:$T$66,2,TRUE),VLOOKUP(L83,tablas!$R$3:$T$66,2,TRUE))&amp;"@"&amp;IF(VLOOKUP(VLOOKUP(L83,tablas!$R$3:$T$66,2,TRUE)&amp;VLOOKUP(L83,tablas!$R$3:$T$66,3,TRUE),tablas!$Q$3:$R$66,2,FALSE)&lt;L83,VLOOKUP(L83+0.1,tablas!$R$3:$T$66,3,TRUE),VLOOKUP(L83,tablas!$R$3:$T$66,3,TRUE))&amp;"$",$C$13)</f>
        <v>$\phi8@17$</v>
      </c>
      <c r="M84" s="134" t="str">
        <f>IF(M83&gt;$C$12,"$\phi"&amp;IF(VLOOKUP(VLOOKUP(M83,tablas!$R$3:$T$66,2,TRUE)&amp;VLOOKUP(M83,tablas!$R$3:$T$66,3,TRUE),tablas!$Q$3:$R$66,2,FALSE)&lt;M83,VLOOKUP(M83+0.1,tablas!$R$3:$T$66,2,TRUE),VLOOKUP(M83,tablas!$R$3:$T$66,2,TRUE))&amp;"@"&amp;IF(VLOOKUP(VLOOKUP(M83,tablas!$R$3:$T$66,2,TRUE)&amp;VLOOKUP(M83,tablas!$R$3:$T$66,3,TRUE),tablas!$Q$3:$R$66,2,FALSE)&lt;M83,VLOOKUP(M83+0.1,tablas!$R$3:$T$66,3,TRUE),VLOOKUP(M83,tablas!$R$3:$T$66,3,TRUE))&amp;"$",$C$13)</f>
        <v>$\phi10@19$</v>
      </c>
      <c r="N84" s="134" t="str">
        <f>IF(N83&gt;$C$12,"$\phi"&amp;IF(VLOOKUP(VLOOKUP(N83,tablas!$R$3:$T$66,2,TRUE)&amp;VLOOKUP(N83,tablas!$R$3:$T$66,3,TRUE),tablas!$Q$3:$R$66,2,FALSE)&lt;N83,VLOOKUP(N83+0.1,tablas!$R$3:$T$66,2,TRUE),VLOOKUP(N83,tablas!$R$3:$T$66,2,TRUE))&amp;"@"&amp;IF(VLOOKUP(VLOOKUP(N83,tablas!$R$3:$T$66,2,TRUE)&amp;VLOOKUP(N83,tablas!$R$3:$T$66,3,TRUE),tablas!$Q$3:$R$66,2,FALSE)&lt;N83,VLOOKUP(N83+0.1,tablas!$R$3:$T$66,3,TRUE),VLOOKUP(N83,tablas!$R$3:$T$66,3,TRUE))&amp;"$",$C$13)</f>
        <v>$\phi8@17$</v>
      </c>
      <c r="O84" s="134" t="str">
        <f>IF(O83&gt;$C$12,"$\phi"&amp;IF(VLOOKUP(VLOOKUP(O83,tablas!$R$3:$T$66,2,TRUE)&amp;VLOOKUP(O83,tablas!$R$3:$T$66,3,TRUE),tablas!$Q$3:$R$66,2,FALSE)&lt;O83,VLOOKUP(O83+0.1,tablas!$R$3:$T$66,2,TRUE),VLOOKUP(O83,tablas!$R$3:$T$66,2,TRUE))&amp;"@"&amp;IF(VLOOKUP(VLOOKUP(O83,tablas!$R$3:$T$66,2,TRUE)&amp;VLOOKUP(O83,tablas!$R$3:$T$66,3,TRUE),tablas!$Q$3:$R$66,2,FALSE)&lt;O83,VLOOKUP(O83+0.1,tablas!$R$3:$T$66,3,TRUE),VLOOKUP(O83,tablas!$R$3:$T$66,3,TRUE))&amp;"$",$C$13)</f>
        <v>$\phi8@17$</v>
      </c>
      <c r="P84" s="134" t="str">
        <f>IF(P83&gt;$C$12,"$\phi"&amp;IF(VLOOKUP(VLOOKUP(P83,tablas!$R$3:$T$66,2,TRUE)&amp;VLOOKUP(P83,tablas!$R$3:$T$66,3,TRUE),tablas!$Q$3:$R$66,2,FALSE)&lt;P83,VLOOKUP(P83+0.1,tablas!$R$3:$T$66,2,TRUE),VLOOKUP(P83,tablas!$R$3:$T$66,2,TRUE))&amp;"@"&amp;IF(VLOOKUP(VLOOKUP(P83,tablas!$R$3:$T$66,2,TRUE)&amp;VLOOKUP(P83,tablas!$R$3:$T$66,3,TRUE),tablas!$Q$3:$R$66,2,FALSE)&lt;P83,VLOOKUP(P83+0.1,tablas!$R$3:$T$66,3,TRUE),VLOOKUP(P83,tablas!$R$3:$T$66,3,TRUE))&amp;"$",$C$13)</f>
        <v>$\phi8@17$</v>
      </c>
      <c r="Q84" s="134" t="str">
        <f>IF(Q83&gt;$C$12,"$\phi"&amp;IF(VLOOKUP(VLOOKUP(Q83,tablas!$R$3:$T$66,2,TRUE)&amp;VLOOKUP(Q83,tablas!$R$3:$T$66,3,TRUE),tablas!$Q$3:$R$66,2,FALSE)&lt;Q83,VLOOKUP(Q83+0.1,tablas!$R$3:$T$66,2,TRUE),VLOOKUP(Q83,tablas!$R$3:$T$66,2,TRUE))&amp;"@"&amp;IF(VLOOKUP(VLOOKUP(Q83,tablas!$R$3:$T$66,2,TRUE)&amp;VLOOKUP(Q83,tablas!$R$3:$T$66,3,TRUE),tablas!$Q$3:$R$66,2,FALSE)&lt;Q83,VLOOKUP(Q83+0.1,tablas!$R$3:$T$66,3,TRUE),VLOOKUP(Q83,tablas!$R$3:$T$66,3,TRUE))&amp;"$",$C$13)</f>
        <v>$\phi8@17$</v>
      </c>
      <c r="R84" s="134" t="str">
        <f>IF(R83&gt;$C$12,"$\phi"&amp;IF(VLOOKUP(VLOOKUP(R83,tablas!$R$3:$T$66,2,TRUE)&amp;VLOOKUP(R83,tablas!$R$3:$T$66,3,TRUE),tablas!$Q$3:$R$66,2,FALSE)&lt;R83,VLOOKUP(R83+0.1,tablas!$R$3:$T$66,2,TRUE),VLOOKUP(R83,tablas!$R$3:$T$66,2,TRUE))&amp;"@"&amp;IF(VLOOKUP(VLOOKUP(R83,tablas!$R$3:$T$66,2,TRUE)&amp;VLOOKUP(R83,tablas!$R$3:$T$66,3,TRUE),tablas!$Q$3:$R$66,2,FALSE)&lt;R83,VLOOKUP(R83+0.1,tablas!$R$3:$T$66,3,TRUE),VLOOKUP(R83,tablas!$R$3:$T$66,3,TRUE))&amp;"$",$C$13)</f>
        <v>$\phi8@17$</v>
      </c>
      <c r="S84" s="134" t="str">
        <f>IF(S83&gt;$C$12,"$\phi"&amp;IF(VLOOKUP(VLOOKUP(S83,tablas!$R$3:$T$66,2,TRUE)&amp;VLOOKUP(S83,tablas!$R$3:$T$66,3,TRUE),tablas!$Q$3:$R$66,2,FALSE)&lt;S83,VLOOKUP(S83+0.1,tablas!$R$3:$T$66,2,TRUE),VLOOKUP(S83,tablas!$R$3:$T$66,2,TRUE))&amp;"@"&amp;IF(VLOOKUP(VLOOKUP(S83,tablas!$R$3:$T$66,2,TRUE)&amp;VLOOKUP(S83,tablas!$R$3:$T$66,3,TRUE),tablas!$Q$3:$R$66,2,FALSE)&lt;S83,VLOOKUP(S83+0.1,tablas!$R$3:$T$66,3,TRUE),VLOOKUP(S83,tablas!$R$3:$T$66,3,TRUE))&amp;"$",$C$13)</f>
        <v>$\phi8@17$</v>
      </c>
      <c r="T84" s="134" t="str">
        <f>IF(T83&gt;$C$12,"$\phi"&amp;IF(VLOOKUP(VLOOKUP(T83,tablas!$R$3:$T$66,2,TRUE)&amp;VLOOKUP(T83,tablas!$R$3:$T$66,3,TRUE),tablas!$Q$3:$R$66,2,FALSE)&lt;T83,VLOOKUP(T83+0.1,tablas!$R$3:$T$66,2,TRUE),VLOOKUP(T83,tablas!$R$3:$T$66,2,TRUE))&amp;"@"&amp;IF(VLOOKUP(VLOOKUP(T83,tablas!$R$3:$T$66,2,TRUE)&amp;VLOOKUP(T83,tablas!$R$3:$T$66,3,TRUE),tablas!$Q$3:$R$66,2,FALSE)&lt;T83,VLOOKUP(T83+0.1,tablas!$R$3:$T$66,3,TRUE),VLOOKUP(T83,tablas!$R$3:$T$66,3,TRUE))&amp;"$",$C$13)</f>
        <v>$\phi8@17$</v>
      </c>
      <c r="U84" s="134" t="str">
        <f>IF(U83&gt;$C$12,"$\phi"&amp;IF(VLOOKUP(VLOOKUP(U83,tablas!$R$3:$T$66,2,TRUE)&amp;VLOOKUP(U83,tablas!$R$3:$T$66,3,TRUE),tablas!$Q$3:$R$66,2,FALSE)&lt;U83,VLOOKUP(U83+0.1,tablas!$R$3:$T$66,2,TRUE),VLOOKUP(U83,tablas!$R$3:$T$66,2,TRUE))&amp;"@"&amp;IF(VLOOKUP(VLOOKUP(U83,tablas!$R$3:$T$66,2,TRUE)&amp;VLOOKUP(U83,tablas!$R$3:$T$66,3,TRUE),tablas!$Q$3:$R$66,2,FALSE)&lt;U83,VLOOKUP(U83+0.1,tablas!$R$3:$T$66,3,TRUE),VLOOKUP(U83,tablas!$R$3:$T$66,3,TRUE))&amp;"$",$C$13)</f>
        <v>$\phi8@17$</v>
      </c>
      <c r="V84" s="134" t="str">
        <f>IF(V83&gt;$C$12,"$\phi"&amp;IF(VLOOKUP(VLOOKUP(V83,tablas!$R$3:$T$66,2,TRUE)&amp;VLOOKUP(V83,tablas!$R$3:$T$66,3,TRUE),tablas!$Q$3:$R$66,2,FALSE)&lt;V83,VLOOKUP(V83+0.1,tablas!$R$3:$T$66,2,TRUE),VLOOKUP(V83,tablas!$R$3:$T$66,2,TRUE))&amp;"@"&amp;IF(VLOOKUP(VLOOKUP(V83,tablas!$R$3:$T$66,2,TRUE)&amp;VLOOKUP(V83,tablas!$R$3:$T$66,3,TRUE),tablas!$Q$3:$R$66,2,FALSE)&lt;V83,VLOOKUP(V83+0.1,tablas!$R$3:$T$66,3,TRUE),VLOOKUP(V83,tablas!$R$3:$T$66,3,TRUE))&amp;"$",$C$13)</f>
        <v>$\phi8@17$</v>
      </c>
      <c r="W84" s="134" t="str">
        <f>IF(W83&gt;$C$12,"$\phi"&amp;IF(VLOOKUP(VLOOKUP(W83,tablas!$R$3:$T$66,2,TRUE)&amp;VLOOKUP(W83,tablas!$R$3:$T$66,3,TRUE),tablas!$Q$3:$R$66,2,FALSE)&lt;W83,VLOOKUP(W83+0.1,tablas!$R$3:$T$66,2,TRUE),VLOOKUP(W83,tablas!$R$3:$T$66,2,TRUE))&amp;"@"&amp;IF(VLOOKUP(VLOOKUP(W83,tablas!$R$3:$T$66,2,TRUE)&amp;VLOOKUP(W83,tablas!$R$3:$T$66,3,TRUE),tablas!$Q$3:$R$66,2,FALSE)&lt;W83,VLOOKUP(W83+0.1,tablas!$R$3:$T$66,3,TRUE),VLOOKUP(W83,tablas!$R$3:$T$66,3,TRUE))&amp;"$",$C$13)</f>
        <v>$\phi8@17$</v>
      </c>
      <c r="X84" s="134" t="str">
        <f>IF(X83&gt;$C$12,"$\phi"&amp;IF(VLOOKUP(VLOOKUP(X83,tablas!$R$3:$T$66,2,TRUE)&amp;VLOOKUP(X83,tablas!$R$3:$T$66,3,TRUE),tablas!$Q$3:$R$66,2,FALSE)&lt;X83,VLOOKUP(X83+0.1,tablas!$R$3:$T$66,2,TRUE),VLOOKUP(X83,tablas!$R$3:$T$66,2,TRUE))&amp;"@"&amp;IF(VLOOKUP(VLOOKUP(X83,tablas!$R$3:$T$66,2,TRUE)&amp;VLOOKUP(X83,tablas!$R$3:$T$66,3,TRUE),tablas!$Q$3:$R$66,2,FALSE)&lt;X83,VLOOKUP(X83+0.1,tablas!$R$3:$T$66,3,TRUE),VLOOKUP(X83,tablas!$R$3:$T$66,3,TRUE))&amp;"$",$C$13)</f>
        <v>$\phi8@17$</v>
      </c>
    </row>
    <row r="85" spans="2:26" x14ac:dyDescent="0.25">
      <c r="B85" s="96" t="s">
        <v>104</v>
      </c>
      <c r="C85" s="89">
        <f>IF(C53&lt;=2,C67/C59,IF(OR(C51=6,C51="5a",C51="3a"),C66*C48^2/17.5,(IF(OR(C51="2a",C51=4,C51="5b"),C66*C48^2/11.25,IF(OR(C51=1,C51="2b",C51="3b"),C66*C48^2/8)))))</f>
        <v>2320.2508960573477</v>
      </c>
      <c r="D85" s="89">
        <f t="shared" ref="D85:X85" si="19">IF(D53&lt;=2,D67/D59,IF(OR(D51=6,D51="5a",D51="3a"),D66*D48^2/17.5,(IF(OR(D51="2a",D51=4,D51="5b"),D66*D48^2/11.25,IF(OR(D51=1,D51="2b",D51="3b"),D66*D48^2/8)))))</f>
        <v>1216.7161572052403</v>
      </c>
      <c r="E85" s="89">
        <f t="shared" si="19"/>
        <v>1216.7161572052403</v>
      </c>
      <c r="F85" s="89">
        <f t="shared" si="19"/>
        <v>2084.7312244897957</v>
      </c>
      <c r="G85" s="89">
        <f t="shared" si="19"/>
        <v>2015.9397209302329</v>
      </c>
      <c r="H85" s="89">
        <f t="shared" si="19"/>
        <v>1323.0049261083741</v>
      </c>
      <c r="I85" s="89">
        <f t="shared" si="19"/>
        <v>479.38048780487804</v>
      </c>
      <c r="J85" s="89">
        <f t="shared" si="19"/>
        <v>155.67999999999998</v>
      </c>
      <c r="K85" s="89">
        <f t="shared" si="19"/>
        <v>667.99428571428564</v>
      </c>
      <c r="L85" s="89">
        <f t="shared" si="19"/>
        <v>1323.0049261083741</v>
      </c>
      <c r="M85" s="89">
        <f t="shared" si="19"/>
        <v>1879.8058604651167</v>
      </c>
      <c r="N85" s="89">
        <f t="shared" si="19"/>
        <v>249.29093333333336</v>
      </c>
      <c r="O85" s="89">
        <f t="shared" si="19"/>
        <v>249.29093333333336</v>
      </c>
      <c r="P85" s="89">
        <f t="shared" si="19"/>
        <v>249.29093333333336</v>
      </c>
      <c r="Q85" s="89">
        <f t="shared" si="19"/>
        <v>249.29093333333336</v>
      </c>
      <c r="R85" s="89">
        <f t="shared" si="19"/>
        <v>118.25493333333335</v>
      </c>
      <c r="S85" s="89">
        <f t="shared" si="19"/>
        <v>118.25493333333335</v>
      </c>
      <c r="T85" s="89">
        <f t="shared" si="19"/>
        <v>196.31893333333335</v>
      </c>
      <c r="U85" s="89">
        <f t="shared" si="19"/>
        <v>196.31893333333335</v>
      </c>
      <c r="V85" s="89">
        <f t="shared" si="19"/>
        <v>59.870933333333333</v>
      </c>
      <c r="W85" s="89">
        <f t="shared" si="19"/>
        <v>53.573333333333331</v>
      </c>
      <c r="X85" s="89">
        <f t="shared" si="19"/>
        <v>555.22533936651575</v>
      </c>
    </row>
    <row r="86" spans="2:26" x14ac:dyDescent="0.25">
      <c r="B86" s="97" t="s">
        <v>15</v>
      </c>
      <c r="C86" s="90">
        <f>C85/(0.9*(0.9*($C$7/100))*($L$9*1000))</f>
        <v>4.7805528689638592</v>
      </c>
      <c r="D86" s="91">
        <f>D85/(0.9*(0.9*($C$7/100))*($L$9*1000))</f>
        <v>2.5068736859129865</v>
      </c>
      <c r="E86" s="91">
        <f t="shared" ref="E86:X86" si="20">E85/(0.9*(0.9*($C$7/100))*($L$9*1000))</f>
        <v>2.5068736859129865</v>
      </c>
      <c r="F86" s="91">
        <f t="shared" si="20"/>
        <v>4.2952974840729929</v>
      </c>
      <c r="G86" s="91">
        <f t="shared" si="20"/>
        <v>4.1535622000738277</v>
      </c>
      <c r="H86" s="91">
        <f t="shared" si="20"/>
        <v>2.7258668473775192</v>
      </c>
      <c r="I86" s="91">
        <f t="shared" si="20"/>
        <v>0.98769653324778284</v>
      </c>
      <c r="J86" s="91">
        <f t="shared" si="20"/>
        <v>0.32075689396561657</v>
      </c>
      <c r="K86" s="91">
        <f t="shared" si="20"/>
        <v>1.3763089174749159</v>
      </c>
      <c r="L86" s="91">
        <f t="shared" si="20"/>
        <v>2.7258668473775192</v>
      </c>
      <c r="M86" s="91">
        <f t="shared" si="20"/>
        <v>3.8730773963332101</v>
      </c>
      <c r="N86" s="91">
        <f t="shared" si="20"/>
        <v>0.51362914613174204</v>
      </c>
      <c r="O86" s="91">
        <f t="shared" si="20"/>
        <v>0.51362914613174204</v>
      </c>
      <c r="P86" s="91">
        <f t="shared" si="20"/>
        <v>0.51362914613174204</v>
      </c>
      <c r="Q86" s="91">
        <f t="shared" si="20"/>
        <v>0.51362914613174204</v>
      </c>
      <c r="R86" s="91">
        <f t="shared" si="20"/>
        <v>0.2436477717889971</v>
      </c>
      <c r="S86" s="91">
        <f t="shared" si="20"/>
        <v>0.2436477717889971</v>
      </c>
      <c r="T86" s="91">
        <f t="shared" si="20"/>
        <v>0.40448773948254729</v>
      </c>
      <c r="U86" s="91">
        <f t="shared" si="20"/>
        <v>0.40448773948254729</v>
      </c>
      <c r="V86" s="91">
        <f t="shared" si="20"/>
        <v>0.12335569511062758</v>
      </c>
      <c r="W86" s="91">
        <f t="shared" si="20"/>
        <v>0.11038036998576974</v>
      </c>
      <c r="X86" s="91">
        <f t="shared" si="20"/>
        <v>1.1439642555640352</v>
      </c>
    </row>
    <row r="87" spans="2:26" x14ac:dyDescent="0.25">
      <c r="B87" s="97" t="s">
        <v>98</v>
      </c>
      <c r="C87" s="92">
        <f>(C86*($L$9))/(0.85*$L$6*100)</f>
        <v>0.11799749872644359</v>
      </c>
      <c r="D87" s="93">
        <f>(D86*($L$9))/(0.85*$L$6*100)</f>
        <v>6.1876697668440499E-2</v>
      </c>
      <c r="E87" s="93">
        <f t="shared" ref="E87:X87" si="21">(E86*($L$9))/(0.85*$L$6*100)</f>
        <v>6.1876697668440499E-2</v>
      </c>
      <c r="F87" s="93">
        <f t="shared" si="21"/>
        <v>0.10602003017204388</v>
      </c>
      <c r="G87" s="93">
        <f t="shared" si="21"/>
        <v>0.10252160447702413</v>
      </c>
      <c r="H87" s="93">
        <f t="shared" si="21"/>
        <v>6.7282065206319394E-2</v>
      </c>
      <c r="I87" s="93">
        <f t="shared" si="21"/>
        <v>2.4379130117073301E-2</v>
      </c>
      <c r="J87" s="93">
        <f t="shared" si="21"/>
        <v>7.9171828499010333E-3</v>
      </c>
      <c r="K87" s="93">
        <f t="shared" si="21"/>
        <v>3.3971177432483506E-2</v>
      </c>
      <c r="L87" s="93">
        <f t="shared" si="21"/>
        <v>6.7282065206319394E-2</v>
      </c>
      <c r="M87" s="93">
        <f t="shared" si="21"/>
        <v>9.5598450151707842E-2</v>
      </c>
      <c r="N87" s="93">
        <f t="shared" si="21"/>
        <v>1.2677812834162952E-2</v>
      </c>
      <c r="O87" s="93">
        <f t="shared" si="21"/>
        <v>1.2677812834162952E-2</v>
      </c>
      <c r="P87" s="93">
        <f t="shared" si="21"/>
        <v>1.2677812834162952E-2</v>
      </c>
      <c r="Q87" s="93">
        <f t="shared" si="21"/>
        <v>1.2677812834162952E-2</v>
      </c>
      <c r="R87" s="93">
        <f t="shared" si="21"/>
        <v>6.0139127062105394E-3</v>
      </c>
      <c r="S87" s="93">
        <f t="shared" si="21"/>
        <v>6.0139127062105394E-3</v>
      </c>
      <c r="T87" s="93">
        <f t="shared" si="21"/>
        <v>9.9838957611609134E-3</v>
      </c>
      <c r="U87" s="93">
        <f t="shared" si="21"/>
        <v>9.9838957611609134E-3</v>
      </c>
      <c r="V87" s="93">
        <f t="shared" si="21"/>
        <v>3.0447657155333683E-3</v>
      </c>
      <c r="W87" s="93">
        <f t="shared" si="21"/>
        <v>2.7244981749659429E-3</v>
      </c>
      <c r="X87" s="93">
        <f t="shared" si="21"/>
        <v>2.8236257288431779E-2</v>
      </c>
    </row>
    <row r="88" spans="2:26" ht="15.75" thickBot="1" x14ac:dyDescent="0.3">
      <c r="B88" s="97" t="s">
        <v>15</v>
      </c>
      <c r="C88" s="76">
        <f>ROUNDUP(C85/(0.9*(($C$7-C87/2)/100)*($L$9*1000)),2)</f>
        <v>4.33</v>
      </c>
      <c r="D88" s="77">
        <f>ROUNDUP(D85/(0.9*(($C$7-D87/2)/100)*($L$9*1000)),2)</f>
        <v>2.2699999999999996</v>
      </c>
      <c r="E88" s="77">
        <f t="shared" ref="E88:X88" si="22">ROUNDUP(E85/(0.9*(($C$7-E87/2)/100)*($L$9*1000)),2)</f>
        <v>2.2699999999999996</v>
      </c>
      <c r="F88" s="77">
        <f t="shared" si="22"/>
        <v>3.8899999999999997</v>
      </c>
      <c r="G88" s="77">
        <f t="shared" si="22"/>
        <v>3.76</v>
      </c>
      <c r="H88" s="77">
        <f t="shared" si="22"/>
        <v>2.46</v>
      </c>
      <c r="I88" s="77">
        <f t="shared" si="22"/>
        <v>0.89</v>
      </c>
      <c r="J88" s="77">
        <f t="shared" si="22"/>
        <v>0.29000000000000004</v>
      </c>
      <c r="K88" s="77">
        <f t="shared" si="22"/>
        <v>1.25</v>
      </c>
      <c r="L88" s="77">
        <f t="shared" si="22"/>
        <v>2.46</v>
      </c>
      <c r="M88" s="77">
        <f t="shared" si="22"/>
        <v>3.5</v>
      </c>
      <c r="N88" s="77">
        <f t="shared" si="22"/>
        <v>0.47000000000000003</v>
      </c>
      <c r="O88" s="77">
        <f t="shared" si="22"/>
        <v>0.47000000000000003</v>
      </c>
      <c r="P88" s="77">
        <f t="shared" si="22"/>
        <v>0.47000000000000003</v>
      </c>
      <c r="Q88" s="77">
        <f t="shared" si="22"/>
        <v>0.47000000000000003</v>
      </c>
      <c r="R88" s="77">
        <f t="shared" si="22"/>
        <v>0.22</v>
      </c>
      <c r="S88" s="77">
        <f t="shared" si="22"/>
        <v>0.22</v>
      </c>
      <c r="T88" s="77">
        <f t="shared" si="22"/>
        <v>0.37</v>
      </c>
      <c r="U88" s="77">
        <f t="shared" si="22"/>
        <v>0.37</v>
      </c>
      <c r="V88" s="77">
        <f t="shared" si="22"/>
        <v>0.12</v>
      </c>
      <c r="W88" s="77">
        <f t="shared" si="22"/>
        <v>9.9999999999999992E-2</v>
      </c>
      <c r="X88" s="77">
        <f t="shared" si="22"/>
        <v>1.04</v>
      </c>
    </row>
    <row r="89" spans="2:26" ht="16.5" thickBot="1" x14ac:dyDescent="0.3">
      <c r="B89" s="61" t="s">
        <v>106</v>
      </c>
      <c r="C89" s="134" t="str">
        <f>IF(C88&gt;$C$12,"$\phi"&amp;IF(VLOOKUP(VLOOKUP(C88,tablas!$R$3:$T$66,2,TRUE)&amp;VLOOKUP(C88,tablas!$R$3:$T$66,3,TRUE),tablas!$Q$3:$R$66,2,FALSE)&lt;C88,VLOOKUP(C88+0.1,tablas!$R$3:$T$66,2,TRUE),VLOOKUP(C88,tablas!$R$3:$T$66,2,TRUE))&amp;"@"&amp;IF(VLOOKUP(VLOOKUP(C88,tablas!$R$3:$T$66,2,TRUE)&amp;VLOOKUP(C88,tablas!$R$3:$T$66,3,TRUE),tablas!$Q$3:$R$66,2,FALSE)&lt;C88,VLOOKUP(C88+0.1,tablas!$R$3:$T$66,3,TRUE),VLOOKUP(C88,tablas!$R$3:$T$66,3,TRUE))&amp;"$",$C$13)</f>
        <v>$\phi10@18$</v>
      </c>
      <c r="D89" s="134" t="str">
        <f>IF(D88&gt;$C$12,"$\phi"&amp;IF(VLOOKUP(VLOOKUP(D88,tablas!$R$3:$T$66,2,TRUE)&amp;VLOOKUP(D88,tablas!$R$3:$T$66,3,TRUE),tablas!$Q$3:$R$66,2,FALSE)&lt;D88,VLOOKUP(D88+0.1,tablas!$R$3:$T$66,2,TRUE),VLOOKUP(D88,tablas!$R$3:$T$66,2,TRUE))&amp;"@"&amp;IF(VLOOKUP(VLOOKUP(D88,tablas!$R$3:$T$66,2,TRUE)&amp;VLOOKUP(D88,tablas!$R$3:$T$66,3,TRUE),tablas!$Q$3:$R$66,2,FALSE)&lt;D88,VLOOKUP(D88+0.1,tablas!$R$3:$T$66,3,TRUE),VLOOKUP(D88,tablas!$R$3:$T$66,3,TRUE))&amp;"$",$C$13)</f>
        <v>$\phi8@17$</v>
      </c>
      <c r="E89" s="134" t="str">
        <f>IF(E88&gt;$C$12,"$\phi"&amp;IF(VLOOKUP(VLOOKUP(E88,tablas!$R$3:$T$66,2,TRUE)&amp;VLOOKUP(E88,tablas!$R$3:$T$66,3,TRUE),tablas!$Q$3:$R$66,2,FALSE)&lt;E88,VLOOKUP(E88+0.1,tablas!$R$3:$T$66,2,TRUE),VLOOKUP(E88,tablas!$R$3:$T$66,2,TRUE))&amp;"@"&amp;IF(VLOOKUP(VLOOKUP(E88,tablas!$R$3:$T$66,2,TRUE)&amp;VLOOKUP(E88,tablas!$R$3:$T$66,3,TRUE),tablas!$Q$3:$R$66,2,FALSE)&lt;E88,VLOOKUP(E88+0.1,tablas!$R$3:$T$66,3,TRUE),VLOOKUP(E88,tablas!$R$3:$T$66,3,TRUE))&amp;"$",$C$13)</f>
        <v>$\phi8@17$</v>
      </c>
      <c r="F89" s="134" t="str">
        <f>IF(F88&gt;$C$12,"$\phi"&amp;IF(VLOOKUP(VLOOKUP(F88,tablas!$R$3:$T$66,2,TRUE)&amp;VLOOKUP(F88,tablas!$R$3:$T$66,3,TRUE),tablas!$Q$3:$R$66,2,FALSE)&lt;F88,VLOOKUP(F88+0.1,tablas!$R$3:$T$66,2,TRUE),VLOOKUP(F88,tablas!$R$3:$T$66,2,TRUE))&amp;"@"&amp;IF(VLOOKUP(VLOOKUP(F88,tablas!$R$3:$T$66,2,TRUE)&amp;VLOOKUP(F88,tablas!$R$3:$T$66,3,TRUE),tablas!$Q$3:$R$66,2,FALSE)&lt;F88,VLOOKUP(F88+0.1,tablas!$R$3:$T$66,3,TRUE),VLOOKUP(F88,tablas!$R$3:$T$66,3,TRUE))&amp;"$",$C$13)</f>
        <v>$\phi10@20$</v>
      </c>
      <c r="G89" s="134" t="str">
        <f>IF(G88&gt;$C$12,"$\phi"&amp;IF(VLOOKUP(VLOOKUP(G88,tablas!$R$3:$T$66,2,TRUE)&amp;VLOOKUP(G88,tablas!$R$3:$T$66,3,TRUE),tablas!$Q$3:$R$66,2,FALSE)&lt;G88,VLOOKUP(G88+0.1,tablas!$R$3:$T$66,2,TRUE),VLOOKUP(G88,tablas!$R$3:$T$66,2,TRUE))&amp;"@"&amp;IF(VLOOKUP(VLOOKUP(G88,tablas!$R$3:$T$66,2,TRUE)&amp;VLOOKUP(G88,tablas!$R$3:$T$66,3,TRUE),tablas!$Q$3:$R$66,2,FALSE)&lt;G88,VLOOKUP(G88+0.1,tablas!$R$3:$T$66,3,TRUE),VLOOKUP(G88,tablas!$R$3:$T$66,3,TRUE))&amp;"$",$C$13)</f>
        <v>$\phi10@21$</v>
      </c>
      <c r="H89" s="134" t="str">
        <f>IF(H88&gt;$C$12,"$\phi"&amp;IF(VLOOKUP(VLOOKUP(H88,tablas!$R$3:$T$66,2,TRUE)&amp;VLOOKUP(H88,tablas!$R$3:$T$66,3,TRUE),tablas!$Q$3:$R$66,2,FALSE)&lt;H88,VLOOKUP(H88+0.1,tablas!$R$3:$T$66,2,TRUE),VLOOKUP(H88,tablas!$R$3:$T$66,2,TRUE))&amp;"@"&amp;IF(VLOOKUP(VLOOKUP(H88,tablas!$R$3:$T$66,2,TRUE)&amp;VLOOKUP(H88,tablas!$R$3:$T$66,3,TRUE),tablas!$Q$3:$R$66,2,FALSE)&lt;H88,VLOOKUP(H88+0.1,tablas!$R$3:$T$66,3,TRUE),VLOOKUP(H88,tablas!$R$3:$T$66,3,TRUE))&amp;"$",$C$13)</f>
        <v>$\phi8@17$</v>
      </c>
      <c r="I89" s="134" t="str">
        <f>IF(I88&gt;$C$12,"$\phi"&amp;IF(VLOOKUP(VLOOKUP(I88,tablas!$R$3:$T$66,2,TRUE)&amp;VLOOKUP(I88,tablas!$R$3:$T$66,3,TRUE),tablas!$Q$3:$R$66,2,FALSE)&lt;I88,VLOOKUP(I88+0.1,tablas!$R$3:$T$66,2,TRUE),VLOOKUP(I88,tablas!$R$3:$T$66,2,TRUE))&amp;"@"&amp;IF(VLOOKUP(VLOOKUP(I88,tablas!$R$3:$T$66,2,TRUE)&amp;VLOOKUP(I88,tablas!$R$3:$T$66,3,TRUE),tablas!$Q$3:$R$66,2,FALSE)&lt;I88,VLOOKUP(I88+0.1,tablas!$R$3:$T$66,3,TRUE),VLOOKUP(I88,tablas!$R$3:$T$66,3,TRUE))&amp;"$",$C$13)</f>
        <v>$\phi8@17$</v>
      </c>
      <c r="J89" s="134" t="str">
        <f>IF(J88&gt;$C$12,"$\phi"&amp;IF(VLOOKUP(VLOOKUP(J88,tablas!$R$3:$T$66,2,TRUE)&amp;VLOOKUP(J88,tablas!$R$3:$T$66,3,TRUE),tablas!$Q$3:$R$66,2,FALSE)&lt;J88,VLOOKUP(J88+0.1,tablas!$R$3:$T$66,2,TRUE),VLOOKUP(J88,tablas!$R$3:$T$66,2,TRUE))&amp;"@"&amp;IF(VLOOKUP(VLOOKUP(J88,tablas!$R$3:$T$66,2,TRUE)&amp;VLOOKUP(J88,tablas!$R$3:$T$66,3,TRUE),tablas!$Q$3:$R$66,2,FALSE)&lt;J88,VLOOKUP(J88+0.1,tablas!$R$3:$T$66,3,TRUE),VLOOKUP(J88,tablas!$R$3:$T$66,3,TRUE))&amp;"$",$C$13)</f>
        <v>$\phi8@17$</v>
      </c>
      <c r="K89" s="134" t="str">
        <f>IF(K88&gt;$C$12,"$\phi"&amp;IF(VLOOKUP(VLOOKUP(K88,tablas!$R$3:$T$66,2,TRUE)&amp;VLOOKUP(K88,tablas!$R$3:$T$66,3,TRUE),tablas!$Q$3:$R$66,2,FALSE)&lt;K88,VLOOKUP(K88+0.1,tablas!$R$3:$T$66,2,TRUE),VLOOKUP(K88,tablas!$R$3:$T$66,2,TRUE))&amp;"@"&amp;IF(VLOOKUP(VLOOKUP(K88,tablas!$R$3:$T$66,2,TRUE)&amp;VLOOKUP(K88,tablas!$R$3:$T$66,3,TRUE),tablas!$Q$3:$R$66,2,FALSE)&lt;K88,VLOOKUP(K88+0.1,tablas!$R$3:$T$66,3,TRUE),VLOOKUP(K88,tablas!$R$3:$T$66,3,TRUE))&amp;"$",$C$13)</f>
        <v>$\phi8@17$</v>
      </c>
      <c r="L89" s="134" t="str">
        <f>IF(L88&gt;$C$12,"$\phi"&amp;IF(VLOOKUP(VLOOKUP(L88,tablas!$R$3:$T$66,2,TRUE)&amp;VLOOKUP(L88,tablas!$R$3:$T$66,3,TRUE),tablas!$Q$3:$R$66,2,FALSE)&lt;L88,VLOOKUP(L88+0.1,tablas!$R$3:$T$66,2,TRUE),VLOOKUP(L88,tablas!$R$3:$T$66,2,TRUE))&amp;"@"&amp;IF(VLOOKUP(VLOOKUP(L88,tablas!$R$3:$T$66,2,TRUE)&amp;VLOOKUP(L88,tablas!$R$3:$T$66,3,TRUE),tablas!$Q$3:$R$66,2,FALSE)&lt;L88,VLOOKUP(L88+0.1,tablas!$R$3:$T$66,3,TRUE),VLOOKUP(L88,tablas!$R$3:$T$66,3,TRUE))&amp;"$",$C$13)</f>
        <v>$\phi8@17$</v>
      </c>
      <c r="M89" s="134" t="str">
        <f>IF(M88&gt;$C$12,"$\phi"&amp;IF(VLOOKUP(VLOOKUP(M88,tablas!$R$3:$T$66,2,TRUE)&amp;VLOOKUP(M88,tablas!$R$3:$T$66,3,TRUE),tablas!$Q$3:$R$66,2,FALSE)&lt;M88,VLOOKUP(M88+0.1,tablas!$R$3:$T$66,2,TRUE),VLOOKUP(M88,tablas!$R$3:$T$66,2,TRUE))&amp;"@"&amp;IF(VLOOKUP(VLOOKUP(M88,tablas!$R$3:$T$66,2,TRUE)&amp;VLOOKUP(M88,tablas!$R$3:$T$66,3,TRUE),tablas!$Q$3:$R$66,2,FALSE)&lt;M88,VLOOKUP(M88+0.1,tablas!$R$3:$T$66,3,TRUE),VLOOKUP(M88,tablas!$R$3:$T$66,3,TRUE))&amp;"$",$C$13)</f>
        <v>$\phi8@14$</v>
      </c>
      <c r="N89" s="134" t="str">
        <f>IF(N88&gt;$C$12,"$\phi"&amp;IF(VLOOKUP(VLOOKUP(N88,tablas!$R$3:$T$66,2,TRUE)&amp;VLOOKUP(N88,tablas!$R$3:$T$66,3,TRUE),tablas!$Q$3:$R$66,2,FALSE)&lt;N88,VLOOKUP(N88+0.1,tablas!$R$3:$T$66,2,TRUE),VLOOKUP(N88,tablas!$R$3:$T$66,2,TRUE))&amp;"@"&amp;IF(VLOOKUP(VLOOKUP(N88,tablas!$R$3:$T$66,2,TRUE)&amp;VLOOKUP(N88,tablas!$R$3:$T$66,3,TRUE),tablas!$Q$3:$R$66,2,FALSE)&lt;N88,VLOOKUP(N88+0.1,tablas!$R$3:$T$66,3,TRUE),VLOOKUP(N88,tablas!$R$3:$T$66,3,TRUE))&amp;"$",$C$13)</f>
        <v>$\phi8@17$</v>
      </c>
      <c r="O89" s="134" t="str">
        <f>IF(O88&gt;$C$12,"$\phi"&amp;IF(VLOOKUP(VLOOKUP(O88,tablas!$R$3:$T$66,2,TRUE)&amp;VLOOKUP(O88,tablas!$R$3:$T$66,3,TRUE),tablas!$Q$3:$R$66,2,FALSE)&lt;O88,VLOOKUP(O88+0.1,tablas!$R$3:$T$66,2,TRUE),VLOOKUP(O88,tablas!$R$3:$T$66,2,TRUE))&amp;"@"&amp;IF(VLOOKUP(VLOOKUP(O88,tablas!$R$3:$T$66,2,TRUE)&amp;VLOOKUP(O88,tablas!$R$3:$T$66,3,TRUE),tablas!$Q$3:$R$66,2,FALSE)&lt;O88,VLOOKUP(O88+0.1,tablas!$R$3:$T$66,3,TRUE),VLOOKUP(O88,tablas!$R$3:$T$66,3,TRUE))&amp;"$",$C$13)</f>
        <v>$\phi8@17$</v>
      </c>
      <c r="P89" s="134" t="str">
        <f>IF(P88&gt;$C$12,"$\phi"&amp;IF(VLOOKUP(VLOOKUP(P88,tablas!$R$3:$T$66,2,TRUE)&amp;VLOOKUP(P88,tablas!$R$3:$T$66,3,TRUE),tablas!$Q$3:$R$66,2,FALSE)&lt;P88,VLOOKUP(P88+0.1,tablas!$R$3:$T$66,2,TRUE),VLOOKUP(P88,tablas!$R$3:$T$66,2,TRUE))&amp;"@"&amp;IF(VLOOKUP(VLOOKUP(P88,tablas!$R$3:$T$66,2,TRUE)&amp;VLOOKUP(P88,tablas!$R$3:$T$66,3,TRUE),tablas!$Q$3:$R$66,2,FALSE)&lt;P88,VLOOKUP(P88+0.1,tablas!$R$3:$T$66,3,TRUE),VLOOKUP(P88,tablas!$R$3:$T$66,3,TRUE))&amp;"$",$C$13)</f>
        <v>$\phi8@17$</v>
      </c>
      <c r="Q89" s="134" t="str">
        <f>IF(Q88&gt;$C$12,"$\phi"&amp;IF(VLOOKUP(VLOOKUP(Q88,tablas!$R$3:$T$66,2,TRUE)&amp;VLOOKUP(Q88,tablas!$R$3:$T$66,3,TRUE),tablas!$Q$3:$R$66,2,FALSE)&lt;Q88,VLOOKUP(Q88+0.1,tablas!$R$3:$T$66,2,TRUE),VLOOKUP(Q88,tablas!$R$3:$T$66,2,TRUE))&amp;"@"&amp;IF(VLOOKUP(VLOOKUP(Q88,tablas!$R$3:$T$66,2,TRUE)&amp;VLOOKUP(Q88,tablas!$R$3:$T$66,3,TRUE),tablas!$Q$3:$R$66,2,FALSE)&lt;Q88,VLOOKUP(Q88+0.1,tablas!$R$3:$T$66,3,TRUE),VLOOKUP(Q88,tablas!$R$3:$T$66,3,TRUE))&amp;"$",$C$13)</f>
        <v>$\phi8@17$</v>
      </c>
      <c r="R89" s="134" t="str">
        <f>IF(R88&gt;$C$12,"$\phi"&amp;IF(VLOOKUP(VLOOKUP(R88,tablas!$R$3:$T$66,2,TRUE)&amp;VLOOKUP(R88,tablas!$R$3:$T$66,3,TRUE),tablas!$Q$3:$R$66,2,FALSE)&lt;R88,VLOOKUP(R88+0.1,tablas!$R$3:$T$66,2,TRUE),VLOOKUP(R88,tablas!$R$3:$T$66,2,TRUE))&amp;"@"&amp;IF(VLOOKUP(VLOOKUP(R88,tablas!$R$3:$T$66,2,TRUE)&amp;VLOOKUP(R88,tablas!$R$3:$T$66,3,TRUE),tablas!$Q$3:$R$66,2,FALSE)&lt;R88,VLOOKUP(R88+0.1,tablas!$R$3:$T$66,3,TRUE),VLOOKUP(R88,tablas!$R$3:$T$66,3,TRUE))&amp;"$",$C$13)</f>
        <v>$\phi8@17$</v>
      </c>
      <c r="S89" s="134" t="str">
        <f>IF(S88&gt;$C$12,"$\phi"&amp;IF(VLOOKUP(VLOOKUP(S88,tablas!$R$3:$T$66,2,TRUE)&amp;VLOOKUP(S88,tablas!$R$3:$T$66,3,TRUE),tablas!$Q$3:$R$66,2,FALSE)&lt;S88,VLOOKUP(S88+0.1,tablas!$R$3:$T$66,2,TRUE),VLOOKUP(S88,tablas!$R$3:$T$66,2,TRUE))&amp;"@"&amp;IF(VLOOKUP(VLOOKUP(S88,tablas!$R$3:$T$66,2,TRUE)&amp;VLOOKUP(S88,tablas!$R$3:$T$66,3,TRUE),tablas!$Q$3:$R$66,2,FALSE)&lt;S88,VLOOKUP(S88+0.1,tablas!$R$3:$T$66,3,TRUE),VLOOKUP(S88,tablas!$R$3:$T$66,3,TRUE))&amp;"$",$C$13)</f>
        <v>$\phi8@17$</v>
      </c>
      <c r="T89" s="134" t="str">
        <f>IF(T88&gt;$C$12,"$\phi"&amp;IF(VLOOKUP(VLOOKUP(T88,tablas!$R$3:$T$66,2,TRUE)&amp;VLOOKUP(T88,tablas!$R$3:$T$66,3,TRUE),tablas!$Q$3:$R$66,2,FALSE)&lt;T88,VLOOKUP(T88+0.1,tablas!$R$3:$T$66,2,TRUE),VLOOKUP(T88,tablas!$R$3:$T$66,2,TRUE))&amp;"@"&amp;IF(VLOOKUP(VLOOKUP(T88,tablas!$R$3:$T$66,2,TRUE)&amp;VLOOKUP(T88,tablas!$R$3:$T$66,3,TRUE),tablas!$Q$3:$R$66,2,FALSE)&lt;T88,VLOOKUP(T88+0.1,tablas!$R$3:$T$66,3,TRUE),VLOOKUP(T88,tablas!$R$3:$T$66,3,TRUE))&amp;"$",$C$13)</f>
        <v>$\phi8@17$</v>
      </c>
      <c r="U89" s="134" t="str">
        <f>IF(U88&gt;$C$12,"$\phi"&amp;IF(VLOOKUP(VLOOKUP(U88,tablas!$R$3:$T$66,2,TRUE)&amp;VLOOKUP(U88,tablas!$R$3:$T$66,3,TRUE),tablas!$Q$3:$R$66,2,FALSE)&lt;U88,VLOOKUP(U88+0.1,tablas!$R$3:$T$66,2,TRUE),VLOOKUP(U88,tablas!$R$3:$T$66,2,TRUE))&amp;"@"&amp;IF(VLOOKUP(VLOOKUP(U88,tablas!$R$3:$T$66,2,TRUE)&amp;VLOOKUP(U88,tablas!$R$3:$T$66,3,TRUE),tablas!$Q$3:$R$66,2,FALSE)&lt;U88,VLOOKUP(U88+0.1,tablas!$R$3:$T$66,3,TRUE),VLOOKUP(U88,tablas!$R$3:$T$66,3,TRUE))&amp;"$",$C$13)</f>
        <v>$\phi8@17$</v>
      </c>
      <c r="V89" s="134" t="str">
        <f>IF(V88&gt;$C$12,"$\phi"&amp;IF(VLOOKUP(VLOOKUP(V88,tablas!$R$3:$T$66,2,TRUE)&amp;VLOOKUP(V88,tablas!$R$3:$T$66,3,TRUE),tablas!$Q$3:$R$66,2,FALSE)&lt;V88,VLOOKUP(V88+0.1,tablas!$R$3:$T$66,2,TRUE),VLOOKUP(V88,tablas!$R$3:$T$66,2,TRUE))&amp;"@"&amp;IF(VLOOKUP(VLOOKUP(V88,tablas!$R$3:$T$66,2,TRUE)&amp;VLOOKUP(V88,tablas!$R$3:$T$66,3,TRUE),tablas!$Q$3:$R$66,2,FALSE)&lt;V88,VLOOKUP(V88+0.1,tablas!$R$3:$T$66,3,TRUE),VLOOKUP(V88,tablas!$R$3:$T$66,3,TRUE))&amp;"$",$C$13)</f>
        <v>$\phi8@17$</v>
      </c>
      <c r="W89" s="134" t="str">
        <f>IF(W88&gt;$C$12,"$\phi"&amp;IF(VLOOKUP(VLOOKUP(W88,tablas!$R$3:$T$66,2,TRUE)&amp;VLOOKUP(W88,tablas!$R$3:$T$66,3,TRUE),tablas!$Q$3:$R$66,2,FALSE)&lt;W88,VLOOKUP(W88+0.1,tablas!$R$3:$T$66,2,TRUE),VLOOKUP(W88,tablas!$R$3:$T$66,2,TRUE))&amp;"@"&amp;IF(VLOOKUP(VLOOKUP(W88,tablas!$R$3:$T$66,2,TRUE)&amp;VLOOKUP(W88,tablas!$R$3:$T$66,3,TRUE),tablas!$Q$3:$R$66,2,FALSE)&lt;W88,VLOOKUP(W88+0.1,tablas!$R$3:$T$66,3,TRUE),VLOOKUP(W88,tablas!$R$3:$T$66,3,TRUE))&amp;"$",$C$13)</f>
        <v>$\phi8@17$</v>
      </c>
      <c r="X89" s="134" t="str">
        <f>IF(X88&gt;$C$12,"$\phi"&amp;IF(VLOOKUP(VLOOKUP(X88,tablas!$R$3:$T$66,2,TRUE)&amp;VLOOKUP(X88,tablas!$R$3:$T$66,3,TRUE),tablas!$Q$3:$R$66,2,FALSE)&lt;X88,VLOOKUP(X88+0.1,tablas!$R$3:$T$66,2,TRUE),VLOOKUP(X88,tablas!$R$3:$T$66,2,TRUE))&amp;"@"&amp;IF(VLOOKUP(VLOOKUP(X88,tablas!$R$3:$T$66,2,TRUE)&amp;VLOOKUP(X88,tablas!$R$3:$T$66,3,TRUE),tablas!$Q$3:$R$66,2,FALSE)&lt;X88,VLOOKUP(X88+0.1,tablas!$R$3:$T$66,3,TRUE),VLOOKUP(X88,tablas!$R$3:$T$66,3,TRUE))&amp;"$",$C$13)</f>
        <v>$\phi8@17$</v>
      </c>
    </row>
    <row r="90" spans="2:26" x14ac:dyDescent="0.25">
      <c r="C90" t="str">
        <f>IF(AND(C74='8 a 13'!C74,C79='8 a 13'!C79,C84='8 a 13'!C84,C89='8 a 13'!C89),"IGUAL","PUTA LA WEA")</f>
        <v>IGUAL</v>
      </c>
      <c r="D90" t="str">
        <f>IF(AND(D74='8 a 13'!D74,D79='8 a 13'!D79,D84='8 a 13'!D84,D89='8 a 13'!D89),"IGUAL","PUTA LA WEA")</f>
        <v>IGUAL</v>
      </c>
      <c r="E90" t="str">
        <f>IF(AND(E74='8 a 13'!E74,E79='8 a 13'!E79,E84='8 a 13'!E84,E89='8 a 13'!E89),"IGUAL","PUTA LA WEA")</f>
        <v>IGUAL</v>
      </c>
      <c r="F90" t="str">
        <f>IF(AND(F74='8 a 13'!F74,F79='8 a 13'!F79,F84='8 a 13'!F84,F89='8 a 13'!F89),"IGUAL","PUTA LA WEA")</f>
        <v>IGUAL</v>
      </c>
      <c r="G90" t="str">
        <f>IF(AND(G74='8 a 13'!G74,G79='8 a 13'!G79,G84='8 a 13'!G84,G89='8 a 13'!G89),"IGUAL","PUTA LA WEA")</f>
        <v>IGUAL</v>
      </c>
      <c r="H90" t="str">
        <f>IF(AND(H74='8 a 13'!H74,H79='8 a 13'!H79,H84='8 a 13'!H84,H89='8 a 13'!H89),"IGUAL","PUTA LA WEA")</f>
        <v>IGUAL</v>
      </c>
      <c r="I90" t="str">
        <f>IF(AND(I74='8 a 13'!I74,I79='8 a 13'!I79,I84='8 a 13'!I84,I89='8 a 13'!I89),"IGUAL","PUTA LA WEA")</f>
        <v>IGUAL</v>
      </c>
      <c r="J90" t="str">
        <f>IF(AND(J74='8 a 13'!J74,J79='8 a 13'!J79,J84='8 a 13'!J84,J89='8 a 13'!J89),"IGUAL","PUTA LA WEA")</f>
        <v>IGUAL</v>
      </c>
      <c r="K90" t="str">
        <f>IF(AND(K74='8 a 13'!K74,K79='8 a 13'!K79,K84='8 a 13'!K84,K89='8 a 13'!K89),"IGUAL","PUTA LA WEA")</f>
        <v>IGUAL</v>
      </c>
      <c r="L90" t="str">
        <f>IF(AND(L74='8 a 13'!L74,L79='8 a 13'!L79,L84='8 a 13'!L84,L89='8 a 13'!L89),"IGUAL","PUTA LA WEA")</f>
        <v>IGUAL</v>
      </c>
      <c r="M90" t="str">
        <f>IF(AND(M74='8 a 13'!M74,M79='8 a 13'!M79,M84='8 a 13'!M84,M89='8 a 13'!M89),"IGUAL","PUTA LA WEA")</f>
        <v>IGUAL</v>
      </c>
      <c r="N90" t="str">
        <f>IF(AND(N74='8 a 13'!N74,N79='8 a 13'!N79,N84='8 a 13'!N84,N89='8 a 13'!N89),"IGUAL","PUTA LA WEA")</f>
        <v>IGUAL</v>
      </c>
      <c r="O90" t="str">
        <f>IF(AND(O74='8 a 13'!O74,O79='8 a 13'!O79,O84='8 a 13'!O84,O89='8 a 13'!O89),"IGUAL","PUTA LA WEA")</f>
        <v>IGUAL</v>
      </c>
      <c r="P90" t="str">
        <f>IF(AND(P74='8 a 13'!P74,P79='8 a 13'!P79,P84='8 a 13'!P84,P89='8 a 13'!P89),"IGUAL","PUTA LA WEA")</f>
        <v>IGUAL</v>
      </c>
      <c r="Q90" t="str">
        <f>IF(AND(Q74='8 a 13'!Q74,Q79='8 a 13'!Q79,Q84='8 a 13'!Q84,Q89='8 a 13'!Q89),"IGUAL","PUTA LA WEA")</f>
        <v>IGUAL</v>
      </c>
      <c r="R90" t="str">
        <f>IF(AND(R74='8 a 13'!R74,R79='8 a 13'!R79,R84='8 a 13'!R84,R89='8 a 13'!R89),"IGUAL","PUTA LA WEA")</f>
        <v>IGUAL</v>
      </c>
      <c r="S90" t="str">
        <f>IF(AND(S74='8 a 13'!S74,S79='8 a 13'!S79,S84='8 a 13'!S84,S89='8 a 13'!S89),"IGUAL","PUTA LA WEA")</f>
        <v>IGUAL</v>
      </c>
      <c r="T90" t="str">
        <f>IF(AND(T74='8 a 13'!T74,T79='8 a 13'!T79,T84='8 a 13'!T84,T89='8 a 13'!T89),"IGUAL","PUTA LA WEA")</f>
        <v>IGUAL</v>
      </c>
      <c r="U90" t="str">
        <f>IF(AND(U74='8 a 13'!U74,U79='8 a 13'!U79,U84='8 a 13'!U84,U89='8 a 13'!U89),"IGUAL","PUTA LA WEA")</f>
        <v>IGUAL</v>
      </c>
      <c r="V90" t="str">
        <f>IF(AND(V74='8 a 13'!V74,V79='8 a 13'!V79,V84='8 a 13'!V84,V89='8 a 13'!V89),"IGUAL","PUTA LA WEA")</f>
        <v>IGUAL</v>
      </c>
      <c r="W90" t="str">
        <f>IF(AND(W74='8 a 13'!W74,W79='8 a 13'!W79,W84='8 a 13'!W84,W89='8 a 13'!W89),"IGUAL","PUTA LA WEA")</f>
        <v>IGUAL</v>
      </c>
      <c r="X90" t="str">
        <f>IF(AND(X74='8 a 13'!X74,X79='8 a 13'!X79,X84='8 a 13'!X84,X89='8 a 13'!X89),"IGUAL","PUTA LA WEA")</f>
        <v>IGUAL</v>
      </c>
    </row>
    <row r="91" spans="2:26" ht="15.75" thickBot="1" x14ac:dyDescent="0.3">
      <c r="B91" s="219" t="s">
        <v>107</v>
      </c>
      <c r="C91" s="219"/>
      <c r="P91" s="40"/>
      <c r="T91" s="40"/>
      <c r="U91" s="41"/>
    </row>
    <row r="92" spans="2:26" ht="15.75" thickBot="1" x14ac:dyDescent="0.3">
      <c r="B92" s="73" t="s">
        <v>43</v>
      </c>
      <c r="C92" s="74" t="s">
        <v>186</v>
      </c>
      <c r="D92" s="75" t="s">
        <v>188</v>
      </c>
      <c r="E92" s="74" t="s">
        <v>186</v>
      </c>
      <c r="F92" s="75" t="s">
        <v>191</v>
      </c>
      <c r="G92" s="74" t="s">
        <v>186</v>
      </c>
      <c r="H92" s="75" t="s">
        <v>192</v>
      </c>
      <c r="I92" s="74" t="s">
        <v>186</v>
      </c>
      <c r="J92" s="75" t="s">
        <v>198</v>
      </c>
      <c r="K92" s="74" t="s">
        <v>186</v>
      </c>
      <c r="L92" s="75" t="s">
        <v>207</v>
      </c>
      <c r="M92" s="74" t="s">
        <v>188</v>
      </c>
      <c r="N92" s="75" t="s">
        <v>189</v>
      </c>
      <c r="O92" s="74" t="s">
        <v>188</v>
      </c>
      <c r="P92" s="75" t="s">
        <v>194</v>
      </c>
      <c r="Q92" s="74" t="s">
        <v>188</v>
      </c>
      <c r="R92" s="75" t="s">
        <v>199</v>
      </c>
      <c r="S92" s="74" t="s">
        <v>189</v>
      </c>
      <c r="T92" s="75" t="s">
        <v>200</v>
      </c>
      <c r="U92" s="74" t="s">
        <v>189</v>
      </c>
      <c r="V92" s="75" t="s">
        <v>194</v>
      </c>
      <c r="W92" s="74" t="s">
        <v>189</v>
      </c>
      <c r="X92" s="75" t="s">
        <v>190</v>
      </c>
      <c r="Y92" s="74" t="s">
        <v>190</v>
      </c>
      <c r="Z92" s="75" t="s">
        <v>201</v>
      </c>
    </row>
    <row r="93" spans="2:26" ht="15.75" hidden="1" thickBot="1" x14ac:dyDescent="0.3">
      <c r="B93" s="144"/>
      <c r="C93" s="146" t="str">
        <f>C92&amp;"-"&amp;D92</f>
        <v>1401-1402</v>
      </c>
      <c r="D93" s="146"/>
      <c r="E93" s="146" t="str">
        <f>E92&amp;"-"&amp;F92</f>
        <v>1401-1405</v>
      </c>
      <c r="F93" s="145"/>
      <c r="G93" s="146" t="str">
        <f>G92&amp;"-"&amp;H92</f>
        <v>1401-1406</v>
      </c>
      <c r="H93" s="145"/>
      <c r="I93" s="146" t="str">
        <f>I92&amp;"-"&amp;J92</f>
        <v>1401-1412</v>
      </c>
      <c r="J93" s="145"/>
      <c r="K93" s="146" t="str">
        <f>K92&amp;"-"&amp;L92</f>
        <v>1401-1421</v>
      </c>
      <c r="L93" s="145"/>
      <c r="M93" s="146" t="str">
        <f>M92&amp;"-"&amp;N92</f>
        <v>1402-1403</v>
      </c>
      <c r="N93" s="145"/>
      <c r="O93" s="146" t="str">
        <f>O92&amp;"-"&amp;P92</f>
        <v>1402-1408</v>
      </c>
      <c r="P93" s="145"/>
      <c r="Q93" s="146" t="str">
        <f>Q92&amp;"-"&amp;R92</f>
        <v>1402-1413</v>
      </c>
      <c r="R93" s="145"/>
      <c r="S93" s="146" t="str">
        <f>S92&amp;"-"&amp;T92</f>
        <v>1403-1414</v>
      </c>
      <c r="T93" s="145"/>
      <c r="U93" s="146" t="str">
        <f>U92&amp;"-"&amp;V92</f>
        <v>1403-1408</v>
      </c>
      <c r="V93" s="145"/>
      <c r="W93" s="146" t="str">
        <f>W92&amp;"-"&amp;X92</f>
        <v>1403-1404</v>
      </c>
      <c r="X93" s="145"/>
      <c r="Y93" s="146" t="str">
        <f>Y92&amp;"-"&amp;Z92</f>
        <v>1404-1415</v>
      </c>
      <c r="Z93" s="145"/>
    </row>
    <row r="94" spans="2:26" x14ac:dyDescent="0.25">
      <c r="B94" s="105" t="s">
        <v>114</v>
      </c>
      <c r="C94" s="102" t="s">
        <v>109</v>
      </c>
      <c r="D94" s="103" t="s">
        <v>109</v>
      </c>
      <c r="E94" s="102" t="s">
        <v>108</v>
      </c>
      <c r="F94" s="103" t="s">
        <v>108</v>
      </c>
      <c r="G94" s="102" t="s">
        <v>108</v>
      </c>
      <c r="H94" s="103" t="s">
        <v>109</v>
      </c>
      <c r="I94" s="102" t="s">
        <v>108</v>
      </c>
      <c r="J94" s="103" t="s">
        <v>108</v>
      </c>
      <c r="K94" s="102" t="s">
        <v>109</v>
      </c>
      <c r="L94" s="103" t="s">
        <v>108</v>
      </c>
      <c r="M94" s="102" t="s">
        <v>109</v>
      </c>
      <c r="N94" s="103" t="s">
        <v>109</v>
      </c>
      <c r="O94" s="102" t="s">
        <v>108</v>
      </c>
      <c r="P94" s="103" t="s">
        <v>108</v>
      </c>
      <c r="Q94" s="102" t="s">
        <v>108</v>
      </c>
      <c r="R94" s="103" t="s">
        <v>108</v>
      </c>
      <c r="S94" s="102" t="s">
        <v>108</v>
      </c>
      <c r="T94" s="103" t="s">
        <v>108</v>
      </c>
      <c r="U94" s="102" t="s">
        <v>108</v>
      </c>
      <c r="V94" s="103" t="s">
        <v>108</v>
      </c>
      <c r="W94" s="102" t="s">
        <v>109</v>
      </c>
      <c r="X94" s="103" t="s">
        <v>109</v>
      </c>
      <c r="Y94" s="102" t="s">
        <v>108</v>
      </c>
      <c r="Z94" s="103" t="s">
        <v>108</v>
      </c>
    </row>
    <row r="95" spans="2:26" x14ac:dyDescent="0.25">
      <c r="B95" s="106" t="s">
        <v>110</v>
      </c>
      <c r="C95" s="104">
        <f t="shared" ref="C95:K95" si="23">HLOOKUP(C92,$B$46:$V$89,IF(C94="x",35,40),FALSE)</f>
        <v>2320.2508960573477</v>
      </c>
      <c r="D95" s="86">
        <f t="shared" si="23"/>
        <v>1216.7161572052403</v>
      </c>
      <c r="E95" s="104">
        <f t="shared" si="23"/>
        <v>3157.8048780487807</v>
      </c>
      <c r="F95" s="86">
        <f t="shared" si="23"/>
        <v>2330.2529032258067</v>
      </c>
      <c r="G95" s="104">
        <f t="shared" si="23"/>
        <v>3157.8048780487807</v>
      </c>
      <c r="H95" s="86">
        <f t="shared" si="23"/>
        <v>1323.0049261083741</v>
      </c>
      <c r="I95" s="104">
        <f t="shared" si="23"/>
        <v>3157.8048780487807</v>
      </c>
      <c r="J95" s="86">
        <f t="shared" si="23"/>
        <v>350.56537500000002</v>
      </c>
      <c r="K95" s="104">
        <f t="shared" si="23"/>
        <v>2320.2508960573477</v>
      </c>
      <c r="L95" s="86">
        <f>HLOOKUP(L92,$B$46:$X$89,IF(L94="x",35,40),FALSE)</f>
        <v>75.337499999999991</v>
      </c>
      <c r="M95" s="104">
        <f t="shared" ref="M95:Z95" si="24">HLOOKUP(M92,$B$46:$X$89,IF(M94="x",35,40),FALSE)</f>
        <v>1216.7161572052403</v>
      </c>
      <c r="N95" s="86">
        <f t="shared" si="24"/>
        <v>1216.7161572052403</v>
      </c>
      <c r="O95" s="104">
        <f t="shared" si="24"/>
        <v>1482.063829787234</v>
      </c>
      <c r="P95" s="86">
        <f t="shared" si="24"/>
        <v>227.0333333333333</v>
      </c>
      <c r="Q95" s="104">
        <f t="shared" si="24"/>
        <v>1482.063829787234</v>
      </c>
      <c r="R95" s="86">
        <f t="shared" si="24"/>
        <v>350.56537500000002</v>
      </c>
      <c r="S95" s="104">
        <f t="shared" si="24"/>
        <v>1482.063829787234</v>
      </c>
      <c r="T95" s="86">
        <f t="shared" si="24"/>
        <v>350.56537500000002</v>
      </c>
      <c r="U95" s="104">
        <f t="shared" si="24"/>
        <v>1482.063829787234</v>
      </c>
      <c r="V95" s="86">
        <f t="shared" si="24"/>
        <v>227.0333333333333</v>
      </c>
      <c r="W95" s="104">
        <f t="shared" si="24"/>
        <v>1216.7161572052403</v>
      </c>
      <c r="X95" s="86">
        <f t="shared" si="24"/>
        <v>2084.7312244897957</v>
      </c>
      <c r="Y95" s="104">
        <f t="shared" si="24"/>
        <v>2660.2039062500003</v>
      </c>
      <c r="Z95" s="86">
        <f t="shared" si="24"/>
        <v>350.56537500000002</v>
      </c>
    </row>
    <row r="96" spans="2:26" x14ac:dyDescent="0.25">
      <c r="B96" s="106" t="s">
        <v>111</v>
      </c>
      <c r="C96" s="203">
        <f>(MAX(C95:D95)-MIN(C95:D95))/(MAX(C95:D95))</f>
        <v>0.47561009058428666</v>
      </c>
      <c r="D96" s="204"/>
      <c r="E96" s="203">
        <f>(MAX(E95:F95)-MIN(E95:F95))/(MAX(E95:F95))</f>
        <v>0.26206558251133028</v>
      </c>
      <c r="F96" s="204"/>
      <c r="G96" s="203">
        <f>(MAX(G95:H95)-MIN(G95:H95))/(MAX(G95:H95))</f>
        <v>0.58103651834059367</v>
      </c>
      <c r="H96" s="204"/>
      <c r="I96" s="203">
        <f>(MAX(I95:J95)-MIN(I95:J95))/(MAX(I95:J95))</f>
        <v>0.88898447227156863</v>
      </c>
      <c r="J96" s="204"/>
      <c r="K96" s="203">
        <f>(MAX(K95:L95)-MIN(K95:L95))/(MAX(K95:L95))</f>
        <v>0.96753045106974589</v>
      </c>
      <c r="L96" s="204"/>
      <c r="M96" s="203">
        <f>(MAX(M95:N95)-MIN(M95:N95))/(MAX(M95:N95))</f>
        <v>0</v>
      </c>
      <c r="N96" s="204"/>
      <c r="O96" s="203">
        <f>(MAX(O95:P95)-MIN(O95:P95))/(MAX(O95:P95))</f>
        <v>0.84681271563996918</v>
      </c>
      <c r="P96" s="204"/>
      <c r="Q96" s="203">
        <f>(MAX(Q95:R95)-MIN(Q95:R95))/(MAX(Q95:R95))</f>
        <v>0.76346135169473284</v>
      </c>
      <c r="R96" s="204"/>
      <c r="S96" s="203">
        <f>(MAX(S95:T95)-MIN(S95:T95))/(MAX(S95:T95))</f>
        <v>0.76346135169473284</v>
      </c>
      <c r="T96" s="204"/>
      <c r="U96" s="203">
        <f>(MAX(U95:V95)-MIN(U95:V95))/(MAX(U95:V95))</f>
        <v>0.84681271563996918</v>
      </c>
      <c r="V96" s="204"/>
      <c r="W96" s="203">
        <f>(MAX(W95:X95)-MIN(W95:X95))/(MAX(W95:X95))</f>
        <v>0.41636785456455572</v>
      </c>
      <c r="X96" s="204"/>
      <c r="Y96" s="203">
        <f>(MAX(Y95:Z95)-MIN(Y95:Z95))/(MAX(Y95:Z95))</f>
        <v>0.8682186075374273</v>
      </c>
      <c r="Z96" s="204"/>
    </row>
    <row r="97" spans="2:26" x14ac:dyDescent="0.25">
      <c r="B97" s="106" t="s">
        <v>112</v>
      </c>
      <c r="C97" s="205">
        <f>IF(C96&lt;25%,(C95*0.5+D95*0.5)*0.9,IF(C96&lt;50%,(MAX(C95:D95)*0.6+MIN(C95:D95)*0.4)*0.9,IF(C96&lt;70%,(MAX(C95:D95)*0.65+MIN(C95:D95)*0.35)*0.9,IF(C96&lt;100%,(MAX(C95:D95)*0.7+MIN(C95:D95)*0.3)*0.9,0.7*MAX(C95:D95)))))</f>
        <v>1690.9533004648542</v>
      </c>
      <c r="D97" s="206"/>
      <c r="E97" s="205">
        <f>IF(E96&lt;25%,(E95*0.5+F95*0.5)*0.9,IF(E96&lt;50%,(MAX(E95:F95)*0.6+MIN(E95:F95)*0.4)*0.9,IF(E96&lt;70%,(MAX(E95:F95)*0.65+MIN(E95:F95)*0.35)*0.9,IF(E96&lt;100%,(MAX(E95:F95)*0.7+MIN(E95:F95)*0.3)*0.9,0.7*MAX(E95:F95)))))</f>
        <v>2544.1056793076323</v>
      </c>
      <c r="F97" s="206"/>
      <c r="G97" s="205">
        <f>IF(G96&lt;25%,(G95*0.5+H95*0.5)*0.9,IF(G96&lt;50%,(MAX(G95:H95)*0.6+MIN(G95:H95)*0.4)*0.9,IF(G96&lt;70%,(MAX(G95:H95)*0.65+MIN(G95:H95)*0.35)*0.9,IF(G96&lt;100%,(MAX(G95:H95)*0.7+MIN(G95:H95)*0.3)*0.9,0.7*MAX(G95:H95)))))</f>
        <v>2264.0624053826746</v>
      </c>
      <c r="H97" s="206"/>
      <c r="I97" s="205">
        <f>IF(I96&lt;25%,(I95*0.5+J95*0.5)*0.9,IF(I96&lt;50%,(MAX(I95:J95)*0.6+MIN(I95:J95)*0.4)*0.9,IF(I96&lt;70%,(MAX(I95:J95)*0.65+MIN(I95:J95)*0.35)*0.9,IF(I96&lt;100%,(MAX(I95:J95)*0.7+MIN(I95:J95)*0.3)*0.9,0.7*MAX(I95:J95)))))</f>
        <v>2084.0697244207317</v>
      </c>
      <c r="J97" s="206"/>
      <c r="K97" s="205">
        <f>IF(K96&lt;25%,(K95*0.5+L95*0.5)*0.9,IF(K96&lt;50%,(MAX(K95:L95)*0.6+MIN(K95:L95)*0.4)*0.9,IF(K96&lt;70%,(MAX(K95:L95)*0.65+MIN(K95:L95)*0.35)*0.9,IF(K96&lt;100%,(MAX(K95:L95)*0.7+MIN(K95:L95)*0.3)*0.9,0.7*MAX(K95:L95)))))</f>
        <v>1482.0991895161289</v>
      </c>
      <c r="L97" s="206"/>
      <c r="M97" s="205">
        <f>IF(M96&lt;25%,(M95*0.5+N95*0.5)*0.9,IF(M96&lt;50%,(MAX(M95:N95)*0.6+MIN(M95:N95)*0.4)*0.9,IF(M96&lt;70%,(MAX(M95:N95)*0.65+MIN(M95:N95)*0.35)*0.9,IF(M96&lt;100%,(MAX(M95:N95)*0.7+MIN(M95:N95)*0.3)*0.9,0.7*MAX(M95:N95)))))</f>
        <v>1095.0445414847163</v>
      </c>
      <c r="N97" s="206"/>
      <c r="O97" s="205">
        <f>IF(O96&lt;25%,(O95*0.5+P95*0.5)*0.9,IF(O96&lt;50%,(MAX(O95:P95)*0.6+MIN(O95:P95)*0.4)*0.9,IF(O96&lt;70%,(MAX(O95:P95)*0.65+MIN(O95:P95)*0.35)*0.9,IF(O96&lt;100%,(MAX(O95:P95)*0.7+MIN(O95:P95)*0.3)*0.9,0.7*MAX(O95:P95)))))</f>
        <v>994.9992127659574</v>
      </c>
      <c r="P97" s="206"/>
      <c r="Q97" s="205">
        <f>IF(Q96&lt;25%,(Q95*0.5+R95*0.5)*0.9,IF(Q96&lt;50%,(MAX(Q95:R95)*0.6+MIN(Q95:R95)*0.4)*0.9,IF(Q96&lt;70%,(MAX(Q95:R95)*0.65+MIN(Q95:R95)*0.35)*0.9,IF(Q96&lt;100%,(MAX(Q95:R95)*0.7+MIN(Q95:R95)*0.3)*0.9,0.7*MAX(Q95:R95)))))</f>
        <v>1028.3528640159575</v>
      </c>
      <c r="R97" s="206"/>
      <c r="S97" s="205">
        <f>IF(S96&lt;25%,(S95*0.5+T95*0.5)*0.9,IF(S96&lt;50%,(MAX(S95:T95)*0.6+MIN(S95:T95)*0.4)*0.9,IF(S96&lt;70%,(MAX(S95:T95)*0.65+MIN(S95:T95)*0.35)*0.9,IF(S96&lt;100%,(MAX(S95:T95)*0.7+MIN(S95:T95)*0.3)*0.9,0.7*MAX(S95:T95)))))</f>
        <v>1028.3528640159575</v>
      </c>
      <c r="T97" s="206"/>
      <c r="U97" s="205">
        <f>IF(U96&lt;25%,(U95*0.5+V95*0.5)*0.9,IF(U96&lt;50%,(MAX(U95:V95)*0.6+MIN(U95:V95)*0.4)*0.9,IF(U96&lt;70%,(MAX(U95:V95)*0.65+MIN(U95:V95)*0.35)*0.9,IF(U96&lt;100%,(MAX(U95:V95)*0.7+MIN(U95:V95)*0.3)*0.9,0.7*MAX(U95:V95)))))</f>
        <v>994.9992127659574</v>
      </c>
      <c r="V97" s="206"/>
      <c r="W97" s="205">
        <f>IF(W96&lt;25%,(W95*0.5+X95*0.5)*0.9,IF(W96&lt;50%,(MAX(W95:X95)*0.6+MIN(W95:X95)*0.4)*0.9,IF(W96&lt;70%,(MAX(W95:X95)*0.65+MIN(W95:X95)*0.35)*0.9,IF(W96&lt;100%,(MAX(W95:X95)*0.7+MIN(W95:X95)*0.3)*0.9,0.7*MAX(W95:X95)))))</f>
        <v>1563.772677818376</v>
      </c>
      <c r="X97" s="206"/>
      <c r="Y97" s="205">
        <f>IF(Y96&lt;25%,(Y95*0.5+Z95*0.5)*0.9,IF(Y96&lt;50%,(MAX(Y95:Z95)*0.6+MIN(Y95:Z95)*0.4)*0.9,IF(Y96&lt;70%,(MAX(Y95:Z95)*0.65+MIN(Y95:Z95)*0.35)*0.9,IF(Y96&lt;100%,(MAX(Y95:Z95)*0.7+MIN(Y95:Z95)*0.3)*0.9,0.7*MAX(Y95:Z95)))))</f>
        <v>1770.5811121875001</v>
      </c>
      <c r="Z97" s="206"/>
    </row>
    <row r="98" spans="2:26" x14ac:dyDescent="0.25">
      <c r="B98" s="107" t="s">
        <v>15</v>
      </c>
      <c r="C98" s="207">
        <f>C97/(0.9*(0.9*($C$7/100))*($L$9*1000))</f>
        <v>3.4839730761691592</v>
      </c>
      <c r="D98" s="208"/>
      <c r="E98" s="207">
        <f>E97/(0.9*(0.9*($C$7/100))*($L$9*1000))</f>
        <v>5.2417743808774491</v>
      </c>
      <c r="F98" s="208"/>
      <c r="G98" s="207">
        <f>G97/(0.9*(0.9*($C$7/100))*($L$9*1000))</f>
        <v>4.6647843325723883</v>
      </c>
      <c r="H98" s="208"/>
      <c r="I98" s="207">
        <f>I97/(0.9*(0.9*($C$7/100))*($L$9*1000))</f>
        <v>4.2939345555817861</v>
      </c>
      <c r="J98" s="208"/>
      <c r="K98" s="207">
        <f>K97/(0.9*(0.9*($C$7/100))*($L$9*1000))</f>
        <v>3.053658354176203</v>
      </c>
      <c r="L98" s="208"/>
      <c r="M98" s="207">
        <f>M97/(0.9*(0.9*($C$7/100))*($L$9*1000))</f>
        <v>2.2561863173216881</v>
      </c>
      <c r="N98" s="208"/>
      <c r="O98" s="207">
        <f>O97/(0.9*(0.9*($C$7/100))*($L$9*1000))</f>
        <v>2.0500568922471878</v>
      </c>
      <c r="P98" s="208"/>
      <c r="Q98" s="207">
        <f>Q97/(0.9*(0.9*($C$7/100))*($L$9*1000))</f>
        <v>2.1187774316701224</v>
      </c>
      <c r="R98" s="208"/>
      <c r="S98" s="207">
        <f>S97/(0.9*(0.9*($C$7/100))*($L$9*1000))</f>
        <v>2.1187774316701224</v>
      </c>
      <c r="T98" s="208"/>
      <c r="U98" s="207">
        <f>U97/(0.9*(0.9*($C$7/100))*($L$9*1000))</f>
        <v>2.0500568922471878</v>
      </c>
      <c r="V98" s="208"/>
      <c r="W98" s="207">
        <f>W97/(0.9*(0.9*($C$7/100))*($L$9*1000))</f>
        <v>3.2219351683280908</v>
      </c>
      <c r="X98" s="208"/>
      <c r="Y98" s="207">
        <f>Y97/(0.9*(0.9*($C$7/100))*($L$9*1000))</f>
        <v>3.6480350594774507</v>
      </c>
      <c r="Z98" s="208"/>
    </row>
    <row r="99" spans="2:26" x14ac:dyDescent="0.25">
      <c r="B99" s="107" t="s">
        <v>98</v>
      </c>
      <c r="C99" s="209">
        <f>(C98*($L$9))/(0.85*$L$6*100)</f>
        <v>8.5994260472918124E-2</v>
      </c>
      <c r="D99" s="210"/>
      <c r="E99" s="209">
        <f>(E98*($L$9))/(0.85*$L$6*100)</f>
        <v>0.12938174365718269</v>
      </c>
      <c r="F99" s="210"/>
      <c r="G99" s="209">
        <f>(G98*($L$9))/(0.85*$L$6*100)</f>
        <v>0.11514000544065642</v>
      </c>
      <c r="H99" s="210"/>
      <c r="I99" s="209">
        <f>(I98*($L$9))/(0.85*$L$6*100)</f>
        <v>0.10598638926118825</v>
      </c>
      <c r="J99" s="210"/>
      <c r="K99" s="209">
        <f>(K98*($L$9))/(0.85*$L$6*100)</f>
        <v>7.5372882098466834E-2</v>
      </c>
      <c r="L99" s="210"/>
      <c r="M99" s="209">
        <f>(M98*($L$9))/(0.85*$L$6*100)</f>
        <v>5.5689027901596452E-2</v>
      </c>
      <c r="N99" s="210"/>
      <c r="O99" s="209">
        <f>(O98*($L$9))/(0.85*$L$6*100)</f>
        <v>5.0601173580265078E-2</v>
      </c>
      <c r="P99" s="210"/>
      <c r="Q99" s="209">
        <f>(Q98*($L$9))/(0.85*$L$6*100)</f>
        <v>5.2297389893587801E-2</v>
      </c>
      <c r="R99" s="210"/>
      <c r="S99" s="209">
        <f>(S98*($L$9))/(0.85*$L$6*100)</f>
        <v>5.2297389893587801E-2</v>
      </c>
      <c r="T99" s="210"/>
      <c r="U99" s="209">
        <f>(U98*($L$9))/(0.85*$L$6*100)</f>
        <v>5.0601173580265078E-2</v>
      </c>
      <c r="V99" s="210"/>
      <c r="W99" s="209">
        <f>(W98*($L$9))/(0.85*$L$6*100)</f>
        <v>7.9526427453542256E-2</v>
      </c>
      <c r="X99" s="210"/>
      <c r="Y99" s="209">
        <f>(Y98*($L$9))/(0.85*$L$6*100)</f>
        <v>9.0043771940965911E-2</v>
      </c>
      <c r="Z99" s="210"/>
    </row>
    <row r="100" spans="2:26" ht="15.75" thickBot="1" x14ac:dyDescent="0.3">
      <c r="B100" s="108" t="s">
        <v>15</v>
      </c>
      <c r="C100" s="201">
        <f>ROUNDUP(C97/(0.9*(($C$7-C99/2)/100)*($L$9*1000)),2)</f>
        <v>3.15</v>
      </c>
      <c r="D100" s="202"/>
      <c r="E100" s="201">
        <f>ROUNDUP(E97/(0.9*(($C$7-E99/2)/100)*($L$9*1000)),2)</f>
        <v>4.74</v>
      </c>
      <c r="F100" s="202"/>
      <c r="G100" s="201">
        <f>ROUNDUP(G97/(0.9*(($C$7-G99/2)/100)*($L$9*1000)),2)</f>
        <v>4.22</v>
      </c>
      <c r="H100" s="202"/>
      <c r="I100" s="201">
        <f>ROUNDUP(I97/(0.9*(($C$7-I99/2)/100)*($L$9*1000)),2)</f>
        <v>3.88</v>
      </c>
      <c r="J100" s="202"/>
      <c r="K100" s="201">
        <f>ROUNDUP(K97/(0.9*(($C$7-K99/2)/100)*($L$9*1000)),2)</f>
        <v>2.76</v>
      </c>
      <c r="L100" s="202"/>
      <c r="M100" s="201">
        <f>ROUNDUP(M97/(0.9*(($C$7-M99/2)/100)*($L$9*1000)),2)</f>
        <v>2.0399999999999996</v>
      </c>
      <c r="N100" s="202"/>
      <c r="O100" s="201">
        <f>ROUNDUP(O97/(0.9*(($C$7-O99/2)/100)*($L$9*1000)),2)</f>
        <v>1.85</v>
      </c>
      <c r="P100" s="202"/>
      <c r="Q100" s="201">
        <f>ROUNDUP(Q97/(0.9*(($C$7-Q99/2)/100)*($L$9*1000)),2)</f>
        <v>1.92</v>
      </c>
      <c r="R100" s="202"/>
      <c r="S100" s="201">
        <f>ROUNDUP(S97/(0.9*(($C$7-S99/2)/100)*($L$9*1000)),2)</f>
        <v>1.92</v>
      </c>
      <c r="T100" s="202"/>
      <c r="U100" s="201">
        <f>ROUNDUP(U97/(0.9*(($C$7-U99/2)/100)*($L$9*1000)),2)</f>
        <v>1.85</v>
      </c>
      <c r="V100" s="202"/>
      <c r="W100" s="201">
        <f>ROUNDUP(W97/(0.9*(($C$7-W99/2)/100)*($L$9*1000)),2)</f>
        <v>2.9099999999999997</v>
      </c>
      <c r="X100" s="202"/>
      <c r="Y100" s="201">
        <f>ROUNDUP(Y97/(0.9*(($C$7-Y99/2)/100)*($L$9*1000)),2)</f>
        <v>3.3</v>
      </c>
      <c r="Z100" s="202"/>
    </row>
    <row r="101" spans="2:26" ht="16.5" thickBot="1" x14ac:dyDescent="0.3">
      <c r="B101" s="61" t="s">
        <v>113</v>
      </c>
      <c r="C101" s="199" t="str">
        <f>IF(C100&gt;$C$12,"$\phi"&amp;IF(VLOOKUP(VLOOKUP(C100,tablas!$R$3:$T$66,2,TRUE)&amp;VLOOKUP(C100,tablas!$R$3:$T$66,3,TRUE),tablas!$Q$3:$R$66,2,FALSE)&lt;C100,VLOOKUP(C100+0.1,tablas!$R$3:$T$66,2,TRUE),VLOOKUP(C100,tablas!$R$3:$T$66,2,TRUE))&amp;"@"&amp;IF(VLOOKUP(VLOOKUP(C100,tablas!$R$3:$T$66,2,TRUE)&amp;VLOOKUP(C100,tablas!$R$3:$T$66,3,TRUE),tablas!$Q$3:$R$66,2,FALSE)&lt;C100,VLOOKUP(C100+0.1,tablas!$R$3:$T$66,3,TRUE)&amp;"$",VLOOKUP(C100,tablas!$R$3:$T$66,3,TRUE)&amp;"$"),$C$13)</f>
        <v>$\phi10@25$</v>
      </c>
      <c r="D101" s="200"/>
      <c r="E101" s="199" t="str">
        <f>IF(E100&gt;$C$12,"$\phi"&amp;IF(VLOOKUP(VLOOKUP(E100,tablas!$R$3:$T$66,2,TRUE)&amp;VLOOKUP(E100,tablas!$R$3:$T$66,3,TRUE),tablas!$Q$3:$R$66,2,FALSE)&lt;E100,VLOOKUP(E100+0.1,tablas!$R$3:$T$66,2,TRUE),VLOOKUP(E100,tablas!$R$3:$T$66,2,TRUE))&amp;"@"&amp;IF(VLOOKUP(VLOOKUP(E100,tablas!$R$3:$T$66,2,TRUE)&amp;VLOOKUP(E100,tablas!$R$3:$T$66,3,TRUE),tablas!$Q$3:$R$66,2,FALSE)&lt;E100,VLOOKUP(E100+0.1,tablas!$R$3:$T$66,3,TRUE)&amp;"$",VLOOKUP(E100,tablas!$R$3:$T$66,3,TRUE)&amp;"$"),$C$13)</f>
        <v>$\phi12@24$</v>
      </c>
      <c r="F101" s="200"/>
      <c r="G101" s="199" t="str">
        <f>IF(G100&gt;$C$12,"$\phi"&amp;IF(VLOOKUP(VLOOKUP(G100,tablas!$R$3:$T$66,2,TRUE)&amp;VLOOKUP(G100,tablas!$R$3:$T$66,3,TRUE),tablas!$Q$3:$R$66,2,FALSE)&lt;G100,VLOOKUP(G100+0.1,tablas!$R$3:$T$66,2,TRUE),VLOOKUP(G100,tablas!$R$3:$T$66,2,TRUE))&amp;"@"&amp;IF(VLOOKUP(VLOOKUP(G100,tablas!$R$3:$T$66,2,TRUE)&amp;VLOOKUP(G100,tablas!$R$3:$T$66,3,TRUE),tablas!$Q$3:$R$66,2,FALSE)&lt;G100,VLOOKUP(G100+0.1,tablas!$R$3:$T$66,3,TRUE)&amp;"$",VLOOKUP(G100,tablas!$R$3:$T$66,3,TRUE)&amp;"$"),$C$13)</f>
        <v>$\phi8@12$</v>
      </c>
      <c r="H101" s="200"/>
      <c r="I101" s="199" t="str">
        <f>IF(I100&gt;$C$12,"$\phi"&amp;IF(VLOOKUP(VLOOKUP(I100,tablas!$R$3:$T$66,2,TRUE)&amp;VLOOKUP(I100,tablas!$R$3:$T$66,3,TRUE),tablas!$Q$3:$R$66,2,FALSE)&lt;I100,VLOOKUP(I100+0.1,tablas!$R$3:$T$66,2,TRUE),VLOOKUP(I100,tablas!$R$3:$T$66,2,TRUE))&amp;"@"&amp;IF(VLOOKUP(VLOOKUP(I100,tablas!$R$3:$T$66,2,TRUE)&amp;VLOOKUP(I100,tablas!$R$3:$T$66,3,TRUE),tablas!$Q$3:$R$66,2,FALSE)&lt;I100,VLOOKUP(I100+0.1,tablas!$R$3:$T$66,3,TRUE)&amp;"$",VLOOKUP(I100,tablas!$R$3:$T$66,3,TRUE)&amp;"$"),$C$13)</f>
        <v>$\phi10@20$</v>
      </c>
      <c r="J101" s="200"/>
      <c r="K101" s="199" t="str">
        <f>IF(K100&gt;$C$12,"$\phi"&amp;IF(VLOOKUP(VLOOKUP(K100,tablas!$R$3:$T$66,2,TRUE)&amp;VLOOKUP(K100,tablas!$R$3:$T$66,3,TRUE),tablas!$Q$3:$R$66,2,FALSE)&lt;K100,VLOOKUP(K100+0.1,tablas!$R$3:$T$66,2,TRUE),VLOOKUP(K100,tablas!$R$3:$T$66,2,TRUE))&amp;"@"&amp;IF(VLOOKUP(VLOOKUP(K100,tablas!$R$3:$T$66,2,TRUE)&amp;VLOOKUP(K100,tablas!$R$3:$T$66,3,TRUE),tablas!$Q$3:$R$66,2,FALSE)&lt;K100,VLOOKUP(K100+0.1,tablas!$R$3:$T$66,3,TRUE)&amp;"$",VLOOKUP(K100,tablas!$R$3:$T$66,3,TRUE)&amp;"$"),$C$13)</f>
        <v>$\phi8@17$</v>
      </c>
      <c r="L101" s="200"/>
      <c r="M101" s="199" t="str">
        <f>IF(M100&gt;$C$12,"$\phi"&amp;IF(VLOOKUP(VLOOKUP(M100,tablas!$R$3:$T$66,2,TRUE)&amp;VLOOKUP(M100,tablas!$R$3:$T$66,3,TRUE),tablas!$Q$3:$R$66,2,FALSE)&lt;M100,VLOOKUP(M100+0.1,tablas!$R$3:$T$66,2,TRUE),VLOOKUP(M100,tablas!$R$3:$T$66,2,TRUE))&amp;"@"&amp;IF(VLOOKUP(VLOOKUP(M100,tablas!$R$3:$T$66,2,TRUE)&amp;VLOOKUP(M100,tablas!$R$3:$T$66,3,TRUE),tablas!$Q$3:$R$66,2,FALSE)&lt;M100,VLOOKUP(M100+0.1,tablas!$R$3:$T$66,3,TRUE)&amp;"$",VLOOKUP(M100,tablas!$R$3:$T$66,3,TRUE)&amp;"$"),$C$13)</f>
        <v>$\phi8@17$</v>
      </c>
      <c r="N101" s="200"/>
      <c r="O101" s="199" t="str">
        <f>IF(O100&gt;$C$12,"$\phi"&amp;IF(VLOOKUP(VLOOKUP(O100,tablas!$R$3:$T$66,2,TRUE)&amp;VLOOKUP(O100,tablas!$R$3:$T$66,3,TRUE),tablas!$Q$3:$R$66,2,FALSE)&lt;O100,VLOOKUP(O100+0.1,tablas!$R$3:$T$66,2,TRUE),VLOOKUP(O100,tablas!$R$3:$T$66,2,TRUE))&amp;"@"&amp;IF(VLOOKUP(VLOOKUP(O100,tablas!$R$3:$T$66,2,TRUE)&amp;VLOOKUP(O100,tablas!$R$3:$T$66,3,TRUE),tablas!$Q$3:$R$66,2,FALSE)&lt;O100,VLOOKUP(O100+0.1,tablas!$R$3:$T$66,3,TRUE)&amp;"$",VLOOKUP(O100,tablas!$R$3:$T$66,3,TRUE)&amp;"$"),$C$13)</f>
        <v>$\phi8@17$</v>
      </c>
      <c r="P101" s="200"/>
      <c r="Q101" s="199" t="str">
        <f>IF(Q100&gt;$C$12,"$\phi"&amp;IF(VLOOKUP(VLOOKUP(Q100,tablas!$R$3:$T$66,2,TRUE)&amp;VLOOKUP(Q100,tablas!$R$3:$T$66,3,TRUE),tablas!$Q$3:$R$66,2,FALSE)&lt;Q100,VLOOKUP(Q100+0.1,tablas!$R$3:$T$66,2,TRUE),VLOOKUP(Q100,tablas!$R$3:$T$66,2,TRUE))&amp;"@"&amp;IF(VLOOKUP(VLOOKUP(Q100,tablas!$R$3:$T$66,2,TRUE)&amp;VLOOKUP(Q100,tablas!$R$3:$T$66,3,TRUE),tablas!$Q$3:$R$66,2,FALSE)&lt;Q100,VLOOKUP(Q100+0.1,tablas!$R$3:$T$66,3,TRUE)&amp;"$",VLOOKUP(Q100,tablas!$R$3:$T$66,3,TRUE)&amp;"$"),$C$13)</f>
        <v>$\phi8@17$</v>
      </c>
      <c r="R101" s="200"/>
      <c r="S101" s="199" t="str">
        <f>IF(S100&gt;$C$12,"$\phi"&amp;IF(VLOOKUP(VLOOKUP(S100,tablas!$R$3:$T$66,2,TRUE)&amp;VLOOKUP(S100,tablas!$R$3:$T$66,3,TRUE),tablas!$Q$3:$R$66,2,FALSE)&lt;S100,VLOOKUP(S100+0.1,tablas!$R$3:$T$66,2,TRUE),VLOOKUP(S100,tablas!$R$3:$T$66,2,TRUE))&amp;"@"&amp;IF(VLOOKUP(VLOOKUP(S100,tablas!$R$3:$T$66,2,TRUE)&amp;VLOOKUP(S100,tablas!$R$3:$T$66,3,TRUE),tablas!$Q$3:$R$66,2,FALSE)&lt;S100,VLOOKUP(S100+0.1,tablas!$R$3:$T$66,3,TRUE)&amp;"$",VLOOKUP(S100,tablas!$R$3:$T$66,3,TRUE)&amp;"$"),$C$13)</f>
        <v>$\phi8@17$</v>
      </c>
      <c r="T101" s="200"/>
      <c r="U101" s="199" t="str">
        <f>IF(U100&gt;$C$12,"$\phi"&amp;IF(VLOOKUP(VLOOKUP(U100,tablas!$R$3:$T$66,2,TRUE)&amp;VLOOKUP(U100,tablas!$R$3:$T$66,3,TRUE),tablas!$Q$3:$R$66,2,FALSE)&lt;U100,VLOOKUP(U100+0.1,tablas!$R$3:$T$66,2,TRUE),VLOOKUP(U100,tablas!$R$3:$T$66,2,TRUE))&amp;"@"&amp;IF(VLOOKUP(VLOOKUP(U100,tablas!$R$3:$T$66,2,TRUE)&amp;VLOOKUP(U100,tablas!$R$3:$T$66,3,TRUE),tablas!$Q$3:$R$66,2,FALSE)&lt;U100,VLOOKUP(U100+0.1,tablas!$R$3:$T$66,3,TRUE)&amp;"$",VLOOKUP(U100,tablas!$R$3:$T$66,3,TRUE)&amp;"$"),$C$13)</f>
        <v>$\phi8@17$</v>
      </c>
      <c r="V101" s="200"/>
      <c r="W101" s="199" t="str">
        <f>IF(W100&gt;$C$12,"$\phi"&amp;IF(VLOOKUP(VLOOKUP(W100,tablas!$R$3:$T$66,2,TRUE)&amp;VLOOKUP(W100,tablas!$R$3:$T$66,3,TRUE),tablas!$Q$3:$R$66,2,FALSE)&lt;W100,VLOOKUP(W100+0.1,tablas!$R$3:$T$66,2,TRUE),VLOOKUP(W100,tablas!$R$3:$T$66,2,TRUE))&amp;"@"&amp;IF(VLOOKUP(VLOOKUP(W100,tablas!$R$3:$T$66,2,TRUE)&amp;VLOOKUP(W100,tablas!$R$3:$T$66,3,TRUE),tablas!$Q$3:$R$66,2,FALSE)&lt;W100,VLOOKUP(W100+0.1,tablas!$R$3:$T$66,3,TRUE)&amp;"$",VLOOKUP(W100,tablas!$R$3:$T$66,3,TRUE)&amp;"$"),$C$13)</f>
        <v>$\phi8@17$</v>
      </c>
      <c r="X101" s="200"/>
      <c r="Y101" s="199" t="str">
        <f>IF(Y100&gt;$C$12,"$\phi"&amp;IF(VLOOKUP(VLOOKUP(Y100,tablas!$R$3:$T$66,2,TRUE)&amp;VLOOKUP(Y100,tablas!$R$3:$T$66,3,TRUE),tablas!$Q$3:$R$66,2,FALSE)&lt;Y100,VLOOKUP(Y100+0.1,tablas!$R$3:$T$66,2,TRUE),VLOOKUP(Y100,tablas!$R$3:$T$66,2,TRUE))&amp;"@"&amp;IF(VLOOKUP(VLOOKUP(Y100,tablas!$R$3:$T$66,2,TRUE)&amp;VLOOKUP(Y100,tablas!$R$3:$T$66,3,TRUE),tablas!$Q$3:$R$66,2,FALSE)&lt;Y100,VLOOKUP(Y100+0.1,tablas!$R$3:$T$66,3,TRUE)&amp;"$",VLOOKUP(Y100,tablas!$R$3:$T$66,3,TRUE)&amp;"$"),$C$13)</f>
        <v>$\phi8@15$</v>
      </c>
      <c r="Z101" s="200"/>
    </row>
    <row r="102" spans="2:26" ht="15.75" thickBot="1" x14ac:dyDescent="0.3">
      <c r="C102" t="str">
        <f>IF(C101='2 a 7'!C101:D101,"IGUAL","PUTA LA WEA")</f>
        <v>IGUAL</v>
      </c>
      <c r="E102" t="str">
        <f>IF(E101='2 a 7'!E101:F101,"IGUAL","PUTA LA WEA")</f>
        <v>IGUAL</v>
      </c>
      <c r="G102" t="str">
        <f>IF(G101='2 a 7'!G101:H101,"IGUAL","PUTA LA WEA")</f>
        <v>IGUAL</v>
      </c>
      <c r="I102" t="str">
        <f>IF(I101='2 a 7'!I101:J101,"IGUAL","PUTA LA WEA")</f>
        <v>IGUAL</v>
      </c>
      <c r="K102" t="str">
        <f>IF(K101='2 a 7'!K101:L101,"IGUAL","PUTA LA WEA")</f>
        <v>IGUAL</v>
      </c>
      <c r="M102" t="str">
        <f>IF(M101='2 a 7'!M101:N101,"IGUAL","PUTA LA WEA")</f>
        <v>IGUAL</v>
      </c>
      <c r="O102" t="str">
        <f>IF(O101='2 a 7'!O101:P101,"IGUAL","PUTA LA WEA")</f>
        <v>IGUAL</v>
      </c>
      <c r="P102" s="40"/>
      <c r="Q102" t="str">
        <f>IF(Q101='2 a 7'!Q101:R101,"IGUAL","PUTA LA WEA")</f>
        <v>IGUAL</v>
      </c>
      <c r="S102" t="str">
        <f>IF(S101='2 a 7'!S101:T101,"IGUAL","PUTA LA WEA")</f>
        <v>IGUAL</v>
      </c>
      <c r="T102" s="40"/>
      <c r="U102" t="str">
        <f>IF(U101='2 a 7'!U101:V101,"IGUAL","PUTA LA WEA")</f>
        <v>IGUAL</v>
      </c>
      <c r="W102" t="str">
        <f>IF(W101='2 a 7'!W101:X101,"IGUAL","PUTA LA WEA")</f>
        <v>IGUAL</v>
      </c>
      <c r="Y102" t="str">
        <f>IF(Y101='2 a 7'!Y101:Z101,"IGUAL","PUTA LA WEA")</f>
        <v>IGUAL</v>
      </c>
    </row>
    <row r="103" spans="2:26" ht="15.75" thickBot="1" x14ac:dyDescent="0.3">
      <c r="B103" s="73" t="s">
        <v>43</v>
      </c>
      <c r="C103" s="74" t="s">
        <v>190</v>
      </c>
      <c r="D103" s="75" t="s">
        <v>194</v>
      </c>
      <c r="E103" s="74" t="s">
        <v>190</v>
      </c>
      <c r="F103" s="75" t="s">
        <v>202</v>
      </c>
      <c r="G103" s="74" t="s">
        <v>190</v>
      </c>
      <c r="H103" s="75" t="s">
        <v>196</v>
      </c>
      <c r="I103" s="74" t="s">
        <v>190</v>
      </c>
      <c r="J103" s="75" t="s">
        <v>197</v>
      </c>
      <c r="K103" s="74" t="s">
        <v>191</v>
      </c>
      <c r="L103" s="75" t="s">
        <v>206</v>
      </c>
      <c r="M103" s="74" t="s">
        <v>191</v>
      </c>
      <c r="N103" s="75" t="s">
        <v>192</v>
      </c>
      <c r="O103" s="74" t="s">
        <v>191</v>
      </c>
      <c r="P103" s="75" t="s">
        <v>205</v>
      </c>
      <c r="Q103" s="74" t="s">
        <v>192</v>
      </c>
      <c r="R103" s="75" t="s">
        <v>205</v>
      </c>
      <c r="S103" s="74" t="s">
        <v>192</v>
      </c>
      <c r="T103" s="75" t="s">
        <v>194</v>
      </c>
      <c r="U103" s="74" t="s">
        <v>192</v>
      </c>
      <c r="V103" s="75" t="s">
        <v>193</v>
      </c>
      <c r="W103" s="74" t="s">
        <v>192</v>
      </c>
      <c r="X103" s="75" t="s">
        <v>208</v>
      </c>
      <c r="Y103" s="74" t="s">
        <v>193</v>
      </c>
      <c r="Z103" s="75" t="s">
        <v>194</v>
      </c>
    </row>
    <row r="104" spans="2:26" ht="15.75" hidden="1" thickBot="1" x14ac:dyDescent="0.3">
      <c r="B104" s="144"/>
      <c r="C104" s="146" t="str">
        <f>C103&amp;"-"&amp;D103</f>
        <v>1404-1408</v>
      </c>
      <c r="D104" s="146"/>
      <c r="E104" s="146" t="str">
        <f>E103&amp;"-"&amp;F103</f>
        <v>1404-1416</v>
      </c>
      <c r="F104" s="145"/>
      <c r="G104" s="146" t="str">
        <f>G103&amp;"-"&amp;H103</f>
        <v>1404-1410</v>
      </c>
      <c r="H104" s="145"/>
      <c r="I104" s="146" t="str">
        <f>I103&amp;"-"&amp;J103</f>
        <v>1404-1411</v>
      </c>
      <c r="J104" s="145"/>
      <c r="K104" s="146" t="str">
        <f>K103&amp;"-"&amp;L103</f>
        <v>1405-1420</v>
      </c>
      <c r="L104" s="145"/>
      <c r="M104" s="146" t="str">
        <f>M103&amp;"-"&amp;N103</f>
        <v>1405-1406</v>
      </c>
      <c r="N104" s="145"/>
      <c r="O104" s="146" t="str">
        <f>O103&amp;"-"&amp;P103</f>
        <v>1405-1419</v>
      </c>
      <c r="P104" s="145"/>
      <c r="Q104" s="146" t="str">
        <f>Q103&amp;"-"&amp;R103</f>
        <v>1406-1419</v>
      </c>
      <c r="R104" s="145"/>
      <c r="S104" s="146" t="str">
        <f>S103&amp;"-"&amp;T103</f>
        <v>1406-1408</v>
      </c>
      <c r="T104" s="145"/>
      <c r="U104" s="146" t="str">
        <f>U103&amp;"-"&amp;V103</f>
        <v>1406-1407</v>
      </c>
      <c r="V104" s="145"/>
      <c r="W104" s="146" t="str">
        <f>W103&amp;"-"&amp;X103</f>
        <v>1406-1422</v>
      </c>
      <c r="X104" s="145"/>
      <c r="Y104" s="146" t="str">
        <f>Y103&amp;"-"&amp;Z103</f>
        <v>1407-1408</v>
      </c>
      <c r="Z104" s="145"/>
    </row>
    <row r="105" spans="2:26" x14ac:dyDescent="0.25">
      <c r="B105" s="105" t="s">
        <v>114</v>
      </c>
      <c r="C105" s="102" t="s">
        <v>109</v>
      </c>
      <c r="D105" s="103" t="s">
        <v>109</v>
      </c>
      <c r="E105" s="102" t="s">
        <v>109</v>
      </c>
      <c r="F105" s="103" t="s">
        <v>108</v>
      </c>
      <c r="G105" s="102" t="s">
        <v>108</v>
      </c>
      <c r="H105" s="103" t="s">
        <v>108</v>
      </c>
      <c r="I105" s="102" t="s">
        <v>108</v>
      </c>
      <c r="J105" s="103" t="s">
        <v>108</v>
      </c>
      <c r="K105" s="102" t="s">
        <v>109</v>
      </c>
      <c r="L105" s="103" t="s">
        <v>108</v>
      </c>
      <c r="M105" s="102" t="s">
        <v>109</v>
      </c>
      <c r="N105" s="103" t="s">
        <v>108</v>
      </c>
      <c r="O105" s="102" t="s">
        <v>108</v>
      </c>
      <c r="P105" s="103" t="s">
        <v>108</v>
      </c>
      <c r="Q105" s="102" t="s">
        <v>109</v>
      </c>
      <c r="R105" s="103" t="s">
        <v>108</v>
      </c>
      <c r="S105" s="102" t="s">
        <v>109</v>
      </c>
      <c r="T105" s="103" t="s">
        <v>108</v>
      </c>
      <c r="U105" s="102" t="s">
        <v>108</v>
      </c>
      <c r="V105" s="103" t="s">
        <v>108</v>
      </c>
      <c r="W105" s="102" t="s">
        <v>108</v>
      </c>
      <c r="X105" s="103" t="s">
        <v>109</v>
      </c>
      <c r="Y105" s="102" t="s">
        <v>109</v>
      </c>
      <c r="Z105" s="103" t="s">
        <v>108</v>
      </c>
    </row>
    <row r="106" spans="2:26" x14ac:dyDescent="0.25">
      <c r="B106" s="106" t="s">
        <v>110</v>
      </c>
      <c r="C106" s="104">
        <f t="shared" ref="C106:Z106" si="25">HLOOKUP(C103,$B$46:$X$89,IF(C105="x",35,40),FALSE)</f>
        <v>2084.7312244897957</v>
      </c>
      <c r="D106" s="86">
        <f t="shared" si="25"/>
        <v>155.67999999999998</v>
      </c>
      <c r="E106" s="104">
        <f t="shared" si="25"/>
        <v>2084.7312244897957</v>
      </c>
      <c r="F106" s="86">
        <f t="shared" si="25"/>
        <v>166.29600000000002</v>
      </c>
      <c r="G106" s="104">
        <f t="shared" si="25"/>
        <v>2660.2039062500003</v>
      </c>
      <c r="H106" s="86">
        <f t="shared" si="25"/>
        <v>1428.5638297872338</v>
      </c>
      <c r="I106" s="104">
        <f t="shared" si="25"/>
        <v>2660.2039062500003</v>
      </c>
      <c r="J106" s="86">
        <f t="shared" si="25"/>
        <v>2172.8938709677423</v>
      </c>
      <c r="K106" s="104">
        <f t="shared" si="25"/>
        <v>2015.9397209302329</v>
      </c>
      <c r="L106" s="86">
        <f t="shared" si="25"/>
        <v>84.1935</v>
      </c>
      <c r="M106" s="104">
        <f t="shared" si="25"/>
        <v>2015.9397209302329</v>
      </c>
      <c r="N106" s="86">
        <f t="shared" si="25"/>
        <v>1428.5638297872338</v>
      </c>
      <c r="O106" s="104">
        <f t="shared" si="25"/>
        <v>2330.2529032258067</v>
      </c>
      <c r="P106" s="86">
        <f t="shared" si="25"/>
        <v>276.07350000000002</v>
      </c>
      <c r="Q106" s="104">
        <f t="shared" si="25"/>
        <v>1323.0049261083741</v>
      </c>
      <c r="R106" s="86">
        <f t="shared" si="25"/>
        <v>276.07350000000002</v>
      </c>
      <c r="S106" s="104">
        <f t="shared" si="25"/>
        <v>1323.0049261083741</v>
      </c>
      <c r="T106" s="86">
        <f t="shared" si="25"/>
        <v>227.0333333333333</v>
      </c>
      <c r="U106" s="104">
        <f t="shared" si="25"/>
        <v>1428.5638297872338</v>
      </c>
      <c r="V106" s="86">
        <f t="shared" si="25"/>
        <v>670.04318181818178</v>
      </c>
      <c r="W106" s="104">
        <f t="shared" si="25"/>
        <v>1428.5638297872338</v>
      </c>
      <c r="X106" s="86">
        <f t="shared" si="25"/>
        <v>555.22533936651575</v>
      </c>
      <c r="Y106" s="104">
        <f t="shared" si="25"/>
        <v>479.38048780487804</v>
      </c>
      <c r="Z106" s="86">
        <f t="shared" si="25"/>
        <v>227.0333333333333</v>
      </c>
    </row>
    <row r="107" spans="2:26" x14ac:dyDescent="0.25">
      <c r="B107" s="106" t="s">
        <v>111</v>
      </c>
      <c r="C107" s="203">
        <f>(MAX(C106:D106)-MIN(C106:D106))/(MAX(C106:D106))</f>
        <v>0.92532370687828103</v>
      </c>
      <c r="D107" s="204"/>
      <c r="E107" s="203">
        <f>(MAX(E106:F106)-MIN(E106:F106))/(MAX(E106:F106))</f>
        <v>0.92023144372450305</v>
      </c>
      <c r="F107" s="204"/>
      <c r="G107" s="203">
        <f>(MAX(G106:H106)-MIN(G106:H106))/(MAX(G106:H106))</f>
        <v>0.46298709417315609</v>
      </c>
      <c r="H107" s="204"/>
      <c r="I107" s="203">
        <f>(MAX(I106:J106)-MIN(I106:J106))/(MAX(I106:J106))</f>
        <v>0.18318521904931812</v>
      </c>
      <c r="J107" s="204"/>
      <c r="K107" s="203">
        <f>(MAX(K106:L106)-MIN(K106:L106))/(MAX(K106:L106))</f>
        <v>0.95823610243606394</v>
      </c>
      <c r="L107" s="204"/>
      <c r="M107" s="203">
        <f>(MAX(M106:N106)-MIN(M106:N106))/(MAX(M106:N106))</f>
        <v>0.29136580079485763</v>
      </c>
      <c r="N107" s="204"/>
      <c r="O107" s="203">
        <f>(MAX(O106:P106)-MIN(O106:P106))/(MAX(O106:P106))</f>
        <v>0.88152637869570849</v>
      </c>
      <c r="P107" s="204"/>
      <c r="Q107" s="203">
        <f>(MAX(Q106:R106)-MIN(Q106:R106))/(MAX(Q106:R106))</f>
        <v>0.79132844137468816</v>
      </c>
      <c r="R107" s="204"/>
      <c r="S107" s="203">
        <f>(MAX(S106:T106)-MIN(S106:T106))/(MAX(S106:T106))</f>
        <v>0.82839570068635116</v>
      </c>
      <c r="T107" s="204"/>
      <c r="U107" s="203">
        <f>(MAX(U106:V106)-MIN(U106:V106))/(MAX(U106:V106))</f>
        <v>0.53096727787236775</v>
      </c>
      <c r="V107" s="204"/>
      <c r="W107" s="211">
        <f>(MAX(W106:X106)-MIN(W106:X106))/(MAX(W106:X106))</f>
        <v>0.61134019510405113</v>
      </c>
      <c r="X107" s="204"/>
      <c r="Y107" s="203">
        <f>(MAX(Y106:Z106)-MIN(Y106:Z106))/(MAX(Y106:Z106))</f>
        <v>0.5264026402640265</v>
      </c>
      <c r="Z107" s="204"/>
    </row>
    <row r="108" spans="2:26" x14ac:dyDescent="0.25">
      <c r="B108" s="106" t="s">
        <v>112</v>
      </c>
      <c r="C108" s="205">
        <f>IF(C107&lt;25%,(C106*0.5+D106*0.5)*0.9,IF(C107&lt;50%,(MAX(C106:D106)*0.6+MIN(C106:D106)*0.4)*0.9,IF(C107&lt;70%,(MAX(C106:D106)*0.65+MIN(C106:D106)*0.35)*0.9,IF(C107&lt;100%,(MAX(C106:D106)*0.7+MIN(C106:D106)*0.3)*0.9,0.7*MAX(C106:D106)))))</f>
        <v>1355.4142714285713</v>
      </c>
      <c r="D108" s="206"/>
      <c r="E108" s="205">
        <f>IF(E107&lt;25%,(E106*0.5+F106*0.5)*0.9,IF(E107&lt;50%,(MAX(E106:F106)*0.6+MIN(E106:F106)*0.4)*0.9,IF(E107&lt;70%,(MAX(E106:F106)*0.65+MIN(E106:F106)*0.35)*0.9,IF(E107&lt;100%,(MAX(E106:F106)*0.7+MIN(E106:F106)*0.3)*0.9,0.7*MAX(E106:F106)))))</f>
        <v>1358.2805914285714</v>
      </c>
      <c r="F108" s="206"/>
      <c r="G108" s="205">
        <f>IF(G107&lt;25%,(G106*0.5+H106*0.5)*0.9,IF(G107&lt;50%,(MAX(G106:H106)*0.6+MIN(G106:H106)*0.4)*0.9,IF(G107&lt;70%,(MAX(G106:H106)*0.65+MIN(G106:H106)*0.35)*0.9,IF(G107&lt;100%,(MAX(G106:H106)*0.7+MIN(G106:H106)*0.3)*0.9,0.7*MAX(G106:H106)))))</f>
        <v>1950.7930880984043</v>
      </c>
      <c r="H108" s="206"/>
      <c r="I108" s="205">
        <f>IF(I107&lt;25%,(I106*0.5+J106*0.5)*0.9,IF(I107&lt;50%,(MAX(I106:J106)*0.6+MIN(I106:J106)*0.4)*0.9,IF(I107&lt;70%,(MAX(I106:J106)*0.65+MIN(I106:J106)*0.35)*0.9,IF(I107&lt;100%,(MAX(I106:J106)*0.7+MIN(I106:J106)*0.3)*0.9,0.7*MAX(I106:J106)))))</f>
        <v>2174.8939997479843</v>
      </c>
      <c r="J108" s="206"/>
      <c r="K108" s="205">
        <f>IF(K107&lt;25%,(K106*0.5+L106*0.5)*0.9,IF(K107&lt;50%,(MAX(K106:L106)*0.6+MIN(K106:L106)*0.4)*0.9,IF(K107&lt;70%,(MAX(K106:L106)*0.65+MIN(K106:L106)*0.35)*0.9,IF(K107&lt;100%,(MAX(K106:L106)*0.7+MIN(K106:L106)*0.3)*0.9,0.7*MAX(K106:L106)))))</f>
        <v>1292.7742691860465</v>
      </c>
      <c r="L108" s="206"/>
      <c r="M108" s="205">
        <f>IF(M107&lt;25%,(M106*0.5+N106*0.5)*0.9,IF(M107&lt;50%,(MAX(M106:N106)*0.6+MIN(M106:N106)*0.4)*0.9,IF(M107&lt;70%,(MAX(M106:N106)*0.65+MIN(M106:N106)*0.35)*0.9,IF(M107&lt;100%,(MAX(M106:N106)*0.7+MIN(M106:N106)*0.3)*0.9,0.7*MAX(M106:N106)))))</f>
        <v>1602.89042802573</v>
      </c>
      <c r="N108" s="206"/>
      <c r="O108" s="205">
        <f>IF(O107&lt;25%,(O106*0.5+P106*0.5)*0.9,IF(O107&lt;50%,(MAX(O106:P106)*0.6+MIN(O106:P106)*0.4)*0.9,IF(O107&lt;70%,(MAX(O106:P106)*0.65+MIN(O106:P106)*0.35)*0.9,IF(O107&lt;100%,(MAX(O106:P106)*0.7+MIN(O106:P106)*0.3)*0.9,0.7*MAX(O106:P106)))))</f>
        <v>1542.5991740322581</v>
      </c>
      <c r="P108" s="206"/>
      <c r="Q108" s="205">
        <f>IF(Q107&lt;25%,(Q106*0.5+R106*0.5)*0.9,IF(Q107&lt;50%,(MAX(Q106:R106)*0.6+MIN(Q106:R106)*0.4)*0.9,IF(Q107&lt;70%,(MAX(Q106:R106)*0.65+MIN(Q106:R106)*0.35)*0.9,IF(Q107&lt;100%,(MAX(Q106:R106)*0.7+MIN(Q106:R106)*0.3)*0.9,0.7*MAX(Q106:R106)))))</f>
        <v>908.03294844827553</v>
      </c>
      <c r="R108" s="206"/>
      <c r="S108" s="205">
        <f>IF(S107&lt;25%,(S106*0.5+T106*0.5)*0.9,IF(S107&lt;50%,(MAX(S106:T106)*0.6+MIN(S106:T106)*0.4)*0.9,IF(S107&lt;70%,(MAX(S106:T106)*0.65+MIN(S106:T106)*0.35)*0.9,IF(S107&lt;100%,(MAX(S106:T106)*0.7+MIN(S106:T106)*0.3)*0.9,0.7*MAX(S106:T106)))))</f>
        <v>894.79210344827561</v>
      </c>
      <c r="T108" s="206"/>
      <c r="U108" s="205">
        <f>IF(U107&lt;25%,(U106*0.5+V106*0.5)*0.9,IF(U107&lt;50%,(MAX(U106:V106)*0.6+MIN(U106:V106)*0.4)*0.9,IF(U107&lt;70%,(MAX(U106:V106)*0.65+MIN(U106:V106)*0.35)*0.9,IF(U107&lt;100%,(MAX(U106:V106)*0.7+MIN(U106:V106)*0.3)*0.9,0.7*MAX(U106:V106)))))</f>
        <v>1046.773442698259</v>
      </c>
      <c r="V108" s="206"/>
      <c r="W108" s="212">
        <f>IF(W107&lt;25%,(W106*0.5+X106*0.5)*0.9,IF(W107&lt;50%,(MAX(W106:X106)*0.6+MIN(W106:X106)*0.4)*0.9,IF(W107&lt;70%,(MAX(W106:X106)*0.65+MIN(W106:X106)*0.35)*0.9,IF(W107&lt;100%,(MAX(W106:X106)*0.7+MIN(W106:X106)*0.3)*0.9,0.7*MAX(W106:X106)))))</f>
        <v>1010.6058223259844</v>
      </c>
      <c r="X108" s="206"/>
      <c r="Y108" s="205">
        <f>IF(Y107&lt;25%,(Y106*0.5+Z106*0.5)*0.9,IF(Y107&lt;50%,(MAX(Y106:Z106)*0.6+MIN(Y106:Z106)*0.4)*0.9,IF(Y107&lt;70%,(MAX(Y106:Z106)*0.65+MIN(Y106:Z106)*0.35)*0.9,IF(Y107&lt;100%,(MAX(Y106:Z106)*0.7+MIN(Y106:Z106)*0.3)*0.9,0.7*MAX(Y106:Z106)))))</f>
        <v>351.95308536585367</v>
      </c>
      <c r="Z108" s="206"/>
    </row>
    <row r="109" spans="2:26" x14ac:dyDescent="0.25">
      <c r="B109" s="107" t="s">
        <v>15</v>
      </c>
      <c r="C109" s="207">
        <f>C108/(0.9*(0.9*($C$7/100))*($L$9*1000))</f>
        <v>2.7926417763367017</v>
      </c>
      <c r="D109" s="208"/>
      <c r="E109" s="207">
        <f>E108/(0.9*(0.9*($C$7/100))*($L$9*1000))</f>
        <v>2.7985474283171201</v>
      </c>
      <c r="F109" s="208"/>
      <c r="G109" s="207">
        <f>G108/(0.9*(0.9*($C$7/100))*($L$9*1000))</f>
        <v>4.0193366630783505</v>
      </c>
      <c r="H109" s="208"/>
      <c r="I109" s="207">
        <f>I108/(0.9*(0.9*($C$7/100))*($L$9*1000))</f>
        <v>4.481065288178443</v>
      </c>
      <c r="J109" s="208"/>
      <c r="K109" s="207">
        <f>K108/(0.9*(0.9*($C$7/100))*($L$9*1000))</f>
        <v>2.6635808015338274</v>
      </c>
      <c r="L109" s="208"/>
      <c r="M109" s="207">
        <f>M108/(0.9*(0.9*($C$7/100))*($L$9*1000))</f>
        <v>3.3025318284991707</v>
      </c>
      <c r="N109" s="208"/>
      <c r="O109" s="207">
        <f>O108/(0.9*(0.9*($C$7/100))*($L$9*1000))</f>
        <v>3.1783101213804779</v>
      </c>
      <c r="P109" s="208"/>
      <c r="Q109" s="207">
        <f>Q108/(0.9*(0.9*($C$7/100))*($L$9*1000))</f>
        <v>1.8708750524326165</v>
      </c>
      <c r="R109" s="208"/>
      <c r="S109" s="207">
        <f>S108/(0.9*(0.9*($C$7/100))*($L$9*1000))</f>
        <v>1.8435941408467984</v>
      </c>
      <c r="T109" s="208"/>
      <c r="U109" s="207">
        <f>U108/(0.9*(0.9*($C$7/100))*($L$9*1000))</f>
        <v>2.1567304609814295</v>
      </c>
      <c r="V109" s="208"/>
      <c r="W109" s="213">
        <f>W108/(0.9*(0.9*($C$7/100))*($L$9*1000))</f>
        <v>2.0822121312490398</v>
      </c>
      <c r="X109" s="208"/>
      <c r="Y109" s="207">
        <f>Y108/(0.9*(0.9*($C$7/100))*($L$9*1000))</f>
        <v>0.72515017011540817</v>
      </c>
      <c r="Z109" s="208"/>
    </row>
    <row r="110" spans="2:26" x14ac:dyDescent="0.25">
      <c r="B110" s="107" t="s">
        <v>98</v>
      </c>
      <c r="C110" s="209">
        <f>(C109*($L$9))/(0.85*$L$6*100)</f>
        <v>6.8930258377860917E-2</v>
      </c>
      <c r="D110" s="210"/>
      <c r="E110" s="209">
        <f>(E109*($L$9))/(0.85*$L$6*100)</f>
        <v>6.9076026489026957E-2</v>
      </c>
      <c r="F110" s="210"/>
      <c r="G110" s="209">
        <f>(G109*($L$9))/(0.85*$L$6*100)</f>
        <v>9.9208540472752821E-2</v>
      </c>
      <c r="H110" s="210"/>
      <c r="I110" s="209">
        <f>(I109*($L$9))/(0.85*$L$6*100)</f>
        <v>0.1106053023841046</v>
      </c>
      <c r="J110" s="210"/>
      <c r="K110" s="209">
        <f>(K109*($L$9))/(0.85*$L$6*100)</f>
        <v>6.5744670303141767E-2</v>
      </c>
      <c r="L110" s="210"/>
      <c r="M110" s="209">
        <f>(M109*($L$9))/(0.85*$L$6*100)</f>
        <v>8.1515779849921866E-2</v>
      </c>
      <c r="N110" s="210"/>
      <c r="O110" s="209">
        <f>(O109*($L$9))/(0.85*$L$6*100)</f>
        <v>7.8449638520809953E-2</v>
      </c>
      <c r="P110" s="210"/>
      <c r="Q110" s="209">
        <f>(Q109*($L$9))/(0.85*$L$6*100)</f>
        <v>4.6178461501796997E-2</v>
      </c>
      <c r="R110" s="210"/>
      <c r="S110" s="209">
        <f>(S109*($L$9))/(0.85*$L$6*100)</f>
        <v>4.5505091827129737E-2</v>
      </c>
      <c r="T110" s="210"/>
      <c r="U110" s="209">
        <f>(U109*($L$9))/(0.85*$L$6*100)</f>
        <v>5.3234177468284419E-2</v>
      </c>
      <c r="V110" s="210"/>
      <c r="W110" s="214">
        <f>(W109*($L$9))/(0.85*$L$6*100)</f>
        <v>5.1394855373390377E-2</v>
      </c>
      <c r="X110" s="210"/>
      <c r="Y110" s="209">
        <f>(Y109*($L$9))/(0.85*$L$6*100)</f>
        <v>1.7898746990161172E-2</v>
      </c>
      <c r="Z110" s="210"/>
    </row>
    <row r="111" spans="2:26" ht="15.75" thickBot="1" x14ac:dyDescent="0.3">
      <c r="B111" s="108" t="s">
        <v>15</v>
      </c>
      <c r="C111" s="201">
        <f>ROUNDUP(C108/(0.9*(($C$7-C110/2)/100)*($L$9*1000)),2)</f>
        <v>2.5199999999999996</v>
      </c>
      <c r="D111" s="202"/>
      <c r="E111" s="201">
        <f>ROUNDUP(E108/(0.9*(($C$7-E110/2)/100)*($L$9*1000)),2)</f>
        <v>2.5299999999999998</v>
      </c>
      <c r="F111" s="202"/>
      <c r="G111" s="201">
        <f>ROUNDUP(G108/(0.9*(($C$7-G110/2)/100)*($L$9*1000)),2)</f>
        <v>3.6399999999999997</v>
      </c>
      <c r="H111" s="202"/>
      <c r="I111" s="201">
        <f>ROUNDUP(I108/(0.9*(($C$7-I110/2)/100)*($L$9*1000)),2)</f>
        <v>4.05</v>
      </c>
      <c r="J111" s="202"/>
      <c r="K111" s="201">
        <f>ROUNDUP(K108/(0.9*(($C$7-K110/2)/100)*($L$9*1000)),2)</f>
        <v>2.4099999999999997</v>
      </c>
      <c r="L111" s="202"/>
      <c r="M111" s="201">
        <f>ROUNDUP(M108/(0.9*(($C$7-M110/2)/100)*($L$9*1000)),2)</f>
        <v>2.9899999999999998</v>
      </c>
      <c r="N111" s="202"/>
      <c r="O111" s="201">
        <f>ROUNDUP(O108/(0.9*(($C$7-O110/2)/100)*($L$9*1000)),2)</f>
        <v>2.8699999999999997</v>
      </c>
      <c r="P111" s="202"/>
      <c r="Q111" s="201">
        <f>ROUNDUP(Q108/(0.9*(($C$7-Q110/2)/100)*($L$9*1000)),2)</f>
        <v>1.69</v>
      </c>
      <c r="R111" s="202"/>
      <c r="S111" s="201">
        <f>ROUNDUP(S108/(0.9*(($C$7-S110/2)/100)*($L$9*1000)),2)</f>
        <v>1.67</v>
      </c>
      <c r="T111" s="202"/>
      <c r="U111" s="201">
        <f>ROUNDUP(U108/(0.9*(($C$7-U110/2)/100)*($L$9*1000)),2)</f>
        <v>1.95</v>
      </c>
      <c r="V111" s="202"/>
      <c r="W111" s="215">
        <f>ROUNDUP(W108/(0.9*(($C$7-W110/2)/100)*($L$9*1000)),2)</f>
        <v>1.8800000000000001</v>
      </c>
      <c r="X111" s="216"/>
      <c r="Y111" s="201">
        <f>ROUNDUP(Y108/(0.9*(($C$7-Y110/2)/100)*($L$9*1000)),2)</f>
        <v>0.66</v>
      </c>
      <c r="Z111" s="202"/>
    </row>
    <row r="112" spans="2:26" ht="16.5" thickBot="1" x14ac:dyDescent="0.3">
      <c r="B112" s="61" t="s">
        <v>113</v>
      </c>
      <c r="C112" s="199" t="str">
        <f>IF(C111&gt;$C$12,"$\phi"&amp;IF(VLOOKUP(VLOOKUP(C111,tablas!$R$3:$T$66,2,TRUE)&amp;VLOOKUP(C111,tablas!$R$3:$T$66,3,TRUE),tablas!$Q$3:$R$66,2,FALSE)&lt;C111,VLOOKUP(C111+0.1,tablas!$R$3:$T$66,2,TRUE),VLOOKUP(C111,tablas!$R$3:$T$66,2,TRUE))&amp;"@"&amp;IF(VLOOKUP(VLOOKUP(C111,tablas!$R$3:$T$66,2,TRUE)&amp;VLOOKUP(C111,tablas!$R$3:$T$66,3,TRUE),tablas!$Q$3:$R$66,2,FALSE)&lt;C111,VLOOKUP(C111+0.1,tablas!$R$3:$T$66,3,TRUE)&amp;"$",VLOOKUP(C111,tablas!$R$3:$T$66,3,TRUE)&amp;"$"),$C$13)</f>
        <v>$\phi8@17$</v>
      </c>
      <c r="D112" s="200"/>
      <c r="E112" s="199" t="str">
        <f>IF(E111&gt;$C$12,"$\phi"&amp;IF(VLOOKUP(VLOOKUP(E111,tablas!$R$3:$T$66,2,TRUE)&amp;VLOOKUP(E111,tablas!$R$3:$T$66,3,TRUE),tablas!$Q$3:$R$66,2,FALSE)&lt;E111,VLOOKUP(E111+0.1,tablas!$R$3:$T$66,2,TRUE),VLOOKUP(E111,tablas!$R$3:$T$66,2,TRUE))&amp;"@"&amp;IF(VLOOKUP(VLOOKUP(E111,tablas!$R$3:$T$66,2,TRUE)&amp;VLOOKUP(E111,tablas!$R$3:$T$66,3,TRUE),tablas!$Q$3:$R$66,2,FALSE)&lt;E111,VLOOKUP(E111+0.1,tablas!$R$3:$T$66,3,TRUE)&amp;"$",VLOOKUP(E111,tablas!$R$3:$T$66,3,TRUE)&amp;"$"),$C$13)</f>
        <v>$\phi8@17$</v>
      </c>
      <c r="F112" s="200"/>
      <c r="G112" s="199" t="str">
        <f>IF(G111&gt;$C$12,"$\phi"&amp;IF(VLOOKUP(VLOOKUP(G111,tablas!$R$3:$T$66,2,TRUE)&amp;VLOOKUP(G111,tablas!$R$3:$T$66,3,TRUE),tablas!$Q$3:$R$66,2,FALSE)&lt;G111,VLOOKUP(G111+0.1,tablas!$R$3:$T$66,2,TRUE),VLOOKUP(G111,tablas!$R$3:$T$66,2,TRUE))&amp;"@"&amp;IF(VLOOKUP(VLOOKUP(G111,tablas!$R$3:$T$66,2,TRUE)&amp;VLOOKUP(G111,tablas!$R$3:$T$66,3,TRUE),tablas!$Q$3:$R$66,2,FALSE)&lt;G111,VLOOKUP(G111+0.1,tablas!$R$3:$T$66,3,TRUE)&amp;"$",VLOOKUP(G111,tablas!$R$3:$T$66,3,TRUE)&amp;"$"),$C$13)</f>
        <v>$\phi8@14$</v>
      </c>
      <c r="H112" s="200"/>
      <c r="I112" s="199" t="str">
        <f>IF(I111&gt;$C$12,"$\phi"&amp;IF(VLOOKUP(VLOOKUP(I111,tablas!$R$3:$T$66,2,TRUE)&amp;VLOOKUP(I111,tablas!$R$3:$T$66,3,TRUE),tablas!$Q$3:$R$66,2,FALSE)&lt;I111,VLOOKUP(I111+0.1,tablas!$R$3:$T$66,2,TRUE),VLOOKUP(I111,tablas!$R$3:$T$66,2,TRUE))&amp;"@"&amp;IF(VLOOKUP(VLOOKUP(I111,tablas!$R$3:$T$66,2,TRUE)&amp;VLOOKUP(I111,tablas!$R$3:$T$66,3,TRUE),tablas!$Q$3:$R$66,2,FALSE)&lt;I111,VLOOKUP(I111+0.1,tablas!$R$3:$T$66,3,TRUE)&amp;"$",VLOOKUP(I111,tablas!$R$3:$T$66,3,TRUE)&amp;"$"),$C$13)</f>
        <v>$\phi10@19$</v>
      </c>
      <c r="J112" s="200"/>
      <c r="K112" s="199" t="str">
        <f>IF(K111&gt;$C$12,"$\phi"&amp;IF(VLOOKUP(VLOOKUP(K111,tablas!$R$3:$T$66,2,TRUE)&amp;VLOOKUP(K111,tablas!$R$3:$T$66,3,TRUE),tablas!$Q$3:$R$66,2,FALSE)&lt;K111,VLOOKUP(K111+0.1,tablas!$R$3:$T$66,2,TRUE),VLOOKUP(K111,tablas!$R$3:$T$66,2,TRUE))&amp;"@"&amp;IF(VLOOKUP(VLOOKUP(K111,tablas!$R$3:$T$66,2,TRUE)&amp;VLOOKUP(K111,tablas!$R$3:$T$66,3,TRUE),tablas!$Q$3:$R$66,2,FALSE)&lt;K111,VLOOKUP(K111+0.1,tablas!$R$3:$T$66,3,TRUE)&amp;"$",VLOOKUP(K111,tablas!$R$3:$T$66,3,TRUE)&amp;"$"),$C$13)</f>
        <v>$\phi8@17$</v>
      </c>
      <c r="L112" s="200"/>
      <c r="M112" s="199" t="str">
        <f>IF(M111&gt;$C$12,"$\phi"&amp;IF(VLOOKUP(VLOOKUP(M111,tablas!$R$3:$T$66,2,TRUE)&amp;VLOOKUP(M111,tablas!$R$3:$T$66,3,TRUE),tablas!$Q$3:$R$66,2,FALSE)&lt;M111,VLOOKUP(M111+0.1,tablas!$R$3:$T$66,2,TRUE),VLOOKUP(M111,tablas!$R$3:$T$66,2,TRUE))&amp;"@"&amp;IF(VLOOKUP(VLOOKUP(M111,tablas!$R$3:$T$66,2,TRUE)&amp;VLOOKUP(M111,tablas!$R$3:$T$66,3,TRUE),tablas!$Q$3:$R$66,2,FALSE)&lt;M111,VLOOKUP(M111+0.1,tablas!$R$3:$T$66,3,TRUE)&amp;"$",VLOOKUP(M111,tablas!$R$3:$T$66,3,TRUE)&amp;"$"),$C$13)</f>
        <v>$\phi8@17$</v>
      </c>
      <c r="N112" s="200"/>
      <c r="O112" s="199" t="str">
        <f>IF(O111&gt;$C$12,"$\phi"&amp;IF(VLOOKUP(VLOOKUP(O111,tablas!$R$3:$T$66,2,TRUE)&amp;VLOOKUP(O111,tablas!$R$3:$T$66,3,TRUE),tablas!$Q$3:$R$66,2,FALSE)&lt;O111,VLOOKUP(O111+0.1,tablas!$R$3:$T$66,2,TRUE),VLOOKUP(O111,tablas!$R$3:$T$66,2,TRUE))&amp;"@"&amp;IF(VLOOKUP(VLOOKUP(O111,tablas!$R$3:$T$66,2,TRUE)&amp;VLOOKUP(O111,tablas!$R$3:$T$66,3,TRUE),tablas!$Q$3:$R$66,2,FALSE)&lt;O111,VLOOKUP(O111+0.1,tablas!$R$3:$T$66,3,TRUE)&amp;"$",VLOOKUP(O111,tablas!$R$3:$T$66,3,TRUE)&amp;"$"),$C$13)</f>
        <v>$\phi8@17$</v>
      </c>
      <c r="P112" s="200"/>
      <c r="Q112" s="199" t="str">
        <f>IF(Q111&gt;$C$12,"$\phi"&amp;IF(VLOOKUP(VLOOKUP(Q111,tablas!$R$3:$T$66,2,TRUE)&amp;VLOOKUP(Q111,tablas!$R$3:$T$66,3,TRUE),tablas!$Q$3:$R$66,2,FALSE)&lt;Q111,VLOOKUP(Q111+0.1,tablas!$R$3:$T$66,2,TRUE),VLOOKUP(Q111,tablas!$R$3:$T$66,2,TRUE))&amp;"@"&amp;IF(VLOOKUP(VLOOKUP(Q111,tablas!$R$3:$T$66,2,TRUE)&amp;VLOOKUP(Q111,tablas!$R$3:$T$66,3,TRUE),tablas!$Q$3:$R$66,2,FALSE)&lt;Q111,VLOOKUP(Q111+0.1,tablas!$R$3:$T$66,3,TRUE)&amp;"$",VLOOKUP(Q111,tablas!$R$3:$T$66,3,TRUE)&amp;"$"),$C$13)</f>
        <v>$\phi8@17$</v>
      </c>
      <c r="R112" s="200"/>
      <c r="S112" s="199" t="str">
        <f>IF(S111&gt;$C$12,"$\phi"&amp;IF(VLOOKUP(VLOOKUP(S111,tablas!$R$3:$T$66,2,TRUE)&amp;VLOOKUP(S111,tablas!$R$3:$T$66,3,TRUE),tablas!$Q$3:$R$66,2,FALSE)&lt;S111,VLOOKUP(S111+0.1,tablas!$R$3:$T$66,2,TRUE),VLOOKUP(S111,tablas!$R$3:$T$66,2,TRUE))&amp;"@"&amp;IF(VLOOKUP(VLOOKUP(S111,tablas!$R$3:$T$66,2,TRUE)&amp;VLOOKUP(S111,tablas!$R$3:$T$66,3,TRUE),tablas!$Q$3:$R$66,2,FALSE)&lt;S111,VLOOKUP(S111+0.1,tablas!$R$3:$T$66,3,TRUE)&amp;"$",VLOOKUP(S111,tablas!$R$3:$T$66,3,TRUE)&amp;"$"),$C$13)</f>
        <v>$\phi8@17$</v>
      </c>
      <c r="T112" s="200"/>
      <c r="U112" s="199" t="str">
        <f>IF(U111&gt;$C$12,"$\phi"&amp;IF(VLOOKUP(VLOOKUP(U111,tablas!$R$3:$T$66,2,TRUE)&amp;VLOOKUP(U111,tablas!$R$3:$T$66,3,TRUE),tablas!$Q$3:$R$66,2,FALSE)&lt;U111,VLOOKUP(U111+0.1,tablas!$R$3:$T$66,2,TRUE),VLOOKUP(U111,tablas!$R$3:$T$66,2,TRUE))&amp;"@"&amp;IF(VLOOKUP(VLOOKUP(U111,tablas!$R$3:$T$66,2,TRUE)&amp;VLOOKUP(U111,tablas!$R$3:$T$66,3,TRUE),tablas!$Q$3:$R$66,2,FALSE)&lt;U111,VLOOKUP(U111+0.1,tablas!$R$3:$T$66,3,TRUE)&amp;"$",VLOOKUP(U111,tablas!$R$3:$T$66,3,TRUE)&amp;"$"),$C$13)</f>
        <v>$\phi8@17$</v>
      </c>
      <c r="V112" s="200"/>
      <c r="W112" s="199" t="str">
        <f>IF(W111&gt;$C$12,"$\phi"&amp;IF(VLOOKUP(VLOOKUP(W111,tablas!$R$3:$T$66,2,TRUE)&amp;VLOOKUP(W111,tablas!$R$3:$T$66,3,TRUE),tablas!$Q$3:$R$66,2,FALSE)&lt;W111,VLOOKUP(W111+0.1,tablas!$R$3:$T$66,2,TRUE),VLOOKUP(W111,tablas!$R$3:$T$66,2,TRUE))&amp;"@"&amp;IF(VLOOKUP(VLOOKUP(W111,tablas!$R$3:$T$66,2,TRUE)&amp;VLOOKUP(W111,tablas!$R$3:$T$66,3,TRUE),tablas!$Q$3:$R$66,2,FALSE)&lt;W111,VLOOKUP(W111+0.1,tablas!$R$3:$T$66,3,TRUE)&amp;"$",VLOOKUP(W111,tablas!$R$3:$T$66,3,TRUE)&amp;"$"),$C$13)</f>
        <v>$\phi8@17$</v>
      </c>
      <c r="X112" s="200"/>
      <c r="Y112" s="199" t="str">
        <f>IF(Y111&gt;$C$12,"$\phi"&amp;IF(VLOOKUP(VLOOKUP(Y111,tablas!$R$3:$T$66,2,TRUE)&amp;VLOOKUP(Y111,tablas!$R$3:$T$66,3,TRUE),tablas!$Q$3:$R$66,2,FALSE)&lt;Y111,VLOOKUP(Y111+0.1,tablas!$R$3:$T$66,2,TRUE),VLOOKUP(Y111,tablas!$R$3:$T$66,2,TRUE))&amp;"@"&amp;IF(VLOOKUP(VLOOKUP(Y111,tablas!$R$3:$T$66,2,TRUE)&amp;VLOOKUP(Y111,tablas!$R$3:$T$66,3,TRUE),tablas!$Q$3:$R$66,2,FALSE)&lt;Y111,VLOOKUP(Y111+0.1,tablas!$R$3:$T$66,3,TRUE)&amp;"$",VLOOKUP(Y111,tablas!$R$3:$T$66,3,TRUE)&amp;"$"),$C$13)</f>
        <v>$\phi8@17$</v>
      </c>
      <c r="Z112" s="200"/>
    </row>
    <row r="113" spans="2:25" ht="15.75" thickBot="1" x14ac:dyDescent="0.3">
      <c r="C113" t="str">
        <f>IF(C112='2 a 7'!C112:D112,"IGUAL","PUTA LA WEA")</f>
        <v>IGUAL</v>
      </c>
      <c r="E113" t="str">
        <f>IF(E112='2 a 7'!E112:F112,"IGUAL","PUTA LA WEA")</f>
        <v>IGUAL</v>
      </c>
      <c r="G113" t="str">
        <f>IF(G112='2 a 7'!G112:H112,"IGUAL","PUTA LA WEA")</f>
        <v>IGUAL</v>
      </c>
      <c r="I113" t="str">
        <f>IF(I112='2 a 7'!I112:J112,"IGUAL","PUTA LA WEA")</f>
        <v>IGUAL</v>
      </c>
      <c r="K113" t="str">
        <f>IF(K112='2 a 7'!K112:L112,"IGUAL","PUTA LA WEA")</f>
        <v>IGUAL</v>
      </c>
      <c r="M113" t="str">
        <f>IF(M112='2 a 7'!M112:N112,"IGUAL","PUTA LA WEA")</f>
        <v>IGUAL</v>
      </c>
      <c r="O113" t="str">
        <f>IF(O112='2 a 7'!O112:P112,"IGUAL","PUTA LA WEA")</f>
        <v>IGUAL</v>
      </c>
      <c r="P113" s="40"/>
      <c r="Q113" t="str">
        <f>IF(Q112='2 a 7'!Q112:R112,"IGUAL","PUTA LA WEA")</f>
        <v>IGUAL</v>
      </c>
      <c r="S113" t="str">
        <f>IF(S112='2 a 7'!S112:T112,"IGUAL","PUTA LA WEA")</f>
        <v>IGUAL</v>
      </c>
      <c r="T113" s="40"/>
      <c r="U113" t="str">
        <f>IF(U112='2 a 7'!U112:V112,"IGUAL","PUTA LA WEA")</f>
        <v>IGUAL</v>
      </c>
      <c r="W113" t="str">
        <f>IF(W112='2 a 7'!W112:X112,"IGUAL","PUTA LA WEA")</f>
        <v>IGUAL</v>
      </c>
      <c r="Y113" t="str">
        <f>IF(Y112='2 a 7'!Y112:Z112,"IGUAL","PUTA LA WEA")</f>
        <v>IGUAL</v>
      </c>
    </row>
    <row r="114" spans="2:25" ht="15.75" thickBot="1" x14ac:dyDescent="0.3">
      <c r="B114" s="73" t="s">
        <v>43</v>
      </c>
      <c r="C114" s="74" t="s">
        <v>193</v>
      </c>
      <c r="D114" s="75" t="s">
        <v>208</v>
      </c>
      <c r="E114" s="74" t="s">
        <v>194</v>
      </c>
      <c r="F114" s="75" t="s">
        <v>195</v>
      </c>
      <c r="G114" s="74" t="s">
        <v>194</v>
      </c>
      <c r="H114" s="75" t="s">
        <v>196</v>
      </c>
      <c r="I114" s="74" t="s">
        <v>195</v>
      </c>
      <c r="J114" s="75" t="s">
        <v>208</v>
      </c>
      <c r="K114" s="74" t="s">
        <v>195</v>
      </c>
      <c r="L114" s="75" t="s">
        <v>196</v>
      </c>
      <c r="M114" s="74" t="s">
        <v>196</v>
      </c>
      <c r="N114" s="75" t="s">
        <v>197</v>
      </c>
      <c r="O114" s="74" t="s">
        <v>196</v>
      </c>
      <c r="P114" s="75" t="s">
        <v>204</v>
      </c>
      <c r="Q114" s="74" t="s">
        <v>197</v>
      </c>
      <c r="R114" s="75" t="s">
        <v>204</v>
      </c>
      <c r="S114" s="74" t="s">
        <v>197</v>
      </c>
      <c r="T114" s="75" t="s">
        <v>203</v>
      </c>
      <c r="U114" s="74" t="s">
        <v>199</v>
      </c>
      <c r="V114" s="75" t="s">
        <v>200</v>
      </c>
    </row>
    <row r="115" spans="2:25" ht="15.75" hidden="1" thickBot="1" x14ac:dyDescent="0.3">
      <c r="B115" s="144"/>
      <c r="C115" s="146" t="str">
        <f>C114&amp;"-"&amp;D114</f>
        <v>1407-1422</v>
      </c>
      <c r="D115" s="146"/>
      <c r="E115" s="146" t="str">
        <f>E114&amp;"-"&amp;F114</f>
        <v>1408-1409</v>
      </c>
      <c r="F115" s="145"/>
      <c r="G115" s="146" t="str">
        <f>G114&amp;"-"&amp;H114</f>
        <v>1408-1410</v>
      </c>
      <c r="H115" s="145"/>
      <c r="I115" s="146" t="str">
        <f>I114&amp;"-"&amp;J114</f>
        <v>1409-1422</v>
      </c>
      <c r="J115" s="145"/>
      <c r="K115" s="146" t="str">
        <f>K114&amp;"-"&amp;L114</f>
        <v>1409-1410</v>
      </c>
      <c r="L115" s="145"/>
      <c r="M115" s="146" t="str">
        <f>M114&amp;"-"&amp;N114</f>
        <v>1410-1411</v>
      </c>
      <c r="N115" s="145"/>
      <c r="O115" s="146" t="str">
        <f>O114&amp;"-"&amp;P114</f>
        <v>1410-1418</v>
      </c>
      <c r="P115" s="145"/>
      <c r="Q115" s="146" t="str">
        <f>Q114&amp;"-"&amp;R114</f>
        <v>1411-1418</v>
      </c>
      <c r="R115" s="145"/>
      <c r="S115" s="146" t="str">
        <f>S114&amp;"-"&amp;T114</f>
        <v>1411-1417</v>
      </c>
      <c r="T115" s="145"/>
      <c r="U115" s="146" t="str">
        <f>U114&amp;"-"&amp;V114</f>
        <v>1413-1414</v>
      </c>
      <c r="V115" s="145"/>
    </row>
    <row r="116" spans="2:25" x14ac:dyDescent="0.25">
      <c r="B116" s="105" t="s">
        <v>114</v>
      </c>
      <c r="C116" s="102" t="s">
        <v>109</v>
      </c>
      <c r="D116" s="103" t="s">
        <v>108</v>
      </c>
      <c r="E116" s="102" t="s">
        <v>108</v>
      </c>
      <c r="F116" s="103" t="s">
        <v>109</v>
      </c>
      <c r="G116" s="102" t="s">
        <v>108</v>
      </c>
      <c r="H116" s="103" t="s">
        <v>108</v>
      </c>
      <c r="I116" s="102" t="s">
        <v>108</v>
      </c>
      <c r="J116" s="103" t="s">
        <v>109</v>
      </c>
      <c r="K116" s="102" t="s">
        <v>108</v>
      </c>
      <c r="L116" s="103" t="s">
        <v>109</v>
      </c>
      <c r="M116" s="102" t="s">
        <v>109</v>
      </c>
      <c r="N116" s="103" t="s">
        <v>109</v>
      </c>
      <c r="O116" s="102" t="s">
        <v>108</v>
      </c>
      <c r="P116" s="103" t="s">
        <v>108</v>
      </c>
      <c r="Q116" s="102" t="s">
        <v>108</v>
      </c>
      <c r="R116" s="103" t="s">
        <v>108</v>
      </c>
      <c r="S116" s="102" t="s">
        <v>109</v>
      </c>
      <c r="T116" s="103" t="s">
        <v>108</v>
      </c>
      <c r="U116" s="102" t="s">
        <v>109</v>
      </c>
      <c r="V116" s="103" t="s">
        <v>109</v>
      </c>
    </row>
    <row r="117" spans="2:25" x14ac:dyDescent="0.25">
      <c r="B117" s="106" t="s">
        <v>110</v>
      </c>
      <c r="C117" s="104">
        <f t="shared" ref="C117:V117" si="26">HLOOKUP(C114,$B$46:$X$89,IF(C116="x",35,40),FALSE)</f>
        <v>479.38048780487804</v>
      </c>
      <c r="D117" s="86">
        <f t="shared" si="26"/>
        <v>734.75928143712576</v>
      </c>
      <c r="E117" s="104">
        <f t="shared" si="26"/>
        <v>227.0333333333333</v>
      </c>
      <c r="F117" s="86">
        <f t="shared" si="26"/>
        <v>667.99428571428564</v>
      </c>
      <c r="G117" s="104">
        <f t="shared" si="26"/>
        <v>227.0333333333333</v>
      </c>
      <c r="H117" s="86">
        <f t="shared" si="26"/>
        <v>1428.5638297872338</v>
      </c>
      <c r="I117" s="104">
        <f t="shared" si="26"/>
        <v>974.1583333333333</v>
      </c>
      <c r="J117" s="86">
        <f t="shared" si="26"/>
        <v>555.22533936651575</v>
      </c>
      <c r="K117" s="104">
        <f t="shared" si="26"/>
        <v>974.1583333333333</v>
      </c>
      <c r="L117" s="86">
        <f t="shared" si="26"/>
        <v>1323.0049261083741</v>
      </c>
      <c r="M117" s="104">
        <f t="shared" si="26"/>
        <v>1323.0049261083741</v>
      </c>
      <c r="N117" s="86">
        <f t="shared" si="26"/>
        <v>1879.8058604651167</v>
      </c>
      <c r="O117" s="104">
        <f t="shared" si="26"/>
        <v>1428.5638297872338</v>
      </c>
      <c r="P117" s="86">
        <f t="shared" si="26"/>
        <v>276.07350000000002</v>
      </c>
      <c r="Q117" s="104">
        <f t="shared" si="26"/>
        <v>2172.8938709677423</v>
      </c>
      <c r="R117" s="86">
        <f t="shared" si="26"/>
        <v>276.07350000000002</v>
      </c>
      <c r="S117" s="104">
        <f t="shared" si="26"/>
        <v>1879.8058604651167</v>
      </c>
      <c r="T117" s="86">
        <f t="shared" si="26"/>
        <v>166.29600000000002</v>
      </c>
      <c r="U117" s="104">
        <f t="shared" si="26"/>
        <v>249.29093333333336</v>
      </c>
      <c r="V117" s="86">
        <f t="shared" si="26"/>
        <v>249.29093333333336</v>
      </c>
    </row>
    <row r="118" spans="2:25" x14ac:dyDescent="0.25">
      <c r="B118" s="106" t="s">
        <v>111</v>
      </c>
      <c r="C118" s="203">
        <f>(MAX(C117:D117)-MIN(C117:D117))/(MAX(C117:D117))</f>
        <v>0.34756797237422959</v>
      </c>
      <c r="D118" s="204"/>
      <c r="E118" s="203">
        <f>(MAX(E117:F117)-MIN(E117:F117))/(MAX(E117:F117))</f>
        <v>0.66012683313515652</v>
      </c>
      <c r="F118" s="204"/>
      <c r="G118" s="203">
        <f>(MAX(G117:H117)-MIN(G117:H117))/(MAX(G117:H117))</f>
        <v>0.84107582132529068</v>
      </c>
      <c r="H118" s="204"/>
      <c r="I118" s="203">
        <f>(MAX(I117:J117)-MIN(I117:J117))/(MAX(I117:J117))</f>
        <v>0.43004610198562954</v>
      </c>
      <c r="J118" s="204"/>
      <c r="K118" s="203">
        <f>(MAX(K117:L117)-MIN(K117:L117))/(MAX(K117:L117))</f>
        <v>0.26367747080214954</v>
      </c>
      <c r="L118" s="204"/>
      <c r="M118" s="203">
        <f>(MAX(M117:N117)-MIN(M117:N117))/(MAX(M117:N117))</f>
        <v>0.29620129720149635</v>
      </c>
      <c r="N118" s="204"/>
      <c r="O118" s="203">
        <f>(MAX(O117:P117)-MIN(O117:P117))/(MAX(O117:P117))</f>
        <v>0.80674752206128753</v>
      </c>
      <c r="P118" s="204"/>
      <c r="Q118" s="203">
        <f>(MAX(Q117:R117)-MIN(Q117:R117))/(MAX(Q117:R117))</f>
        <v>0.87294662491866437</v>
      </c>
      <c r="R118" s="204"/>
      <c r="S118" s="203">
        <f>(MAX(S117:T117)-MIN(S117:T117))/(MAX(S117:T117))</f>
        <v>0.91153554550635685</v>
      </c>
      <c r="T118" s="204"/>
      <c r="U118" s="203">
        <f>(MAX(U117:V117)-MIN(U117:V117))/(MAX(U117:V117))</f>
        <v>0</v>
      </c>
      <c r="V118" s="204"/>
    </row>
    <row r="119" spans="2:25" x14ac:dyDescent="0.25">
      <c r="B119" s="106" t="s">
        <v>112</v>
      </c>
      <c r="C119" s="205">
        <f>IF(C118&lt;25%,(C117*0.5+D117*0.5)*0.9,IF(C118&lt;50%,(MAX(C117:D117)*0.6+MIN(C117:D117)*0.4)*0.9,IF(C118&lt;70%,(MAX(C117:D117)*0.65+MIN(C117:D117)*0.35)*0.9,IF(C118&lt;100%,(MAX(C117:D117)*0.7+MIN(C117:D117)*0.3)*0.9,0.7*MAX(C117:D117)))))</f>
        <v>569.34698758580407</v>
      </c>
      <c r="D119" s="206"/>
      <c r="E119" s="205">
        <f>IF(E118&lt;25%,(E117*0.5+F117*0.5)*0.9,IF(E118&lt;50%,(MAX(E117:F117)*0.6+MIN(E117:F117)*0.4)*0.9,IF(E118&lt;70%,(MAX(E117:F117)*0.65+MIN(E117:F117)*0.35)*0.9,IF(E118&lt;100%,(MAX(E117:F117)*0.7+MIN(E117:F117)*0.3)*0.9,0.7*MAX(E117:F117)))))</f>
        <v>462.29215714285709</v>
      </c>
      <c r="F119" s="206"/>
      <c r="G119" s="205">
        <f>IF(G118&lt;25%,(G117*0.5+H117*0.5)*0.9,IF(G118&lt;50%,(MAX(G117:H117)*0.6+MIN(G117:H117)*0.4)*0.9,IF(G118&lt;70%,(MAX(G117:H117)*0.65+MIN(G117:H117)*0.35)*0.9,IF(G118&lt;100%,(MAX(G117:H117)*0.7+MIN(G117:H117)*0.3)*0.9,0.7*MAX(G117:H117)))))</f>
        <v>961.29421276595713</v>
      </c>
      <c r="H119" s="206"/>
      <c r="I119" s="205">
        <f>IF(I118&lt;25%,(I117*0.5+J117*0.5)*0.9,IF(I118&lt;50%,(MAX(I117:J117)*0.6+MIN(I117:J117)*0.4)*0.9,IF(I118&lt;70%,(MAX(I117:J117)*0.65+MIN(I117:J117)*0.35)*0.9,IF(I118&lt;100%,(MAX(I117:J117)*0.7+MIN(I117:J117)*0.3)*0.9,0.7*MAX(I117:J117)))))</f>
        <v>725.92662217194572</v>
      </c>
      <c r="J119" s="206"/>
      <c r="K119" s="205">
        <f>IF(K118&lt;25%,(K117*0.5+L117*0.5)*0.9,IF(K118&lt;50%,(MAX(K117:L117)*0.6+MIN(K117:L117)*0.4)*0.9,IF(K118&lt;70%,(MAX(K117:L117)*0.65+MIN(K117:L117)*0.35)*0.9,IF(K118&lt;100%,(MAX(K117:L117)*0.7+MIN(K117:L117)*0.3)*0.9,0.7*MAX(K117:L117)))))</f>
        <v>1065.1196600985222</v>
      </c>
      <c r="L119" s="206"/>
      <c r="M119" s="205">
        <f>IF(M118&lt;25%,(M117*0.5+N117*0.5)*0.9,IF(M118&lt;50%,(MAX(M117:N117)*0.6+MIN(M117:N117)*0.4)*0.9,IF(M118&lt;70%,(MAX(M117:N117)*0.65+MIN(M117:N117)*0.35)*0.9,IF(M118&lt;100%,(MAX(M117:N117)*0.7+MIN(M117:N117)*0.3)*0.9,0.7*MAX(M117:N117)))))</f>
        <v>1491.3769380501776</v>
      </c>
      <c r="N119" s="206"/>
      <c r="O119" s="205">
        <f>IF(O118&lt;25%,(O117*0.5+P117*0.5)*0.9,IF(O118&lt;50%,(MAX(O117:P117)*0.6+MIN(O117:P117)*0.4)*0.9,IF(O118&lt;70%,(MAX(O117:P117)*0.65+MIN(O117:P117)*0.35)*0.9,IF(O118&lt;100%,(MAX(O117:P117)*0.7+MIN(O117:P117)*0.3)*0.9,0.7*MAX(O117:P117)))))</f>
        <v>974.53505776595716</v>
      </c>
      <c r="P119" s="206"/>
      <c r="Q119" s="205">
        <f>IF(Q118&lt;25%,(Q117*0.5+R117*0.5)*0.9,IF(Q118&lt;50%,(MAX(Q117:R117)*0.6+MIN(Q117:R117)*0.4)*0.9,IF(Q118&lt;70%,(MAX(Q117:R117)*0.65+MIN(Q117:R117)*0.35)*0.9,IF(Q118&lt;100%,(MAX(Q117:R117)*0.7+MIN(Q117:R117)*0.3)*0.9,0.7*MAX(Q117:R117)))))</f>
        <v>1443.4629837096775</v>
      </c>
      <c r="R119" s="206"/>
      <c r="S119" s="205">
        <f>IF(S118&lt;25%,(S117*0.5+T117*0.5)*0.9,IF(S118&lt;50%,(MAX(S117:T117)*0.6+MIN(S117:T117)*0.4)*0.9,IF(S118&lt;70%,(MAX(S117:T117)*0.65+MIN(S117:T117)*0.35)*0.9,IF(S118&lt;100%,(MAX(S117:T117)*0.7+MIN(S117:T117)*0.3)*0.9,0.7*MAX(S117:T117)))))</f>
        <v>1229.1776120930235</v>
      </c>
      <c r="T119" s="206"/>
      <c r="U119" s="205">
        <f>IF(U118&lt;25%,(U117*0.5+V117*0.5)*0.9,IF(U118&lt;50%,(MAX(U117:V117)*0.6+MIN(U117:V117)*0.4)*0.9,IF(U118&lt;70%,(MAX(U117:V117)*0.65+MIN(U117:V117)*0.35)*0.9,IF(U118&lt;100%,(MAX(U117:V117)*0.7+MIN(U117:V117)*0.3)*0.9,0.7*MAX(U117:V117)))))</f>
        <v>224.36184000000003</v>
      </c>
      <c r="V119" s="206"/>
    </row>
    <row r="120" spans="2:25" x14ac:dyDescent="0.25">
      <c r="B120" s="107" t="s">
        <v>15</v>
      </c>
      <c r="C120" s="207">
        <f>C119/(0.9*(0.9*($C$7/100))*($L$9*1000))</f>
        <v>1.1730599391489145</v>
      </c>
      <c r="D120" s="208"/>
      <c r="E120" s="207">
        <f>E119/(0.9*(0.9*($C$7/100))*($L$9*1000))</f>
        <v>0.95248841488828095</v>
      </c>
      <c r="F120" s="208"/>
      <c r="G120" s="207">
        <f>G119/(0.9*(0.9*($C$7/100))*($L$9*1000))</f>
        <v>1.9806124478027429</v>
      </c>
      <c r="H120" s="208"/>
      <c r="I120" s="207">
        <f>I119/(0.9*(0.9*($C$7/100))*($L$9*1000))</f>
        <v>1.4956704045145492</v>
      </c>
      <c r="J120" s="208"/>
      <c r="K120" s="207">
        <f>K119/(0.9*(0.9*($C$7/100))*($L$9*1000))</f>
        <v>2.194530279258192</v>
      </c>
      <c r="L120" s="208"/>
      <c r="M120" s="207">
        <f>M119/(0.9*(0.9*($C$7/100))*($L$9*1000))</f>
        <v>3.07277385907584</v>
      </c>
      <c r="N120" s="208"/>
      <c r="O120" s="207">
        <f>O119/(0.9*(0.9*($C$7/100))*($L$9*1000))</f>
        <v>2.0078933593885608</v>
      </c>
      <c r="P120" s="208"/>
      <c r="Q120" s="207">
        <f>Q119/(0.9*(0.9*($C$7/100))*($L$9*1000))</f>
        <v>2.974053848979044</v>
      </c>
      <c r="R120" s="208"/>
      <c r="S120" s="207">
        <f>S119/(0.9*(0.9*($C$7/100))*($L$9*1000))</f>
        <v>2.5325487730410572</v>
      </c>
      <c r="T120" s="208"/>
      <c r="U120" s="207">
        <f>U119/(0.9*(0.9*($C$7/100))*($L$9*1000))</f>
        <v>0.46226623151856788</v>
      </c>
      <c r="V120" s="208"/>
    </row>
    <row r="121" spans="2:25" x14ac:dyDescent="0.25">
      <c r="B121" s="107" t="s">
        <v>98</v>
      </c>
      <c r="C121" s="209">
        <f>(C120*($L$9))/(0.85*$L$6*100)</f>
        <v>2.8954420643352678E-2</v>
      </c>
      <c r="D121" s="210"/>
      <c r="E121" s="209">
        <f>(E120*($L$9))/(0.85*$L$6*100)</f>
        <v>2.351009466967614E-2</v>
      </c>
      <c r="F121" s="210"/>
      <c r="G121" s="209">
        <f>(G120*($L$9))/(0.85*$L$6*100)</f>
        <v>4.8887089253723995E-2</v>
      </c>
      <c r="H121" s="210"/>
      <c r="I121" s="209">
        <f>(I120*($L$9))/(0.85*$L$6*100)</f>
        <v>3.6917354851916211E-2</v>
      </c>
      <c r="J121" s="210"/>
      <c r="K121" s="209">
        <f>(K120*($L$9))/(0.85*$L$6*100)</f>
        <v>5.4167183363466334E-2</v>
      </c>
      <c r="L121" s="210"/>
      <c r="M121" s="209">
        <f>(M120*($L$9))/(0.85*$L$6*100)</f>
        <v>7.5844706556197211E-2</v>
      </c>
      <c r="N121" s="210"/>
      <c r="O121" s="209">
        <f>(O120*($L$9))/(0.85*$L$6*100)</f>
        <v>4.9560458928391241E-2</v>
      </c>
      <c r="P121" s="210"/>
      <c r="Q121" s="209">
        <f>(Q120*($L$9))/(0.85*$L$6*100)</f>
        <v>7.3408018879067533E-2</v>
      </c>
      <c r="R121" s="210"/>
      <c r="S121" s="209">
        <f>(S120*($L$9))/(0.85*$L$6*100)</f>
        <v>6.2510431076215248E-2</v>
      </c>
      <c r="T121" s="210"/>
      <c r="U121" s="209">
        <f>(U120*($L$9))/(0.85*$L$6*100)</f>
        <v>1.1410031550746659E-2</v>
      </c>
      <c r="V121" s="210"/>
    </row>
    <row r="122" spans="2:25" ht="15.75" thickBot="1" x14ac:dyDescent="0.3">
      <c r="B122" s="108" t="s">
        <v>15</v>
      </c>
      <c r="C122" s="201">
        <f>ROUNDUP(C119/(0.9*(($C$7-C121/2)/100)*($L$9*1000)),2)</f>
        <v>1.06</v>
      </c>
      <c r="D122" s="202"/>
      <c r="E122" s="201">
        <f>ROUNDUP(E119/(0.9*(($C$7-E121/2)/100)*($L$9*1000)),2)</f>
        <v>0.86</v>
      </c>
      <c r="F122" s="202"/>
      <c r="G122" s="201">
        <f>ROUNDUP(G119/(0.9*(($C$7-G121/2)/100)*($L$9*1000)),2)</f>
        <v>1.79</v>
      </c>
      <c r="H122" s="202"/>
      <c r="I122" s="201">
        <f>ROUNDUP(I119/(0.9*(($C$7-I121/2)/100)*($L$9*1000)),2)</f>
        <v>1.35</v>
      </c>
      <c r="J122" s="202"/>
      <c r="K122" s="201">
        <f>ROUNDUP(K119/(0.9*(($C$7-K121/2)/100)*($L$9*1000)),2)</f>
        <v>1.98</v>
      </c>
      <c r="L122" s="202"/>
      <c r="M122" s="201">
        <f>ROUNDUP(M119/(0.9*(($C$7-M121/2)/100)*($L$9*1000)),2)</f>
        <v>2.78</v>
      </c>
      <c r="N122" s="202"/>
      <c r="O122" s="201">
        <f>ROUNDUP(O119/(0.9*(($C$7-O121/2)/100)*($L$9*1000)),2)</f>
        <v>1.82</v>
      </c>
      <c r="P122" s="202"/>
      <c r="Q122" s="201">
        <f>ROUNDUP(Q119/(0.9*(($C$7-Q121/2)/100)*($L$9*1000)),2)</f>
        <v>2.69</v>
      </c>
      <c r="R122" s="202"/>
      <c r="S122" s="201">
        <f>ROUNDUP(S119/(0.9*(($C$7-S121/2)/100)*($L$9*1000)),2)</f>
        <v>2.2899999999999996</v>
      </c>
      <c r="T122" s="202"/>
      <c r="U122" s="201">
        <f>ROUNDUP(U119/(0.9*(($C$7-U121/2)/100)*($L$9*1000)),2)</f>
        <v>0.42</v>
      </c>
      <c r="V122" s="202"/>
    </row>
    <row r="123" spans="2:25" ht="16.5" thickBot="1" x14ac:dyDescent="0.3">
      <c r="B123" s="61" t="s">
        <v>113</v>
      </c>
      <c r="C123" s="199" t="str">
        <f>IF(C122&gt;$C$12,"$\phi"&amp;IF(VLOOKUP(VLOOKUP(C122,tablas!$R$3:$T$66,2,TRUE)&amp;VLOOKUP(C122,tablas!$R$3:$T$66,3,TRUE),tablas!$Q$3:$R$66,2,FALSE)&lt;C122,VLOOKUP(C122+0.1,tablas!$R$3:$T$66,2,TRUE),VLOOKUP(C122,tablas!$R$3:$T$66,2,TRUE))&amp;"@"&amp;IF(VLOOKUP(VLOOKUP(C122,tablas!$R$3:$T$66,2,TRUE)&amp;VLOOKUP(C122,tablas!$R$3:$T$66,3,TRUE),tablas!$Q$3:$R$66,2,FALSE)&lt;C122,VLOOKUP(C122+0.1,tablas!$R$3:$T$66,3,TRUE)&amp;"$",VLOOKUP(C122,tablas!$R$3:$T$66,3,TRUE)&amp;"$"),$C$13)</f>
        <v>$\phi8@17$</v>
      </c>
      <c r="D123" s="200"/>
      <c r="E123" s="199" t="str">
        <f>IF(E122&gt;$C$12,"$\phi"&amp;IF(VLOOKUP(VLOOKUP(E122,tablas!$R$3:$T$66,2,TRUE)&amp;VLOOKUP(E122,tablas!$R$3:$T$66,3,TRUE),tablas!$Q$3:$R$66,2,FALSE)&lt;E122,VLOOKUP(E122+0.1,tablas!$R$3:$T$66,2,TRUE),VLOOKUP(E122,tablas!$R$3:$T$66,2,TRUE))&amp;"@"&amp;IF(VLOOKUP(VLOOKUP(E122,tablas!$R$3:$T$66,2,TRUE)&amp;VLOOKUP(E122,tablas!$R$3:$T$66,3,TRUE),tablas!$Q$3:$R$66,2,FALSE)&lt;E122,VLOOKUP(E122+0.1,tablas!$R$3:$T$66,3,TRUE)&amp;"$",VLOOKUP(E122,tablas!$R$3:$T$66,3,TRUE)&amp;"$"),$C$13)</f>
        <v>$\phi8@17$</v>
      </c>
      <c r="F123" s="200"/>
      <c r="G123" s="199" t="str">
        <f>IF(G122&gt;$C$12,"$\phi"&amp;IF(VLOOKUP(VLOOKUP(G122,tablas!$R$3:$T$66,2,TRUE)&amp;VLOOKUP(G122,tablas!$R$3:$T$66,3,TRUE),tablas!$Q$3:$R$66,2,FALSE)&lt;G122,VLOOKUP(G122+0.1,tablas!$R$3:$T$66,2,TRUE),VLOOKUP(G122,tablas!$R$3:$T$66,2,TRUE))&amp;"@"&amp;IF(VLOOKUP(VLOOKUP(G122,tablas!$R$3:$T$66,2,TRUE)&amp;VLOOKUP(G122,tablas!$R$3:$T$66,3,TRUE),tablas!$Q$3:$R$66,2,FALSE)&lt;G122,VLOOKUP(G122+0.1,tablas!$R$3:$T$66,3,TRUE)&amp;"$",VLOOKUP(G122,tablas!$R$3:$T$66,3,TRUE)&amp;"$"),$C$13)</f>
        <v>$\phi8@17$</v>
      </c>
      <c r="H123" s="200"/>
      <c r="I123" s="199" t="str">
        <f>IF(I122&gt;$C$12,"$\phi"&amp;IF(VLOOKUP(VLOOKUP(I122,tablas!$R$3:$T$66,2,TRUE)&amp;VLOOKUP(I122,tablas!$R$3:$T$66,3,TRUE),tablas!$Q$3:$R$66,2,FALSE)&lt;I122,VLOOKUP(I122+0.1,tablas!$R$3:$T$66,2,TRUE),VLOOKUP(I122,tablas!$R$3:$T$66,2,TRUE))&amp;"@"&amp;IF(VLOOKUP(VLOOKUP(I122,tablas!$R$3:$T$66,2,TRUE)&amp;VLOOKUP(I122,tablas!$R$3:$T$66,3,TRUE),tablas!$Q$3:$R$66,2,FALSE)&lt;I122,VLOOKUP(I122+0.1,tablas!$R$3:$T$66,3,TRUE)&amp;"$",VLOOKUP(I122,tablas!$R$3:$T$66,3,TRUE)&amp;"$"),$C$13)</f>
        <v>$\phi8@17$</v>
      </c>
      <c r="J123" s="200"/>
      <c r="K123" s="199" t="str">
        <f>IF(K122&gt;$C$12,"$\phi"&amp;IF(VLOOKUP(VLOOKUP(K122,tablas!$R$3:$T$66,2,TRUE)&amp;VLOOKUP(K122,tablas!$R$3:$T$66,3,TRUE),tablas!$Q$3:$R$66,2,FALSE)&lt;K122,VLOOKUP(K122+0.1,tablas!$R$3:$T$66,2,TRUE),VLOOKUP(K122,tablas!$R$3:$T$66,2,TRUE))&amp;"@"&amp;IF(VLOOKUP(VLOOKUP(K122,tablas!$R$3:$T$66,2,TRUE)&amp;VLOOKUP(K122,tablas!$R$3:$T$66,3,TRUE),tablas!$Q$3:$R$66,2,FALSE)&lt;K122,VLOOKUP(K122+0.1,tablas!$R$3:$T$66,3,TRUE)&amp;"$",VLOOKUP(K122,tablas!$R$3:$T$66,3,TRUE)&amp;"$"),$C$13)</f>
        <v>$\phi8@17$</v>
      </c>
      <c r="L123" s="200"/>
      <c r="M123" s="199" t="str">
        <f>IF(M122&gt;$C$12,"$\phi"&amp;IF(VLOOKUP(VLOOKUP(M122,tablas!$R$3:$T$66,2,TRUE)&amp;VLOOKUP(M122,tablas!$R$3:$T$66,3,TRUE),tablas!$Q$3:$R$66,2,FALSE)&lt;M122,VLOOKUP(M122+0.1,tablas!$R$3:$T$66,2,TRUE),VLOOKUP(M122,tablas!$R$3:$T$66,2,TRUE))&amp;"@"&amp;IF(VLOOKUP(VLOOKUP(M122,tablas!$R$3:$T$66,2,TRUE)&amp;VLOOKUP(M122,tablas!$R$3:$T$66,3,TRUE),tablas!$Q$3:$R$66,2,FALSE)&lt;M122,VLOOKUP(M122+0.1,tablas!$R$3:$T$66,3,TRUE)&amp;"$",VLOOKUP(M122,tablas!$R$3:$T$66,3,TRUE)&amp;"$"),$C$13)</f>
        <v>$\phi8@17$</v>
      </c>
      <c r="N123" s="200"/>
      <c r="O123" s="199" t="str">
        <f>IF(O122&gt;$C$12,"$\phi"&amp;IF(VLOOKUP(VLOOKUP(O122,tablas!$R$3:$T$66,2,TRUE)&amp;VLOOKUP(O122,tablas!$R$3:$T$66,3,TRUE),tablas!$Q$3:$R$66,2,FALSE)&lt;O122,VLOOKUP(O122+0.1,tablas!$R$3:$T$66,2,TRUE),VLOOKUP(O122,tablas!$R$3:$T$66,2,TRUE))&amp;"@"&amp;IF(VLOOKUP(VLOOKUP(O122,tablas!$R$3:$T$66,2,TRUE)&amp;VLOOKUP(O122,tablas!$R$3:$T$66,3,TRUE),tablas!$Q$3:$R$66,2,FALSE)&lt;O122,VLOOKUP(O122+0.1,tablas!$R$3:$T$66,3,TRUE)&amp;"$",VLOOKUP(O122,tablas!$R$3:$T$66,3,TRUE)&amp;"$"),$C$13)</f>
        <v>$\phi8@17$</v>
      </c>
      <c r="P123" s="200"/>
      <c r="Q123" s="199" t="str">
        <f>IF(Q122&gt;$C$12,"$\phi"&amp;IF(VLOOKUP(VLOOKUP(Q122,tablas!$R$3:$T$66,2,TRUE)&amp;VLOOKUP(Q122,tablas!$R$3:$T$66,3,TRUE),tablas!$Q$3:$R$66,2,FALSE)&lt;Q122,VLOOKUP(Q122+0.1,tablas!$R$3:$T$66,2,TRUE),VLOOKUP(Q122,tablas!$R$3:$T$66,2,TRUE))&amp;"@"&amp;IF(VLOOKUP(VLOOKUP(Q122,tablas!$R$3:$T$66,2,TRUE)&amp;VLOOKUP(Q122,tablas!$R$3:$T$66,3,TRUE),tablas!$Q$3:$R$66,2,FALSE)&lt;Q122,VLOOKUP(Q122+0.1,tablas!$R$3:$T$66,3,TRUE)&amp;"$",VLOOKUP(Q122,tablas!$R$3:$T$66,3,TRUE)&amp;"$"),$C$13)</f>
        <v>$\phi8@17$</v>
      </c>
      <c r="R123" s="200"/>
      <c r="S123" s="199" t="str">
        <f>IF(S122&gt;$C$12,"$\phi"&amp;IF(VLOOKUP(VLOOKUP(S122,tablas!$R$3:$T$66,2,TRUE)&amp;VLOOKUP(S122,tablas!$R$3:$T$66,3,TRUE),tablas!$Q$3:$R$66,2,FALSE)&lt;S122,VLOOKUP(S122+0.1,tablas!$R$3:$T$66,2,TRUE),VLOOKUP(S122,tablas!$R$3:$T$66,2,TRUE))&amp;"@"&amp;IF(VLOOKUP(VLOOKUP(S122,tablas!$R$3:$T$66,2,TRUE)&amp;VLOOKUP(S122,tablas!$R$3:$T$66,3,TRUE),tablas!$Q$3:$R$66,2,FALSE)&lt;S122,VLOOKUP(S122+0.1,tablas!$R$3:$T$66,3,TRUE)&amp;"$",VLOOKUP(S122,tablas!$R$3:$T$66,3,TRUE)&amp;"$"),$C$13)</f>
        <v>$\phi8@17$</v>
      </c>
      <c r="T123" s="200"/>
      <c r="U123" s="199" t="str">
        <f>IF(U122&gt;$C$12,"$\phi"&amp;IF(VLOOKUP(VLOOKUP(U122,tablas!$R$3:$T$66,2,TRUE)&amp;VLOOKUP(U122,tablas!$R$3:$T$66,3,TRUE),tablas!$Q$3:$R$66,2,FALSE)&lt;U122,VLOOKUP(U122+0.1,tablas!$R$3:$T$66,2,TRUE),VLOOKUP(U122,tablas!$R$3:$T$66,2,TRUE))&amp;"@"&amp;IF(VLOOKUP(VLOOKUP(U122,tablas!$R$3:$T$66,2,TRUE)&amp;VLOOKUP(U122,tablas!$R$3:$T$66,3,TRUE),tablas!$Q$3:$R$66,2,FALSE)&lt;U122,VLOOKUP(U122+0.1,tablas!$R$3:$T$66,3,TRUE)&amp;"$",VLOOKUP(U122,tablas!$R$3:$T$66,3,TRUE)&amp;"$"),$C$13)</f>
        <v>$\phi8@17$</v>
      </c>
      <c r="V123" s="200"/>
    </row>
    <row r="124" spans="2:25" x14ac:dyDescent="0.25">
      <c r="C124" t="str">
        <f>IF(C123='2 a 7'!C123:D123,"IGUAL","PUTA LA WEA")</f>
        <v>IGUAL</v>
      </c>
      <c r="E124" t="str">
        <f>IF(E123='2 a 7'!E123:F123,"IGUAL","PUTA LA WEA")</f>
        <v>IGUAL</v>
      </c>
      <c r="G124" t="str">
        <f>IF(G123='2 a 7'!G123:H123,"IGUAL","PUTA LA WEA")</f>
        <v>IGUAL</v>
      </c>
      <c r="I124" t="str">
        <f>IF(I123='2 a 7'!I123:J123,"IGUAL","PUTA LA WEA")</f>
        <v>IGUAL</v>
      </c>
      <c r="K124" t="str">
        <f>IF(K123='2 a 7'!K123:L123,"IGUAL","PUTA LA WEA")</f>
        <v>IGUAL</v>
      </c>
      <c r="M124" t="str">
        <f>IF(M123='2 a 7'!M123:N123,"IGUAL","PUTA LA WEA")</f>
        <v>IGUAL</v>
      </c>
      <c r="O124" t="str">
        <f>IF(O123='2 a 7'!O123:P123,"IGUAL","PUTA LA WEA")</f>
        <v>IGUAL</v>
      </c>
      <c r="Q124" t="str">
        <f>IF(Q123='2 a 7'!Q123:R123,"IGUAL","PUTA LA WEA")</f>
        <v>IGUAL</v>
      </c>
      <c r="S124" t="str">
        <f>IF(S123='2 a 7'!S123:T123,"IGUAL","PUTA LA WEA")</f>
        <v>IGUAL</v>
      </c>
      <c r="U124" t="str">
        <f>IF(U123='2 a 7'!U123:V123,"IGUAL","PUTA LA WEA")</f>
        <v>IGUAL</v>
      </c>
    </row>
  </sheetData>
  <mergeCells count="208">
    <mergeCell ref="E4:F4"/>
    <mergeCell ref="H4:I4"/>
    <mergeCell ref="K4:L4"/>
    <mergeCell ref="B91:C91"/>
    <mergeCell ref="C96:D96"/>
    <mergeCell ref="E96:F96"/>
    <mergeCell ref="G96:H96"/>
    <mergeCell ref="I96:J96"/>
    <mergeCell ref="K96:L96"/>
    <mergeCell ref="Y96:Z96"/>
    <mergeCell ref="C97:D97"/>
    <mergeCell ref="E97:F97"/>
    <mergeCell ref="G97:H97"/>
    <mergeCell ref="I97:J97"/>
    <mergeCell ref="K97:L97"/>
    <mergeCell ref="M97:N97"/>
    <mergeCell ref="O97:P97"/>
    <mergeCell ref="Q97:R97"/>
    <mergeCell ref="S97:T97"/>
    <mergeCell ref="M96:N96"/>
    <mergeCell ref="O96:P96"/>
    <mergeCell ref="Q96:R96"/>
    <mergeCell ref="S96:T96"/>
    <mergeCell ref="U96:V96"/>
    <mergeCell ref="W96:X96"/>
    <mergeCell ref="U97:V97"/>
    <mergeCell ref="W97:X97"/>
    <mergeCell ref="Y97:Z97"/>
    <mergeCell ref="U98:V98"/>
    <mergeCell ref="W98:X98"/>
    <mergeCell ref="Y98:Z98"/>
    <mergeCell ref="C99:D99"/>
    <mergeCell ref="E99:F99"/>
    <mergeCell ref="G99:H99"/>
    <mergeCell ref="I99:J99"/>
    <mergeCell ref="K99:L99"/>
    <mergeCell ref="Y99:Z99"/>
    <mergeCell ref="M99:N99"/>
    <mergeCell ref="O99:P99"/>
    <mergeCell ref="Q99:R99"/>
    <mergeCell ref="S99:T99"/>
    <mergeCell ref="U99:V99"/>
    <mergeCell ref="W99:X99"/>
    <mergeCell ref="C98:D98"/>
    <mergeCell ref="E98:F98"/>
    <mergeCell ref="G98:H98"/>
    <mergeCell ref="I98:J98"/>
    <mergeCell ref="K98:L98"/>
    <mergeCell ref="M98:N98"/>
    <mergeCell ref="O98:P98"/>
    <mergeCell ref="Q98:R98"/>
    <mergeCell ref="S98:T98"/>
    <mergeCell ref="U100:V100"/>
    <mergeCell ref="W100:X100"/>
    <mergeCell ref="Y100:Z100"/>
    <mergeCell ref="C101:D101"/>
    <mergeCell ref="E101:F101"/>
    <mergeCell ref="G101:H101"/>
    <mergeCell ref="I101:J101"/>
    <mergeCell ref="K101:L101"/>
    <mergeCell ref="M101:N101"/>
    <mergeCell ref="O101:P101"/>
    <mergeCell ref="Q101:R101"/>
    <mergeCell ref="S101:T101"/>
    <mergeCell ref="U101:V101"/>
    <mergeCell ref="W101:X101"/>
    <mergeCell ref="Y101:Z101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C107:D107"/>
    <mergeCell ref="E107:F107"/>
    <mergeCell ref="G107:H107"/>
    <mergeCell ref="I107:J107"/>
    <mergeCell ref="K107:L107"/>
    <mergeCell ref="Y107:Z107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M107:N107"/>
    <mergeCell ref="O107:P107"/>
    <mergeCell ref="Q107:R107"/>
    <mergeCell ref="S107:T107"/>
    <mergeCell ref="U107:V107"/>
    <mergeCell ref="W107:X107"/>
    <mergeCell ref="U108:V108"/>
    <mergeCell ref="W108:X108"/>
    <mergeCell ref="Y108:Z108"/>
    <mergeCell ref="U109:V109"/>
    <mergeCell ref="W109:X109"/>
    <mergeCell ref="Y109:Z109"/>
    <mergeCell ref="C110:D110"/>
    <mergeCell ref="E110:F110"/>
    <mergeCell ref="G110:H110"/>
    <mergeCell ref="I110:J110"/>
    <mergeCell ref="K110:L110"/>
    <mergeCell ref="Y110:Z110"/>
    <mergeCell ref="M110:N110"/>
    <mergeCell ref="O110:P110"/>
    <mergeCell ref="Q110:R110"/>
    <mergeCell ref="S110:T110"/>
    <mergeCell ref="U110:V110"/>
    <mergeCell ref="W110:X110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U111:V111"/>
    <mergeCell ref="W111:X111"/>
    <mergeCell ref="Y111:Z111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C111:D111"/>
    <mergeCell ref="E111:F111"/>
    <mergeCell ref="G111:H111"/>
    <mergeCell ref="I111:J111"/>
    <mergeCell ref="K111:L111"/>
    <mergeCell ref="M111:N111"/>
    <mergeCell ref="O111:P111"/>
    <mergeCell ref="Q111:R111"/>
    <mergeCell ref="S111:T111"/>
    <mergeCell ref="S121:T121"/>
    <mergeCell ref="U118:V118"/>
    <mergeCell ref="C119:D119"/>
    <mergeCell ref="E119:F119"/>
    <mergeCell ref="G119:H119"/>
    <mergeCell ref="I119:J119"/>
    <mergeCell ref="K119:L119"/>
    <mergeCell ref="M119:N119"/>
    <mergeCell ref="O119:P119"/>
    <mergeCell ref="Q119:R119"/>
    <mergeCell ref="S119:T119"/>
    <mergeCell ref="U119:V119"/>
    <mergeCell ref="C118:D118"/>
    <mergeCell ref="E118:F118"/>
    <mergeCell ref="G118:H118"/>
    <mergeCell ref="I118:J118"/>
    <mergeCell ref="K118:L118"/>
    <mergeCell ref="M118:N118"/>
    <mergeCell ref="O118:P118"/>
    <mergeCell ref="Q118:R118"/>
    <mergeCell ref="S118:T118"/>
    <mergeCell ref="C120:D120"/>
    <mergeCell ref="E120:F120"/>
    <mergeCell ref="G120:H120"/>
    <mergeCell ref="I120:J120"/>
    <mergeCell ref="K120:L120"/>
    <mergeCell ref="U121:V121"/>
    <mergeCell ref="C122:D122"/>
    <mergeCell ref="E122:F122"/>
    <mergeCell ref="G122:H122"/>
    <mergeCell ref="I122:J122"/>
    <mergeCell ref="K122:L122"/>
    <mergeCell ref="M120:N120"/>
    <mergeCell ref="O120:P120"/>
    <mergeCell ref="Q120:R120"/>
    <mergeCell ref="S120:T120"/>
    <mergeCell ref="U120:V120"/>
    <mergeCell ref="C121:D121"/>
    <mergeCell ref="E121:F121"/>
    <mergeCell ref="G121:H121"/>
    <mergeCell ref="I121:J121"/>
    <mergeCell ref="K121:L121"/>
    <mergeCell ref="M121:N121"/>
    <mergeCell ref="O121:P121"/>
    <mergeCell ref="Q121:R121"/>
    <mergeCell ref="U123:V123"/>
    <mergeCell ref="M122:N122"/>
    <mergeCell ref="O122:P122"/>
    <mergeCell ref="Q122:R122"/>
    <mergeCell ref="S122:T122"/>
    <mergeCell ref="U122:V122"/>
    <mergeCell ref="C123:D123"/>
    <mergeCell ref="E123:F123"/>
    <mergeCell ref="G123:H123"/>
    <mergeCell ref="I123:J123"/>
    <mergeCell ref="K123:L123"/>
    <mergeCell ref="M123:N123"/>
    <mergeCell ref="O123:P123"/>
    <mergeCell ref="Q123:R123"/>
    <mergeCell ref="S123:T12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07F4-D24D-4882-A776-3042513DF822}">
  <dimension ref="B1:S64"/>
  <sheetViews>
    <sheetView topLeftCell="A3" zoomScale="85" zoomScaleNormal="85" workbookViewId="0">
      <selection activeCell="D5" sqref="D3:D5"/>
    </sheetView>
  </sheetViews>
  <sheetFormatPr defaultColWidth="11.5703125" defaultRowHeight="15" x14ac:dyDescent="0.25"/>
  <cols>
    <col min="1" max="1" width="2.85546875" style="1" customWidth="1"/>
    <col min="2" max="2" width="11.5703125" style="1"/>
    <col min="3" max="3" width="0" style="1" hidden="1" customWidth="1"/>
    <col min="4" max="4" width="11.5703125" style="1"/>
    <col min="5" max="5" width="12.42578125" style="1" customWidth="1"/>
    <col min="6" max="6" width="14.140625" style="1" customWidth="1"/>
    <col min="7" max="7" width="13.140625" style="1" customWidth="1"/>
    <col min="8" max="8" width="13.7109375" style="1" bestFit="1" customWidth="1"/>
    <col min="9" max="9" width="13.42578125" style="1" customWidth="1"/>
    <col min="10" max="10" width="12.7109375" style="1" bestFit="1" customWidth="1"/>
    <col min="11" max="11" width="12.7109375" style="1" customWidth="1"/>
    <col min="12" max="12" width="13.85546875" style="1" customWidth="1"/>
    <col min="13" max="13" width="12.85546875" style="1" customWidth="1"/>
    <col min="14" max="14" width="14.140625" style="1" customWidth="1"/>
    <col min="15" max="15" width="11.5703125" style="1"/>
    <col min="16" max="16" width="9.7109375" style="1" customWidth="1"/>
    <col min="17" max="17" width="20.7109375" style="1" bestFit="1" customWidth="1"/>
    <col min="18" max="18" width="14.28515625" style="1" bestFit="1" customWidth="1"/>
    <col min="19" max="19" width="13.42578125" style="1" customWidth="1"/>
    <col min="20" max="16384" width="11.5703125" style="1"/>
  </cols>
  <sheetData>
    <row r="1" spans="2:19" ht="15.75" thickBot="1" x14ac:dyDescent="0.3">
      <c r="P1"/>
      <c r="Q1"/>
      <c r="R1"/>
      <c r="S1"/>
    </row>
    <row r="2" spans="2:19" ht="15.75" thickBot="1" x14ac:dyDescent="0.3">
      <c r="B2" s="222" t="s">
        <v>250</v>
      </c>
      <c r="C2" s="223"/>
      <c r="D2" s="223"/>
      <c r="E2" s="223"/>
      <c r="F2" s="223"/>
      <c r="G2" s="223"/>
      <c r="H2" s="224"/>
      <c r="I2" s="225"/>
      <c r="J2" s="225"/>
      <c r="K2" s="225"/>
      <c r="L2" s="225"/>
      <c r="M2" s="225"/>
      <c r="N2" s="225"/>
    </row>
    <row r="3" spans="2:19" ht="15.75" thickBot="1" x14ac:dyDescent="0.3">
      <c r="B3" s="262" t="s">
        <v>43</v>
      </c>
      <c r="C3" s="139"/>
      <c r="D3" s="238" t="s">
        <v>19</v>
      </c>
      <c r="E3" s="226" t="s">
        <v>246</v>
      </c>
      <c r="F3" s="226" t="s">
        <v>244</v>
      </c>
      <c r="G3" s="228" t="s">
        <v>240</v>
      </c>
      <c r="H3" s="229"/>
      <c r="I3" s="228" t="s">
        <v>241</v>
      </c>
      <c r="J3" s="229"/>
      <c r="K3" s="228" t="s">
        <v>247</v>
      </c>
      <c r="L3" s="229"/>
      <c r="M3" s="228" t="s">
        <v>248</v>
      </c>
      <c r="N3" s="224"/>
    </row>
    <row r="4" spans="2:19" ht="30.75" thickBot="1" x14ac:dyDescent="0.3">
      <c r="B4" s="263"/>
      <c r="C4" s="140"/>
      <c r="D4" s="239"/>
      <c r="E4" s="227"/>
      <c r="F4" s="227"/>
      <c r="G4" s="141" t="s">
        <v>245</v>
      </c>
      <c r="H4" s="142" t="s">
        <v>242</v>
      </c>
      <c r="I4" s="141" t="s">
        <v>245</v>
      </c>
      <c r="J4" s="142" t="s">
        <v>242</v>
      </c>
      <c r="K4" s="141" t="s">
        <v>245</v>
      </c>
      <c r="L4" s="142" t="s">
        <v>242</v>
      </c>
      <c r="M4" s="141" t="s">
        <v>245</v>
      </c>
      <c r="N4" s="138" t="s">
        <v>242</v>
      </c>
    </row>
    <row r="5" spans="2:19" x14ac:dyDescent="0.25">
      <c r="B5" s="274" t="s">
        <v>251</v>
      </c>
      <c r="C5" s="275" t="str">
        <f>'2 a 7'!D46</f>
        <v>202</v>
      </c>
      <c r="D5" s="285">
        <f>'2 a 7'!$C$4</f>
        <v>16</v>
      </c>
      <c r="E5" s="270">
        <f>'2 a 7'!$C$12</f>
        <v>2.88</v>
      </c>
      <c r="F5" s="270">
        <f>HLOOKUP($C5,'2 a 7'!$C$46:$AE$89,21)</f>
        <v>1070</v>
      </c>
      <c r="G5" s="270">
        <f>HLOOKUP($C5,'2 a 7'!$C$46:$AE$89,28)</f>
        <v>0.72</v>
      </c>
      <c r="H5" s="270" t="str">
        <f>HLOOKUP($C5,'2 a 7'!$C$46:$AE$89,29)</f>
        <v>$\phi8@17$</v>
      </c>
      <c r="I5" s="270">
        <f>HLOOKUP($C5,'2 a 7'!$C$46:$AE$89,33)</f>
        <v>0.34</v>
      </c>
      <c r="J5" s="270" t="str">
        <f>HLOOKUP($C5,'1'!$C$46:$AE$89,34)</f>
        <v>$\phi8@17$</v>
      </c>
      <c r="K5" s="270">
        <f>HLOOKUP($C5,'1'!$C$46:$AE$89,38)</f>
        <v>0.56000000000000005</v>
      </c>
      <c r="L5" s="270" t="str">
        <f>HLOOKUP($C5,'2 a 7'!$C$46:$AE$89,39)</f>
        <v>$\phi8@17$</v>
      </c>
      <c r="M5" s="270">
        <f>HLOOKUP($C5,'2 a 7'!$C$46:$AE$89,43)</f>
        <v>2.2599999999999998</v>
      </c>
      <c r="N5" s="271" t="str">
        <f>HLOOKUP($C5,'2 a 7'!$C$46:$AE$89,44)</f>
        <v>$\phi8@17$</v>
      </c>
    </row>
    <row r="6" spans="2:19" x14ac:dyDescent="0.25">
      <c r="B6" s="276" t="s">
        <v>252</v>
      </c>
      <c r="C6" s="241" t="str">
        <f>'2 a 7'!E46</f>
        <v>203</v>
      </c>
      <c r="D6" s="241">
        <f>'2 a 7'!$C$4</f>
        <v>16</v>
      </c>
      <c r="E6" s="236">
        <f>'2 a 7'!$C$12</f>
        <v>2.88</v>
      </c>
      <c r="F6" s="236">
        <f>HLOOKUP($C6,'2 a 7'!$C$46:$AE$89,21)</f>
        <v>1070</v>
      </c>
      <c r="G6" s="236">
        <f>HLOOKUP($C6,'2 a 7'!$C$46:$AE$89,28)</f>
        <v>0.72</v>
      </c>
      <c r="H6" s="236" t="str">
        <f>HLOOKUP($C6,'2 a 7'!$C$46:$AE$89,29)</f>
        <v>$\phi8@17$</v>
      </c>
      <c r="I6" s="236">
        <f>HLOOKUP($C6,'2 a 7'!$C$46:$AE$89,33)</f>
        <v>0.34</v>
      </c>
      <c r="J6" s="236" t="str">
        <f>HLOOKUP($C6,'1'!$C$46:$AE$89,34)</f>
        <v>$\phi8@17$</v>
      </c>
      <c r="K6" s="236">
        <f>HLOOKUP($C6,'1'!$C$46:$AE$89,38)</f>
        <v>0.56000000000000005</v>
      </c>
      <c r="L6" s="236" t="str">
        <f>HLOOKUP($C6,'2 a 7'!$C$46:$AE$89,39)</f>
        <v>$\phi8@17$</v>
      </c>
      <c r="M6" s="236">
        <f>HLOOKUP($C6,'2 a 7'!$C$46:$AE$89,43)</f>
        <v>2.2599999999999998</v>
      </c>
      <c r="N6" s="272" t="str">
        <f>HLOOKUP($C6,'2 a 7'!$C$46:$AE$89,44)</f>
        <v>$\phi8@17$</v>
      </c>
    </row>
    <row r="7" spans="2:19" x14ac:dyDescent="0.25">
      <c r="B7" s="276" t="s">
        <v>253</v>
      </c>
      <c r="C7" s="241" t="str">
        <f>'2 a 7'!F46</f>
        <v>204</v>
      </c>
      <c r="D7" s="241">
        <f>'2 a 7'!$C$4</f>
        <v>16</v>
      </c>
      <c r="E7" s="236">
        <f>'2 a 7'!$C$12</f>
        <v>2.88</v>
      </c>
      <c r="F7" s="236">
        <f>HLOOKUP($C7,'2 a 7'!$C$46:$AE$89,21)</f>
        <v>1070</v>
      </c>
      <c r="G7" s="236">
        <f>HLOOKUP($C7,'2 a 7'!$C$46:$AE$89,28)</f>
        <v>1.36</v>
      </c>
      <c r="H7" s="236" t="str">
        <f>HLOOKUP($C7,'2 a 7'!$C$46:$AE$89,29)</f>
        <v>$\phi8@17$</v>
      </c>
      <c r="I7" s="236">
        <f>HLOOKUP($C7,'2 a 7'!$C$46:$AE$89,33)</f>
        <v>0.52</v>
      </c>
      <c r="J7" s="236" t="str">
        <f>HLOOKUP($C7,'1'!$C$46:$AE$89,34)</f>
        <v>$\phi8@17$</v>
      </c>
      <c r="K7" s="236">
        <f>HLOOKUP($C7,'1'!$C$46:$AE$89,38)</f>
        <v>0.56000000000000005</v>
      </c>
      <c r="L7" s="236" t="str">
        <f>HLOOKUP($C7,'2 a 7'!$C$46:$AE$89,39)</f>
        <v>$\phi8@10$</v>
      </c>
      <c r="M7" s="236">
        <f>HLOOKUP($C7,'2 a 7'!$C$46:$AE$89,43)</f>
        <v>3.88</v>
      </c>
      <c r="N7" s="272" t="str">
        <f>HLOOKUP($C7,'2 a 7'!$C$46:$AE$89,44)</f>
        <v>$\phi10@20$</v>
      </c>
    </row>
    <row r="8" spans="2:19" x14ac:dyDescent="0.25">
      <c r="B8" s="276" t="s">
        <v>254</v>
      </c>
      <c r="C8" s="241" t="str">
        <f>'2 a 7'!G46</f>
        <v>205</v>
      </c>
      <c r="D8" s="241">
        <f>'2 a 7'!$C$4</f>
        <v>16</v>
      </c>
      <c r="E8" s="236">
        <f>'2 a 7'!$C$12</f>
        <v>2.88</v>
      </c>
      <c r="F8" s="236">
        <f>HLOOKUP($C8,'2 a 7'!$C$46:$AE$89,21)</f>
        <v>1070</v>
      </c>
      <c r="G8" s="236">
        <f>HLOOKUP($C8,'2 a 7'!$C$46:$AE$89,28)</f>
        <v>1.06</v>
      </c>
      <c r="H8" s="236" t="str">
        <f>HLOOKUP($C8,'2 a 7'!$C$46:$AE$89,29)</f>
        <v>$\phi8@17$</v>
      </c>
      <c r="I8" s="236">
        <f>HLOOKUP($C8,'2 a 7'!$C$46:$AE$89,33)</f>
        <v>0.63</v>
      </c>
      <c r="J8" s="236" t="str">
        <f>HLOOKUP($C8,'1'!$C$46:$AE$89,34)</f>
        <v>$\phi8@17$</v>
      </c>
      <c r="K8" s="236">
        <f>HLOOKUP($C8,'1'!$C$46:$AE$89,38)</f>
        <v>0.56000000000000005</v>
      </c>
      <c r="L8" s="236" t="str">
        <f>HLOOKUP($C8,'2 a 7'!$C$46:$AE$89,39)</f>
        <v>$\phi10@18$</v>
      </c>
      <c r="M8" s="236">
        <f>HLOOKUP($C8,'2 a 7'!$C$46:$AE$89,43)</f>
        <v>3.75</v>
      </c>
      <c r="N8" s="272" t="str">
        <f>HLOOKUP($C8,'2 a 7'!$C$46:$AE$89,44)</f>
        <v>$\phi10@21$</v>
      </c>
    </row>
    <row r="9" spans="2:19" x14ac:dyDescent="0.25">
      <c r="B9" s="276" t="s">
        <v>255</v>
      </c>
      <c r="C9" s="241" t="str">
        <f>'2 a 7'!H46</f>
        <v>206</v>
      </c>
      <c r="D9" s="241">
        <f>'2 a 7'!$C$4</f>
        <v>16</v>
      </c>
      <c r="E9" s="236">
        <f>'2 a 7'!$C$12</f>
        <v>2.88</v>
      </c>
      <c r="F9" s="236">
        <f>HLOOKUP($C9,'2 a 7'!$C$46:$AE$89,21)</f>
        <v>1070</v>
      </c>
      <c r="G9" s="236">
        <f>HLOOKUP($C9,'2 a 7'!$C$46:$AE$89,28)</f>
        <v>0.6</v>
      </c>
      <c r="H9" s="236" t="str">
        <f>HLOOKUP($C9,'2 a 7'!$C$46:$AE$89,29)</f>
        <v>$\phi8@17$</v>
      </c>
      <c r="I9" s="236">
        <f>HLOOKUP($C9,'2 a 7'!$C$46:$AE$89,33)</f>
        <v>0.46</v>
      </c>
      <c r="J9" s="236" t="str">
        <f>HLOOKUP($C9,'1'!$C$46:$AE$89,34)</f>
        <v>$\phi8@17$</v>
      </c>
      <c r="K9" s="236">
        <f>HLOOKUP($C9,'1'!$C$46:$AE$89,38)</f>
        <v>0.56000000000000005</v>
      </c>
      <c r="L9" s="236" t="str">
        <f>HLOOKUP($C9,'2 a 7'!$C$46:$AE$89,39)</f>
        <v>$\phi8@17$</v>
      </c>
      <c r="M9" s="236">
        <f>HLOOKUP($C9,'2 a 7'!$C$46:$AE$89,43)</f>
        <v>2.46</v>
      </c>
      <c r="N9" s="272" t="str">
        <f>HLOOKUP($C9,'2 a 7'!$C$46:$AE$89,44)</f>
        <v>$\phi8@17$</v>
      </c>
    </row>
    <row r="10" spans="2:19" x14ac:dyDescent="0.25">
      <c r="B10" s="276" t="s">
        <v>256</v>
      </c>
      <c r="C10" s="241" t="str">
        <f>'2 a 7'!I46</f>
        <v>207</v>
      </c>
      <c r="D10" s="241">
        <f>'2 a 7'!$C$4</f>
        <v>16</v>
      </c>
      <c r="E10" s="236">
        <f>'2 a 7'!$C$12</f>
        <v>2.88</v>
      </c>
      <c r="F10" s="236">
        <f>HLOOKUP($C10,'2 a 7'!$C$46:$AE$89,21)</f>
        <v>1390</v>
      </c>
      <c r="G10" s="236">
        <f>HLOOKUP($C10,'2 a 7'!$C$46:$AE$89,28)</f>
        <v>0.49</v>
      </c>
      <c r="H10" s="236" t="str">
        <f>HLOOKUP($C10,'2 a 7'!$C$46:$AE$89,29)</f>
        <v>$\phi8@17$</v>
      </c>
      <c r="I10" s="236">
        <f>HLOOKUP($C10,'2 a 7'!$C$46:$AE$89,33)</f>
        <v>0.09</v>
      </c>
      <c r="J10" s="236" t="str">
        <f>HLOOKUP($C10,'1'!$C$46:$AE$89,34)</f>
        <v>$\phi8@17$</v>
      </c>
      <c r="K10" s="236">
        <f>HLOOKUP($C10,'1'!$C$46:$AE$89,38)</f>
        <v>0.56000000000000005</v>
      </c>
      <c r="L10" s="236" t="str">
        <f>HLOOKUP($C10,'2 a 7'!$C$46:$AE$89,39)</f>
        <v>$\phi8@17$</v>
      </c>
      <c r="M10" s="236">
        <f>HLOOKUP($C10,'2 a 7'!$C$46:$AE$89,43)</f>
        <v>0.89</v>
      </c>
      <c r="N10" s="272" t="str">
        <f>HLOOKUP($C10,'2 a 7'!$C$46:$AE$89,44)</f>
        <v>$\phi8@17$</v>
      </c>
    </row>
    <row r="11" spans="2:19" x14ac:dyDescent="0.25">
      <c r="B11" s="276" t="s">
        <v>257</v>
      </c>
      <c r="C11" s="241" t="str">
        <f>'2 a 7'!J46</f>
        <v>208</v>
      </c>
      <c r="D11" s="241">
        <f>'2 a 7'!$C$4</f>
        <v>16</v>
      </c>
      <c r="E11" s="236">
        <f>'2 a 7'!$C$12</f>
        <v>2.88</v>
      </c>
      <c r="F11" s="236">
        <f>HLOOKUP($C11,'2 a 7'!$C$46:$AE$89,21)</f>
        <v>1390</v>
      </c>
      <c r="G11" s="236">
        <f>HLOOKUP($C11,'2 a 7'!$C$46:$AE$89,28)</f>
        <v>0.3</v>
      </c>
      <c r="H11" s="236" t="str">
        <f>HLOOKUP($C11,'2 a 7'!$C$46:$AE$89,29)</f>
        <v>$\phi8@17$</v>
      </c>
      <c r="I11" s="236">
        <f>HLOOKUP($C11,'2 a 7'!$C$46:$AE$89,33)</f>
        <v>0</v>
      </c>
      <c r="J11" s="236" t="str">
        <f>HLOOKUP($C11,'1'!$C$46:$AE$89,34)</f>
        <v>$\phi8@17$</v>
      </c>
      <c r="K11" s="236">
        <f>HLOOKUP($C11,'1'!$C$46:$AE$89,38)</f>
        <v>0.56000000000000005</v>
      </c>
      <c r="L11" s="236" t="str">
        <f>HLOOKUP($C11,'2 a 7'!$C$46:$AE$89,39)</f>
        <v>$\phi8@17$</v>
      </c>
      <c r="M11" s="236">
        <f>HLOOKUP($C11,'2 a 7'!$C$46:$AE$89,43)</f>
        <v>0.29000000000000004</v>
      </c>
      <c r="N11" s="272" t="str">
        <f>HLOOKUP($C11,'2 a 7'!$C$46:$AE$89,44)</f>
        <v>$\phi8@17$</v>
      </c>
    </row>
    <row r="12" spans="2:19" x14ac:dyDescent="0.25">
      <c r="B12" s="276" t="s">
        <v>258</v>
      </c>
      <c r="C12" s="241" t="str">
        <f>'2 a 7'!K46</f>
        <v>209</v>
      </c>
      <c r="D12" s="241">
        <f>'2 a 7'!$C$4</f>
        <v>16</v>
      </c>
      <c r="E12" s="236">
        <f>'2 a 7'!$C$12</f>
        <v>2.88</v>
      </c>
      <c r="F12" s="236">
        <f>HLOOKUP($C12,'2 a 7'!$C$46:$AE$89,21)</f>
        <v>1390</v>
      </c>
      <c r="G12" s="236">
        <f>HLOOKUP($C12,'2 a 7'!$C$46:$AE$89,28)</f>
        <v>1.28</v>
      </c>
      <c r="H12" s="236" t="str">
        <f>HLOOKUP($C12,'2 a 7'!$C$46:$AE$89,29)</f>
        <v>$\phi8@17$</v>
      </c>
      <c r="I12" s="236">
        <f>HLOOKUP($C12,'2 a 7'!$C$46:$AE$89,33)</f>
        <v>0</v>
      </c>
      <c r="J12" s="236" t="str">
        <f>HLOOKUP($C12,'1'!$C$46:$AE$89,34)</f>
        <v>$\phi8@17$</v>
      </c>
      <c r="K12" s="236">
        <f>HLOOKUP($C12,'1'!$C$46:$AE$89,38)</f>
        <v>0.56000000000000005</v>
      </c>
      <c r="L12" s="236" t="str">
        <f>HLOOKUP($C12,'2 a 7'!$C$46:$AE$89,39)</f>
        <v>$\phi8@17$</v>
      </c>
      <c r="M12" s="236">
        <f>HLOOKUP($C12,'2 a 7'!$C$46:$AE$89,43)</f>
        <v>1.24</v>
      </c>
      <c r="N12" s="272" t="str">
        <f>HLOOKUP($C12,'2 a 7'!$C$46:$AE$89,44)</f>
        <v>$\phi8@17$</v>
      </c>
    </row>
    <row r="13" spans="2:19" x14ac:dyDescent="0.25">
      <c r="B13" s="276" t="s">
        <v>259</v>
      </c>
      <c r="C13" s="241" t="str">
        <f>'2 a 7'!L46</f>
        <v>210</v>
      </c>
      <c r="D13" s="241">
        <f>'2 a 7'!$C$4</f>
        <v>16</v>
      </c>
      <c r="E13" s="236">
        <f>'2 a 7'!$C$12</f>
        <v>2.88</v>
      </c>
      <c r="F13" s="236">
        <f>HLOOKUP($C13,'2 a 7'!$C$46:$AE$89,21)</f>
        <v>1070</v>
      </c>
      <c r="G13" s="236">
        <f>HLOOKUP($C13,'2 a 7'!$C$46:$AE$89,28)</f>
        <v>0.6</v>
      </c>
      <c r="H13" s="236" t="str">
        <f>HLOOKUP($C13,'2 a 7'!$C$46:$AE$89,29)</f>
        <v>$\phi8@17$</v>
      </c>
      <c r="I13" s="236">
        <f>HLOOKUP($C13,'2 a 7'!$C$46:$AE$89,33)</f>
        <v>0.46</v>
      </c>
      <c r="J13" s="236" t="str">
        <f>HLOOKUP($C13,'1'!$C$46:$AE$89,34)</f>
        <v>$\phi8@17$</v>
      </c>
      <c r="K13" s="236">
        <f>HLOOKUP($C13,'1'!$C$46:$AE$89,38)</f>
        <v>0.56000000000000005</v>
      </c>
      <c r="L13" s="236" t="str">
        <f>HLOOKUP($C13,'2 a 7'!$C$46:$AE$89,39)</f>
        <v>$\phi8@17$</v>
      </c>
      <c r="M13" s="236">
        <f>HLOOKUP($C13,'2 a 7'!$C$46:$AE$89,43)</f>
        <v>2.46</v>
      </c>
      <c r="N13" s="272" t="str">
        <f>HLOOKUP($C13,'2 a 7'!$C$46:$AE$89,44)</f>
        <v>$\phi8@17$</v>
      </c>
    </row>
    <row r="14" spans="2:19" x14ac:dyDescent="0.25">
      <c r="B14" s="276" t="s">
        <v>260</v>
      </c>
      <c r="C14" s="241" t="str">
        <f>'2 a 7'!M46</f>
        <v>211</v>
      </c>
      <c r="D14" s="241">
        <f>'2 a 7'!$C$4</f>
        <v>16</v>
      </c>
      <c r="E14" s="236">
        <f>'2 a 7'!$C$12</f>
        <v>2.88</v>
      </c>
      <c r="F14" s="236">
        <f>HLOOKUP($C14,'2 a 7'!$C$46:$AE$89,21)</f>
        <v>1070</v>
      </c>
      <c r="G14" s="236">
        <f>HLOOKUP($C14,'2 a 7'!$C$46:$AE$89,28)</f>
        <v>0.99</v>
      </c>
      <c r="H14" s="236" t="str">
        <f>HLOOKUP($C14,'2 a 7'!$C$46:$AE$89,29)</f>
        <v>$\phi8@17$</v>
      </c>
      <c r="I14" s="236">
        <f>HLOOKUP($C14,'2 a 7'!$C$46:$AE$89,33)</f>
        <v>0.59</v>
      </c>
      <c r="J14" s="236" t="str">
        <f>HLOOKUP($C14,'1'!$C$46:$AE$89,34)</f>
        <v>$\phi8@17$</v>
      </c>
      <c r="K14" s="236">
        <f>HLOOKUP($C14,'1'!$C$46:$AE$89,38)</f>
        <v>0.56000000000000005</v>
      </c>
      <c r="L14" s="236" t="str">
        <f>HLOOKUP($C14,'2 a 7'!$C$46:$AE$89,39)</f>
        <v>$\phi10@19$</v>
      </c>
      <c r="M14" s="236">
        <f>HLOOKUP($C14,'2 a 7'!$C$46:$AE$89,43)</f>
        <v>3.5</v>
      </c>
      <c r="N14" s="272" t="str">
        <f>HLOOKUP($C14,'2 a 7'!$C$46:$AE$89,44)</f>
        <v>$\phi8@14$</v>
      </c>
    </row>
    <row r="15" spans="2:19" x14ac:dyDescent="0.25">
      <c r="B15" s="276" t="s">
        <v>261</v>
      </c>
      <c r="C15" s="241" t="str">
        <f>'2 a 7'!N46</f>
        <v>212</v>
      </c>
      <c r="D15" s="241">
        <f>'2 a 7'!$C$4</f>
        <v>16</v>
      </c>
      <c r="E15" s="236">
        <f>'2 a 7'!$C$12</f>
        <v>2.88</v>
      </c>
      <c r="F15" s="236">
        <f>HLOOKUP($C15,'2 a 7'!$C$46:$AE$89,21)</f>
        <v>1230</v>
      </c>
      <c r="G15" s="236">
        <f>HLOOKUP($C15,'2 a 7'!$C$46:$AE$89,28)</f>
        <v>0.44</v>
      </c>
      <c r="H15" s="236" t="str">
        <f>HLOOKUP($C15,'2 a 7'!$C$46:$AE$89,29)</f>
        <v>$\phi8@17$</v>
      </c>
      <c r="I15" s="236">
        <f>HLOOKUP($C15,'2 a 7'!$C$46:$AE$89,33)</f>
        <v>0</v>
      </c>
      <c r="J15" s="236" t="str">
        <f>HLOOKUP($C15,'1'!$C$46:$AE$89,34)</f>
        <v>$\phi8@17$</v>
      </c>
      <c r="K15" s="236">
        <f>HLOOKUP($C15,'1'!$C$46:$AE$89,38)</f>
        <v>0.56000000000000005</v>
      </c>
      <c r="L15" s="236" t="str">
        <f>HLOOKUP($C15,'2 a 7'!$C$46:$AE$89,39)</f>
        <v>$\phi8@17$</v>
      </c>
      <c r="M15" s="236">
        <f>HLOOKUP($C15,'2 a 7'!$C$46:$AE$89,43)</f>
        <v>0.47000000000000003</v>
      </c>
      <c r="N15" s="272" t="str">
        <f>HLOOKUP($C15,'2 a 7'!$C$46:$AE$89,44)</f>
        <v>$\phi8@17$</v>
      </c>
    </row>
    <row r="16" spans="2:19" x14ac:dyDescent="0.25">
      <c r="B16" s="276" t="s">
        <v>262</v>
      </c>
      <c r="C16" s="241" t="str">
        <f>'2 a 7'!O46</f>
        <v>213</v>
      </c>
      <c r="D16" s="241">
        <f>'2 a 7'!$C$4</f>
        <v>16</v>
      </c>
      <c r="E16" s="236">
        <f>'2 a 7'!$C$12</f>
        <v>2.88</v>
      </c>
      <c r="F16" s="236">
        <f>HLOOKUP($C16,'2 a 7'!$C$46:$AE$89,21)</f>
        <v>1230</v>
      </c>
      <c r="G16" s="236">
        <f>HLOOKUP($C16,'2 a 7'!$C$46:$AE$89,28)</f>
        <v>0.44</v>
      </c>
      <c r="H16" s="236" t="str">
        <f>HLOOKUP($C16,'2 a 7'!$C$46:$AE$89,29)</f>
        <v>$\phi8@17$</v>
      </c>
      <c r="I16" s="236">
        <f>HLOOKUP($C16,'2 a 7'!$C$46:$AE$89,33)</f>
        <v>0</v>
      </c>
      <c r="J16" s="236" t="str">
        <f>HLOOKUP($C16,'1'!$C$46:$AE$89,34)</f>
        <v>$\phi8@17$</v>
      </c>
      <c r="K16" s="236">
        <f>HLOOKUP($C16,'1'!$C$46:$AE$89,38)</f>
        <v>0.56000000000000005</v>
      </c>
      <c r="L16" s="236" t="str">
        <f>HLOOKUP($C16,'2 a 7'!$C$46:$AE$89,39)</f>
        <v>$\phi8@17$</v>
      </c>
      <c r="M16" s="236">
        <f>HLOOKUP($C16,'2 a 7'!$C$46:$AE$89,43)</f>
        <v>0.47000000000000003</v>
      </c>
      <c r="N16" s="272" t="str">
        <f>HLOOKUP($C16,'2 a 7'!$C$46:$AE$89,44)</f>
        <v>$\phi8@17$</v>
      </c>
    </row>
    <row r="17" spans="2:14" x14ac:dyDescent="0.25">
      <c r="B17" s="276" t="s">
        <v>263</v>
      </c>
      <c r="C17" s="241" t="str">
        <f>'2 a 7'!$O$46</f>
        <v>213</v>
      </c>
      <c r="D17" s="241">
        <f>'2 a 7'!$C$4</f>
        <v>16</v>
      </c>
      <c r="E17" s="236">
        <f>'2 a 7'!$C$12</f>
        <v>2.88</v>
      </c>
      <c r="F17" s="236">
        <f>HLOOKUP($C17,'2 a 7'!$C$46:$AE$89,21)</f>
        <v>1230</v>
      </c>
      <c r="G17" s="236">
        <f>HLOOKUP($C17,'2 a 7'!$C$46:$AE$89,28)</f>
        <v>0.44</v>
      </c>
      <c r="H17" s="236" t="str">
        <f>HLOOKUP($C17,'2 a 7'!$C$46:$AE$89,29)</f>
        <v>$\phi8@17$</v>
      </c>
      <c r="I17" s="236">
        <f>HLOOKUP($C17,'2 a 7'!$C$46:$AE$89,33)</f>
        <v>0</v>
      </c>
      <c r="J17" s="236" t="str">
        <f>HLOOKUP($C17,'1'!$C$46:$AE$89,34)</f>
        <v>$\phi8@17$</v>
      </c>
      <c r="K17" s="236">
        <f>HLOOKUP($C17,'1'!$C$46:$AE$89,38)</f>
        <v>0.56000000000000005</v>
      </c>
      <c r="L17" s="236" t="str">
        <f>HLOOKUP($C17,'2 a 7'!$C$46:$AE$89,39)</f>
        <v>$\phi8@17$</v>
      </c>
      <c r="M17" s="236">
        <f>HLOOKUP($C17,'2 a 7'!$C$46:$AE$89,43)</f>
        <v>0.47000000000000003</v>
      </c>
      <c r="N17" s="272" t="str">
        <f>HLOOKUP($C17,'2 a 7'!$C$46:$AE$89,44)</f>
        <v>$\phi8@17$</v>
      </c>
    </row>
    <row r="18" spans="2:14" x14ac:dyDescent="0.25">
      <c r="B18" s="276" t="s">
        <v>264</v>
      </c>
      <c r="C18" s="241" t="str">
        <f>'2 a 7'!$P$46</f>
        <v>214</v>
      </c>
      <c r="D18" s="241">
        <f>'2 a 7'!$C$4</f>
        <v>16</v>
      </c>
      <c r="E18" s="236">
        <f>'2 a 7'!$C$12</f>
        <v>2.88</v>
      </c>
      <c r="F18" s="236">
        <f>HLOOKUP($C18,'2 a 7'!$C$46:$AE$89,21)</f>
        <v>1230</v>
      </c>
      <c r="G18" s="236">
        <f>HLOOKUP($C18,'2 a 7'!$C$46:$AE$89,28)</f>
        <v>0.44</v>
      </c>
      <c r="H18" s="236" t="str">
        <f>HLOOKUP($C18,'2 a 7'!$C$46:$AE$89,29)</f>
        <v>$\phi8@17$</v>
      </c>
      <c r="I18" s="236">
        <f>HLOOKUP($C18,'2 a 7'!$C$46:$AE$89,33)</f>
        <v>0</v>
      </c>
      <c r="J18" s="236" t="str">
        <f>HLOOKUP($C18,'1'!$C$46:$AE$89,34)</f>
        <v>$\phi8@17$</v>
      </c>
      <c r="K18" s="236">
        <f>HLOOKUP($C18,'1'!$C$46:$AE$89,38)</f>
        <v>0.56000000000000005</v>
      </c>
      <c r="L18" s="236" t="str">
        <f>HLOOKUP($C18,'2 a 7'!$C$46:$AE$89,39)</f>
        <v>$\phi8@17$</v>
      </c>
      <c r="M18" s="236">
        <f>HLOOKUP($C18,'2 a 7'!$C$46:$AE$89,43)</f>
        <v>0.47000000000000003</v>
      </c>
      <c r="N18" s="272" t="str">
        <f>HLOOKUP($C18,'2 a 7'!$C$46:$AE$89,44)</f>
        <v>$\phi8@17$</v>
      </c>
    </row>
    <row r="19" spans="2:14" x14ac:dyDescent="0.25">
      <c r="B19" s="276" t="s">
        <v>265</v>
      </c>
      <c r="C19" s="240" t="str">
        <f>'2 a 7'!$Q$46</f>
        <v>215</v>
      </c>
      <c r="D19" s="240">
        <f>'2 a 7'!$C$4</f>
        <v>16</v>
      </c>
      <c r="E19" s="236">
        <f>'2 a 7'!$C$12</f>
        <v>2.88</v>
      </c>
      <c r="F19" s="236">
        <f>HLOOKUP($C19,'2 a 7'!$C$46:$AE$89,21)</f>
        <v>1230</v>
      </c>
      <c r="G19" s="236">
        <f>HLOOKUP($C19,'2 a 7'!$C$46:$AE$89,28)</f>
        <v>0.44</v>
      </c>
      <c r="H19" s="236" t="str">
        <f>HLOOKUP($C19,'2 a 7'!$C$46:$AE$89,29)</f>
        <v>$\phi8@17$</v>
      </c>
      <c r="I19" s="236">
        <f>HLOOKUP($C19,'2 a 7'!$C$46:$AE$89,33)</f>
        <v>0</v>
      </c>
      <c r="J19" s="236" t="str">
        <f>HLOOKUP($C19,'1'!$C$46:$AE$89,34)</f>
        <v>$\phi8@17$</v>
      </c>
      <c r="K19" s="236">
        <f>HLOOKUP($C19,'1'!$C$46:$AE$89,38)</f>
        <v>0.56000000000000005</v>
      </c>
      <c r="L19" s="236" t="str">
        <f>HLOOKUP($C19,'2 a 7'!$C$46:$AE$89,39)</f>
        <v>$\phi8@17$</v>
      </c>
      <c r="M19" s="236">
        <f>HLOOKUP($C19,'2 a 7'!$C$46:$AE$89,43)</f>
        <v>0.47000000000000003</v>
      </c>
      <c r="N19" s="272" t="str">
        <f>HLOOKUP($C19,'2 a 7'!$C$46:$AE$89,44)</f>
        <v>$\phi8@17$</v>
      </c>
    </row>
    <row r="20" spans="2:14" x14ac:dyDescent="0.25">
      <c r="B20" s="276" t="s">
        <v>266</v>
      </c>
      <c r="C20" s="240" t="str">
        <f>'2 a 7'!$R$46</f>
        <v>216</v>
      </c>
      <c r="D20" s="240">
        <f>'2 a 7'!$C$4</f>
        <v>16</v>
      </c>
      <c r="E20" s="236">
        <f>'2 a 7'!$C$12</f>
        <v>2.88</v>
      </c>
      <c r="F20" s="236">
        <f>HLOOKUP($C20,'2 a 7'!$C$46:$AE$89,21)</f>
        <v>1230</v>
      </c>
      <c r="G20" s="236">
        <f>HLOOKUP($C20,'2 a 7'!$C$46:$AE$89,28)</f>
        <v>0.21000000000000002</v>
      </c>
      <c r="H20" s="236" t="str">
        <f>HLOOKUP($C20,'2 a 7'!$C$46:$AE$89,29)</f>
        <v>$\phi8@17$</v>
      </c>
      <c r="I20" s="236">
        <f>HLOOKUP($C20,'2 a 7'!$C$46:$AE$89,33)</f>
        <v>0</v>
      </c>
      <c r="J20" s="236" t="str">
        <f>HLOOKUP($C20,'1'!$C$46:$AE$89,34)</f>
        <v>$\phi8@17$</v>
      </c>
      <c r="K20" s="236">
        <f>HLOOKUP($C20,'1'!$C$46:$AE$89,38)</f>
        <v>0.56000000000000005</v>
      </c>
      <c r="L20" s="236" t="str">
        <f>HLOOKUP($C20,'2 a 7'!$C$46:$AE$89,39)</f>
        <v>$\phi8@17$</v>
      </c>
      <c r="M20" s="236">
        <f>HLOOKUP($C20,'2 a 7'!$C$46:$AE$89,43)</f>
        <v>0.22</v>
      </c>
      <c r="N20" s="272" t="str">
        <f>HLOOKUP($C20,'2 a 7'!$C$46:$AE$89,44)</f>
        <v>$\phi8@17$</v>
      </c>
    </row>
    <row r="21" spans="2:14" x14ac:dyDescent="0.25">
      <c r="B21" s="276" t="s">
        <v>267</v>
      </c>
      <c r="C21" s="240" t="str">
        <f>'2 a 7'!$S$46</f>
        <v>217</v>
      </c>
      <c r="D21" s="240">
        <f>'2 a 7'!$C$4</f>
        <v>16</v>
      </c>
      <c r="E21" s="236">
        <f>'2 a 7'!$C$12</f>
        <v>2.88</v>
      </c>
      <c r="F21" s="236">
        <f>HLOOKUP($C21,'2 a 7'!$C$46:$AE$89,21)</f>
        <v>1230</v>
      </c>
      <c r="G21" s="236">
        <f>HLOOKUP($C21,'2 a 7'!$C$46:$AE$89,28)</f>
        <v>0.21000000000000002</v>
      </c>
      <c r="H21" s="236" t="str">
        <f>HLOOKUP($C21,'2 a 7'!$C$46:$AE$89,29)</f>
        <v>$\phi8@17$</v>
      </c>
      <c r="I21" s="236">
        <f>HLOOKUP($C21,'2 a 7'!$C$46:$AE$89,33)</f>
        <v>0</v>
      </c>
      <c r="J21" s="236" t="str">
        <f>HLOOKUP($C21,'1'!$C$46:$AE$89,34)</f>
        <v>$\phi8@17$</v>
      </c>
      <c r="K21" s="236">
        <f>HLOOKUP($C21,'1'!$C$46:$AE$89,38)</f>
        <v>0.56000000000000005</v>
      </c>
      <c r="L21" s="236" t="str">
        <f>HLOOKUP($C21,'2 a 7'!$C$46:$AE$89,39)</f>
        <v>$\phi8@17$</v>
      </c>
      <c r="M21" s="236">
        <f>HLOOKUP($C21,'2 a 7'!$C$46:$AE$89,43)</f>
        <v>0.22</v>
      </c>
      <c r="N21" s="272" t="str">
        <f>HLOOKUP($C21,'2 a 7'!$C$46:$AE$89,44)</f>
        <v>$\phi8@17$</v>
      </c>
    </row>
    <row r="22" spans="2:14" x14ac:dyDescent="0.25">
      <c r="B22" s="276" t="s">
        <v>268</v>
      </c>
      <c r="C22" s="241" t="str">
        <f>'2 a 7'!$T$46</f>
        <v>218</v>
      </c>
      <c r="D22" s="241">
        <f>'2 a 7'!$C$4</f>
        <v>16</v>
      </c>
      <c r="E22" s="236">
        <f>'2 a 7'!$C$12</f>
        <v>2.88</v>
      </c>
      <c r="F22" s="236">
        <f>HLOOKUP($C22,'2 a 7'!$C$46:$AE$89,21)</f>
        <v>1230</v>
      </c>
      <c r="G22" s="236">
        <f>HLOOKUP($C22,'2 a 7'!$C$46:$AE$89,28)</f>
        <v>0.35000000000000003</v>
      </c>
      <c r="H22" s="236" t="str">
        <f>HLOOKUP($C22,'2 a 7'!$C$46:$AE$89,29)</f>
        <v>$\phi8@17$</v>
      </c>
      <c r="I22" s="236">
        <f>HLOOKUP($C22,'2 a 7'!$C$46:$AE$89,33)</f>
        <v>0</v>
      </c>
      <c r="J22" s="236" t="str">
        <f>HLOOKUP($C22,'1'!$C$46:$AE$89,34)</f>
        <v>$\phi8@17$</v>
      </c>
      <c r="K22" s="236">
        <f>HLOOKUP($C22,'1'!$C$46:$AE$89,38)</f>
        <v>0.56000000000000005</v>
      </c>
      <c r="L22" s="236" t="str">
        <f>HLOOKUP($C22,'2 a 7'!$C$46:$AE$89,39)</f>
        <v>$\phi8@17$</v>
      </c>
      <c r="M22" s="236">
        <f>HLOOKUP($C22,'2 a 7'!$C$46:$AE$89,43)</f>
        <v>0.37</v>
      </c>
      <c r="N22" s="272" t="str">
        <f>HLOOKUP($C22,'2 a 7'!$C$46:$AE$89,44)</f>
        <v>$\phi8@17$</v>
      </c>
    </row>
    <row r="23" spans="2:14" x14ac:dyDescent="0.25">
      <c r="B23" s="276" t="s">
        <v>269</v>
      </c>
      <c r="C23" s="240" t="str">
        <f>'2 a 7'!$U$46</f>
        <v>219</v>
      </c>
      <c r="D23" s="240">
        <f>'2 a 7'!$C$4</f>
        <v>16</v>
      </c>
      <c r="E23" s="236">
        <f>'2 a 7'!$C$12</f>
        <v>2.88</v>
      </c>
      <c r="F23" s="236">
        <f>HLOOKUP($C23,'2 a 7'!$C$46:$AE$89,21)</f>
        <v>1230</v>
      </c>
      <c r="G23" s="236">
        <f>HLOOKUP($C23,'2 a 7'!$C$46:$AE$89,28)</f>
        <v>0.35000000000000003</v>
      </c>
      <c r="H23" s="236" t="str">
        <f>HLOOKUP($C23,'2 a 7'!$C$46:$AE$89,29)</f>
        <v>$\phi8@17$</v>
      </c>
      <c r="I23" s="236">
        <f>HLOOKUP($C23,'2 a 7'!$C$46:$AE$89,33)</f>
        <v>0</v>
      </c>
      <c r="J23" s="236" t="str">
        <f>HLOOKUP($C23,'1'!$C$46:$AE$89,34)</f>
        <v>$\phi8@17$</v>
      </c>
      <c r="K23" s="236">
        <f>HLOOKUP($C23,'1'!$C$46:$AE$89,38)</f>
        <v>0.56000000000000005</v>
      </c>
      <c r="L23" s="236" t="str">
        <f>HLOOKUP($C23,'2 a 7'!$C$46:$AE$89,39)</f>
        <v>$\phi8@17$</v>
      </c>
      <c r="M23" s="236">
        <f>HLOOKUP($C23,'2 a 7'!$C$46:$AE$89,43)</f>
        <v>0.37</v>
      </c>
      <c r="N23" s="272" t="str">
        <f>HLOOKUP($C23,'2 a 7'!$C$46:$AE$89,44)</f>
        <v>$\phi8@17$</v>
      </c>
    </row>
    <row r="24" spans="2:14" x14ac:dyDescent="0.25">
      <c r="B24" s="276" t="s">
        <v>270</v>
      </c>
      <c r="C24" s="241" t="str">
        <f>'2 a 7'!$V$46</f>
        <v>220</v>
      </c>
      <c r="D24" s="241">
        <f>'2 a 7'!$C$4</f>
        <v>16</v>
      </c>
      <c r="E24" s="236">
        <f>'2 a 7'!$C$12</f>
        <v>2.88</v>
      </c>
      <c r="F24" s="236">
        <f>HLOOKUP($C24,'2 a 7'!$C$46:$AE$89,21)</f>
        <v>1230</v>
      </c>
      <c r="G24" s="236">
        <f>HLOOKUP($C24,'2 a 7'!$C$46:$AE$89,28)</f>
        <v>0.11</v>
      </c>
      <c r="H24" s="236" t="str">
        <f>HLOOKUP($C24,'2 a 7'!$C$46:$AE$89,29)</f>
        <v>$\phi8@17$</v>
      </c>
      <c r="I24" s="236">
        <f>HLOOKUP($C24,'2 a 7'!$C$46:$AE$89,33)</f>
        <v>0</v>
      </c>
      <c r="J24" s="236" t="str">
        <f>HLOOKUP($C24,'1'!$C$46:$AE$89,34)</f>
        <v>$\phi8@17$</v>
      </c>
      <c r="K24" s="236">
        <f>HLOOKUP($C24,'1'!$C$46:$AE$89,38)</f>
        <v>0.56000000000000005</v>
      </c>
      <c r="L24" s="236" t="str">
        <f>HLOOKUP($C24,'2 a 7'!$C$46:$AE$89,39)</f>
        <v>$\phi8@17$</v>
      </c>
      <c r="M24" s="236">
        <f>HLOOKUP($C24,'2 a 7'!$C$46:$AE$89,43)</f>
        <v>0.12</v>
      </c>
      <c r="N24" s="272" t="str">
        <f>HLOOKUP($C24,'2 a 7'!$C$46:$AE$89,44)</f>
        <v>$\phi8@17$</v>
      </c>
    </row>
    <row r="25" spans="2:14" x14ac:dyDescent="0.25">
      <c r="B25" s="276" t="s">
        <v>271</v>
      </c>
      <c r="C25" s="241" t="str">
        <f>'2 a 7'!$W$46</f>
        <v>221</v>
      </c>
      <c r="D25" s="241">
        <f>'2 a 7'!$C$4</f>
        <v>16</v>
      </c>
      <c r="E25" s="236">
        <f>'2 a 7'!$C$12</f>
        <v>2.88</v>
      </c>
      <c r="F25" s="236">
        <f>HLOOKUP($C25,'2 a 7'!$C$46:$AE$89,21)</f>
        <v>1230</v>
      </c>
      <c r="G25" s="236">
        <f>HLOOKUP($C25,'2 a 7'!$C$46:$AE$89,28)</f>
        <v>9.9999999999999992E-2</v>
      </c>
      <c r="H25" s="236" t="str">
        <f>HLOOKUP($C25,'2 a 7'!$C$46:$AE$89,29)</f>
        <v>$\phi8@17$</v>
      </c>
      <c r="I25" s="236">
        <f>HLOOKUP($C25,'2 a 7'!$C$46:$AE$89,33)</f>
        <v>0</v>
      </c>
      <c r="J25" s="236" t="str">
        <f>HLOOKUP($C25,'1'!$C$46:$AE$89,34)</f>
        <v>$\phi8@17$</v>
      </c>
      <c r="K25" s="236">
        <f>HLOOKUP($C25,'1'!$C$46:$AE$89,38)</f>
        <v>0.56000000000000005</v>
      </c>
      <c r="L25" s="236" t="str">
        <f>HLOOKUP($C25,'2 a 7'!$C$46:$AE$89,39)</f>
        <v>$\phi8@17$</v>
      </c>
      <c r="M25" s="236">
        <f>HLOOKUP($C25,'2 a 7'!$C$46:$AE$89,43)</f>
        <v>9.9999999999999992E-2</v>
      </c>
      <c r="N25" s="272" t="str">
        <f>HLOOKUP($C25,'2 a 7'!$C$46:$AE$89,44)</f>
        <v>$\phi8@17$</v>
      </c>
    </row>
    <row r="26" spans="2:14" ht="15.75" thickBot="1" x14ac:dyDescent="0.3">
      <c r="B26" s="277" t="s">
        <v>272</v>
      </c>
      <c r="C26" s="127" t="str">
        <f>'2 a 7'!$X$46</f>
        <v>222</v>
      </c>
      <c r="D26" s="127">
        <f>'2 a 7'!$C$4</f>
        <v>16</v>
      </c>
      <c r="E26" s="127">
        <f>'2 a 7'!$C$12</f>
        <v>2.88</v>
      </c>
      <c r="F26" s="129">
        <f>HLOOKUP($C26,'2 a 7'!$C$46:$AE$89,21)</f>
        <v>1230</v>
      </c>
      <c r="G26" s="237">
        <f>HLOOKUP($C26,'2 a 7'!$C$46:$AE$89,28)</f>
        <v>0.5</v>
      </c>
      <c r="H26" s="129" t="str">
        <f>HLOOKUP($C26,'2 a 7'!$C$46:$AE$89,29)</f>
        <v>$\phi8@17$</v>
      </c>
      <c r="I26" s="129">
        <f>HLOOKUP($C26,'2 a 7'!$C$46:$AE$89,33)</f>
        <v>0.13</v>
      </c>
      <c r="J26" s="129" t="str">
        <f>HLOOKUP($C26,'1'!$C$46:$AE$89,34)</f>
        <v>$\phi8@17$</v>
      </c>
      <c r="K26" s="129">
        <f>HLOOKUP($C26,'1'!$C$46:$AE$89,38)</f>
        <v>0.56000000000000005</v>
      </c>
      <c r="L26" s="129" t="str">
        <f>HLOOKUP($C26,'2 a 7'!$C$46:$AE$89,39)</f>
        <v>$\phi8@17$</v>
      </c>
      <c r="M26" s="129">
        <f>HLOOKUP($C26,'2 a 7'!$C$46:$AE$89,43)</f>
        <v>1.04</v>
      </c>
      <c r="N26" s="278" t="str">
        <f>HLOOKUP($C26,'2 a 7'!$C$46:$AE$89,44)</f>
        <v>$\phi8@17$</v>
      </c>
    </row>
    <row r="27" spans="2:14" ht="15.75" thickBot="1" x14ac:dyDescent="0.3"/>
    <row r="28" spans="2:14" ht="15.75" thickBot="1" x14ac:dyDescent="0.3">
      <c r="E28" s="220" t="s">
        <v>107</v>
      </c>
      <c r="F28" s="221"/>
      <c r="G28" s="124"/>
      <c r="H28" s="124"/>
    </row>
    <row r="29" spans="2:14" s="124" customFormat="1" ht="30.75" thickBot="1" x14ac:dyDescent="0.3">
      <c r="E29" s="136" t="s">
        <v>278</v>
      </c>
      <c r="F29" s="137" t="str">
        <f>'-1'!B97</f>
        <v>Mu $[kgf \cdot m/m]$</v>
      </c>
      <c r="G29" s="137" t="str">
        <f>'-1'!B100</f>
        <v>As $[cm^2/m]$</v>
      </c>
      <c r="H29" s="138" t="str">
        <f>'-1'!B101</f>
        <v>F'</v>
      </c>
    </row>
    <row r="30" spans="2:14" x14ac:dyDescent="0.25">
      <c r="E30" s="147" t="str">
        <f>'2 a 7'!C92&amp;"-"&amp;'2 a 7'!D92</f>
        <v>201-202</v>
      </c>
      <c r="F30" s="155">
        <f>HLOOKUP($E30,'2 a 7'!$C$93:$AF$101,F$64,FALSE)</f>
        <v>1690.9533004648542</v>
      </c>
      <c r="G30" s="155">
        <f>HLOOKUP($E30,'2 a 7'!$C$93:$AF$101,G$64,FALSE)</f>
        <v>3.15</v>
      </c>
      <c r="H30" s="156" t="str">
        <f>HLOOKUP($E30,'2 a 7'!$C$93:$AF$101,H$64,FALSE)</f>
        <v>$\phi10@25$</v>
      </c>
    </row>
    <row r="31" spans="2:14" x14ac:dyDescent="0.25">
      <c r="E31" s="148" t="str">
        <f>'2 a 7'!E92&amp;"-"&amp;'2 a 7'!F92</f>
        <v>201-205</v>
      </c>
      <c r="F31" s="149">
        <f>HLOOKUP($E31,'2 a 7'!$C$93:$AF$101,F$64,FALSE)</f>
        <v>2544.1056793076323</v>
      </c>
      <c r="G31" s="149">
        <f>HLOOKUP($E31,'2 a 7'!$C$93:$AF$101,G$64,FALSE)</f>
        <v>4.74</v>
      </c>
      <c r="H31" s="150" t="str">
        <f>HLOOKUP($E31,'2 a 7'!$C$93:$AF$101,H$64,FALSE)</f>
        <v>$\phi12@24$</v>
      </c>
    </row>
    <row r="32" spans="2:14" x14ac:dyDescent="0.25">
      <c r="E32" s="148" t="str">
        <f>'2 a 7'!G92&amp;"-"&amp;'2 a 7'!H92</f>
        <v>201-206</v>
      </c>
      <c r="F32" s="149">
        <f>HLOOKUP($E32,'2 a 7'!$C$93:$AF$101,F$64,FALSE)</f>
        <v>2264.0624053826746</v>
      </c>
      <c r="G32" s="149">
        <f>HLOOKUP($E32,'2 a 7'!$C$93:$AF$101,G$64,FALSE)</f>
        <v>4.21</v>
      </c>
      <c r="H32" s="150" t="str">
        <f>HLOOKUP($E32,'2 a 7'!$C$93:$AF$101,H$64,FALSE)</f>
        <v>$\phi8@12$</v>
      </c>
    </row>
    <row r="33" spans="5:8" hidden="1" x14ac:dyDescent="0.25">
      <c r="E33" s="148" t="str">
        <f>'2 a 7'!I92&amp;"-"&amp;'2 a 7'!J92</f>
        <v>201-212</v>
      </c>
      <c r="F33" s="149">
        <f>HLOOKUP($E33,'2 a 7'!$C$93:$AF$101,F$64,FALSE)</f>
        <v>2084.0697244207317</v>
      </c>
      <c r="G33" s="149">
        <f>HLOOKUP($E33,'2 a 7'!$C$93:$AF$101,G$64,FALSE)</f>
        <v>3.88</v>
      </c>
      <c r="H33" s="150" t="str">
        <f>HLOOKUP($E33,'2 a 7'!$C$93:$AF$101,H$64,FALSE)</f>
        <v>$\phi10@20$</v>
      </c>
    </row>
    <row r="34" spans="5:8" hidden="1" x14ac:dyDescent="0.25">
      <c r="E34" s="148" t="str">
        <f>'2 a 7'!K92&amp;"-"&amp;'2 a 7'!L92</f>
        <v>201-221</v>
      </c>
      <c r="F34" s="149">
        <f>HLOOKUP($E34,'2 a 7'!$C$93:$AF$101,F$64,FALSE)</f>
        <v>1482.0991895161289</v>
      </c>
      <c r="G34" s="149">
        <f>HLOOKUP($E34,'2 a 7'!$C$93:$AF$101,G$64,FALSE)</f>
        <v>2.76</v>
      </c>
      <c r="H34" s="150" t="str">
        <f>HLOOKUP($E34,'2 a 7'!$C$93:$AF$101,H$64,FALSE)</f>
        <v>$\phi8@17$</v>
      </c>
    </row>
    <row r="35" spans="5:8" x14ac:dyDescent="0.25">
      <c r="E35" s="148" t="str">
        <f>'2 a 7'!M92&amp;"-"&amp;'2 a 7'!N92</f>
        <v>202-203</v>
      </c>
      <c r="F35" s="149">
        <f>HLOOKUP($E35,'2 a 7'!$C$93:$AF$101,F$64,FALSE)</f>
        <v>1095.0445414847163</v>
      </c>
      <c r="G35" s="149">
        <f>HLOOKUP($E35,'2 a 7'!$C$93:$AF$101,G$64,FALSE)</f>
        <v>2.0399999999999996</v>
      </c>
      <c r="H35" s="150" t="str">
        <f>HLOOKUP($E35,'2 a 7'!$C$93:$AF$101,H$64,FALSE)</f>
        <v>$\phi8@17$</v>
      </c>
    </row>
    <row r="36" spans="5:8" x14ac:dyDescent="0.25">
      <c r="E36" s="148" t="str">
        <f>'2 a 7'!O92&amp;"-"&amp;'2 a 7'!P92</f>
        <v>202-208</v>
      </c>
      <c r="F36" s="149">
        <f>HLOOKUP($E36,'2 a 7'!$C$93:$AF$101,F$64,FALSE)</f>
        <v>994.9992127659574</v>
      </c>
      <c r="G36" s="149">
        <f>HLOOKUP($E36,'2 a 7'!$C$93:$AF$101,G$64,FALSE)</f>
        <v>1.85</v>
      </c>
      <c r="H36" s="150" t="str">
        <f>HLOOKUP($E36,'2 a 7'!$C$93:$AF$101,H$64,FALSE)</f>
        <v>$\phi8@17$</v>
      </c>
    </row>
    <row r="37" spans="5:8" hidden="1" x14ac:dyDescent="0.25">
      <c r="E37" s="148" t="str">
        <f>'2 a 7'!Q92&amp;"-"&amp;'2 a 7'!R92</f>
        <v>202-213</v>
      </c>
      <c r="F37" s="149">
        <f>HLOOKUP($E37,'2 a 7'!$C$93:$AF$101,F$64,FALSE)</f>
        <v>1028.3528640159575</v>
      </c>
      <c r="G37" s="149">
        <f>HLOOKUP($E37,'2 a 7'!$C$93:$AF$101,G$64,FALSE)</f>
        <v>1.91</v>
      </c>
      <c r="H37" s="150" t="str">
        <f>HLOOKUP($E37,'2 a 7'!$C$93:$AF$101,H$64,FALSE)</f>
        <v>$\phi8@17$</v>
      </c>
    </row>
    <row r="38" spans="5:8" hidden="1" x14ac:dyDescent="0.25">
      <c r="E38" s="148" t="str">
        <f>'2 a 7'!S92&amp;"-"&amp;'2 a 7'!T92</f>
        <v>203-214</v>
      </c>
      <c r="F38" s="149">
        <f>HLOOKUP($E38,'2 a 7'!$C$93:$AF$101,F$64,FALSE)</f>
        <v>1028.3528640159575</v>
      </c>
      <c r="G38" s="149">
        <f>HLOOKUP($E38,'2 a 7'!$C$93:$AF$101,G$64,FALSE)</f>
        <v>1.91</v>
      </c>
      <c r="H38" s="150" t="str">
        <f>HLOOKUP($E38,'2 a 7'!$C$93:$AF$101,H$64,FALSE)</f>
        <v>$\phi8@17$</v>
      </c>
    </row>
    <row r="39" spans="5:8" x14ac:dyDescent="0.25">
      <c r="E39" s="148" t="str">
        <f>'2 a 7'!U92&amp;"-"&amp;'2 a 7'!V92</f>
        <v>203-208</v>
      </c>
      <c r="F39" s="149">
        <f>HLOOKUP($E39,'2 a 7'!$C$93:$AF$101,F$64,FALSE)</f>
        <v>994.9992127659574</v>
      </c>
      <c r="G39" s="149">
        <f>HLOOKUP($E39,'2 a 7'!$C$93:$AF$101,G$64,FALSE)</f>
        <v>1.85</v>
      </c>
      <c r="H39" s="150" t="str">
        <f>HLOOKUP($E39,'2 a 7'!$C$93:$AF$101,H$64,FALSE)</f>
        <v>$\phi8@17$</v>
      </c>
    </row>
    <row r="40" spans="5:8" x14ac:dyDescent="0.25">
      <c r="E40" s="148" t="str">
        <f>'2 a 7'!W92&amp;"-"&amp;'2 a 7'!X92</f>
        <v>203-204</v>
      </c>
      <c r="F40" s="149">
        <f>HLOOKUP($E40,'2 a 7'!$C$93:$AF$101,F$64,FALSE)</f>
        <v>1563.772677818376</v>
      </c>
      <c r="G40" s="149">
        <f>HLOOKUP($E40,'2 a 7'!$C$93:$AF$101,G$64,FALSE)</f>
        <v>2.9099999999999997</v>
      </c>
      <c r="H40" s="150" t="str">
        <f>HLOOKUP($E40,'2 a 7'!$C$93:$AF$101,H$64,FALSE)</f>
        <v>$\phi8@17$</v>
      </c>
    </row>
    <row r="41" spans="5:8" hidden="1" x14ac:dyDescent="0.25">
      <c r="E41" s="148" t="str">
        <f>'2 a 7'!Y92&amp;"-"&amp;'2 a 7'!Z92</f>
        <v>204-215</v>
      </c>
      <c r="F41" s="149">
        <f>HLOOKUP($E41,'2 a 7'!$C$93:$AF$101,F$64,FALSE)</f>
        <v>1770.5811121875001</v>
      </c>
      <c r="G41" s="149">
        <f>HLOOKUP($E41,'2 a 7'!$C$93:$AF$101,G$64,FALSE)</f>
        <v>3.2899999999999996</v>
      </c>
      <c r="H41" s="150" t="str">
        <f>HLOOKUP($E41,'2 a 7'!$C$93:$AF$101,H$64,FALSE)</f>
        <v>$\phi8@15$</v>
      </c>
    </row>
    <row r="42" spans="5:8" x14ac:dyDescent="0.25">
      <c r="E42" s="148" t="str">
        <f>'2 a 7'!C103&amp;"-"&amp;'2 a 7'!D103</f>
        <v>204-208</v>
      </c>
      <c r="F42" s="149">
        <f>HLOOKUP($E42,'2 a 7'!$C$104:$AF$112,F$64,FALSE)</f>
        <v>1355.4142714285713</v>
      </c>
      <c r="G42" s="149">
        <f>HLOOKUP($E42,'2 a 7'!$C$104:$AF$112,G$64,FALSE)</f>
        <v>2.5199999999999996</v>
      </c>
      <c r="H42" s="150" t="str">
        <f>HLOOKUP($E42,'2 a 7'!$C$104:$AF$112,H$64,FALSE)</f>
        <v>$\phi8@17$</v>
      </c>
    </row>
    <row r="43" spans="5:8" hidden="1" x14ac:dyDescent="0.25">
      <c r="E43" s="148" t="str">
        <f>'2 a 7'!E103&amp;"-"&amp;'2 a 7'!F103</f>
        <v>204-216</v>
      </c>
      <c r="F43" s="149">
        <f>HLOOKUP($E43,'2 a 7'!$C$104:$AF$112,F$64,FALSE)</f>
        <v>1358.2805914285714</v>
      </c>
      <c r="G43" s="149">
        <f>HLOOKUP($E43,'2 a 7'!$C$104:$AF$112,G$64,FALSE)</f>
        <v>2.5299999999999998</v>
      </c>
      <c r="H43" s="150" t="str">
        <f>HLOOKUP($E43,'2 a 7'!$C$104:$AF$112,H$64,FALSE)</f>
        <v>$\phi8@17$</v>
      </c>
    </row>
    <row r="44" spans="5:8" x14ac:dyDescent="0.25">
      <c r="E44" s="148" t="str">
        <f>'2 a 7'!G103&amp;"-"&amp;'2 a 7'!H103</f>
        <v>204-210</v>
      </c>
      <c r="F44" s="149">
        <f>HLOOKUP($E44,'2 a 7'!$C$104:$AF$112,F$64,FALSE)</f>
        <v>1950.7930880984043</v>
      </c>
      <c r="G44" s="149">
        <f>HLOOKUP($E44,'2 a 7'!$C$104:$AF$112,G$64,FALSE)</f>
        <v>3.63</v>
      </c>
      <c r="H44" s="150" t="str">
        <f>HLOOKUP($E44,'2 a 7'!$C$104:$AF$112,H$64,FALSE)</f>
        <v>$\phi8@14$</v>
      </c>
    </row>
    <row r="45" spans="5:8" x14ac:dyDescent="0.25">
      <c r="E45" s="148" t="str">
        <f>'2 a 7'!I103&amp;"-"&amp;'2 a 7'!J103</f>
        <v>204-211</v>
      </c>
      <c r="F45" s="149">
        <f>HLOOKUP($E45,'2 a 7'!$C$104:$AF$112,F$64,FALSE)</f>
        <v>2174.8939997479843</v>
      </c>
      <c r="G45" s="149">
        <f>HLOOKUP($E45,'2 a 7'!$C$104:$AF$112,G$64,FALSE)</f>
        <v>4.05</v>
      </c>
      <c r="H45" s="150" t="str">
        <f>HLOOKUP($E45,'2 a 7'!$C$104:$AF$112,H$64,FALSE)</f>
        <v>$\phi10@19$</v>
      </c>
    </row>
    <row r="46" spans="5:8" hidden="1" x14ac:dyDescent="0.25">
      <c r="E46" s="148" t="str">
        <f>'2 a 7'!K103&amp;"-"&amp;'2 a 7'!L103</f>
        <v>205-220</v>
      </c>
      <c r="F46" s="149">
        <f>HLOOKUP($E46,'2 a 7'!$C$104:$AF$112,F$64,FALSE)</f>
        <v>1292.7742691860465</v>
      </c>
      <c r="G46" s="149">
        <f>HLOOKUP($E46,'2 a 7'!$C$104:$AF$112,G$64,FALSE)</f>
        <v>2.4099999999999997</v>
      </c>
      <c r="H46" s="150" t="str">
        <f>HLOOKUP($E46,'2 a 7'!$C$104:$AF$112,H$64,FALSE)</f>
        <v>$\phi8@17$</v>
      </c>
    </row>
    <row r="47" spans="5:8" x14ac:dyDescent="0.25">
      <c r="E47" s="148" t="str">
        <f>'2 a 7'!M103&amp;"-"&amp;'2 a 7'!N103</f>
        <v>205-206</v>
      </c>
      <c r="F47" s="149">
        <f>HLOOKUP($E47,'2 a 7'!$C$104:$AF$112,F$64,FALSE)</f>
        <v>1602.89042802573</v>
      </c>
      <c r="G47" s="149">
        <f>HLOOKUP($E47,'2 a 7'!$C$104:$AF$112,G$64,FALSE)</f>
        <v>2.98</v>
      </c>
      <c r="H47" s="150" t="str">
        <f>HLOOKUP($E47,'2 a 7'!$C$104:$AF$112,H$64,FALSE)</f>
        <v>$\phi8@17$</v>
      </c>
    </row>
    <row r="48" spans="5:8" hidden="1" x14ac:dyDescent="0.25">
      <c r="E48" s="148" t="str">
        <f>'2 a 7'!O103&amp;"-"&amp;'2 a 7'!P103</f>
        <v>205-219</v>
      </c>
      <c r="F48" s="149">
        <f>HLOOKUP($E48,'2 a 7'!$C$104:$AF$112,F$64,FALSE)</f>
        <v>1542.5991740322581</v>
      </c>
      <c r="G48" s="149">
        <f>HLOOKUP($E48,'2 a 7'!$C$104:$AF$112,G$64,FALSE)</f>
        <v>2.8699999999999997</v>
      </c>
      <c r="H48" s="150" t="str">
        <f>HLOOKUP($E48,'2 a 7'!$C$104:$AF$112,H$64,FALSE)</f>
        <v>$\phi8@17$</v>
      </c>
    </row>
    <row r="49" spans="5:8" x14ac:dyDescent="0.25">
      <c r="E49" s="148" t="str">
        <f>'2 a 7'!Q103&amp;"-"&amp;'2 a 7'!R103</f>
        <v>206-219</v>
      </c>
      <c r="F49" s="149">
        <f>HLOOKUP($E49,'2 a 7'!$C$104:$AF$112,F$64,FALSE)</f>
        <v>908.03294844827553</v>
      </c>
      <c r="G49" s="149">
        <f>HLOOKUP($E49,'2 a 7'!$C$104:$AF$112,G$64,FALSE)</f>
        <v>1.69</v>
      </c>
      <c r="H49" s="150" t="str">
        <f>HLOOKUP($E49,'2 a 7'!$C$104:$AF$112,H$64,FALSE)</f>
        <v>$\phi8@17$</v>
      </c>
    </row>
    <row r="50" spans="5:8" x14ac:dyDescent="0.25">
      <c r="E50" s="148" t="str">
        <f>'2 a 7'!S103&amp;"-"&amp;'2 a 7'!T103</f>
        <v>206-208</v>
      </c>
      <c r="F50" s="149">
        <f>HLOOKUP($E50,'2 a 7'!$C$104:$AF$112,F$64,FALSE)</f>
        <v>894.79210344827561</v>
      </c>
      <c r="G50" s="149">
        <f>HLOOKUP($E50,'2 a 7'!$C$104:$AF$112,G$64,FALSE)</f>
        <v>1.67</v>
      </c>
      <c r="H50" s="150" t="str">
        <f>HLOOKUP($E50,'2 a 7'!$C$104:$AF$112,H$64,FALSE)</f>
        <v>$\phi8@17$</v>
      </c>
    </row>
    <row r="51" spans="5:8" x14ac:dyDescent="0.25">
      <c r="E51" s="148" t="str">
        <f>'2 a 7'!U103&amp;"-"&amp;'2 a 7'!V103</f>
        <v>206-207</v>
      </c>
      <c r="F51" s="149">
        <f>HLOOKUP($E51,'2 a 7'!$C$104:$AF$112,F$64,FALSE)</f>
        <v>1046.773442698259</v>
      </c>
      <c r="G51" s="149">
        <f>HLOOKUP($E51,'2 a 7'!$C$104:$AF$112,G$64,FALSE)</f>
        <v>1.95</v>
      </c>
      <c r="H51" s="150" t="str">
        <f>HLOOKUP($E51,'2 a 7'!$C$104:$AF$112,H$64,FALSE)</f>
        <v>$\phi8@17$</v>
      </c>
    </row>
    <row r="52" spans="5:8" x14ac:dyDescent="0.25">
      <c r="E52" s="148" t="str">
        <f>'2 a 7'!W103&amp;"-"&amp;'2 a 7'!X103</f>
        <v>206-222</v>
      </c>
      <c r="F52" s="149">
        <f>HLOOKUP($E52,'2 a 7'!$C$104:$AF$112,F$64,FALSE)</f>
        <v>1010.6058223259844</v>
      </c>
      <c r="G52" s="149">
        <f>HLOOKUP($E52,'2 a 7'!$C$104:$AF$112,G$64,FALSE)</f>
        <v>1.8800000000000001</v>
      </c>
      <c r="H52" s="150" t="str">
        <f>HLOOKUP($E52,'2 a 7'!$C$104:$AF$112,H$64,FALSE)</f>
        <v>$\phi8@17$</v>
      </c>
    </row>
    <row r="53" spans="5:8" x14ac:dyDescent="0.25">
      <c r="E53" s="148" t="str">
        <f>'2 a 7'!Y103&amp;"-"&amp;'2 a 7'!Z103</f>
        <v>207-208</v>
      </c>
      <c r="F53" s="149">
        <f>HLOOKUP($E53,'2 a 7'!$C$104:$AF$112,F$64,FALSE)</f>
        <v>351.95308536585367</v>
      </c>
      <c r="G53" s="149">
        <f>HLOOKUP($E53,'2 a 7'!$C$104:$AF$112,G$64,FALSE)</f>
        <v>0.66</v>
      </c>
      <c r="H53" s="150" t="str">
        <f>HLOOKUP($E53,'2 a 7'!$C$104:$AF$112,H$64,FALSE)</f>
        <v>$\phi8@17$</v>
      </c>
    </row>
    <row r="54" spans="5:8" hidden="1" x14ac:dyDescent="0.25">
      <c r="E54" s="148" t="str">
        <f>'2 a 7'!C114&amp;"-"&amp;'2 a 7'!D114</f>
        <v>207-222</v>
      </c>
      <c r="F54" s="149">
        <f>HLOOKUP($E54,'2 a 7'!$C$115:$AF$123,F$64,FALSE)</f>
        <v>569.34698758580407</v>
      </c>
      <c r="G54" s="149">
        <f>HLOOKUP($E54,'2 a 7'!$C$115:$AF$123,G$64,FALSE)</f>
        <v>1.06</v>
      </c>
      <c r="H54" s="150" t="str">
        <f>HLOOKUP($E54,'2 a 7'!$C$115:$AF$123,H$64,FALSE)</f>
        <v>$\phi8@17$</v>
      </c>
    </row>
    <row r="55" spans="5:8" x14ac:dyDescent="0.25">
      <c r="E55" s="148" t="str">
        <f>'2 a 7'!E114&amp;"-"&amp;'2 a 7'!F114</f>
        <v>208-209</v>
      </c>
      <c r="F55" s="149">
        <f>HLOOKUP($E55,'2 a 7'!$C$115:$AF$123,F$64,FALSE)</f>
        <v>462.29215714285709</v>
      </c>
      <c r="G55" s="149">
        <f>HLOOKUP($E55,'2 a 7'!$C$115:$AF$123,G$64,FALSE)</f>
        <v>0.86</v>
      </c>
      <c r="H55" s="150" t="str">
        <f>HLOOKUP($E55,'2 a 7'!$C$115:$AF$123,H$64,FALSE)</f>
        <v>$\phi8@17$</v>
      </c>
    </row>
    <row r="56" spans="5:8" x14ac:dyDescent="0.25">
      <c r="E56" s="148" t="str">
        <f>'2 a 7'!G114&amp;"-"&amp;'2 a 7'!H114</f>
        <v>208-210</v>
      </c>
      <c r="F56" s="149">
        <f>HLOOKUP($E56,'2 a 7'!$C$115:$AF$123,F$64,FALSE)</f>
        <v>961.29421276595713</v>
      </c>
      <c r="G56" s="149">
        <f>HLOOKUP($E56,'2 a 7'!$C$115:$AF$123,G$64,FALSE)</f>
        <v>1.79</v>
      </c>
      <c r="H56" s="150" t="str">
        <f>HLOOKUP($E56,'2 a 7'!$C$115:$AF$123,H$64,FALSE)</f>
        <v>$\phi8@17$</v>
      </c>
    </row>
    <row r="57" spans="5:8" x14ac:dyDescent="0.25">
      <c r="E57" s="148" t="str">
        <f>'2 a 7'!I114&amp;"-"&amp;'2 a 7'!J114</f>
        <v>209-222</v>
      </c>
      <c r="F57" s="149">
        <f>HLOOKUP($E57,'2 a 7'!$C$115:$AF$123,F$64,FALSE)</f>
        <v>725.92662217194572</v>
      </c>
      <c r="G57" s="149">
        <f>HLOOKUP($E57,'2 a 7'!$C$115:$AF$123,G$64,FALSE)</f>
        <v>1.35</v>
      </c>
      <c r="H57" s="150" t="str">
        <f>HLOOKUP($E57,'2 a 7'!$C$115:$AF$123,H$64,FALSE)</f>
        <v>$\phi8@17$</v>
      </c>
    </row>
    <row r="58" spans="5:8" x14ac:dyDescent="0.25">
      <c r="E58" s="148" t="str">
        <f>'2 a 7'!K114&amp;"-"&amp;'2 a 7'!L114</f>
        <v>209-210</v>
      </c>
      <c r="F58" s="149">
        <f>HLOOKUP($E58,'2 a 7'!$C$115:$AF$123,F$64,FALSE)</f>
        <v>1065.1196600985222</v>
      </c>
      <c r="G58" s="149">
        <f>HLOOKUP($E58,'2 a 7'!$C$115:$AF$123,G$64,FALSE)</f>
        <v>1.98</v>
      </c>
      <c r="H58" s="150" t="str">
        <f>HLOOKUP($E58,'2 a 7'!$C$115:$AF$123,H$64,FALSE)</f>
        <v>$\phi8@17$</v>
      </c>
    </row>
    <row r="59" spans="5:8" ht="15.75" thickBot="1" x14ac:dyDescent="0.3">
      <c r="E59" s="151" t="str">
        <f>'2 a 7'!M114&amp;"-"&amp;'2 a 7'!N114</f>
        <v>210-211</v>
      </c>
      <c r="F59" s="152">
        <f>HLOOKUP($E59,'2 a 7'!$C$115:$AF$123,F$64,FALSE)</f>
        <v>1491.3769380501776</v>
      </c>
      <c r="G59" s="152">
        <f>HLOOKUP($E59,'2 a 7'!$C$115:$AF$123,G$64,FALSE)</f>
        <v>2.7699999999999996</v>
      </c>
      <c r="H59" s="153" t="str">
        <f>HLOOKUP($E59,'2 a 7'!$C$115:$AF$123,H$64,FALSE)</f>
        <v>$\phi8@17$</v>
      </c>
    </row>
    <row r="60" spans="5:8" hidden="1" x14ac:dyDescent="0.25">
      <c r="E60" s="148" t="str">
        <f>'2 a 7'!O114&amp;"-"&amp;'2 a 7'!P114</f>
        <v>210-218</v>
      </c>
      <c r="F60" s="149">
        <f>HLOOKUP($E60,'2 a 7'!$C$115:$AF$123,F$64,FALSE)</f>
        <v>974.53505776595716</v>
      </c>
      <c r="G60" s="149">
        <f>HLOOKUP($E60,'2 a 7'!$C$115:$AF$123,G$64,FALSE)</f>
        <v>1.81</v>
      </c>
      <c r="H60" s="150" t="str">
        <f>HLOOKUP($E60,'2 a 7'!$C$115:$AF$123,H$64,FALSE)</f>
        <v>$\phi8@17$</v>
      </c>
    </row>
    <row r="61" spans="5:8" hidden="1" x14ac:dyDescent="0.25">
      <c r="E61" s="148" t="str">
        <f>'2 a 7'!Q114&amp;"-"&amp;'2 a 7'!R114</f>
        <v>211-218</v>
      </c>
      <c r="F61" s="149">
        <f>HLOOKUP($E61,'2 a 7'!$C$115:$AF$123,F$64,FALSE)</f>
        <v>1443.4629837096775</v>
      </c>
      <c r="G61" s="149">
        <f>HLOOKUP($E61,'2 a 7'!$C$115:$AF$123,G$64,FALSE)</f>
        <v>2.69</v>
      </c>
      <c r="H61" s="150" t="str">
        <f>HLOOKUP($E61,'2 a 7'!$C$115:$AF$123,H$64,FALSE)</f>
        <v>$\phi8@17$</v>
      </c>
    </row>
    <row r="62" spans="5:8" hidden="1" x14ac:dyDescent="0.25">
      <c r="E62" s="148" t="str">
        <f>'2 a 7'!S114&amp;"-"&amp;'2 a 7'!T114</f>
        <v>211-217</v>
      </c>
      <c r="F62" s="149">
        <f>HLOOKUP($E62,'2 a 7'!$C$115:$AF$123,F$64,FALSE)</f>
        <v>1229.1776120930235</v>
      </c>
      <c r="G62" s="149">
        <f>HLOOKUP($E62,'2 a 7'!$C$115:$AF$123,G$64,FALSE)</f>
        <v>2.2899999999999996</v>
      </c>
      <c r="H62" s="150" t="str">
        <f>HLOOKUP($E62,'2 a 7'!$C$115:$AF$123,H$64,FALSE)</f>
        <v>$\phi8@17$</v>
      </c>
    </row>
    <row r="63" spans="5:8" ht="15.75" hidden="1" thickBot="1" x14ac:dyDescent="0.3">
      <c r="E63" s="151" t="str">
        <f>'2 a 7'!U114&amp;"-"&amp;'2 a 7'!V114</f>
        <v>213-214</v>
      </c>
      <c r="F63" s="152">
        <f>HLOOKUP($E63,'2 a 7'!$C$115:$AF$123,F$64,FALSE)</f>
        <v>224.36184000000003</v>
      </c>
      <c r="G63" s="152">
        <f>HLOOKUP($E63,'2 a 7'!$C$115:$AF$123,G$64,FALSE)</f>
        <v>0.42</v>
      </c>
      <c r="H63" s="153" t="str">
        <f>HLOOKUP($E63,'2 a 7'!$C$115:$AF$123,H$64,FALSE)</f>
        <v>$\phi8@17$</v>
      </c>
    </row>
    <row r="64" spans="5:8" x14ac:dyDescent="0.25">
      <c r="E64" s="124"/>
      <c r="F64" s="124">
        <v>5</v>
      </c>
      <c r="G64" s="124">
        <v>8</v>
      </c>
      <c r="H64" s="124">
        <v>9</v>
      </c>
    </row>
  </sheetData>
  <mergeCells count="12">
    <mergeCell ref="E28:F28"/>
    <mergeCell ref="B2:H2"/>
    <mergeCell ref="I2:K2"/>
    <mergeCell ref="L2:N2"/>
    <mergeCell ref="B3:B4"/>
    <mergeCell ref="E3:E4"/>
    <mergeCell ref="F3:F4"/>
    <mergeCell ref="G3:H3"/>
    <mergeCell ref="I3:J3"/>
    <mergeCell ref="K3:L3"/>
    <mergeCell ref="M3:N3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tablas</vt:lpstr>
      <vt:lpstr>-1</vt:lpstr>
      <vt:lpstr>Tabla -1</vt:lpstr>
      <vt:lpstr>1</vt:lpstr>
      <vt:lpstr>Tabla 1</vt:lpstr>
      <vt:lpstr>2 a 7</vt:lpstr>
      <vt:lpstr>8 a 13</vt:lpstr>
      <vt:lpstr>14 a 22</vt:lpstr>
      <vt:lpstr>Tabla 2 al 22</vt:lpstr>
      <vt:lpstr>23</vt:lpstr>
      <vt:lpstr>Tabla 23</vt:lpstr>
      <vt:lpstr>24</vt:lpstr>
      <vt:lpstr>Tabla 24</vt:lpstr>
      <vt:lpstr>Cubierta</vt:lpstr>
      <vt:lpstr>Tabla cub</vt:lpstr>
      <vt:lpstr>Deformaciones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elba valenzuela</dc:creator>
  <cp:lastModifiedBy>Administrador</cp:lastModifiedBy>
  <cp:lastPrinted>2018-11-12T20:55:56Z</cp:lastPrinted>
  <dcterms:created xsi:type="dcterms:W3CDTF">2018-11-12T17:14:42Z</dcterms:created>
  <dcterms:modified xsi:type="dcterms:W3CDTF">2018-11-18T23:06:24Z</dcterms:modified>
</cp:coreProperties>
</file>