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F07FE8AC-8B00-4CBB-AA5B-6745923D021F}" xr6:coauthVersionLast="31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26" i="2"/>
  <c r="R25" i="2"/>
  <c r="R24" i="2"/>
  <c r="R23" i="2"/>
  <c r="R22" i="2"/>
  <c r="R21" i="2"/>
  <c r="R20" i="2"/>
  <c r="R19" i="2"/>
  <c r="R18" i="2"/>
  <c r="R11" i="2"/>
  <c r="R10" i="2"/>
  <c r="R9" i="2"/>
  <c r="R8" i="2"/>
  <c r="R7" i="2"/>
  <c r="R6" i="2"/>
  <c r="R5" i="2"/>
  <c r="R4" i="2"/>
  <c r="Q26" i="2"/>
  <c r="Q25" i="2"/>
  <c r="Q24" i="2"/>
  <c r="Q23" i="2"/>
  <c r="Q22" i="2"/>
  <c r="Q21" i="2"/>
  <c r="Q20" i="2"/>
  <c r="Q19" i="2"/>
  <c r="Q18" i="2"/>
  <c r="Q11" i="2"/>
  <c r="Q10" i="2"/>
  <c r="Q9" i="2"/>
  <c r="Q8" i="2"/>
  <c r="Q7" i="2"/>
  <c r="Q6" i="2"/>
  <c r="Q5" i="2"/>
  <c r="Q4" i="2"/>
  <c r="Q3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AA28" i="1" l="1"/>
  <c r="AA27" i="1"/>
  <c r="U39" i="1"/>
  <c r="C6" i="1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4" i="2"/>
  <c r="T25" i="2"/>
  <c r="T26" i="2"/>
  <c r="U26" i="2" s="1"/>
  <c r="T67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I58" i="1"/>
  <c r="AD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U25" i="2" l="1"/>
  <c r="U24" i="2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P5" i="1"/>
  <c r="O5" i="1"/>
  <c r="T5" i="1" s="1"/>
  <c r="H4" i="5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R17" i="2" s="1"/>
  <c r="I49" i="1"/>
  <c r="Q17" i="2" s="1"/>
  <c r="J48" i="1"/>
  <c r="R16" i="2" s="1"/>
  <c r="I48" i="1"/>
  <c r="Q16" i="2" s="1"/>
  <c r="J47" i="1"/>
  <c r="R15" i="2" s="1"/>
  <c r="I47" i="1"/>
  <c r="Q15" i="2" s="1"/>
  <c r="J46" i="1"/>
  <c r="R14" i="2" s="1"/>
  <c r="I46" i="1"/>
  <c r="Q14" i="2" s="1"/>
  <c r="J45" i="1"/>
  <c r="R13" i="2" s="1"/>
  <c r="I45" i="1"/>
  <c r="Q13" i="2" s="1"/>
  <c r="J44" i="1"/>
  <c r="R12" i="2" s="1"/>
  <c r="I44" i="1"/>
  <c r="Q12" i="2" s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1" i="1" l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I16" i="5"/>
  <c r="I3" i="5"/>
  <c r="R6" i="1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T7" i="1" s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X8" i="1" s="1"/>
  <c r="Z8" i="1" s="1"/>
  <c r="R46" i="1"/>
  <c r="V46" i="1" s="1"/>
  <c r="X16" i="1" s="1"/>
  <c r="Z16" i="1" s="1"/>
  <c r="R50" i="1"/>
  <c r="V50" i="1" s="1"/>
  <c r="X20" i="1" s="1"/>
  <c r="Z20" i="1" s="1"/>
  <c r="R54" i="1"/>
  <c r="V54" i="1" s="1"/>
  <c r="X24" i="1" s="1"/>
  <c r="Z24" i="1" s="1"/>
  <c r="R52" i="1"/>
  <c r="V52" i="1" s="1"/>
  <c r="X22" i="1" s="1"/>
  <c r="Z22" i="1" s="1"/>
  <c r="R37" i="1"/>
  <c r="V37" i="1" s="1"/>
  <c r="X7" i="1" s="1"/>
  <c r="Z7" i="1" s="1"/>
  <c r="R36" i="1"/>
  <c r="V36" i="1" s="1"/>
  <c r="X6" i="1" s="1"/>
  <c r="Z6" i="1" s="1"/>
  <c r="R48" i="1"/>
  <c r="V48" i="1" s="1"/>
  <c r="X18" i="1" s="1"/>
  <c r="Z18" i="1" s="1"/>
  <c r="R41" i="1"/>
  <c r="V41" i="1" s="1"/>
  <c r="X11" i="1" s="1"/>
  <c r="Z11" i="1" s="1"/>
  <c r="R51" i="1"/>
  <c r="V51" i="1" s="1"/>
  <c r="X21" i="1" s="1"/>
  <c r="Z21" i="1" s="1"/>
  <c r="R56" i="1"/>
  <c r="V56" i="1" s="1"/>
  <c r="X26" i="1" s="1"/>
  <c r="Z26" i="1" s="1"/>
  <c r="R40" i="1"/>
  <c r="V40" i="1" s="1"/>
  <c r="X10" i="1" s="1"/>
  <c r="Z10" i="1" s="1"/>
  <c r="R45" i="1"/>
  <c r="V45" i="1" s="1"/>
  <c r="X15" i="1" s="1"/>
  <c r="Z15" i="1" s="1"/>
  <c r="R42" i="1"/>
  <c r="V42" i="1" s="1"/>
  <c r="X12" i="1" s="1"/>
  <c r="Z12" i="1" s="1"/>
  <c r="R55" i="1"/>
  <c r="V55" i="1" s="1"/>
  <c r="X25" i="1" s="1"/>
  <c r="Z25" i="1" s="1"/>
  <c r="R49" i="1"/>
  <c r="V49" i="1" s="1"/>
  <c r="X19" i="1" s="1"/>
  <c r="Z19" i="1" s="1"/>
  <c r="R53" i="1"/>
  <c r="V53" i="1" s="1"/>
  <c r="R58" i="1"/>
  <c r="V58" i="1" s="1"/>
  <c r="X28" i="1" s="1"/>
  <c r="Z28" i="1" s="1"/>
  <c r="R35" i="1"/>
  <c r="V35" i="1" s="1"/>
  <c r="X5" i="1" s="1"/>
  <c r="Z5" i="1" s="1"/>
  <c r="R43" i="1"/>
  <c r="V43" i="1" s="1"/>
  <c r="X13" i="1" s="1"/>
  <c r="Z13" i="1" s="1"/>
  <c r="R44" i="1"/>
  <c r="V44" i="1" s="1"/>
  <c r="X14" i="1" s="1"/>
  <c r="Z14" i="1" s="1"/>
  <c r="R57" i="1"/>
  <c r="V57" i="1" s="1"/>
  <c r="X27" i="1" s="1"/>
  <c r="Z27" i="1" s="1"/>
  <c r="R39" i="1"/>
  <c r="V39" i="1" s="1"/>
  <c r="X9" i="1" s="1"/>
  <c r="Z9" i="1" s="1"/>
  <c r="R34" i="1"/>
  <c r="V34" i="1" s="1"/>
  <c r="X4" i="1" s="1"/>
  <c r="Z4" i="1" s="1"/>
  <c r="R47" i="1"/>
  <c r="V47" i="1" s="1"/>
  <c r="X17" i="1" s="1"/>
  <c r="Z1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X53" i="1" l="1"/>
  <c r="X23" i="1"/>
  <c r="Z23" i="1" s="1"/>
  <c r="H21" i="5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T6" i="1"/>
  <c r="H5" i="5" s="1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24" i="1"/>
  <c r="U24" i="1" s="1"/>
  <c r="G22" i="2" s="1"/>
  <c r="O29" i="1"/>
  <c r="V59" i="1"/>
  <c r="S11" i="1" l="1"/>
  <c r="U11" i="1" s="1"/>
  <c r="G9" i="2" s="1"/>
  <c r="J4" i="5"/>
  <c r="S4" i="1"/>
  <c r="J20" i="5"/>
  <c r="W59" i="1"/>
  <c r="T66" i="1" s="1"/>
  <c r="J3" i="5"/>
  <c r="S5" i="1"/>
  <c r="U5" i="1" s="1"/>
  <c r="T29" i="1"/>
  <c r="T65" i="1" s="1"/>
  <c r="K13" i="5"/>
  <c r="L13" i="5" s="1"/>
  <c r="M13" i="5" s="1"/>
  <c r="AA12" i="2"/>
  <c r="K10" i="5"/>
  <c r="L10" i="5" s="1"/>
  <c r="M10" i="5" s="1"/>
  <c r="AA9" i="2"/>
  <c r="K23" i="5"/>
  <c r="L23" i="5" s="1"/>
  <c r="M23" i="5" s="1"/>
  <c r="AA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U6" i="1" s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T68" i="1" l="1"/>
  <c r="G4" i="2"/>
  <c r="AA4" i="2"/>
  <c r="AA3" i="2"/>
  <c r="AB3" i="2" s="1"/>
  <c r="AE3" i="2" s="1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AA26" i="2"/>
  <c r="G26" i="2"/>
  <c r="AA20" i="2"/>
  <c r="K7" i="5"/>
  <c r="L7" i="5" s="1"/>
  <c r="M7" i="5" s="1"/>
  <c r="AA6" i="2"/>
  <c r="K17" i="5"/>
  <c r="L17" i="5" s="1"/>
  <c r="M17" i="5" s="1"/>
  <c r="AA16" i="2"/>
  <c r="K16" i="5"/>
  <c r="L16" i="5" s="1"/>
  <c r="M16" i="5" s="1"/>
  <c r="AA15" i="2"/>
  <c r="K12" i="5"/>
  <c r="L12" i="5" s="1"/>
  <c r="M12" i="5" s="1"/>
  <c r="AA11" i="2"/>
  <c r="K6" i="5"/>
  <c r="L6" i="5" s="1"/>
  <c r="M6" i="5" s="1"/>
  <c r="AA5" i="2"/>
  <c r="K24" i="5"/>
  <c r="L24" i="5" s="1"/>
  <c r="M24" i="5" s="1"/>
  <c r="AA23" i="2"/>
  <c r="K19" i="5"/>
  <c r="L19" i="5" s="1"/>
  <c r="M19" i="5" s="1"/>
  <c r="AA18" i="2"/>
  <c r="K11" i="5"/>
  <c r="L11" i="5" s="1"/>
  <c r="M11" i="5" s="1"/>
  <c r="AA10" i="2"/>
  <c r="K20" i="5"/>
  <c r="L20" i="5" s="1"/>
  <c r="M20" i="5" s="1"/>
  <c r="AA19" i="2"/>
  <c r="K14" i="5"/>
  <c r="L14" i="5" s="1"/>
  <c r="M14" i="5" s="1"/>
  <c r="AA13" i="2"/>
  <c r="K18" i="5"/>
  <c r="L18" i="5" s="1"/>
  <c r="M18" i="5" s="1"/>
  <c r="AA17" i="2"/>
  <c r="K9" i="5"/>
  <c r="L9" i="5" s="1"/>
  <c r="M9" i="5" s="1"/>
  <c r="AA8" i="2"/>
  <c r="K5" i="5"/>
  <c r="L5" i="5" s="1"/>
  <c r="M5" i="5" s="1"/>
  <c r="K26" i="5"/>
  <c r="L26" i="5" s="1"/>
  <c r="M26" i="5" s="1"/>
  <c r="AA25" i="2"/>
  <c r="K15" i="5"/>
  <c r="L15" i="5" s="1"/>
  <c r="M15" i="5" s="1"/>
  <c r="AA14" i="2"/>
  <c r="K22" i="5"/>
  <c r="L22" i="5" s="1"/>
  <c r="M22" i="5" s="1"/>
  <c r="AA21" i="2"/>
  <c r="K8" i="5"/>
  <c r="L8" i="5" s="1"/>
  <c r="M8" i="5" s="1"/>
  <c r="AA7" i="2"/>
  <c r="K25" i="5"/>
  <c r="L25" i="5" s="1"/>
  <c r="M25" i="5" s="1"/>
  <c r="AA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AB4" i="2" l="1"/>
  <c r="H4" i="2"/>
  <c r="X4" i="2" s="1"/>
  <c r="X3" i="2"/>
  <c r="O3" i="2"/>
  <c r="W3" i="2"/>
  <c r="P3" i="2"/>
  <c r="AG3" i="2"/>
  <c r="AG4" i="2"/>
  <c r="AB5" i="2" l="1"/>
  <c r="AE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W4" i="2"/>
  <c r="O4" i="2"/>
  <c r="AG5" i="2"/>
  <c r="AB6" i="2" l="1"/>
  <c r="AE5" i="2"/>
  <c r="P6" i="2"/>
  <c r="X5" i="2"/>
  <c r="W5" i="2"/>
  <c r="P5" i="2"/>
  <c r="O5" i="2"/>
  <c r="W6" i="2"/>
  <c r="O6" i="2"/>
  <c r="AG6" i="2"/>
  <c r="X6" i="2"/>
  <c r="AB7" i="2" l="1"/>
  <c r="AE6" i="2"/>
  <c r="X7" i="2"/>
  <c r="W7" i="2"/>
  <c r="P7" i="2"/>
  <c r="O7" i="2"/>
  <c r="AG7" i="2"/>
  <c r="AB8" i="2" l="1"/>
  <c r="AE7" i="2"/>
  <c r="X8" i="2"/>
  <c r="W8" i="2"/>
  <c r="P8" i="2"/>
  <c r="O8" i="2"/>
  <c r="AG8" i="2"/>
  <c r="AB9" i="2" l="1"/>
  <c r="AE8" i="2"/>
  <c r="P9" i="2"/>
  <c r="O9" i="2"/>
  <c r="X9" i="2"/>
  <c r="W9" i="2"/>
  <c r="AG9" i="2"/>
  <c r="X10" i="2"/>
  <c r="W10" i="2"/>
  <c r="O10" i="2"/>
  <c r="P10" i="2"/>
  <c r="AB10" i="2" l="1"/>
  <c r="AG10" i="2" s="1"/>
  <c r="AE9" i="2"/>
  <c r="W11" i="2"/>
  <c r="X11" i="2"/>
  <c r="P11" i="2"/>
  <c r="O11" i="2"/>
  <c r="AB11" i="2" l="1"/>
  <c r="AG11" i="2" s="1"/>
  <c r="AE10" i="2"/>
  <c r="W12" i="2"/>
  <c r="X12" i="2"/>
  <c r="P12" i="2"/>
  <c r="O12" i="2"/>
  <c r="AB12" i="2" l="1"/>
  <c r="AG12" i="2" s="1"/>
  <c r="AE11" i="2"/>
  <c r="X13" i="2"/>
  <c r="P13" i="2"/>
  <c r="O13" i="2"/>
  <c r="W13" i="2"/>
  <c r="AB13" i="2" l="1"/>
  <c r="AG13" i="2" s="1"/>
  <c r="AE12" i="2"/>
  <c r="P14" i="2"/>
  <c r="X14" i="2"/>
  <c r="W14" i="2"/>
  <c r="O14" i="2"/>
  <c r="AB14" i="2" l="1"/>
  <c r="AG14" i="2" s="1"/>
  <c r="AE13" i="2"/>
  <c r="W15" i="2"/>
  <c r="X15" i="2"/>
  <c r="O15" i="2"/>
  <c r="P15" i="2"/>
  <c r="AB15" i="2" l="1"/>
  <c r="AE14" i="2"/>
  <c r="W16" i="2"/>
  <c r="X16" i="2"/>
  <c r="P16" i="2"/>
  <c r="O16" i="2"/>
  <c r="AB16" i="2" l="1"/>
  <c r="AG16" i="2" s="1"/>
  <c r="AE15" i="2"/>
  <c r="AG15" i="2"/>
  <c r="W17" i="2"/>
  <c r="X17" i="2"/>
  <c r="P17" i="2"/>
  <c r="O17" i="2"/>
  <c r="AB17" i="2" l="1"/>
  <c r="AG17" i="2" s="1"/>
  <c r="AE16" i="2"/>
  <c r="X18" i="2"/>
  <c r="W18" i="2"/>
  <c r="P18" i="2"/>
  <c r="O18" i="2"/>
  <c r="AB18" i="2" l="1"/>
  <c r="AG18" i="2" s="1"/>
  <c r="AE17" i="2"/>
  <c r="X19" i="2"/>
  <c r="W19" i="2"/>
  <c r="P19" i="2"/>
  <c r="O19" i="2"/>
  <c r="AB19" i="2" l="1"/>
  <c r="AG19" i="2" s="1"/>
  <c r="AE18" i="2"/>
  <c r="X20" i="2"/>
  <c r="P20" i="2"/>
  <c r="O20" i="2"/>
  <c r="W20" i="2"/>
  <c r="AB20" i="2" l="1"/>
  <c r="AG20" i="2" s="1"/>
  <c r="AE19" i="2"/>
  <c r="X21" i="2"/>
  <c r="P21" i="2"/>
  <c r="O21" i="2"/>
  <c r="W21" i="2"/>
  <c r="AB21" i="2" l="1"/>
  <c r="AG21" i="2" s="1"/>
  <c r="AE20" i="2"/>
  <c r="X22" i="2"/>
  <c r="W22" i="2"/>
  <c r="P22" i="2"/>
  <c r="O22" i="2"/>
  <c r="AB22" i="2" l="1"/>
  <c r="AG22" i="2" s="1"/>
  <c r="AE21" i="2"/>
  <c r="P23" i="2"/>
  <c r="W23" i="2"/>
  <c r="X23" i="2"/>
  <c r="O23" i="2"/>
  <c r="AB23" i="2" l="1"/>
  <c r="AG23" i="2" s="1"/>
  <c r="AE22" i="2"/>
  <c r="O24" i="2"/>
  <c r="W24" i="2"/>
  <c r="P24" i="2"/>
  <c r="X24" i="2"/>
  <c r="AB24" i="2" l="1"/>
  <c r="AG24" i="2" s="1"/>
  <c r="AE23" i="2"/>
  <c r="P25" i="2"/>
  <c r="O25" i="2"/>
  <c r="W25" i="2"/>
  <c r="X25" i="2"/>
  <c r="AB25" i="2" l="1"/>
  <c r="AG25" i="2" s="1"/>
  <c r="AE24" i="2"/>
  <c r="O26" i="2"/>
  <c r="X26" i="2"/>
  <c r="W26" i="2"/>
  <c r="P26" i="2"/>
  <c r="AB26" i="2" l="1"/>
  <c r="AE26" i="2" s="1"/>
  <c r="AE25" i="2"/>
  <c r="AG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<sst xmlns="http://schemas.openxmlformats.org/spreadsheetml/2006/main" count="213" uniqueCount="148">
  <si>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</si>
  <si>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</si>
  <si>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</si>
  <si>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</si>
  <si>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</si>
  <si>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</si>
  <si>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</si>
  <si>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</si>
  <si>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</si>
  <si>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</si>
  <si>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</si>
  <si>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</si>
  <si>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</si>
  <si>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</si>
  <si>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</si>
  <si>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</si>
  <si>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</si>
  <si>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</si>
  <si>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</si>
  <si>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</si>
  <si>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</si>
  <si>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</si>
  <si>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</si>
  <si>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</si>
  <si>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</si>
  <si>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</si>
  <si>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</si>
  <si>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</si>
  <si>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</si>
  <si>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</si>
  <si>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</si>
  <si>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</si>
  <si>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</si>
  <si>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</si>
  <si>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</si>
  <si>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</si>
  <si>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</si>
  <si>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</si>
  <si>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</si>
  <si>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</si>
  <si>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</si>
  <si>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</si>
  <si>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</si>
  <si>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</si>
  <si>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</si>
  <si>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</si>
  <si>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</si>
  <si>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</si>
  <si>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</si>
  <si>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</si>
  <si>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</si>
  <si>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</si>
  <si>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</si>
  <si>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</si>
  <si>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</si>
  <si>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</si>
  <si>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</si>
  <si>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</si>
  <si>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</si>
  <si>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</si>
  <si>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</si>
  <si>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</si>
  <si>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</si>
  <si>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</si>
  <si>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</si>
  <si>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</si>
  <si>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</si>
  <si>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</si>
  <si>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</si>
  <si>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</si>
  <si>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</si>
  <si>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</si>
  <si>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</si>
  <si>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</si>
  <si>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</si>
  <si>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</si>
  <si>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</si>
  <si>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</si>
  <si>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</si>
  <si>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</si>
  <si>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</si>
  <si>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</si>
  <si>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</si>
  <si>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</si>
  <si>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</si>
  <si>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</si>
  <si>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</si>
  <si>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</si>
  <si>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</si>
  <si>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</si>
  <si>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</si>
  <si>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</si>
  <si>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</si>
  <si>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</si>
  <si>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</si>
  <si>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</si>
  <si>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</si>
  <si>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</si>
  <si>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</si>
  <si>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</si>
  <si>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</si>
  <si>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</si>
  <si>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</si>
  <si>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</si>
  <si>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</si>
  <si>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</si>
  <si>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</si>
  <si>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</si>
  <si>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</si>
  <si>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</si>
  <si>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</si>
  <si>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</si>
  <si>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</si>
  <si>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</si>
  <si>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</si>
  <si>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</si>
  <si>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</si>
  <si>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</si>
  <si>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</si>
  <si>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</si>
  <si>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</si>
  <si>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</si>
  <si>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</si>
  <si>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</si>
  <si>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</si>
  <si>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</si>
  <si>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</si>
  <si>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</si>
  <si>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</si>
  <si>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</si>
  <si>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</si>
  <si>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</si>
  <si>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</si>
  <si>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</si>
  <si>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</si>
  <si>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</si>
  <si>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</si>
  <si>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</si>
  <si>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</si>
  <si>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</si>
  <si>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</si>
  <si>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</si>
  <si>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</si>
  <si>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</si>
  <si>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</si>
  <si>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</si>
  <si>
    <t>Densidad muro x</t>
  </si>
  <si>
    <t>Densidad muro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</si>
</sst>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6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8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C16" sqref="C16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113</v>
      </c>
      <c r="C2" s="209" t="s">
        <v>34</v>
      </c>
      <c r="D2" s="209" t="s">
        <v>103</v>
      </c>
      <c r="E2" s="209" t="s">
        <v>107</v>
      </c>
      <c r="F2" s="209" t="s">
        <v>106</v>
      </c>
      <c r="G2" s="209" t="s">
        <v>122</v>
      </c>
      <c r="H2" s="209" t="s">
        <v>116</v>
      </c>
      <c r="I2" s="209" t="s">
        <v>114</v>
      </c>
      <c r="J2" s="209" t="s">
        <v>115</v>
      </c>
      <c r="K2" s="209" t="s">
        <v>117</v>
      </c>
      <c r="L2" s="209" t="s">
        <v>121</v>
      </c>
      <c r="M2" s="209" t="s">
        <v>123</v>
      </c>
      <c r="N2" s="210" t="s">
        <v>118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 t="shared" ref="M4:M27" si="2"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3">K5/9.8</f>
        <v>44.486369387755104</v>
      </c>
      <c r="M5" s="139">
        <f t="shared" si="2"/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3"/>
        <v>44.486369387755104</v>
      </c>
      <c r="M6" s="139">
        <f t="shared" si="2"/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3"/>
        <v>44.486369387755104</v>
      </c>
      <c r="M7" s="139">
        <f t="shared" si="2"/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3"/>
        <v>44.486369387755104</v>
      </c>
      <c r="M8" s="139">
        <f t="shared" si="2"/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3"/>
        <v>44.486369387755104</v>
      </c>
      <c r="M9" s="139">
        <f t="shared" si="2"/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3"/>
        <v>44.486369387755104</v>
      </c>
      <c r="M10" s="139">
        <f t="shared" si="2"/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3"/>
        <v>44.486369387755104</v>
      </c>
      <c r="M11" s="139">
        <f t="shared" si="2"/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3"/>
        <v>44.486369387755104</v>
      </c>
      <c r="M12" s="139">
        <f t="shared" si="2"/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452.25916999999998</v>
      </c>
      <c r="L13" s="208">
        <f t="shared" si="3"/>
        <v>46.148894897959181</v>
      </c>
      <c r="M13" s="139">
        <f t="shared" si="2"/>
        <v>4420.0580746147389</v>
      </c>
      <c r="N13" s="216">
        <f>'Pesos elementos'!V14</f>
        <v>1.1025252618825314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165.20409999999998</v>
      </c>
      <c r="K14" s="139">
        <f>'Pesos elementos'!U15</f>
        <v>468.55192</v>
      </c>
      <c r="L14" s="208">
        <f t="shared" si="3"/>
        <v>47.811420408163258</v>
      </c>
      <c r="M14" s="139">
        <f t="shared" si="2"/>
        <v>4579.2917750506613</v>
      </c>
      <c r="N14" s="216">
        <f>'Pesos elementos'!V15</f>
        <v>1.1422440108921681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165.20409999999998</v>
      </c>
      <c r="K15" s="139">
        <f>'Pesos elementos'!U16</f>
        <v>468.55192</v>
      </c>
      <c r="L15" s="208">
        <f t="shared" si="3"/>
        <v>47.811420408163258</v>
      </c>
      <c r="M15" s="139">
        <f t="shared" si="2"/>
        <v>4579.2917750506613</v>
      </c>
      <c r="N15" s="216">
        <f>'Pesos elementos'!V16</f>
        <v>1.1422440108921681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165.20409999999998</v>
      </c>
      <c r="K16" s="139">
        <f>'Pesos elementos'!U17</f>
        <v>468.55192</v>
      </c>
      <c r="L16" s="208">
        <f t="shared" si="3"/>
        <v>47.811420408163258</v>
      </c>
      <c r="M16" s="139">
        <f t="shared" si="2"/>
        <v>4579.2917750506613</v>
      </c>
      <c r="N16" s="216">
        <f>'Pesos elementos'!V17</f>
        <v>1.1422440108921681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165.20409999999998</v>
      </c>
      <c r="K17" s="139">
        <f>'Pesos elementos'!U18</f>
        <v>468.55192</v>
      </c>
      <c r="L17" s="208">
        <f t="shared" si="3"/>
        <v>47.811420408163258</v>
      </c>
      <c r="M17" s="139">
        <f t="shared" si="2"/>
        <v>4579.2917750506613</v>
      </c>
      <c r="N17" s="216">
        <f>'Pesos elementos'!V18</f>
        <v>1.1422440108921681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165.20409999999998</v>
      </c>
      <c r="K18" s="139">
        <f>'Pesos elementos'!U19</f>
        <v>468.55192</v>
      </c>
      <c r="L18" s="208">
        <f t="shared" si="3"/>
        <v>47.811420408163258</v>
      </c>
      <c r="M18" s="139">
        <f t="shared" si="2"/>
        <v>4579.2917750506613</v>
      </c>
      <c r="N18" s="216">
        <f>'Pesos elementos'!V19</f>
        <v>1.1422440108921681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165.20409999999998</v>
      </c>
      <c r="K19" s="139">
        <f>'Pesos elementos'!U20</f>
        <v>468.55192</v>
      </c>
      <c r="L19" s="208">
        <f t="shared" si="3"/>
        <v>47.811420408163258</v>
      </c>
      <c r="M19" s="139">
        <f t="shared" si="2"/>
        <v>4579.2917750506613</v>
      </c>
      <c r="N19" s="216">
        <f>'Pesos elementos'!V20</f>
        <v>1.1422440108921681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165.20409999999998</v>
      </c>
      <c r="K20" s="139">
        <f>'Pesos elementos'!U21</f>
        <v>468.55192</v>
      </c>
      <c r="L20" s="208">
        <f t="shared" si="3"/>
        <v>47.811420408163258</v>
      </c>
      <c r="M20" s="139">
        <f t="shared" si="2"/>
        <v>4579.2917750506613</v>
      </c>
      <c r="N20" s="216">
        <f>'Pesos elementos'!V21</f>
        <v>1.1422440108921681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165.20409999999998</v>
      </c>
      <c r="K21" s="139">
        <f>'Pesos elementos'!U22</f>
        <v>468.55192</v>
      </c>
      <c r="L21" s="208">
        <f t="shared" si="3"/>
        <v>47.811420408163258</v>
      </c>
      <c r="M21" s="139">
        <f t="shared" si="2"/>
        <v>4579.2917750506613</v>
      </c>
      <c r="N21" s="216">
        <f>'Pesos elementos'!V22</f>
        <v>1.1422440108921681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165.20409999999998</v>
      </c>
      <c r="K22" s="139">
        <f>'Pesos elementos'!U23</f>
        <v>468.80104499999999</v>
      </c>
      <c r="L22" s="208">
        <f t="shared" si="3"/>
        <v>47.83684132653061</v>
      </c>
      <c r="M22" s="139">
        <f t="shared" si="2"/>
        <v>4581.7265448483386</v>
      </c>
      <c r="N22" s="216">
        <f>'Pesos elementos'!V23</f>
        <v>1.1428513321453038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3"/>
        <v>47.862262244897956</v>
      </c>
      <c r="M23" s="139">
        <f t="shared" si="2"/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3"/>
        <v>48.144384693877548</v>
      </c>
      <c r="M24" s="139">
        <f t="shared" si="2"/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3"/>
        <v>49.018024744897957</v>
      </c>
      <c r="M25" s="139">
        <f t="shared" si="2"/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3"/>
        <v>48.505419515306116</v>
      </c>
      <c r="M26" s="139">
        <f t="shared" si="2"/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 t="shared" si="2"/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opLeftCell="G25" zoomScaleNormal="100" workbookViewId="0">
      <selection activeCell="L34" sqref="L34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65</v>
      </c>
      <c r="E2" s="48" t="s">
        <v>36</v>
      </c>
      <c r="H2" s="48" t="s">
        <v>37</v>
      </c>
      <c r="I2" s="48"/>
    </row>
    <row r="3" spans="2:27" ht="43.8" thickBot="1" x14ac:dyDescent="0.35">
      <c r="B3" s="50" t="s">
        <v>7</v>
      </c>
      <c r="C3" s="51" t="s">
        <v>4</v>
      </c>
      <c r="E3" s="111" t="s">
        <v>113</v>
      </c>
      <c r="F3" s="115" t="s">
        <v>35</v>
      </c>
      <c r="H3" s="241" t="s">
        <v>113</v>
      </c>
      <c r="I3" s="105" t="s">
        <v>38</v>
      </c>
      <c r="J3" s="104" t="s">
        <v>69</v>
      </c>
      <c r="K3" s="104" t="s">
        <v>104</v>
      </c>
      <c r="L3" s="193" t="s">
        <v>39</v>
      </c>
      <c r="M3" s="194" t="s">
        <v>68</v>
      </c>
      <c r="N3" s="187" t="s">
        <v>66</v>
      </c>
      <c r="O3" s="116" t="s">
        <v>67</v>
      </c>
      <c r="P3" s="116" t="s">
        <v>129</v>
      </c>
      <c r="Q3" s="116" t="s">
        <v>130</v>
      </c>
      <c r="R3" s="116" t="s">
        <v>108</v>
      </c>
      <c r="S3" s="116" t="s">
        <v>109</v>
      </c>
      <c r="T3" s="116" t="s">
        <v>110</v>
      </c>
      <c r="U3" s="192" t="s">
        <v>111</v>
      </c>
      <c r="V3" s="192" t="s">
        <v>112</v>
      </c>
      <c r="X3" s="111" t="s">
        <v>142</v>
      </c>
      <c r="Y3" s="210" t="s">
        <v>143</v>
      </c>
      <c r="Z3" s="111" t="s">
        <v>144</v>
      </c>
      <c r="AA3" s="210" t="s">
        <v>145</v>
      </c>
    </row>
    <row r="4" spans="2:27" x14ac:dyDescent="0.3">
      <c r="B4" s="122" t="s">
        <v>3</v>
      </c>
      <c r="C4" s="127">
        <v>2.5</v>
      </c>
      <c r="E4" s="112" t="s">
        <v>46</v>
      </c>
      <c r="F4" s="99">
        <v>2.2999999999999998</v>
      </c>
      <c r="H4" s="242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 t="shared" ref="R4:R28" si="0"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  <c r="X4" s="245">
        <f>O4+U34+V34+M63</f>
        <v>17.489470000000001</v>
      </c>
      <c r="Y4" s="216">
        <v>0</v>
      </c>
      <c r="Z4" s="245">
        <f>X4/L4</f>
        <v>0.41318914193914208</v>
      </c>
      <c r="AA4" s="68">
        <v>0</v>
      </c>
    </row>
    <row r="5" spans="2:27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1">E5</f>
        <v>23</v>
      </c>
      <c r="I5" s="107">
        <f t="shared" ref="I5:I25" si="2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3">J5-K5</f>
        <v>395.03299999999996</v>
      </c>
      <c r="M5" s="198">
        <v>0</v>
      </c>
      <c r="N5" s="189">
        <f t="shared" ref="N5" si="4">I5*J5*$C$4+M5*I5*$C$4</f>
        <v>164.0812</v>
      </c>
      <c r="O5" s="118">
        <f t="shared" ref="O5" si="5">L5*($C$6*$C$19+$C$7*$C$20)</f>
        <v>45.428795000000001</v>
      </c>
      <c r="P5" s="118">
        <f t="shared" ref="P5" si="6">L5*$C$14</f>
        <v>197.51649999999998</v>
      </c>
      <c r="Q5" s="118">
        <f t="shared" ref="Q5" si="7">M5*$C$14</f>
        <v>0</v>
      </c>
      <c r="R5" s="118">
        <f t="shared" si="0"/>
        <v>44.458700000000007</v>
      </c>
      <c r="S5" s="118">
        <f t="shared" ref="S5:S28" si="8">0.5*(W34+W35)</f>
        <v>92.154075000000006</v>
      </c>
      <c r="T5" s="118">
        <f t="shared" ref="T5" si="9">N5+O5+0.25*(P5+Q5)</f>
        <v>258.88911999999999</v>
      </c>
      <c r="U5" s="184">
        <f t="shared" ref="U5" si="10">SUM(R5:T5)</f>
        <v>395.50189499999999</v>
      </c>
      <c r="V5" s="131">
        <f t="shared" ref="V5" si="11">U5/(M5+J5)</f>
        <v>0.96416139082356789</v>
      </c>
      <c r="X5" s="245">
        <f t="shared" ref="X5:X28" si="12">V35+U35+O5+M64</f>
        <v>55.242595000000001</v>
      </c>
      <c r="Y5" s="216">
        <v>0</v>
      </c>
      <c r="Z5" s="245">
        <f t="shared" ref="Z5:Z28" si="13">X5/L5</f>
        <v>0.13984298780101917</v>
      </c>
      <c r="AA5" s="68">
        <v>0</v>
      </c>
    </row>
    <row r="6" spans="2:27" x14ac:dyDescent="0.3">
      <c r="B6" s="55" t="s">
        <v>48</v>
      </c>
      <c r="C6" s="128">
        <f>0.04/0.02</f>
        <v>2</v>
      </c>
      <c r="E6" s="113">
        <v>22</v>
      </c>
      <c r="F6" s="94">
        <v>2.2999999999999998</v>
      </c>
      <c r="H6" s="89">
        <f t="shared" si="1"/>
        <v>22</v>
      </c>
      <c r="I6" s="107">
        <f t="shared" si="2"/>
        <v>0.16</v>
      </c>
      <c r="J6" s="71">
        <v>410.20299999999997</v>
      </c>
      <c r="K6" s="71">
        <f>SUM('Distancias vigas'!$C$8:$E$8)</f>
        <v>15.170000000000002</v>
      </c>
      <c r="L6" s="197">
        <f t="shared" ref="L6:L27" si="14">J6-K6</f>
        <v>395.03299999999996</v>
      </c>
      <c r="M6" s="198">
        <v>0</v>
      </c>
      <c r="N6" s="189">
        <f t="shared" ref="N6:N28" si="15">I6*J6*$C$4+M6*I6*$C$4</f>
        <v>164.0812</v>
      </c>
      <c r="O6" s="118">
        <f t="shared" ref="O6:O28" si="16">L6*($C$6*$C$19+$C$7*$C$20)</f>
        <v>45.428795000000001</v>
      </c>
      <c r="P6" s="118">
        <f t="shared" ref="P6:P28" si="17">L6*$C$14</f>
        <v>197.51649999999998</v>
      </c>
      <c r="Q6" s="118">
        <f t="shared" ref="Q6:Q27" si="18">M6*$C$14</f>
        <v>0</v>
      </c>
      <c r="R6" s="118">
        <f t="shared" si="0"/>
        <v>44.458700000000007</v>
      </c>
      <c r="S6" s="118">
        <f t="shared" si="8"/>
        <v>132.61860000000001</v>
      </c>
      <c r="T6" s="118">
        <f t="shared" ref="T6:T28" si="19">N6+O6+0.25*(P6+Q6)</f>
        <v>258.88911999999999</v>
      </c>
      <c r="U6" s="184">
        <f t="shared" ref="U6:U28" si="20">SUM(R6:T6)</f>
        <v>435.96642000000003</v>
      </c>
      <c r="V6" s="131">
        <f t="shared" ref="V6:V28" si="21">U6/(M6+J6)</f>
        <v>1.0628065128728947</v>
      </c>
      <c r="X6" s="245">
        <f t="shared" si="12"/>
        <v>55.242595000000001</v>
      </c>
      <c r="Y6" s="216">
        <v>0</v>
      </c>
      <c r="Z6" s="245">
        <f t="shared" si="13"/>
        <v>0.13984298780101917</v>
      </c>
      <c r="AA6" s="68">
        <v>0</v>
      </c>
    </row>
    <row r="7" spans="2:27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1"/>
        <v>21</v>
      </c>
      <c r="I7" s="107">
        <f t="shared" si="2"/>
        <v>0.16</v>
      </c>
      <c r="J7" s="71">
        <v>410.20299999999997</v>
      </c>
      <c r="K7" s="71">
        <f>SUM('Distancias vigas'!$C$8:$E$8)</f>
        <v>15.170000000000002</v>
      </c>
      <c r="L7" s="197">
        <f t="shared" si="14"/>
        <v>395.03299999999996</v>
      </c>
      <c r="M7" s="198">
        <v>0</v>
      </c>
      <c r="N7" s="189">
        <f t="shared" si="15"/>
        <v>164.0812</v>
      </c>
      <c r="O7" s="118">
        <f t="shared" si="16"/>
        <v>45.428795000000001</v>
      </c>
      <c r="P7" s="118">
        <f t="shared" si="17"/>
        <v>197.51649999999998</v>
      </c>
      <c r="Q7" s="118">
        <f t="shared" si="18"/>
        <v>0</v>
      </c>
      <c r="R7" s="118">
        <f t="shared" si="0"/>
        <v>44.458700000000007</v>
      </c>
      <c r="S7" s="118">
        <f t="shared" si="8"/>
        <v>132.61860000000001</v>
      </c>
      <c r="T7" s="118">
        <f t="shared" si="19"/>
        <v>258.88911999999999</v>
      </c>
      <c r="U7" s="184">
        <f t="shared" si="20"/>
        <v>435.96642000000003</v>
      </c>
      <c r="V7" s="184">
        <f t="shared" si="21"/>
        <v>1.0628065128728947</v>
      </c>
      <c r="X7" s="245">
        <f t="shared" si="12"/>
        <v>55.242595000000001</v>
      </c>
      <c r="Y7" s="216">
        <v>0</v>
      </c>
      <c r="Z7" s="245">
        <f t="shared" si="13"/>
        <v>0.13984298780101917</v>
      </c>
      <c r="AA7" s="68">
        <v>0</v>
      </c>
    </row>
    <row r="8" spans="2:27" x14ac:dyDescent="0.3">
      <c r="E8" s="113">
        <v>20</v>
      </c>
      <c r="F8" s="94">
        <v>2.2999999999999998</v>
      </c>
      <c r="H8" s="89">
        <f t="shared" si="1"/>
        <v>20</v>
      </c>
      <c r="I8" s="107">
        <f t="shared" si="2"/>
        <v>0.16</v>
      </c>
      <c r="J8" s="71">
        <v>410.20299999999997</v>
      </c>
      <c r="K8" s="71">
        <f>SUM('Distancias vigas'!$C$8:$E$8)</f>
        <v>15.170000000000002</v>
      </c>
      <c r="L8" s="197">
        <f t="shared" si="14"/>
        <v>395.03299999999996</v>
      </c>
      <c r="M8" s="198">
        <v>0</v>
      </c>
      <c r="N8" s="189">
        <f t="shared" si="15"/>
        <v>164.0812</v>
      </c>
      <c r="O8" s="118">
        <f t="shared" si="16"/>
        <v>45.428795000000001</v>
      </c>
      <c r="P8" s="118">
        <f t="shared" si="17"/>
        <v>197.51649999999998</v>
      </c>
      <c r="Q8" s="118">
        <f t="shared" si="18"/>
        <v>0</v>
      </c>
      <c r="R8" s="118">
        <f t="shared" si="0"/>
        <v>44.458700000000007</v>
      </c>
      <c r="S8" s="118">
        <f t="shared" si="8"/>
        <v>132.61860000000001</v>
      </c>
      <c r="T8" s="118">
        <f t="shared" si="19"/>
        <v>258.88911999999999</v>
      </c>
      <c r="U8" s="184">
        <f t="shared" si="20"/>
        <v>435.96642000000003</v>
      </c>
      <c r="V8" s="184">
        <f t="shared" si="21"/>
        <v>1.0628065128728947</v>
      </c>
      <c r="X8" s="245">
        <f t="shared" si="12"/>
        <v>55.242595000000001</v>
      </c>
      <c r="Y8" s="216">
        <v>0</v>
      </c>
      <c r="Z8" s="245">
        <f t="shared" si="13"/>
        <v>0.13984298780101917</v>
      </c>
      <c r="AA8" s="68">
        <v>0</v>
      </c>
    </row>
    <row r="9" spans="2:27" ht="15" thickBot="1" x14ac:dyDescent="0.35">
      <c r="B9" s="48" t="s">
        <v>127</v>
      </c>
      <c r="E9" s="113">
        <v>19</v>
      </c>
      <c r="F9" s="94">
        <v>2.2999999999999998</v>
      </c>
      <c r="H9" s="89">
        <f t="shared" si="1"/>
        <v>19</v>
      </c>
      <c r="I9" s="107">
        <f t="shared" si="2"/>
        <v>0.16</v>
      </c>
      <c r="J9" s="71">
        <v>410.20299999999997</v>
      </c>
      <c r="K9" s="71">
        <f>SUM('Distancias vigas'!$C$8:$E$8)</f>
        <v>15.170000000000002</v>
      </c>
      <c r="L9" s="197">
        <f t="shared" si="14"/>
        <v>395.03299999999996</v>
      </c>
      <c r="M9" s="198">
        <v>0</v>
      </c>
      <c r="N9" s="189">
        <f t="shared" si="15"/>
        <v>164.0812</v>
      </c>
      <c r="O9" s="118">
        <f t="shared" si="16"/>
        <v>45.428795000000001</v>
      </c>
      <c r="P9" s="118">
        <f t="shared" si="17"/>
        <v>197.51649999999998</v>
      </c>
      <c r="Q9" s="118">
        <f t="shared" si="18"/>
        <v>0</v>
      </c>
      <c r="R9" s="118">
        <f t="shared" si="0"/>
        <v>44.458700000000007</v>
      </c>
      <c r="S9" s="118">
        <f t="shared" si="8"/>
        <v>132.61860000000001</v>
      </c>
      <c r="T9" s="118">
        <f t="shared" si="19"/>
        <v>258.88911999999999</v>
      </c>
      <c r="U9" s="184">
        <f t="shared" si="20"/>
        <v>435.96642000000003</v>
      </c>
      <c r="V9" s="184">
        <f t="shared" si="21"/>
        <v>1.0628065128728947</v>
      </c>
      <c r="X9" s="245">
        <f t="shared" si="12"/>
        <v>55.242595000000001</v>
      </c>
      <c r="Y9" s="216">
        <v>0</v>
      </c>
      <c r="Z9" s="245">
        <f t="shared" si="13"/>
        <v>0.13984298780101917</v>
      </c>
      <c r="AA9" s="68">
        <v>0</v>
      </c>
    </row>
    <row r="10" spans="2:27" ht="15" thickBot="1" x14ac:dyDescent="0.35">
      <c r="B10" s="221" t="s">
        <v>7</v>
      </c>
      <c r="C10" s="222" t="s">
        <v>64</v>
      </c>
      <c r="E10" s="113">
        <v>18</v>
      </c>
      <c r="F10" s="94">
        <v>2.2999999999999998</v>
      </c>
      <c r="H10" s="89">
        <f t="shared" si="1"/>
        <v>18</v>
      </c>
      <c r="I10" s="107">
        <f t="shared" si="2"/>
        <v>0.16</v>
      </c>
      <c r="J10" s="71">
        <v>410.20299999999997</v>
      </c>
      <c r="K10" s="71">
        <f>SUM('Distancias vigas'!$C$8:$E$8)</f>
        <v>15.170000000000002</v>
      </c>
      <c r="L10" s="197">
        <f t="shared" si="14"/>
        <v>395.03299999999996</v>
      </c>
      <c r="M10" s="198">
        <v>0</v>
      </c>
      <c r="N10" s="189">
        <f t="shared" si="15"/>
        <v>164.0812</v>
      </c>
      <c r="O10" s="118">
        <f t="shared" si="16"/>
        <v>45.428795000000001</v>
      </c>
      <c r="P10" s="118">
        <f t="shared" si="17"/>
        <v>197.51649999999998</v>
      </c>
      <c r="Q10" s="118">
        <f t="shared" si="18"/>
        <v>0</v>
      </c>
      <c r="R10" s="118">
        <f t="shared" si="0"/>
        <v>44.458700000000007</v>
      </c>
      <c r="S10" s="118">
        <f t="shared" si="8"/>
        <v>132.61860000000001</v>
      </c>
      <c r="T10" s="118">
        <f t="shared" si="19"/>
        <v>258.88911999999999</v>
      </c>
      <c r="U10" s="184">
        <f t="shared" si="20"/>
        <v>435.96642000000003</v>
      </c>
      <c r="V10" s="184">
        <f t="shared" si="21"/>
        <v>1.0628065128728947</v>
      </c>
      <c r="X10" s="245">
        <f t="shared" si="12"/>
        <v>55.242595000000001</v>
      </c>
      <c r="Y10" s="216">
        <v>0</v>
      </c>
      <c r="Z10" s="245">
        <f t="shared" si="13"/>
        <v>0.13984298780101917</v>
      </c>
      <c r="AA10" s="68">
        <v>0</v>
      </c>
    </row>
    <row r="11" spans="2:27" x14ac:dyDescent="0.3">
      <c r="B11" s="122" t="s">
        <v>128</v>
      </c>
      <c r="C11" s="223">
        <v>0.1</v>
      </c>
      <c r="E11" s="113">
        <v>17</v>
      </c>
      <c r="F11" s="94">
        <v>2.2999999999999998</v>
      </c>
      <c r="H11" s="89">
        <f t="shared" si="1"/>
        <v>17</v>
      </c>
      <c r="I11" s="107">
        <f t="shared" si="2"/>
        <v>0.16</v>
      </c>
      <c r="J11" s="71">
        <v>410.20299999999997</v>
      </c>
      <c r="K11" s="71">
        <f>SUM('Distancias vigas'!$C$8:$E$8)</f>
        <v>15.170000000000002</v>
      </c>
      <c r="L11" s="197">
        <f t="shared" si="14"/>
        <v>395.03299999999996</v>
      </c>
      <c r="M11" s="198">
        <v>0</v>
      </c>
      <c r="N11" s="189">
        <f t="shared" si="15"/>
        <v>164.0812</v>
      </c>
      <c r="O11" s="118">
        <f t="shared" si="16"/>
        <v>45.428795000000001</v>
      </c>
      <c r="P11" s="118">
        <f t="shared" si="17"/>
        <v>197.51649999999998</v>
      </c>
      <c r="Q11" s="118">
        <f t="shared" si="18"/>
        <v>0</v>
      </c>
      <c r="R11" s="118">
        <f t="shared" si="0"/>
        <v>44.458700000000007</v>
      </c>
      <c r="S11" s="118">
        <f t="shared" si="8"/>
        <v>132.61860000000001</v>
      </c>
      <c r="T11" s="118">
        <f t="shared" si="19"/>
        <v>258.88911999999999</v>
      </c>
      <c r="U11" s="184">
        <f t="shared" si="20"/>
        <v>435.96642000000003</v>
      </c>
      <c r="V11" s="184">
        <f t="shared" si="21"/>
        <v>1.0628065128728947</v>
      </c>
      <c r="X11" s="245">
        <f t="shared" si="12"/>
        <v>55.242595000000001</v>
      </c>
      <c r="Y11" s="216">
        <v>0</v>
      </c>
      <c r="Z11" s="245">
        <f t="shared" si="13"/>
        <v>0.13984298780101917</v>
      </c>
      <c r="AA11" s="68">
        <v>0</v>
      </c>
    </row>
    <row r="12" spans="2:27" x14ac:dyDescent="0.3">
      <c r="B12" s="55" t="s">
        <v>124</v>
      </c>
      <c r="C12" s="224">
        <v>0.2</v>
      </c>
      <c r="E12" s="113">
        <v>16</v>
      </c>
      <c r="F12" s="94">
        <v>2.2999999999999998</v>
      </c>
      <c r="H12" s="89">
        <f t="shared" si="1"/>
        <v>16</v>
      </c>
      <c r="I12" s="107">
        <f t="shared" si="2"/>
        <v>0.16</v>
      </c>
      <c r="J12" s="71">
        <v>410.20299999999997</v>
      </c>
      <c r="K12" s="71">
        <f>SUM('Distancias vigas'!$C$8:$E$8)</f>
        <v>15.170000000000002</v>
      </c>
      <c r="L12" s="197">
        <f t="shared" si="14"/>
        <v>395.03299999999996</v>
      </c>
      <c r="M12" s="198">
        <v>0</v>
      </c>
      <c r="N12" s="189">
        <f t="shared" si="15"/>
        <v>164.0812</v>
      </c>
      <c r="O12" s="118">
        <f t="shared" si="16"/>
        <v>45.428795000000001</v>
      </c>
      <c r="P12" s="118">
        <f t="shared" si="17"/>
        <v>197.51649999999998</v>
      </c>
      <c r="Q12" s="118">
        <f t="shared" si="18"/>
        <v>0</v>
      </c>
      <c r="R12" s="118">
        <f t="shared" si="0"/>
        <v>44.458700000000007</v>
      </c>
      <c r="S12" s="118">
        <f t="shared" si="8"/>
        <v>132.61860000000001</v>
      </c>
      <c r="T12" s="118">
        <f t="shared" si="19"/>
        <v>258.88911999999999</v>
      </c>
      <c r="U12" s="184">
        <f t="shared" si="20"/>
        <v>435.96642000000003</v>
      </c>
      <c r="V12" s="184">
        <f t="shared" si="21"/>
        <v>1.0628065128728947</v>
      </c>
      <c r="X12" s="245">
        <f t="shared" si="12"/>
        <v>55.242595000000001</v>
      </c>
      <c r="Y12" s="216">
        <v>0</v>
      </c>
      <c r="Z12" s="245">
        <f t="shared" si="13"/>
        <v>0.13984298780101917</v>
      </c>
      <c r="AA12" s="68">
        <v>0</v>
      </c>
    </row>
    <row r="13" spans="2:27" x14ac:dyDescent="0.3">
      <c r="B13" s="55" t="s">
        <v>126</v>
      </c>
      <c r="C13" s="224">
        <v>0.4</v>
      </c>
      <c r="E13" s="113">
        <v>15</v>
      </c>
      <c r="F13" s="94">
        <v>2.2999999999999998</v>
      </c>
      <c r="H13" s="89">
        <f t="shared" si="1"/>
        <v>15</v>
      </c>
      <c r="I13" s="107">
        <f t="shared" si="2"/>
        <v>0.16</v>
      </c>
      <c r="J13" s="71">
        <v>410.20299999999997</v>
      </c>
      <c r="K13" s="71">
        <f>SUM('Distancias vigas'!$C$8:$E$8)</f>
        <v>15.170000000000002</v>
      </c>
      <c r="L13" s="197">
        <f t="shared" si="14"/>
        <v>395.03299999999996</v>
      </c>
      <c r="M13" s="198">
        <v>0</v>
      </c>
      <c r="N13" s="189">
        <f t="shared" si="15"/>
        <v>164.0812</v>
      </c>
      <c r="O13" s="118">
        <f t="shared" si="16"/>
        <v>45.428795000000001</v>
      </c>
      <c r="P13" s="118">
        <f t="shared" si="17"/>
        <v>197.51649999999998</v>
      </c>
      <c r="Q13" s="118">
        <f t="shared" si="18"/>
        <v>0</v>
      </c>
      <c r="R13" s="118">
        <f t="shared" si="0"/>
        <v>44.458700000000007</v>
      </c>
      <c r="S13" s="118">
        <f t="shared" si="8"/>
        <v>132.61860000000001</v>
      </c>
      <c r="T13" s="118">
        <f t="shared" si="19"/>
        <v>258.88911999999999</v>
      </c>
      <c r="U13" s="184">
        <f t="shared" si="20"/>
        <v>435.96642000000003</v>
      </c>
      <c r="V13" s="184">
        <f t="shared" si="21"/>
        <v>1.0628065128728947</v>
      </c>
      <c r="X13" s="245">
        <f t="shared" si="12"/>
        <v>55.242595000000001</v>
      </c>
      <c r="Y13" s="216">
        <v>0</v>
      </c>
      <c r="Z13" s="245">
        <f t="shared" si="13"/>
        <v>0.13984298780101917</v>
      </c>
      <c r="AA13" s="68">
        <v>0</v>
      </c>
    </row>
    <row r="14" spans="2:27" ht="15" thickBot="1" x14ac:dyDescent="0.35">
      <c r="B14" s="61" t="s">
        <v>125</v>
      </c>
      <c r="C14" s="225">
        <v>0.5</v>
      </c>
      <c r="E14" s="113">
        <v>14</v>
      </c>
      <c r="F14" s="94">
        <v>2.2999999999999998</v>
      </c>
      <c r="H14" s="89">
        <f t="shared" si="1"/>
        <v>14</v>
      </c>
      <c r="I14" s="107">
        <f t="shared" si="2"/>
        <v>0.16</v>
      </c>
      <c r="J14" s="71">
        <v>410.20299999999997</v>
      </c>
      <c r="K14" s="71">
        <f>SUM('Distancias vigas'!$C$8:$E$8)</f>
        <v>15.170000000000002</v>
      </c>
      <c r="L14" s="197">
        <f t="shared" si="14"/>
        <v>395.03299999999996</v>
      </c>
      <c r="M14" s="198">
        <v>0</v>
      </c>
      <c r="N14" s="189">
        <f t="shared" si="15"/>
        <v>164.0812</v>
      </c>
      <c r="O14" s="118">
        <f t="shared" si="16"/>
        <v>45.428795000000001</v>
      </c>
      <c r="P14" s="118">
        <f t="shared" si="17"/>
        <v>197.51649999999998</v>
      </c>
      <c r="Q14" s="118">
        <f t="shared" si="18"/>
        <v>0</v>
      </c>
      <c r="R14" s="118">
        <f t="shared" si="0"/>
        <v>44.458700000000007</v>
      </c>
      <c r="S14" s="118">
        <f t="shared" si="8"/>
        <v>148.91135</v>
      </c>
      <c r="T14" s="118">
        <f t="shared" si="19"/>
        <v>258.88911999999999</v>
      </c>
      <c r="U14" s="184">
        <f t="shared" si="20"/>
        <v>452.25916999999998</v>
      </c>
      <c r="V14" s="184">
        <f t="shared" si="21"/>
        <v>1.1025252618825314</v>
      </c>
      <c r="X14" s="245">
        <f t="shared" si="12"/>
        <v>55.242845000000003</v>
      </c>
      <c r="Y14" s="216">
        <v>0</v>
      </c>
      <c r="Z14" s="245">
        <f t="shared" si="13"/>
        <v>0.13984362065953987</v>
      </c>
      <c r="AA14" s="68">
        <v>0</v>
      </c>
    </row>
    <row r="15" spans="2:27" x14ac:dyDescent="0.3">
      <c r="E15" s="113">
        <v>13</v>
      </c>
      <c r="F15" s="94">
        <v>2.2999999999999998</v>
      </c>
      <c r="H15" s="89">
        <f t="shared" si="1"/>
        <v>13</v>
      </c>
      <c r="I15" s="107">
        <f t="shared" si="2"/>
        <v>0.16</v>
      </c>
      <c r="J15" s="71">
        <v>410.20299999999997</v>
      </c>
      <c r="K15" s="71">
        <f>SUM('Distancias vigas'!$C$8:$E$8)</f>
        <v>15.170000000000002</v>
      </c>
      <c r="L15" s="197">
        <f t="shared" si="14"/>
        <v>395.03299999999996</v>
      </c>
      <c r="M15" s="198">
        <v>0</v>
      </c>
      <c r="N15" s="189">
        <f t="shared" si="15"/>
        <v>164.0812</v>
      </c>
      <c r="O15" s="118">
        <f t="shared" si="16"/>
        <v>45.428795000000001</v>
      </c>
      <c r="P15" s="118">
        <f t="shared" si="17"/>
        <v>197.51649999999998</v>
      </c>
      <c r="Q15" s="118">
        <f t="shared" si="18"/>
        <v>0</v>
      </c>
      <c r="R15" s="118">
        <f t="shared" si="0"/>
        <v>44.458700000000007</v>
      </c>
      <c r="S15" s="118">
        <f t="shared" si="8"/>
        <v>165.20409999999998</v>
      </c>
      <c r="T15" s="118">
        <f t="shared" si="19"/>
        <v>258.88911999999999</v>
      </c>
      <c r="U15" s="184">
        <f t="shared" si="20"/>
        <v>468.55192</v>
      </c>
      <c r="V15" s="184">
        <f t="shared" si="21"/>
        <v>1.1422440108921681</v>
      </c>
      <c r="X15" s="245">
        <f t="shared" si="12"/>
        <v>55.242845000000003</v>
      </c>
      <c r="Y15" s="216">
        <v>0</v>
      </c>
      <c r="Z15" s="245">
        <f t="shared" si="13"/>
        <v>0.13984362065953987</v>
      </c>
      <c r="AA15" s="68">
        <v>0</v>
      </c>
    </row>
    <row r="16" spans="2:27" ht="15" thickBot="1" x14ac:dyDescent="0.35">
      <c r="B16" s="63" t="s">
        <v>31</v>
      </c>
      <c r="E16" s="113">
        <v>12</v>
      </c>
      <c r="F16" s="94">
        <v>2.2999999999999998</v>
      </c>
      <c r="H16" s="89">
        <f t="shared" si="1"/>
        <v>12</v>
      </c>
      <c r="I16" s="107">
        <f t="shared" si="2"/>
        <v>0.16</v>
      </c>
      <c r="J16" s="71">
        <v>410.20299999999997</v>
      </c>
      <c r="K16" s="71">
        <f>SUM('Distancias vigas'!$C$8:$E$8)</f>
        <v>15.170000000000002</v>
      </c>
      <c r="L16" s="197">
        <f t="shared" si="14"/>
        <v>395.03299999999996</v>
      </c>
      <c r="M16" s="198">
        <v>0</v>
      </c>
      <c r="N16" s="189">
        <f t="shared" si="15"/>
        <v>164.0812</v>
      </c>
      <c r="O16" s="118">
        <f t="shared" si="16"/>
        <v>45.428795000000001</v>
      </c>
      <c r="P16" s="118">
        <f t="shared" si="17"/>
        <v>197.51649999999998</v>
      </c>
      <c r="Q16" s="118">
        <f t="shared" si="18"/>
        <v>0</v>
      </c>
      <c r="R16" s="118">
        <f t="shared" si="0"/>
        <v>44.458700000000007</v>
      </c>
      <c r="S16" s="118">
        <f t="shared" si="8"/>
        <v>165.20409999999998</v>
      </c>
      <c r="T16" s="118">
        <f t="shared" si="19"/>
        <v>258.88911999999999</v>
      </c>
      <c r="U16" s="184">
        <f t="shared" si="20"/>
        <v>468.55192</v>
      </c>
      <c r="V16" s="184">
        <f t="shared" si="21"/>
        <v>1.1422440108921681</v>
      </c>
      <c r="X16" s="245">
        <f t="shared" si="12"/>
        <v>55.242845000000003</v>
      </c>
      <c r="Y16" s="216">
        <v>0</v>
      </c>
      <c r="Z16" s="245">
        <f t="shared" si="13"/>
        <v>0.13984362065953987</v>
      </c>
      <c r="AA16" s="68">
        <v>0</v>
      </c>
    </row>
    <row r="17" spans="2:27" ht="15" thickBot="1" x14ac:dyDescent="0.35">
      <c r="B17" s="58" t="s">
        <v>7</v>
      </c>
      <c r="C17" s="51" t="s">
        <v>38</v>
      </c>
      <c r="E17" s="113">
        <v>11</v>
      </c>
      <c r="F17" s="94">
        <v>2.2999999999999998</v>
      </c>
      <c r="H17" s="89">
        <f t="shared" si="1"/>
        <v>11</v>
      </c>
      <c r="I17" s="107">
        <f t="shared" si="2"/>
        <v>0.16</v>
      </c>
      <c r="J17" s="71">
        <v>410.20299999999997</v>
      </c>
      <c r="K17" s="71">
        <f>SUM('Distancias vigas'!$C$8:$E$8)</f>
        <v>15.170000000000002</v>
      </c>
      <c r="L17" s="197">
        <f t="shared" si="14"/>
        <v>395.03299999999996</v>
      </c>
      <c r="M17" s="198">
        <v>0</v>
      </c>
      <c r="N17" s="189">
        <f t="shared" si="15"/>
        <v>164.0812</v>
      </c>
      <c r="O17" s="118">
        <f t="shared" si="16"/>
        <v>45.428795000000001</v>
      </c>
      <c r="P17" s="118">
        <f t="shared" si="17"/>
        <v>197.51649999999998</v>
      </c>
      <c r="Q17" s="118">
        <f t="shared" si="18"/>
        <v>0</v>
      </c>
      <c r="R17" s="118">
        <f t="shared" si="0"/>
        <v>44.458700000000007</v>
      </c>
      <c r="S17" s="118">
        <f t="shared" si="8"/>
        <v>165.20409999999998</v>
      </c>
      <c r="T17" s="118">
        <f t="shared" si="19"/>
        <v>258.88911999999999</v>
      </c>
      <c r="U17" s="184">
        <f t="shared" si="20"/>
        <v>468.55192</v>
      </c>
      <c r="V17" s="184">
        <f t="shared" si="21"/>
        <v>1.1422440108921681</v>
      </c>
      <c r="X17" s="245">
        <f t="shared" si="12"/>
        <v>55.242845000000003</v>
      </c>
      <c r="Y17" s="216">
        <v>0</v>
      </c>
      <c r="Z17" s="245">
        <f t="shared" si="13"/>
        <v>0.13984362065953987</v>
      </c>
      <c r="AA17" s="68">
        <v>0</v>
      </c>
    </row>
    <row r="18" spans="2:27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1"/>
        <v>10</v>
      </c>
      <c r="I18" s="107">
        <f t="shared" si="2"/>
        <v>0.16</v>
      </c>
      <c r="J18" s="71">
        <v>410.20299999999997</v>
      </c>
      <c r="K18" s="71">
        <f>SUM('Distancias vigas'!$C$8:$E$8)</f>
        <v>15.170000000000002</v>
      </c>
      <c r="L18" s="197">
        <f t="shared" si="14"/>
        <v>395.03299999999996</v>
      </c>
      <c r="M18" s="198">
        <v>0</v>
      </c>
      <c r="N18" s="189">
        <f t="shared" si="15"/>
        <v>164.0812</v>
      </c>
      <c r="O18" s="118">
        <f t="shared" si="16"/>
        <v>45.428795000000001</v>
      </c>
      <c r="P18" s="118">
        <f t="shared" si="17"/>
        <v>197.51649999999998</v>
      </c>
      <c r="Q18" s="118">
        <f t="shared" si="18"/>
        <v>0</v>
      </c>
      <c r="R18" s="118">
        <f t="shared" si="0"/>
        <v>44.458700000000007</v>
      </c>
      <c r="S18" s="118">
        <f t="shared" si="8"/>
        <v>165.20409999999998</v>
      </c>
      <c r="T18" s="118">
        <f t="shared" si="19"/>
        <v>258.88911999999999</v>
      </c>
      <c r="U18" s="184">
        <f t="shared" si="20"/>
        <v>468.55192</v>
      </c>
      <c r="V18" s="184">
        <f t="shared" si="21"/>
        <v>1.1422440108921681</v>
      </c>
      <c r="X18" s="245">
        <f t="shared" si="12"/>
        <v>55.242845000000003</v>
      </c>
      <c r="Y18" s="216">
        <v>0</v>
      </c>
      <c r="Z18" s="245">
        <f t="shared" si="13"/>
        <v>0.13984362065953987</v>
      </c>
      <c r="AA18" s="68">
        <v>0</v>
      </c>
    </row>
    <row r="19" spans="2:27" x14ac:dyDescent="0.3">
      <c r="B19" s="60" t="s">
        <v>32</v>
      </c>
      <c r="C19" s="54">
        <v>0.02</v>
      </c>
      <c r="E19" s="113">
        <v>9</v>
      </c>
      <c r="F19" s="94">
        <v>2.2999999999999998</v>
      </c>
      <c r="H19" s="89">
        <f t="shared" si="1"/>
        <v>9</v>
      </c>
      <c r="I19" s="107">
        <f t="shared" si="2"/>
        <v>0.16</v>
      </c>
      <c r="J19" s="71">
        <v>410.20299999999997</v>
      </c>
      <c r="K19" s="71">
        <f>SUM('Distancias vigas'!$C$8:$E$8)</f>
        <v>15.170000000000002</v>
      </c>
      <c r="L19" s="197">
        <f t="shared" si="14"/>
        <v>395.03299999999996</v>
      </c>
      <c r="M19" s="198">
        <v>0</v>
      </c>
      <c r="N19" s="189">
        <f t="shared" si="15"/>
        <v>164.0812</v>
      </c>
      <c r="O19" s="118">
        <f t="shared" si="16"/>
        <v>45.428795000000001</v>
      </c>
      <c r="P19" s="118">
        <f t="shared" si="17"/>
        <v>197.51649999999998</v>
      </c>
      <c r="Q19" s="118">
        <f t="shared" si="18"/>
        <v>0</v>
      </c>
      <c r="R19" s="118">
        <f t="shared" si="0"/>
        <v>44.458700000000007</v>
      </c>
      <c r="S19" s="118">
        <f t="shared" si="8"/>
        <v>165.20409999999998</v>
      </c>
      <c r="T19" s="118">
        <f t="shared" si="19"/>
        <v>258.88911999999999</v>
      </c>
      <c r="U19" s="184">
        <f t="shared" si="20"/>
        <v>468.55192</v>
      </c>
      <c r="V19" s="184">
        <f t="shared" si="21"/>
        <v>1.1422440108921681</v>
      </c>
      <c r="X19" s="245">
        <f t="shared" si="12"/>
        <v>55.242845000000003</v>
      </c>
      <c r="Y19" s="216">
        <v>0</v>
      </c>
      <c r="Z19" s="245">
        <f t="shared" si="13"/>
        <v>0.13984362065953987</v>
      </c>
      <c r="AA19" s="68">
        <v>0</v>
      </c>
    </row>
    <row r="20" spans="2:27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1"/>
        <v>8</v>
      </c>
      <c r="I20" s="107">
        <f t="shared" si="2"/>
        <v>0.16</v>
      </c>
      <c r="J20" s="71">
        <v>410.20299999999997</v>
      </c>
      <c r="K20" s="71">
        <f>SUM('Distancias vigas'!$C$8:$E$8)</f>
        <v>15.170000000000002</v>
      </c>
      <c r="L20" s="197">
        <f t="shared" si="14"/>
        <v>395.03299999999996</v>
      </c>
      <c r="M20" s="198">
        <v>0</v>
      </c>
      <c r="N20" s="189">
        <f t="shared" si="15"/>
        <v>164.0812</v>
      </c>
      <c r="O20" s="118">
        <f t="shared" si="16"/>
        <v>45.428795000000001</v>
      </c>
      <c r="P20" s="118">
        <f t="shared" si="17"/>
        <v>197.51649999999998</v>
      </c>
      <c r="Q20" s="118">
        <f t="shared" si="18"/>
        <v>0</v>
      </c>
      <c r="R20" s="118">
        <f t="shared" si="0"/>
        <v>44.458700000000007</v>
      </c>
      <c r="S20" s="118">
        <f t="shared" si="8"/>
        <v>165.20409999999998</v>
      </c>
      <c r="T20" s="118">
        <f t="shared" si="19"/>
        <v>258.88911999999999</v>
      </c>
      <c r="U20" s="184">
        <f t="shared" si="20"/>
        <v>468.55192</v>
      </c>
      <c r="V20" s="184">
        <f t="shared" si="21"/>
        <v>1.1422440108921681</v>
      </c>
      <c r="X20" s="245">
        <f t="shared" si="12"/>
        <v>55.242845000000003</v>
      </c>
      <c r="Y20" s="216">
        <v>0</v>
      </c>
      <c r="Z20" s="245">
        <f t="shared" si="13"/>
        <v>0.13984362065953987</v>
      </c>
      <c r="AA20" s="68">
        <v>0</v>
      </c>
    </row>
    <row r="21" spans="2:27" x14ac:dyDescent="0.3">
      <c r="E21" s="113">
        <v>7</v>
      </c>
      <c r="F21" s="94">
        <v>2.2999999999999998</v>
      </c>
      <c r="H21" s="89">
        <f t="shared" si="1"/>
        <v>7</v>
      </c>
      <c r="I21" s="107">
        <f t="shared" si="2"/>
        <v>0.16</v>
      </c>
      <c r="J21" s="71">
        <v>410.20299999999997</v>
      </c>
      <c r="K21" s="71">
        <f>SUM('Distancias vigas'!$C$8:$E$8)</f>
        <v>15.170000000000002</v>
      </c>
      <c r="L21" s="197">
        <f t="shared" si="14"/>
        <v>395.03299999999996</v>
      </c>
      <c r="M21" s="198">
        <v>0</v>
      </c>
      <c r="N21" s="189">
        <f t="shared" si="15"/>
        <v>164.0812</v>
      </c>
      <c r="O21" s="118">
        <f t="shared" si="16"/>
        <v>45.428795000000001</v>
      </c>
      <c r="P21" s="118">
        <f t="shared" si="17"/>
        <v>197.51649999999998</v>
      </c>
      <c r="Q21" s="118">
        <f t="shared" si="18"/>
        <v>0</v>
      </c>
      <c r="R21" s="118">
        <f t="shared" si="0"/>
        <v>44.458700000000007</v>
      </c>
      <c r="S21" s="118">
        <f t="shared" si="8"/>
        <v>165.20409999999998</v>
      </c>
      <c r="T21" s="118">
        <f t="shared" si="19"/>
        <v>258.88911999999999</v>
      </c>
      <c r="U21" s="184">
        <f t="shared" si="20"/>
        <v>468.55192</v>
      </c>
      <c r="V21" s="184">
        <f t="shared" si="21"/>
        <v>1.1422440108921681</v>
      </c>
      <c r="X21" s="245">
        <f t="shared" si="12"/>
        <v>55.242845000000003</v>
      </c>
      <c r="Y21" s="216">
        <v>0</v>
      </c>
      <c r="Z21" s="245">
        <f t="shared" si="13"/>
        <v>0.13984362065953987</v>
      </c>
      <c r="AA21" s="68">
        <v>0</v>
      </c>
    </row>
    <row r="22" spans="2:27" ht="15" thickBot="1" x14ac:dyDescent="0.35">
      <c r="E22" s="113">
        <v>6</v>
      </c>
      <c r="F22" s="94">
        <v>2.2999999999999998</v>
      </c>
      <c r="H22" s="89">
        <f t="shared" si="1"/>
        <v>6</v>
      </c>
      <c r="I22" s="107">
        <f t="shared" si="2"/>
        <v>0.16</v>
      </c>
      <c r="J22" s="71">
        <v>410.20299999999997</v>
      </c>
      <c r="K22" s="71">
        <f>SUM('Distancias vigas'!$C$8:$E$8)</f>
        <v>15.170000000000002</v>
      </c>
      <c r="L22" s="197">
        <f t="shared" si="14"/>
        <v>395.03299999999996</v>
      </c>
      <c r="M22" s="198">
        <v>0</v>
      </c>
      <c r="N22" s="189">
        <f t="shared" si="15"/>
        <v>164.0812</v>
      </c>
      <c r="O22" s="118">
        <f t="shared" si="16"/>
        <v>45.428795000000001</v>
      </c>
      <c r="P22" s="118">
        <f t="shared" si="17"/>
        <v>197.51649999999998</v>
      </c>
      <c r="Q22" s="118">
        <f t="shared" si="18"/>
        <v>0</v>
      </c>
      <c r="R22" s="118">
        <f t="shared" si="0"/>
        <v>44.458700000000007</v>
      </c>
      <c r="S22" s="118">
        <f t="shared" si="8"/>
        <v>165.20409999999998</v>
      </c>
      <c r="T22" s="118">
        <f t="shared" si="19"/>
        <v>258.88911999999999</v>
      </c>
      <c r="U22" s="184">
        <f t="shared" si="20"/>
        <v>468.55192</v>
      </c>
      <c r="V22" s="184">
        <f t="shared" si="21"/>
        <v>1.1422440108921681</v>
      </c>
      <c r="X22" s="245">
        <f t="shared" si="12"/>
        <v>55.242845000000003</v>
      </c>
      <c r="Y22" s="216">
        <v>0</v>
      </c>
      <c r="Z22" s="245">
        <f t="shared" si="13"/>
        <v>0.13984362065953987</v>
      </c>
      <c r="AA22" s="68">
        <v>0</v>
      </c>
    </row>
    <row r="23" spans="2:27" ht="15" thickBot="1" x14ac:dyDescent="0.35">
      <c r="B23" s="48" t="s">
        <v>47</v>
      </c>
      <c r="C23" s="124" t="s">
        <v>40</v>
      </c>
      <c r="E23" s="113">
        <v>5</v>
      </c>
      <c r="F23" s="94">
        <v>2.2999999999999998</v>
      </c>
      <c r="H23" s="89">
        <f t="shared" si="1"/>
        <v>5</v>
      </c>
      <c r="I23" s="107">
        <f t="shared" si="2"/>
        <v>0.16</v>
      </c>
      <c r="J23" s="71">
        <v>410.20299999999997</v>
      </c>
      <c r="K23" s="71">
        <f>SUM('Distancias vigas'!$C$8:$E$8)</f>
        <v>15.170000000000002</v>
      </c>
      <c r="L23" s="197">
        <f t="shared" si="14"/>
        <v>395.03299999999996</v>
      </c>
      <c r="M23" s="198">
        <v>0</v>
      </c>
      <c r="N23" s="189">
        <f t="shared" si="15"/>
        <v>164.0812</v>
      </c>
      <c r="O23" s="118">
        <f t="shared" si="16"/>
        <v>45.428795000000001</v>
      </c>
      <c r="P23" s="118">
        <f t="shared" si="17"/>
        <v>197.51649999999998</v>
      </c>
      <c r="Q23" s="118">
        <f t="shared" si="18"/>
        <v>0</v>
      </c>
      <c r="R23" s="118">
        <f t="shared" si="0"/>
        <v>44.458700000000007</v>
      </c>
      <c r="S23" s="118">
        <f t="shared" si="8"/>
        <v>165.45322499999997</v>
      </c>
      <c r="T23" s="118">
        <f t="shared" si="19"/>
        <v>258.88911999999999</v>
      </c>
      <c r="U23" s="184">
        <f t="shared" si="20"/>
        <v>468.80104499999999</v>
      </c>
      <c r="V23" s="184">
        <f t="shared" si="21"/>
        <v>1.1428513321453038</v>
      </c>
      <c r="X23" s="245">
        <f t="shared" si="12"/>
        <v>55.741095000000001</v>
      </c>
      <c r="Y23" s="216">
        <v>0</v>
      </c>
      <c r="Z23" s="245">
        <f t="shared" si="13"/>
        <v>0.14110490769125619</v>
      </c>
      <c r="AA23" s="68">
        <v>0</v>
      </c>
    </row>
    <row r="24" spans="2:27" x14ac:dyDescent="0.3">
      <c r="B24" s="65" t="s">
        <v>41</v>
      </c>
      <c r="C24" s="66">
        <f>17/100</f>
        <v>0.17</v>
      </c>
      <c r="E24" s="113">
        <v>4</v>
      </c>
      <c r="F24" s="94">
        <v>2.2999999999999998</v>
      </c>
      <c r="H24" s="89">
        <f t="shared" si="1"/>
        <v>4</v>
      </c>
      <c r="I24" s="107">
        <f t="shared" si="2"/>
        <v>0.16</v>
      </c>
      <c r="J24" s="71">
        <v>410.20299999999997</v>
      </c>
      <c r="K24" s="71">
        <f>SUM('Distancias vigas'!$C$8:$E$8)</f>
        <v>15.170000000000002</v>
      </c>
      <c r="L24" s="197">
        <f t="shared" si="14"/>
        <v>395.03299999999996</v>
      </c>
      <c r="M24" s="198">
        <v>0</v>
      </c>
      <c r="N24" s="189">
        <f t="shared" si="15"/>
        <v>164.0812</v>
      </c>
      <c r="O24" s="118">
        <f t="shared" si="16"/>
        <v>45.428795000000001</v>
      </c>
      <c r="P24" s="118">
        <f t="shared" si="17"/>
        <v>197.51649999999998</v>
      </c>
      <c r="Q24" s="118">
        <f t="shared" si="18"/>
        <v>0</v>
      </c>
      <c r="R24" s="118">
        <f t="shared" si="0"/>
        <v>44.458700000000007</v>
      </c>
      <c r="S24" s="118">
        <f t="shared" si="8"/>
        <v>165.70235</v>
      </c>
      <c r="T24" s="118">
        <f t="shared" si="19"/>
        <v>258.88911999999999</v>
      </c>
      <c r="U24" s="184">
        <f t="shared" si="20"/>
        <v>469.05016999999998</v>
      </c>
      <c r="V24" s="184">
        <f t="shared" si="21"/>
        <v>1.1434586533984394</v>
      </c>
      <c r="X24" s="245">
        <f t="shared" si="12"/>
        <v>55.741095000000001</v>
      </c>
      <c r="Y24" s="216">
        <v>0</v>
      </c>
      <c r="Z24" s="245">
        <f t="shared" si="13"/>
        <v>0.14110490769125619</v>
      </c>
      <c r="AA24" s="68">
        <v>0</v>
      </c>
    </row>
    <row r="25" spans="2:27" x14ac:dyDescent="0.3">
      <c r="B25" s="67" t="s">
        <v>42</v>
      </c>
      <c r="C25" s="68">
        <v>0.16</v>
      </c>
      <c r="E25" s="113">
        <v>3</v>
      </c>
      <c r="F25" s="94">
        <v>2.2999999999999998</v>
      </c>
      <c r="H25" s="89">
        <f t="shared" si="1"/>
        <v>3</v>
      </c>
      <c r="I25" s="107">
        <f t="shared" si="2"/>
        <v>0.16</v>
      </c>
      <c r="J25" s="71">
        <v>410.20299999999997</v>
      </c>
      <c r="K25" s="71">
        <f>SUM('Distancias vigas'!$C$8:$E$8)</f>
        <v>15.170000000000002</v>
      </c>
      <c r="L25" s="197">
        <f t="shared" si="14"/>
        <v>395.03299999999996</v>
      </c>
      <c r="M25" s="198">
        <v>0</v>
      </c>
      <c r="N25" s="189">
        <f t="shared" si="15"/>
        <v>164.0812</v>
      </c>
      <c r="O25" s="118">
        <f t="shared" si="16"/>
        <v>45.428795000000001</v>
      </c>
      <c r="P25" s="118">
        <f t="shared" si="17"/>
        <v>197.51649999999998</v>
      </c>
      <c r="Q25" s="118">
        <f t="shared" si="18"/>
        <v>0</v>
      </c>
      <c r="R25" s="118">
        <f t="shared" si="0"/>
        <v>44.458700000000007</v>
      </c>
      <c r="S25" s="118">
        <f t="shared" si="8"/>
        <v>168.46715</v>
      </c>
      <c r="T25" s="118">
        <f t="shared" si="19"/>
        <v>258.88911999999999</v>
      </c>
      <c r="U25" s="184">
        <f t="shared" si="20"/>
        <v>471.81497000000002</v>
      </c>
      <c r="V25" s="184">
        <f t="shared" si="21"/>
        <v>1.1501987308722756</v>
      </c>
      <c r="X25" s="245">
        <f t="shared" si="12"/>
        <v>55.750695</v>
      </c>
      <c r="Y25" s="216">
        <v>0</v>
      </c>
      <c r="Z25" s="245">
        <f t="shared" si="13"/>
        <v>0.14112920945845031</v>
      </c>
      <c r="AA25" s="68">
        <v>0</v>
      </c>
    </row>
    <row r="26" spans="2:27" x14ac:dyDescent="0.3">
      <c r="B26" s="67" t="s">
        <v>43</v>
      </c>
      <c r="C26" s="68">
        <v>0.16</v>
      </c>
      <c r="E26" s="113">
        <v>2</v>
      </c>
      <c r="F26" s="94">
        <v>2.2999999999999998</v>
      </c>
      <c r="H26" s="89">
        <f t="shared" si="1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4"/>
        <v>395.77199999999999</v>
      </c>
      <c r="M26" s="200">
        <v>0</v>
      </c>
      <c r="N26" s="190">
        <f t="shared" si="15"/>
        <v>164.2808</v>
      </c>
      <c r="O26" s="119">
        <f t="shared" si="16"/>
        <v>45.513780000000004</v>
      </c>
      <c r="P26" s="119">
        <f t="shared" si="17"/>
        <v>197.886</v>
      </c>
      <c r="Q26" s="119">
        <f t="shared" si="18"/>
        <v>0</v>
      </c>
      <c r="R26" s="119">
        <f t="shared" si="0"/>
        <v>43.80830000000001</v>
      </c>
      <c r="S26" s="119">
        <f t="shared" si="8"/>
        <v>177.30226249999998</v>
      </c>
      <c r="T26" s="119">
        <f t="shared" si="19"/>
        <v>259.26607999999999</v>
      </c>
      <c r="U26" s="178">
        <f t="shared" si="20"/>
        <v>480.3766425</v>
      </c>
      <c r="V26" s="178">
        <f t="shared" si="21"/>
        <v>1.1696476825045896</v>
      </c>
      <c r="X26" s="245">
        <f t="shared" si="12"/>
        <v>55.293530000000004</v>
      </c>
      <c r="Y26" s="216">
        <v>0</v>
      </c>
      <c r="Z26" s="245">
        <f t="shared" si="13"/>
        <v>0.13971056567922946</v>
      </c>
      <c r="AA26" s="68">
        <v>0</v>
      </c>
    </row>
    <row r="27" spans="2:27" ht="15" thickBot="1" x14ac:dyDescent="0.35">
      <c r="B27" s="67" t="s">
        <v>44</v>
      </c>
      <c r="C27" s="68">
        <v>0.16</v>
      </c>
      <c r="E27" s="114">
        <v>1</v>
      </c>
      <c r="F27" s="95">
        <v>2.2999999999999998</v>
      </c>
      <c r="H27" s="89">
        <f t="shared" si="1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4"/>
        <v>150.77424999999999</v>
      </c>
      <c r="M27" s="200">
        <v>255.92599999999999</v>
      </c>
      <c r="N27" s="190">
        <f t="shared" si="15"/>
        <v>173.39</v>
      </c>
      <c r="O27" s="119">
        <f t="shared" si="16"/>
        <v>17.339038750000004</v>
      </c>
      <c r="P27" s="119">
        <f t="shared" si="17"/>
        <v>75.387124999999997</v>
      </c>
      <c r="Q27" s="119">
        <f t="shared" si="18"/>
        <v>127.96299999999999</v>
      </c>
      <c r="R27" s="119">
        <f t="shared" si="0"/>
        <v>43.273891250000005</v>
      </c>
      <c r="S27" s="119">
        <f t="shared" si="8"/>
        <v>190.51264999999995</v>
      </c>
      <c r="T27" s="119">
        <f t="shared" si="19"/>
        <v>241.56657000000001</v>
      </c>
      <c r="U27" s="178">
        <f t="shared" si="20"/>
        <v>475.35311124999998</v>
      </c>
      <c r="V27" s="178">
        <f t="shared" si="21"/>
        <v>1.0966102110848375</v>
      </c>
      <c r="X27" s="245">
        <f t="shared" si="12"/>
        <v>22.380873750000006</v>
      </c>
      <c r="Y27" s="216">
        <v>0</v>
      </c>
      <c r="Z27" s="245">
        <f t="shared" si="13"/>
        <v>0.14843962911438796</v>
      </c>
      <c r="AA27" s="68">
        <f>Y27/M27</f>
        <v>0</v>
      </c>
    </row>
    <row r="28" spans="2:27" ht="15" thickBot="1" x14ac:dyDescent="0.35">
      <c r="B28" s="69" t="s">
        <v>46</v>
      </c>
      <c r="C28" s="70">
        <v>0.16</v>
      </c>
      <c r="E28" s="218">
        <v>-1</v>
      </c>
      <c r="F28" s="226">
        <v>2.2999999999999998</v>
      </c>
      <c r="H28" s="91">
        <f t="shared" si="1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5"/>
        <v>305.77135000000004</v>
      </c>
      <c r="O28" s="120">
        <f t="shared" si="16"/>
        <v>19.199997500000002</v>
      </c>
      <c r="P28" s="120">
        <f t="shared" si="17"/>
        <v>83.478250000000003</v>
      </c>
      <c r="Q28" s="120">
        <f>M28*$C$14</f>
        <v>257.08800000000002</v>
      </c>
      <c r="R28" s="120">
        <f t="shared" si="0"/>
        <v>51.409775000000003</v>
      </c>
      <c r="S28" s="120">
        <f t="shared" si="8"/>
        <v>208.98676249999994</v>
      </c>
      <c r="T28" s="120">
        <f t="shared" si="19"/>
        <v>410.11291000000006</v>
      </c>
      <c r="U28" s="181">
        <f t="shared" si="20"/>
        <v>670.50944750000008</v>
      </c>
      <c r="V28" s="181">
        <f t="shared" si="21"/>
        <v>0.93195950237816605</v>
      </c>
      <c r="X28" s="246">
        <f t="shared" si="12"/>
        <v>22.682072500000004</v>
      </c>
      <c r="Y28" s="220">
        <v>0</v>
      </c>
      <c r="Z28" s="246">
        <f t="shared" si="13"/>
        <v>0.13585618110106526</v>
      </c>
      <c r="AA28" s="70">
        <f>Y28/M28</f>
        <v>0</v>
      </c>
    </row>
    <row r="29" spans="2:27" x14ac:dyDescent="0.3">
      <c r="M29" s="49" t="s">
        <v>30</v>
      </c>
      <c r="N29" s="186">
        <f t="shared" ref="N29:U29" si="22">SUM(N4:N28)</f>
        <v>4116.6265500000009</v>
      </c>
      <c r="O29" s="186">
        <f t="shared" si="22"/>
        <v>1040.9252312500003</v>
      </c>
      <c r="P29" s="186">
        <f t="shared" si="22"/>
        <v>4525.761875000002</v>
      </c>
      <c r="Q29" s="186">
        <f t="shared" si="22"/>
        <v>385.05100000000004</v>
      </c>
      <c r="R29" s="186">
        <f t="shared" si="22"/>
        <v>1143.5873662500003</v>
      </c>
      <c r="S29" s="186">
        <f t="shared" si="22"/>
        <v>3725.9161999999997</v>
      </c>
      <c r="T29" s="185">
        <f t="shared" si="22"/>
        <v>6385.2549999999983</v>
      </c>
      <c r="U29" s="185">
        <f t="shared" si="22"/>
        <v>11254.758566250001</v>
      </c>
    </row>
    <row r="30" spans="2:27" x14ac:dyDescent="0.3">
      <c r="N30" s="73"/>
    </row>
    <row r="31" spans="2:27" ht="15" thickBot="1" x14ac:dyDescent="0.35">
      <c r="H31" s="48" t="s">
        <v>59</v>
      </c>
      <c r="N31" s="73"/>
    </row>
    <row r="32" spans="2:27" ht="14.4" customHeight="1" x14ac:dyDescent="0.3">
      <c r="H32" s="250" t="s">
        <v>33</v>
      </c>
      <c r="I32" s="247" t="s">
        <v>58</v>
      </c>
      <c r="J32" s="248"/>
      <c r="K32" s="248"/>
      <c r="L32" s="249"/>
      <c r="M32" s="260" t="s">
        <v>57</v>
      </c>
      <c r="N32" s="261"/>
      <c r="O32" s="261"/>
      <c r="P32" s="262"/>
      <c r="Q32" s="256" t="s">
        <v>61</v>
      </c>
      <c r="R32" s="256" t="s">
        <v>71</v>
      </c>
      <c r="S32" s="256" t="s">
        <v>62</v>
      </c>
      <c r="T32" s="252" t="s">
        <v>60</v>
      </c>
      <c r="U32" s="254" t="s">
        <v>63</v>
      </c>
      <c r="V32" s="254" t="s">
        <v>70</v>
      </c>
      <c r="W32" s="258" t="s">
        <v>72</v>
      </c>
      <c r="X32" s="256" t="s">
        <v>119</v>
      </c>
    </row>
    <row r="33" spans="8:26" ht="15" thickBot="1" x14ac:dyDescent="0.35">
      <c r="H33" s="251"/>
      <c r="I33" s="100" t="s">
        <v>13</v>
      </c>
      <c r="J33" s="101" t="s">
        <v>14</v>
      </c>
      <c r="K33" s="101" t="s">
        <v>49</v>
      </c>
      <c r="L33" s="102" t="s">
        <v>50</v>
      </c>
      <c r="M33" s="100" t="s">
        <v>13</v>
      </c>
      <c r="N33" s="101" t="s">
        <v>14</v>
      </c>
      <c r="O33" s="101" t="s">
        <v>49</v>
      </c>
      <c r="P33" s="103" t="s">
        <v>50</v>
      </c>
      <c r="Q33" s="263"/>
      <c r="R33" s="263"/>
      <c r="S33" s="263"/>
      <c r="T33" s="253"/>
      <c r="U33" s="255"/>
      <c r="V33" s="255"/>
      <c r="W33" s="259"/>
      <c r="X33" s="257"/>
    </row>
    <row r="34" spans="8:26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23">J34*L34+I34*K34</f>
        <v>8.9039999999999999</v>
      </c>
      <c r="R34" s="99">
        <f t="shared" ref="R34:R58" si="24">2*(L34+2*$C$18+J34)*$C$18+2*(K34+2*$C$18+I34)*$C$18</f>
        <v>2.2509999999999999</v>
      </c>
      <c r="S34" s="99">
        <f t="shared" ref="S34:S58" si="25">M34*O34+N34*P34</f>
        <v>3.7900000000000009</v>
      </c>
      <c r="T34" s="117">
        <f t="shared" ref="T34:T58" si="26">Q34*F4*$C$4</f>
        <v>51.197999999999993</v>
      </c>
      <c r="U34" s="125">
        <f>S34*$C$11</f>
        <v>0.37900000000000011</v>
      </c>
      <c r="V34" s="125">
        <f t="shared" ref="V34:V58" si="27">R34*$C$18*$C$5</f>
        <v>0.11255</v>
      </c>
      <c r="W34" s="203">
        <f>T34+U34+V34</f>
        <v>51.68954999999999</v>
      </c>
      <c r="X34" s="207">
        <f>T34+V34</f>
        <v>51.310549999999992</v>
      </c>
      <c r="Z34" s="72"/>
    </row>
    <row r="35" spans="8:26" x14ac:dyDescent="0.3">
      <c r="H35" s="90">
        <f t="shared" ref="H35:H58" si="28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23"/>
        <v>22.668000000000003</v>
      </c>
      <c r="R35" s="121">
        <f t="shared" si="24"/>
        <v>5.6920000000000011</v>
      </c>
      <c r="S35" s="121">
        <f t="shared" si="25"/>
        <v>19.93</v>
      </c>
      <c r="T35" s="118">
        <f t="shared" si="26"/>
        <v>130.34100000000001</v>
      </c>
      <c r="U35" s="130">
        <f t="shared" ref="U35:U58" si="29">S35*$C$11</f>
        <v>1.9930000000000001</v>
      </c>
      <c r="V35" s="130">
        <f t="shared" si="27"/>
        <v>0.28460000000000008</v>
      </c>
      <c r="W35" s="204">
        <f t="shared" ref="W35:W58" si="30">T35+U35+V35</f>
        <v>132.61860000000001</v>
      </c>
      <c r="X35" s="94">
        <f t="shared" ref="X35:X58" si="31">T35+V35</f>
        <v>130.62560000000002</v>
      </c>
      <c r="Z35" s="72"/>
    </row>
    <row r="36" spans="8:26" x14ac:dyDescent="0.3">
      <c r="H36" s="90">
        <f t="shared" si="28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23"/>
        <v>22.668000000000003</v>
      </c>
      <c r="R36" s="121">
        <f t="shared" si="24"/>
        <v>5.6920000000000011</v>
      </c>
      <c r="S36" s="121">
        <f t="shared" si="25"/>
        <v>19.93</v>
      </c>
      <c r="T36" s="118">
        <f t="shared" si="26"/>
        <v>130.34100000000001</v>
      </c>
      <c r="U36" s="130">
        <f t="shared" si="29"/>
        <v>1.9930000000000001</v>
      </c>
      <c r="V36" s="130">
        <f t="shared" si="27"/>
        <v>0.28460000000000008</v>
      </c>
      <c r="W36" s="204">
        <f t="shared" si="30"/>
        <v>132.61860000000001</v>
      </c>
      <c r="X36" s="94">
        <f t="shared" si="31"/>
        <v>130.62560000000002</v>
      </c>
      <c r="Z36" s="72"/>
    </row>
    <row r="37" spans="8:26" x14ac:dyDescent="0.3">
      <c r="H37" s="90">
        <f t="shared" si="28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23"/>
        <v>22.668000000000003</v>
      </c>
      <c r="R37" s="121">
        <f t="shared" si="24"/>
        <v>5.6920000000000011</v>
      </c>
      <c r="S37" s="121">
        <f t="shared" si="25"/>
        <v>19.93</v>
      </c>
      <c r="T37" s="118">
        <f t="shared" si="26"/>
        <v>130.34100000000001</v>
      </c>
      <c r="U37" s="130">
        <f t="shared" si="29"/>
        <v>1.9930000000000001</v>
      </c>
      <c r="V37" s="130">
        <f t="shared" si="27"/>
        <v>0.28460000000000008</v>
      </c>
      <c r="W37" s="204">
        <f t="shared" si="30"/>
        <v>132.61860000000001</v>
      </c>
      <c r="X37" s="94">
        <f t="shared" si="31"/>
        <v>130.62560000000002</v>
      </c>
      <c r="Z37" s="72"/>
    </row>
    <row r="38" spans="8:26" x14ac:dyDescent="0.3">
      <c r="H38" s="90">
        <f t="shared" si="28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23"/>
        <v>22.668000000000003</v>
      </c>
      <c r="R38" s="121">
        <f t="shared" si="24"/>
        <v>5.6920000000000011</v>
      </c>
      <c r="S38" s="121">
        <f t="shared" si="25"/>
        <v>19.93</v>
      </c>
      <c r="T38" s="118">
        <f t="shared" si="26"/>
        <v>130.34100000000001</v>
      </c>
      <c r="U38" s="130">
        <f t="shared" si="29"/>
        <v>1.9930000000000001</v>
      </c>
      <c r="V38" s="130">
        <f t="shared" si="27"/>
        <v>0.28460000000000008</v>
      </c>
      <c r="W38" s="204">
        <f t="shared" si="30"/>
        <v>132.61860000000001</v>
      </c>
      <c r="X38" s="94">
        <f t="shared" si="31"/>
        <v>130.62560000000002</v>
      </c>
      <c r="Z38" s="72"/>
    </row>
    <row r="39" spans="8:26" x14ac:dyDescent="0.3">
      <c r="H39" s="90">
        <f t="shared" si="28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23"/>
        <v>22.668000000000003</v>
      </c>
      <c r="R39" s="121">
        <f t="shared" si="24"/>
        <v>5.6920000000000011</v>
      </c>
      <c r="S39" s="121">
        <f t="shared" si="25"/>
        <v>19.93</v>
      </c>
      <c r="T39" s="118">
        <f t="shared" si="26"/>
        <v>130.34100000000001</v>
      </c>
      <c r="U39" s="130">
        <f>S39*$C$11</f>
        <v>1.9930000000000001</v>
      </c>
      <c r="V39" s="130">
        <f t="shared" si="27"/>
        <v>0.28460000000000008</v>
      </c>
      <c r="W39" s="204">
        <f t="shared" si="30"/>
        <v>132.61860000000001</v>
      </c>
      <c r="X39" s="94">
        <f t="shared" si="31"/>
        <v>130.62560000000002</v>
      </c>
      <c r="Z39" s="72"/>
    </row>
    <row r="40" spans="8:26" x14ac:dyDescent="0.3">
      <c r="H40" s="90">
        <f t="shared" si="28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23"/>
        <v>22.668000000000003</v>
      </c>
      <c r="R40" s="121">
        <f t="shared" si="24"/>
        <v>5.6920000000000011</v>
      </c>
      <c r="S40" s="121">
        <f t="shared" si="25"/>
        <v>19.93</v>
      </c>
      <c r="T40" s="118">
        <f t="shared" si="26"/>
        <v>130.34100000000001</v>
      </c>
      <c r="U40" s="130">
        <f t="shared" si="29"/>
        <v>1.9930000000000001</v>
      </c>
      <c r="V40" s="130">
        <f t="shared" si="27"/>
        <v>0.28460000000000008</v>
      </c>
      <c r="W40" s="204">
        <f t="shared" si="30"/>
        <v>132.61860000000001</v>
      </c>
      <c r="X40" s="94">
        <f t="shared" si="31"/>
        <v>130.62560000000002</v>
      </c>
      <c r="Z40" s="72"/>
    </row>
    <row r="41" spans="8:26" x14ac:dyDescent="0.3">
      <c r="H41" s="90">
        <f t="shared" si="28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23"/>
        <v>22.668000000000003</v>
      </c>
      <c r="R41" s="121">
        <f t="shared" si="24"/>
        <v>5.6920000000000011</v>
      </c>
      <c r="S41" s="121">
        <f t="shared" si="25"/>
        <v>19.93</v>
      </c>
      <c r="T41" s="118">
        <f t="shared" si="26"/>
        <v>130.34100000000001</v>
      </c>
      <c r="U41" s="130">
        <f t="shared" si="29"/>
        <v>1.9930000000000001</v>
      </c>
      <c r="V41" s="130">
        <f t="shared" si="27"/>
        <v>0.28460000000000008</v>
      </c>
      <c r="W41" s="204">
        <f t="shared" si="30"/>
        <v>132.61860000000001</v>
      </c>
      <c r="X41" s="94">
        <f t="shared" si="31"/>
        <v>130.62560000000002</v>
      </c>
      <c r="Z41" s="72"/>
    </row>
    <row r="42" spans="8:26" x14ac:dyDescent="0.3">
      <c r="H42" s="90">
        <f t="shared" si="28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23"/>
        <v>22.668000000000003</v>
      </c>
      <c r="R42" s="121">
        <f t="shared" si="24"/>
        <v>5.6920000000000011</v>
      </c>
      <c r="S42" s="121">
        <f t="shared" si="25"/>
        <v>19.93</v>
      </c>
      <c r="T42" s="118">
        <f t="shared" si="26"/>
        <v>130.34100000000001</v>
      </c>
      <c r="U42" s="130">
        <f t="shared" si="29"/>
        <v>1.9930000000000001</v>
      </c>
      <c r="V42" s="130">
        <f t="shared" si="27"/>
        <v>0.28460000000000008</v>
      </c>
      <c r="W42" s="204">
        <f t="shared" si="30"/>
        <v>132.61860000000001</v>
      </c>
      <c r="X42" s="94">
        <f t="shared" si="31"/>
        <v>130.62560000000002</v>
      </c>
      <c r="Z42" s="72"/>
    </row>
    <row r="43" spans="8:26" x14ac:dyDescent="0.3">
      <c r="H43" s="90">
        <f t="shared" si="28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23"/>
        <v>22.668000000000003</v>
      </c>
      <c r="R43" s="121">
        <f t="shared" si="24"/>
        <v>5.6920000000000011</v>
      </c>
      <c r="S43" s="121">
        <f t="shared" si="25"/>
        <v>19.93</v>
      </c>
      <c r="T43" s="118">
        <f t="shared" si="26"/>
        <v>130.34100000000001</v>
      </c>
      <c r="U43" s="130">
        <f t="shared" si="29"/>
        <v>1.9930000000000001</v>
      </c>
      <c r="V43" s="130">
        <f t="shared" si="27"/>
        <v>0.28460000000000008</v>
      </c>
      <c r="W43" s="204">
        <f t="shared" si="30"/>
        <v>132.61860000000001</v>
      </c>
      <c r="X43" s="94">
        <f t="shared" si="31"/>
        <v>130.62560000000002</v>
      </c>
      <c r="Z43" s="72"/>
    </row>
    <row r="44" spans="8:26" x14ac:dyDescent="0.3">
      <c r="H44" s="90">
        <f t="shared" si="28"/>
        <v>14</v>
      </c>
      <c r="I44" s="85">
        <f>'Verificación corte muros'!K13</f>
        <v>0.25</v>
      </c>
      <c r="J44" s="71">
        <f>'Verificación corte muros'!L13</f>
        <v>0.25</v>
      </c>
      <c r="K44" s="71">
        <f>'Distancias muros'!$C$4</f>
        <v>54.480000000000011</v>
      </c>
      <c r="L44" s="86">
        <f>'Distancias muros'!$B$4</f>
        <v>58.86</v>
      </c>
      <c r="M44" s="85">
        <v>0.2</v>
      </c>
      <c r="N44" s="71">
        <v>0.2</v>
      </c>
      <c r="O44" s="71">
        <f>'Distancias tabiques'!$C$4</f>
        <v>60.46</v>
      </c>
      <c r="P44" s="110">
        <f>'Distancias tabiques'!$B$4</f>
        <v>39.19</v>
      </c>
      <c r="Q44" s="121">
        <f t="shared" si="23"/>
        <v>28.335000000000001</v>
      </c>
      <c r="R44" s="121">
        <f t="shared" si="24"/>
        <v>5.697000000000001</v>
      </c>
      <c r="S44" s="121">
        <f t="shared" si="25"/>
        <v>19.93</v>
      </c>
      <c r="T44" s="118">
        <f t="shared" si="26"/>
        <v>162.92624999999998</v>
      </c>
      <c r="U44" s="130">
        <f t="shared" si="29"/>
        <v>1.9930000000000001</v>
      </c>
      <c r="V44" s="130">
        <f t="shared" si="27"/>
        <v>0.28485000000000005</v>
      </c>
      <c r="W44" s="204">
        <f t="shared" si="30"/>
        <v>165.20409999999998</v>
      </c>
      <c r="X44" s="94">
        <f t="shared" si="31"/>
        <v>163.21109999999999</v>
      </c>
      <c r="Z44" s="72"/>
    </row>
    <row r="45" spans="8:26" x14ac:dyDescent="0.3">
      <c r="H45" s="90">
        <f t="shared" si="28"/>
        <v>13</v>
      </c>
      <c r="I45" s="85">
        <f>'Verificación corte muros'!K14</f>
        <v>0.25</v>
      </c>
      <c r="J45" s="71">
        <f>'Verificación corte muros'!L14</f>
        <v>0.25</v>
      </c>
      <c r="K45" s="71">
        <f>'Distancias muros'!$C$4</f>
        <v>54.480000000000011</v>
      </c>
      <c r="L45" s="86">
        <f>'Distancias muros'!$B$4</f>
        <v>58.86</v>
      </c>
      <c r="M45" s="85">
        <v>0.2</v>
      </c>
      <c r="N45" s="71">
        <v>0.2</v>
      </c>
      <c r="O45" s="71">
        <f>'Distancias tabiques'!$C$4</f>
        <v>60.46</v>
      </c>
      <c r="P45" s="110">
        <f>'Distancias tabiques'!$B$4</f>
        <v>39.19</v>
      </c>
      <c r="Q45" s="121">
        <f t="shared" si="23"/>
        <v>28.335000000000001</v>
      </c>
      <c r="R45" s="121">
        <f t="shared" si="24"/>
        <v>5.697000000000001</v>
      </c>
      <c r="S45" s="121">
        <f t="shared" si="25"/>
        <v>19.93</v>
      </c>
      <c r="T45" s="118">
        <f t="shared" si="26"/>
        <v>162.92624999999998</v>
      </c>
      <c r="U45" s="130">
        <f t="shared" si="29"/>
        <v>1.9930000000000001</v>
      </c>
      <c r="V45" s="130">
        <f t="shared" si="27"/>
        <v>0.28485000000000005</v>
      </c>
      <c r="W45" s="204">
        <f t="shared" si="30"/>
        <v>165.20409999999998</v>
      </c>
      <c r="X45" s="94">
        <f t="shared" si="31"/>
        <v>163.21109999999999</v>
      </c>
      <c r="Z45" s="72"/>
    </row>
    <row r="46" spans="8:26" x14ac:dyDescent="0.3">
      <c r="H46" s="90">
        <f t="shared" si="28"/>
        <v>12</v>
      </c>
      <c r="I46" s="85">
        <f>'Verificación corte muros'!K15</f>
        <v>0.25</v>
      </c>
      <c r="J46" s="71">
        <f>'Verificación corte muros'!L15</f>
        <v>0.25</v>
      </c>
      <c r="K46" s="71">
        <f>'Distancias muros'!$C$4</f>
        <v>54.480000000000011</v>
      </c>
      <c r="L46" s="86">
        <f>'Distancias muros'!$B$4</f>
        <v>58.86</v>
      </c>
      <c r="M46" s="85">
        <v>0.2</v>
      </c>
      <c r="N46" s="71">
        <v>0.2</v>
      </c>
      <c r="O46" s="71">
        <f>'Distancias tabiques'!$C$4</f>
        <v>60.46</v>
      </c>
      <c r="P46" s="110">
        <f>'Distancias tabiques'!$B$4</f>
        <v>39.19</v>
      </c>
      <c r="Q46" s="121">
        <f t="shared" si="23"/>
        <v>28.335000000000001</v>
      </c>
      <c r="R46" s="121">
        <f t="shared" si="24"/>
        <v>5.697000000000001</v>
      </c>
      <c r="S46" s="121">
        <f t="shared" si="25"/>
        <v>19.93</v>
      </c>
      <c r="T46" s="118">
        <f t="shared" si="26"/>
        <v>162.92624999999998</v>
      </c>
      <c r="U46" s="130">
        <f t="shared" si="29"/>
        <v>1.9930000000000001</v>
      </c>
      <c r="V46" s="130">
        <f t="shared" si="27"/>
        <v>0.28485000000000005</v>
      </c>
      <c r="W46" s="204">
        <f t="shared" si="30"/>
        <v>165.20409999999998</v>
      </c>
      <c r="X46" s="94">
        <f t="shared" si="31"/>
        <v>163.21109999999999</v>
      </c>
      <c r="Z46" s="72"/>
    </row>
    <row r="47" spans="8:26" x14ac:dyDescent="0.3">
      <c r="H47" s="90">
        <f t="shared" si="28"/>
        <v>11</v>
      </c>
      <c r="I47" s="85">
        <f>'Verificación corte muros'!K16</f>
        <v>0.25</v>
      </c>
      <c r="J47" s="71">
        <f>'Verificación corte muros'!L16</f>
        <v>0.25</v>
      </c>
      <c r="K47" s="71">
        <f>'Distancias muros'!$C$4</f>
        <v>54.480000000000011</v>
      </c>
      <c r="L47" s="86">
        <f>'Distancias muros'!$B$4</f>
        <v>58.86</v>
      </c>
      <c r="M47" s="85">
        <v>0.2</v>
      </c>
      <c r="N47" s="71">
        <v>0.2</v>
      </c>
      <c r="O47" s="71">
        <f>'Distancias tabiques'!$C$4</f>
        <v>60.46</v>
      </c>
      <c r="P47" s="110">
        <f>'Distancias tabiques'!$B$4</f>
        <v>39.19</v>
      </c>
      <c r="Q47" s="121">
        <f t="shared" si="23"/>
        <v>28.335000000000001</v>
      </c>
      <c r="R47" s="121">
        <f t="shared" si="24"/>
        <v>5.697000000000001</v>
      </c>
      <c r="S47" s="121">
        <f t="shared" si="25"/>
        <v>19.93</v>
      </c>
      <c r="T47" s="118">
        <f t="shared" si="26"/>
        <v>162.92624999999998</v>
      </c>
      <c r="U47" s="130">
        <f t="shared" si="29"/>
        <v>1.9930000000000001</v>
      </c>
      <c r="V47" s="130">
        <f t="shared" si="27"/>
        <v>0.28485000000000005</v>
      </c>
      <c r="W47" s="204">
        <f t="shared" si="30"/>
        <v>165.20409999999998</v>
      </c>
      <c r="X47" s="94">
        <f t="shared" si="31"/>
        <v>163.21109999999999</v>
      </c>
      <c r="Z47" s="244"/>
    </row>
    <row r="48" spans="8:26" x14ac:dyDescent="0.3">
      <c r="H48" s="90">
        <f t="shared" si="28"/>
        <v>10</v>
      </c>
      <c r="I48" s="85">
        <f>'Verificación corte muros'!K17</f>
        <v>0.25</v>
      </c>
      <c r="J48" s="71">
        <f>'Verificación corte muros'!L17</f>
        <v>0.25</v>
      </c>
      <c r="K48" s="71">
        <f>'Distancias muros'!$C$4</f>
        <v>54.480000000000011</v>
      </c>
      <c r="L48" s="86">
        <f>'Distancias muros'!$B$4</f>
        <v>58.86</v>
      </c>
      <c r="M48" s="85">
        <v>0.2</v>
      </c>
      <c r="N48" s="71">
        <v>0.2</v>
      </c>
      <c r="O48" s="71">
        <f>'Distancias tabiques'!$C$4</f>
        <v>60.46</v>
      </c>
      <c r="P48" s="110">
        <f>'Distancias tabiques'!$B$4</f>
        <v>39.19</v>
      </c>
      <c r="Q48" s="121">
        <f t="shared" si="23"/>
        <v>28.335000000000001</v>
      </c>
      <c r="R48" s="121">
        <f t="shared" si="24"/>
        <v>5.697000000000001</v>
      </c>
      <c r="S48" s="121">
        <f t="shared" si="25"/>
        <v>19.93</v>
      </c>
      <c r="T48" s="118">
        <f t="shared" si="26"/>
        <v>162.92624999999998</v>
      </c>
      <c r="U48" s="130">
        <f t="shared" si="29"/>
        <v>1.9930000000000001</v>
      </c>
      <c r="V48" s="130">
        <f t="shared" si="27"/>
        <v>0.28485000000000005</v>
      </c>
      <c r="W48" s="204">
        <f t="shared" si="30"/>
        <v>165.20409999999998</v>
      </c>
      <c r="X48" s="94">
        <f t="shared" si="31"/>
        <v>163.21109999999999</v>
      </c>
      <c r="Z48" s="244"/>
    </row>
    <row r="49" spans="8:26" x14ac:dyDescent="0.3">
      <c r="H49" s="90">
        <f t="shared" si="28"/>
        <v>9</v>
      </c>
      <c r="I49" s="85">
        <f>'Verificación corte muros'!K18</f>
        <v>0.25</v>
      </c>
      <c r="J49" s="71">
        <f>'Verificación corte muros'!L18</f>
        <v>0.25</v>
      </c>
      <c r="K49" s="71">
        <f>'Distancias muros'!$C$4</f>
        <v>54.480000000000011</v>
      </c>
      <c r="L49" s="86">
        <f>'Distancias muros'!$B$4</f>
        <v>58.86</v>
      </c>
      <c r="M49" s="85">
        <v>0.2</v>
      </c>
      <c r="N49" s="71">
        <v>0.2</v>
      </c>
      <c r="O49" s="71">
        <f>'Distancias tabiques'!$C$4</f>
        <v>60.46</v>
      </c>
      <c r="P49" s="110">
        <f>'Distancias tabiques'!$B$4</f>
        <v>39.19</v>
      </c>
      <c r="Q49" s="121">
        <f t="shared" si="23"/>
        <v>28.335000000000001</v>
      </c>
      <c r="R49" s="121">
        <f t="shared" si="24"/>
        <v>5.697000000000001</v>
      </c>
      <c r="S49" s="121">
        <f t="shared" si="25"/>
        <v>19.93</v>
      </c>
      <c r="T49" s="118">
        <f t="shared" si="26"/>
        <v>162.92624999999998</v>
      </c>
      <c r="U49" s="130">
        <f t="shared" si="29"/>
        <v>1.9930000000000001</v>
      </c>
      <c r="V49" s="130">
        <f t="shared" si="27"/>
        <v>0.28485000000000005</v>
      </c>
      <c r="W49" s="204">
        <f t="shared" si="30"/>
        <v>165.20409999999998</v>
      </c>
      <c r="X49" s="94">
        <f t="shared" si="31"/>
        <v>163.21109999999999</v>
      </c>
      <c r="Z49" s="244"/>
    </row>
    <row r="50" spans="8:26" x14ac:dyDescent="0.3">
      <c r="H50" s="90">
        <f t="shared" si="28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</v>
      </c>
      <c r="N50" s="71">
        <v>0.2</v>
      </c>
      <c r="O50" s="71">
        <f>'Distancias tabiques'!$C$4</f>
        <v>60.46</v>
      </c>
      <c r="P50" s="110">
        <f>'Distancias tabiques'!$B$4</f>
        <v>39.19</v>
      </c>
      <c r="Q50" s="121">
        <f t="shared" si="23"/>
        <v>28.335000000000001</v>
      </c>
      <c r="R50" s="121">
        <f t="shared" si="24"/>
        <v>5.697000000000001</v>
      </c>
      <c r="S50" s="121">
        <f t="shared" si="25"/>
        <v>19.93</v>
      </c>
      <c r="T50" s="118">
        <f t="shared" si="26"/>
        <v>162.92624999999998</v>
      </c>
      <c r="U50" s="130">
        <f t="shared" si="29"/>
        <v>1.9930000000000001</v>
      </c>
      <c r="V50" s="130">
        <f t="shared" si="27"/>
        <v>0.28485000000000005</v>
      </c>
      <c r="W50" s="204">
        <f t="shared" si="30"/>
        <v>165.20409999999998</v>
      </c>
      <c r="X50" s="94">
        <f t="shared" si="31"/>
        <v>163.21109999999999</v>
      </c>
      <c r="Z50" s="244"/>
    </row>
    <row r="51" spans="8:26" x14ac:dyDescent="0.3">
      <c r="H51" s="90">
        <f t="shared" si="28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</v>
      </c>
      <c r="N51" s="71">
        <v>0.2</v>
      </c>
      <c r="O51" s="71">
        <f>'Distancias tabiques'!$C$4</f>
        <v>60.46</v>
      </c>
      <c r="P51" s="110">
        <f>'Distancias tabiques'!$B$4</f>
        <v>39.19</v>
      </c>
      <c r="Q51" s="121">
        <f t="shared" si="23"/>
        <v>28.335000000000001</v>
      </c>
      <c r="R51" s="121">
        <f t="shared" si="24"/>
        <v>5.697000000000001</v>
      </c>
      <c r="S51" s="121">
        <f t="shared" si="25"/>
        <v>19.93</v>
      </c>
      <c r="T51" s="118">
        <f t="shared" si="26"/>
        <v>162.92624999999998</v>
      </c>
      <c r="U51" s="130">
        <f t="shared" si="29"/>
        <v>1.9930000000000001</v>
      </c>
      <c r="V51" s="130">
        <f t="shared" si="27"/>
        <v>0.28485000000000005</v>
      </c>
      <c r="W51" s="204">
        <f t="shared" si="30"/>
        <v>165.20409999999998</v>
      </c>
      <c r="X51" s="94">
        <f t="shared" si="31"/>
        <v>163.21109999999999</v>
      </c>
      <c r="Z51" s="244"/>
    </row>
    <row r="52" spans="8:26" x14ac:dyDescent="0.3">
      <c r="H52" s="90">
        <f t="shared" si="28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</v>
      </c>
      <c r="N52" s="71">
        <v>0.2</v>
      </c>
      <c r="O52" s="71">
        <f>'Distancias tabiques'!$C$4</f>
        <v>60.46</v>
      </c>
      <c r="P52" s="110">
        <f>'Distancias tabiques'!$B$4</f>
        <v>39.19</v>
      </c>
      <c r="Q52" s="121">
        <f t="shared" si="23"/>
        <v>28.335000000000001</v>
      </c>
      <c r="R52" s="121">
        <f t="shared" si="24"/>
        <v>5.697000000000001</v>
      </c>
      <c r="S52" s="121">
        <f t="shared" si="25"/>
        <v>19.93</v>
      </c>
      <c r="T52" s="118">
        <f t="shared" si="26"/>
        <v>162.92624999999998</v>
      </c>
      <c r="U52" s="130">
        <f t="shared" si="29"/>
        <v>1.9930000000000001</v>
      </c>
      <c r="V52" s="130">
        <f t="shared" si="27"/>
        <v>0.28485000000000005</v>
      </c>
      <c r="W52" s="204">
        <f t="shared" si="30"/>
        <v>165.20409999999998</v>
      </c>
      <c r="X52" s="94">
        <f t="shared" si="31"/>
        <v>163.21109999999999</v>
      </c>
      <c r="Z52" s="244"/>
    </row>
    <row r="53" spans="8:26" x14ac:dyDescent="0.3">
      <c r="H53" s="90">
        <f t="shared" si="28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23"/>
        <v>28.335000000000001</v>
      </c>
      <c r="R53" s="121">
        <f t="shared" si="24"/>
        <v>5.697000000000001</v>
      </c>
      <c r="S53" s="121">
        <f t="shared" si="25"/>
        <v>24.912500000000001</v>
      </c>
      <c r="T53" s="118">
        <f t="shared" si="26"/>
        <v>162.92624999999998</v>
      </c>
      <c r="U53" s="130">
        <f t="shared" si="29"/>
        <v>2.4912500000000004</v>
      </c>
      <c r="V53" s="130">
        <f t="shared" si="27"/>
        <v>0.28485000000000005</v>
      </c>
      <c r="W53" s="204">
        <f t="shared" si="30"/>
        <v>165.70235</v>
      </c>
      <c r="X53" s="94">
        <f t="shared" si="31"/>
        <v>163.21109999999999</v>
      </c>
      <c r="Z53" s="244"/>
    </row>
    <row r="54" spans="8:26" x14ac:dyDescent="0.3">
      <c r="H54" s="90">
        <f t="shared" si="28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23"/>
        <v>28.335000000000001</v>
      </c>
      <c r="R54" s="121">
        <f t="shared" si="24"/>
        <v>5.697000000000001</v>
      </c>
      <c r="S54" s="121">
        <f t="shared" si="25"/>
        <v>24.912500000000001</v>
      </c>
      <c r="T54" s="118">
        <f t="shared" si="26"/>
        <v>162.92624999999998</v>
      </c>
      <c r="U54" s="130">
        <f t="shared" si="29"/>
        <v>2.4912500000000004</v>
      </c>
      <c r="V54" s="130">
        <f t="shared" si="27"/>
        <v>0.28485000000000005</v>
      </c>
      <c r="W54" s="204">
        <f t="shared" si="30"/>
        <v>165.70235</v>
      </c>
      <c r="X54" s="94">
        <f t="shared" si="31"/>
        <v>163.21109999999999</v>
      </c>
      <c r="Z54" s="244"/>
    </row>
    <row r="55" spans="8:26" x14ac:dyDescent="0.3">
      <c r="H55" s="89">
        <f t="shared" si="28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23"/>
        <v>29.295000000000002</v>
      </c>
      <c r="R55" s="94">
        <f t="shared" si="24"/>
        <v>5.8890000000000011</v>
      </c>
      <c r="S55" s="94">
        <f t="shared" si="25"/>
        <v>24.912500000000001</v>
      </c>
      <c r="T55" s="119">
        <f t="shared" si="26"/>
        <v>168.44625000000002</v>
      </c>
      <c r="U55" s="117">
        <f t="shared" si="29"/>
        <v>2.4912500000000004</v>
      </c>
      <c r="V55" s="117">
        <f t="shared" si="27"/>
        <v>0.29445000000000005</v>
      </c>
      <c r="W55" s="205">
        <f t="shared" si="30"/>
        <v>171.23195000000004</v>
      </c>
      <c r="X55" s="94">
        <f t="shared" si="31"/>
        <v>168.74070000000003</v>
      </c>
      <c r="Z55" s="244"/>
    </row>
    <row r="56" spans="8:26" x14ac:dyDescent="0.3">
      <c r="H56" s="89">
        <f t="shared" si="28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23"/>
        <v>31.481499999999997</v>
      </c>
      <c r="R56" s="94">
        <f t="shared" si="24"/>
        <v>5.823999999999999</v>
      </c>
      <c r="S56" s="94">
        <f t="shared" si="25"/>
        <v>20.627500000000005</v>
      </c>
      <c r="T56" s="119">
        <f t="shared" si="26"/>
        <v>181.01862499999996</v>
      </c>
      <c r="U56" s="117">
        <f t="shared" si="29"/>
        <v>2.0627500000000007</v>
      </c>
      <c r="V56" s="117">
        <f t="shared" si="27"/>
        <v>0.29119999999999996</v>
      </c>
      <c r="W56" s="205">
        <f t="shared" si="30"/>
        <v>183.37257499999996</v>
      </c>
      <c r="X56" s="94">
        <f t="shared" si="31"/>
        <v>181.30982499999996</v>
      </c>
      <c r="Z56" s="244"/>
    </row>
    <row r="57" spans="8:26" x14ac:dyDescent="0.3">
      <c r="H57" s="89">
        <f t="shared" si="28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23"/>
        <v>33.988999999999997</v>
      </c>
      <c r="R57" s="94">
        <f t="shared" si="24"/>
        <v>6.2804999999999991</v>
      </c>
      <c r="S57" s="94">
        <f t="shared" si="25"/>
        <v>19.019500000000001</v>
      </c>
      <c r="T57" s="119">
        <f t="shared" si="26"/>
        <v>195.43674999999996</v>
      </c>
      <c r="U57" s="117">
        <f t="shared" si="29"/>
        <v>1.9019500000000003</v>
      </c>
      <c r="V57" s="117">
        <f t="shared" si="27"/>
        <v>0.314025</v>
      </c>
      <c r="W57" s="205">
        <f t="shared" si="30"/>
        <v>197.65272499999995</v>
      </c>
      <c r="X57" s="94">
        <f t="shared" si="31"/>
        <v>195.75077499999995</v>
      </c>
      <c r="Z57" s="244"/>
    </row>
    <row r="58" spans="8:26" ht="15" thickBot="1" x14ac:dyDescent="0.35">
      <c r="H58" s="91">
        <f t="shared" si="28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23"/>
        <v>38.068999999999996</v>
      </c>
      <c r="R58" s="95">
        <f t="shared" si="24"/>
        <v>7.0309999999999988</v>
      </c>
      <c r="S58" s="95">
        <f t="shared" si="25"/>
        <v>10.724999999999998</v>
      </c>
      <c r="T58" s="120">
        <f t="shared" si="26"/>
        <v>218.89674999999997</v>
      </c>
      <c r="U58" s="126">
        <f t="shared" si="29"/>
        <v>1.0724999999999998</v>
      </c>
      <c r="V58" s="126">
        <f t="shared" si="27"/>
        <v>0.35154999999999997</v>
      </c>
      <c r="W58" s="206">
        <f t="shared" si="30"/>
        <v>220.32079999999996</v>
      </c>
      <c r="X58" s="95">
        <f t="shared" si="31"/>
        <v>219.24829999999997</v>
      </c>
      <c r="Z58" s="244"/>
    </row>
    <row r="59" spans="8:26" x14ac:dyDescent="0.3">
      <c r="S59" s="49" t="s">
        <v>30</v>
      </c>
      <c r="T59" s="72">
        <f>SUM(T34:T58)</f>
        <v>3780.2541249999995</v>
      </c>
      <c r="U59" s="72">
        <f>SUM(U34:U58)</f>
        <v>48.763949999999994</v>
      </c>
      <c r="V59" s="72">
        <f>SUM(V34:V58)</f>
        <v>7.058525000000003</v>
      </c>
      <c r="W59" s="185">
        <f>SUM(W34:W58)-W58*0.5</f>
        <v>3725.9161999999997</v>
      </c>
    </row>
    <row r="60" spans="8:26" x14ac:dyDescent="0.3">
      <c r="H60" s="49" t="s">
        <v>91</v>
      </c>
    </row>
    <row r="61" spans="8:26" ht="15" thickBot="1" x14ac:dyDescent="0.35"/>
    <row r="62" spans="8:26" ht="29.4" thickBot="1" x14ac:dyDescent="0.35">
      <c r="H62" s="123" t="s">
        <v>33</v>
      </c>
      <c r="I62" s="168" t="s">
        <v>101</v>
      </c>
      <c r="J62" s="169" t="s">
        <v>92</v>
      </c>
      <c r="K62" s="170" t="s">
        <v>102</v>
      </c>
      <c r="L62" s="171" t="s">
        <v>99</v>
      </c>
      <c r="M62" s="172" t="s">
        <v>100</v>
      </c>
      <c r="N62" s="173" t="s">
        <v>72</v>
      </c>
    </row>
    <row r="63" spans="8:26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" si="32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" si="33">L63+M63</f>
        <v>71.462699999999998</v>
      </c>
      <c r="S63" s="49" t="s">
        <v>136</v>
      </c>
      <c r="T63" s="72">
        <f>U29</f>
        <v>11254.758566250001</v>
      </c>
    </row>
    <row r="64" spans="8:26" x14ac:dyDescent="0.3">
      <c r="H64" s="167">
        <f t="shared" ref="H64:H87" si="34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 t="shared" ref="K64:K87" si="35">J64*$C$18</f>
        <v>3.7681</v>
      </c>
      <c r="L64" s="182">
        <f t="shared" ref="L64" si="36">I64*$C$4</f>
        <v>36.922500000000007</v>
      </c>
      <c r="M64" s="183">
        <f t="shared" ref="M64" si="37">K64*$C$5</f>
        <v>7.5362</v>
      </c>
      <c r="N64" s="184">
        <f t="shared" ref="N64:N87" si="38">L64+M64</f>
        <v>44.458700000000007</v>
      </c>
    </row>
    <row r="65" spans="8:20" x14ac:dyDescent="0.3">
      <c r="H65" s="167">
        <f t="shared" si="34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 t="shared" si="35"/>
        <v>3.7681</v>
      </c>
      <c r="L65" s="182">
        <f t="shared" ref="L65:L87" si="39">I65*$C$4</f>
        <v>36.922500000000007</v>
      </c>
      <c r="M65" s="183">
        <f t="shared" ref="M65:M87" si="40">K65*$C$5</f>
        <v>7.5362</v>
      </c>
      <c r="N65" s="184">
        <f t="shared" si="38"/>
        <v>44.458700000000007</v>
      </c>
      <c r="S65" s="49" t="s">
        <v>137</v>
      </c>
      <c r="T65" s="72">
        <f>T29</f>
        <v>6385.2549999999983</v>
      </c>
    </row>
    <row r="66" spans="8:20" x14ac:dyDescent="0.3">
      <c r="H66" s="167">
        <f t="shared" si="34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 t="shared" si="35"/>
        <v>3.7681</v>
      </c>
      <c r="L66" s="182">
        <f t="shared" si="39"/>
        <v>36.922500000000007</v>
      </c>
      <c r="M66" s="183">
        <f t="shared" si="40"/>
        <v>7.5362</v>
      </c>
      <c r="N66" s="184">
        <f t="shared" si="38"/>
        <v>44.458700000000007</v>
      </c>
      <c r="S66" s="49" t="s">
        <v>138</v>
      </c>
      <c r="T66" s="72">
        <f>W59</f>
        <v>3725.9161999999997</v>
      </c>
    </row>
    <row r="67" spans="8:20" ht="15" thickBot="1" x14ac:dyDescent="0.35">
      <c r="H67" s="167">
        <f t="shared" si="34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 t="shared" si="35"/>
        <v>3.7681</v>
      </c>
      <c r="L67" s="182">
        <f t="shared" si="39"/>
        <v>36.922500000000007</v>
      </c>
      <c r="M67" s="183">
        <f t="shared" si="40"/>
        <v>7.5362</v>
      </c>
      <c r="N67" s="184">
        <f t="shared" si="38"/>
        <v>44.458700000000007</v>
      </c>
      <c r="S67" s="132" t="s">
        <v>139</v>
      </c>
      <c r="T67" s="133">
        <f>N88</f>
        <v>1143.5873662500003</v>
      </c>
    </row>
    <row r="68" spans="8:20" x14ac:dyDescent="0.3">
      <c r="H68" s="167">
        <f t="shared" si="34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 t="shared" si="35"/>
        <v>3.7681</v>
      </c>
      <c r="L68" s="182">
        <f t="shared" si="39"/>
        <v>36.922500000000007</v>
      </c>
      <c r="M68" s="183">
        <f t="shared" si="40"/>
        <v>7.5362</v>
      </c>
      <c r="N68" s="184">
        <f t="shared" si="38"/>
        <v>44.458700000000007</v>
      </c>
      <c r="T68" s="72">
        <f>SUM(T65:T67)</f>
        <v>11254.758566249997</v>
      </c>
    </row>
    <row r="69" spans="8:20" x14ac:dyDescent="0.3">
      <c r="H69" s="167">
        <f t="shared" si="34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 t="shared" si="35"/>
        <v>3.7681</v>
      </c>
      <c r="L69" s="182">
        <f t="shared" si="39"/>
        <v>36.922500000000007</v>
      </c>
      <c r="M69" s="183">
        <f t="shared" si="40"/>
        <v>7.5362</v>
      </c>
      <c r="N69" s="184">
        <f t="shared" si="38"/>
        <v>44.458700000000007</v>
      </c>
    </row>
    <row r="70" spans="8:20" x14ac:dyDescent="0.3">
      <c r="H70" s="167">
        <f t="shared" si="34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 t="shared" si="35"/>
        <v>3.7681</v>
      </c>
      <c r="L70" s="182">
        <f t="shared" si="39"/>
        <v>36.922500000000007</v>
      </c>
      <c r="M70" s="183">
        <f t="shared" si="40"/>
        <v>7.5362</v>
      </c>
      <c r="N70" s="184">
        <f t="shared" si="38"/>
        <v>44.458700000000007</v>
      </c>
    </row>
    <row r="71" spans="8:20" x14ac:dyDescent="0.3">
      <c r="H71" s="167">
        <f t="shared" si="34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 t="shared" si="35"/>
        <v>3.7681</v>
      </c>
      <c r="L71" s="182">
        <f t="shared" si="39"/>
        <v>36.922500000000007</v>
      </c>
      <c r="M71" s="183">
        <f t="shared" si="40"/>
        <v>7.5362</v>
      </c>
      <c r="N71" s="184">
        <f t="shared" si="38"/>
        <v>44.458700000000007</v>
      </c>
    </row>
    <row r="72" spans="8:20" x14ac:dyDescent="0.3">
      <c r="H72" s="167">
        <f t="shared" si="34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 t="shared" si="35"/>
        <v>3.7681</v>
      </c>
      <c r="L72" s="182">
        <f t="shared" si="39"/>
        <v>36.922500000000007</v>
      </c>
      <c r="M72" s="183">
        <f t="shared" si="40"/>
        <v>7.5362</v>
      </c>
      <c r="N72" s="184">
        <f t="shared" si="38"/>
        <v>44.458700000000007</v>
      </c>
    </row>
    <row r="73" spans="8:20" x14ac:dyDescent="0.3">
      <c r="H73" s="167">
        <f t="shared" si="34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 t="shared" si="35"/>
        <v>3.7681</v>
      </c>
      <c r="L73" s="182">
        <f t="shared" si="39"/>
        <v>36.922500000000007</v>
      </c>
      <c r="M73" s="183">
        <f t="shared" si="40"/>
        <v>7.5362</v>
      </c>
      <c r="N73" s="184">
        <f t="shared" si="38"/>
        <v>44.458700000000007</v>
      </c>
    </row>
    <row r="74" spans="8:20" x14ac:dyDescent="0.3">
      <c r="H74" s="167">
        <f t="shared" si="34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 t="shared" si="35"/>
        <v>3.7681</v>
      </c>
      <c r="L74" s="182">
        <f t="shared" si="39"/>
        <v>36.922500000000007</v>
      </c>
      <c r="M74" s="183">
        <f t="shared" si="40"/>
        <v>7.5362</v>
      </c>
      <c r="N74" s="184">
        <f t="shared" si="38"/>
        <v>44.458700000000007</v>
      </c>
    </row>
    <row r="75" spans="8:20" x14ac:dyDescent="0.3">
      <c r="H75" s="167">
        <f t="shared" si="34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 t="shared" si="35"/>
        <v>3.7681</v>
      </c>
      <c r="L75" s="182">
        <f t="shared" si="39"/>
        <v>36.922500000000007</v>
      </c>
      <c r="M75" s="183">
        <f t="shared" si="40"/>
        <v>7.5362</v>
      </c>
      <c r="N75" s="184">
        <f t="shared" si="38"/>
        <v>44.458700000000007</v>
      </c>
    </row>
    <row r="76" spans="8:20" x14ac:dyDescent="0.3">
      <c r="H76" s="167">
        <f t="shared" si="34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 t="shared" si="35"/>
        <v>3.7681</v>
      </c>
      <c r="L76" s="182">
        <f t="shared" si="39"/>
        <v>36.922500000000007</v>
      </c>
      <c r="M76" s="183">
        <f t="shared" si="40"/>
        <v>7.5362</v>
      </c>
      <c r="N76" s="184">
        <f t="shared" si="38"/>
        <v>44.458700000000007</v>
      </c>
    </row>
    <row r="77" spans="8:20" x14ac:dyDescent="0.3">
      <c r="H77" s="167">
        <f t="shared" si="34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 t="shared" si="35"/>
        <v>3.7681</v>
      </c>
      <c r="L77" s="182">
        <f t="shared" si="39"/>
        <v>36.922500000000007</v>
      </c>
      <c r="M77" s="183">
        <f t="shared" si="40"/>
        <v>7.5362</v>
      </c>
      <c r="N77" s="184">
        <f t="shared" si="38"/>
        <v>44.458700000000007</v>
      </c>
    </row>
    <row r="78" spans="8:20" x14ac:dyDescent="0.3">
      <c r="H78" s="167">
        <f t="shared" si="34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 t="shared" si="35"/>
        <v>3.7681</v>
      </c>
      <c r="L78" s="182">
        <f t="shared" si="39"/>
        <v>36.922500000000007</v>
      </c>
      <c r="M78" s="183">
        <f t="shared" si="40"/>
        <v>7.5362</v>
      </c>
      <c r="N78" s="184">
        <f t="shared" si="38"/>
        <v>44.458700000000007</v>
      </c>
    </row>
    <row r="79" spans="8:20" x14ac:dyDescent="0.3">
      <c r="H79" s="167">
        <f t="shared" si="34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 t="shared" si="35"/>
        <v>3.7681</v>
      </c>
      <c r="L79" s="182">
        <f t="shared" si="39"/>
        <v>36.922500000000007</v>
      </c>
      <c r="M79" s="183">
        <f t="shared" si="40"/>
        <v>7.5362</v>
      </c>
      <c r="N79" s="184">
        <f t="shared" si="38"/>
        <v>44.458700000000007</v>
      </c>
    </row>
    <row r="80" spans="8:20" x14ac:dyDescent="0.3">
      <c r="H80" s="167">
        <f t="shared" si="34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 t="shared" si="35"/>
        <v>3.7681</v>
      </c>
      <c r="L80" s="182">
        <f t="shared" si="39"/>
        <v>36.922500000000007</v>
      </c>
      <c r="M80" s="183">
        <f t="shared" si="40"/>
        <v>7.5362</v>
      </c>
      <c r="N80" s="184">
        <f t="shared" si="38"/>
        <v>44.458700000000007</v>
      </c>
    </row>
    <row r="81" spans="8:14" x14ac:dyDescent="0.3">
      <c r="H81" s="167">
        <f t="shared" si="34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 t="shared" si="35"/>
        <v>3.7681</v>
      </c>
      <c r="L81" s="182">
        <f t="shared" si="39"/>
        <v>36.922500000000007</v>
      </c>
      <c r="M81" s="183">
        <f t="shared" si="40"/>
        <v>7.5362</v>
      </c>
      <c r="N81" s="184">
        <f t="shared" si="38"/>
        <v>44.458700000000007</v>
      </c>
    </row>
    <row r="82" spans="8:14" x14ac:dyDescent="0.3">
      <c r="H82" s="167">
        <f t="shared" si="34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 t="shared" si="35"/>
        <v>3.7681</v>
      </c>
      <c r="L82" s="182">
        <f t="shared" si="39"/>
        <v>36.922500000000007</v>
      </c>
      <c r="M82" s="183">
        <f t="shared" si="40"/>
        <v>7.5362</v>
      </c>
      <c r="N82" s="184">
        <f t="shared" si="38"/>
        <v>44.458700000000007</v>
      </c>
    </row>
    <row r="83" spans="8:14" x14ac:dyDescent="0.3">
      <c r="H83" s="167">
        <f t="shared" si="34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 t="shared" si="35"/>
        <v>3.7681</v>
      </c>
      <c r="L83" s="182">
        <f t="shared" si="39"/>
        <v>36.922500000000007</v>
      </c>
      <c r="M83" s="183">
        <f t="shared" si="40"/>
        <v>7.5362</v>
      </c>
      <c r="N83" s="184">
        <f t="shared" si="38"/>
        <v>44.458700000000007</v>
      </c>
    </row>
    <row r="84" spans="8:14" x14ac:dyDescent="0.3">
      <c r="H84" s="167">
        <f t="shared" si="34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 t="shared" si="35"/>
        <v>3.7681</v>
      </c>
      <c r="L84" s="182">
        <f t="shared" si="39"/>
        <v>36.922500000000007</v>
      </c>
      <c r="M84" s="183">
        <f t="shared" si="40"/>
        <v>7.5362</v>
      </c>
      <c r="N84" s="184">
        <f t="shared" si="38"/>
        <v>44.458700000000007</v>
      </c>
    </row>
    <row r="85" spans="8:14" x14ac:dyDescent="0.3">
      <c r="H85" s="113">
        <f t="shared" si="34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 t="shared" si="35"/>
        <v>3.7128999999999999</v>
      </c>
      <c r="L85" s="176">
        <f t="shared" si="39"/>
        <v>36.382500000000007</v>
      </c>
      <c r="M85" s="177">
        <f t="shared" si="40"/>
        <v>7.4257999999999997</v>
      </c>
      <c r="N85" s="178">
        <f t="shared" si="38"/>
        <v>43.80830000000001</v>
      </c>
    </row>
    <row r="86" spans="8:14" x14ac:dyDescent="0.3">
      <c r="H86" s="113">
        <f t="shared" si="34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 t="shared" si="35"/>
        <v>1.4129300000000002</v>
      </c>
      <c r="L86" s="176">
        <f t="shared" si="39"/>
        <v>40.448031250000007</v>
      </c>
      <c r="M86" s="177">
        <f t="shared" si="40"/>
        <v>2.8258600000000005</v>
      </c>
      <c r="N86" s="178">
        <f t="shared" si="38"/>
        <v>43.273891250000005</v>
      </c>
    </row>
    <row r="87" spans="8:14" ht="15" thickBot="1" x14ac:dyDescent="0.35">
      <c r="H87" s="114">
        <f t="shared" si="34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 t="shared" si="35"/>
        <v>1.0290125000000001</v>
      </c>
      <c r="L87" s="179">
        <f t="shared" si="39"/>
        <v>49.351750000000003</v>
      </c>
      <c r="M87" s="180">
        <f t="shared" si="40"/>
        <v>2.0580250000000002</v>
      </c>
      <c r="N87" s="181">
        <f t="shared" si="38"/>
        <v>51.409775000000003</v>
      </c>
    </row>
    <row r="88" spans="8:14" x14ac:dyDescent="0.3">
      <c r="K88" s="49" t="s">
        <v>30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X32:X33"/>
    <mergeCell ref="W32:W33"/>
    <mergeCell ref="M32:P32"/>
    <mergeCell ref="Q32:Q33"/>
    <mergeCell ref="R32:R33"/>
    <mergeCell ref="S32:S33"/>
    <mergeCell ref="I32:L32"/>
    <mergeCell ref="H32:H33"/>
    <mergeCell ref="T32:T33"/>
    <mergeCell ref="U32:U33"/>
    <mergeCell ref="V32:V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G26"/>
  <sheetViews>
    <sheetView showGridLines="0" tabSelected="1" topLeftCell="K1" zoomScaleNormal="100" workbookViewId="0">
      <selection activeCell="AC12" sqref="AC12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8" width="15.109375" bestFit="1" customWidth="1"/>
    <col min="19" max="19" width="3.109375" customWidth="1"/>
    <col min="20" max="20" width="6.109375" bestFit="1" customWidth="1"/>
    <col min="22" max="22" width="5.109375" customWidth="1"/>
    <col min="25" max="25" width="4.44140625" customWidth="1"/>
    <col min="26" max="26" width="6.88671875" bestFit="1" customWidth="1"/>
    <col min="27" max="27" width="6.5546875" bestFit="1" customWidth="1"/>
    <col min="28" max="28" width="10.109375" bestFit="1" customWidth="1"/>
    <col min="29" max="29" width="15.88671875" bestFit="1" customWidth="1"/>
    <col min="30" max="30" width="7.5546875" bestFit="1" customWidth="1"/>
  </cols>
  <sheetData>
    <row r="1" spans="1:33" ht="15" thickBot="1" x14ac:dyDescent="0.35">
      <c r="F1" s="1" t="s">
        <v>135</v>
      </c>
    </row>
    <row r="2" spans="1:33" ht="15" thickBot="1" x14ac:dyDescent="0.35">
      <c r="B2" s="3" t="s">
        <v>21</v>
      </c>
      <c r="C2" s="2" t="s">
        <v>22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5" t="s">
        <v>146</v>
      </c>
      <c r="R2" s="7" t="s">
        <v>147</v>
      </c>
      <c r="S2" s="243"/>
      <c r="T2" s="5" t="s">
        <v>141</v>
      </c>
      <c r="U2" s="7" t="s">
        <v>140</v>
      </c>
      <c r="W2" s="8" t="s">
        <v>19</v>
      </c>
      <c r="X2" s="9" t="s">
        <v>20</v>
      </c>
      <c r="Z2" s="5" t="s">
        <v>8</v>
      </c>
      <c r="AA2" s="233" t="s">
        <v>131</v>
      </c>
      <c r="AB2" s="234" t="s">
        <v>132</v>
      </c>
      <c r="AC2" s="236" t="s">
        <v>134</v>
      </c>
      <c r="AD2" s="235" t="s">
        <v>133</v>
      </c>
      <c r="AE2" s="235" t="s">
        <v>133</v>
      </c>
    </row>
    <row r="3" spans="1:33" x14ac:dyDescent="0.3">
      <c r="B3" s="3" t="s">
        <v>23</v>
      </c>
      <c r="C3" s="2" t="s">
        <v>24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28">
        <v>0.2</v>
      </c>
      <c r="L3" s="229">
        <v>0.2</v>
      </c>
      <c r="M3" s="14">
        <f t="shared" ref="M3:M26" si="0">I3*K3*$D$6*100*100</f>
        <v>762.72000000000025</v>
      </c>
      <c r="N3" s="12">
        <f t="shared" ref="N3:N26" si="1">J3*L3*$D$6*100*100</f>
        <v>824.04000000000008</v>
      </c>
      <c r="O3" s="15">
        <f t="shared" ref="O3:O26" si="2">H3/M3</f>
        <v>6.9546791745332473E-2</v>
      </c>
      <c r="P3" s="16">
        <f t="shared" ref="P3:P26" si="3">H3/N3</f>
        <v>6.4371546284160946E-2</v>
      </c>
      <c r="Q3" s="274">
        <f>'Pesos elementos'!I35*'Pesos elementos'!K35/('Pesos elementos'!$L5+'Pesos elementos'!$M5)</f>
        <v>2.7582505765341134E-2</v>
      </c>
      <c r="R3" s="276">
        <f>'Pesos elementos'!J35*'Pesos elementos'!L35/('Pesos elementos'!$L5+'Pesos elementos'!$M5)</f>
        <v>2.9800042021805778E-2</v>
      </c>
      <c r="S3" s="26"/>
      <c r="T3" s="14">
        <f>'Pesos elementos'!F5</f>
        <v>2.2999999999999998</v>
      </c>
      <c r="U3" s="13">
        <f t="shared" ref="U3:U24" si="4">T3+U4</f>
        <v>55.199999999999974</v>
      </c>
      <c r="W3" s="18">
        <f t="shared" ref="W3:W26" si="5">M3-H3</f>
        <v>709.67527100000029</v>
      </c>
      <c r="X3" s="19">
        <f t="shared" ref="X3:X26" si="6">N3-H3</f>
        <v>770.99527100000012</v>
      </c>
      <c r="Z3" s="10">
        <v>23</v>
      </c>
      <c r="AA3" s="14">
        <f>'Pesos elementos'!U5+'Pesos elementos'!U4</f>
        <v>530.44728999999995</v>
      </c>
      <c r="AB3" s="12">
        <f>AA3</f>
        <v>530.44728999999995</v>
      </c>
      <c r="AC3" s="237">
        <v>20</v>
      </c>
      <c r="AD3" s="231">
        <f>AC3*30*0.35*(I3*K3+J3*L3)</f>
        <v>4760.2800000000007</v>
      </c>
      <c r="AE3" s="272">
        <f>AB3/AD3</f>
        <v>0.11143195148184558</v>
      </c>
      <c r="AG3" s="227">
        <f>AD3-AB3</f>
        <v>4229.8327100000006</v>
      </c>
    </row>
    <row r="4" spans="1:33" x14ac:dyDescent="0.3">
      <c r="B4" s="3" t="s">
        <v>25</v>
      </c>
      <c r="C4" s="2" t="s">
        <v>26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28">
        <v>0.2</v>
      </c>
      <c r="L4" s="229">
        <v>0.2</v>
      </c>
      <c r="M4" s="14">
        <f t="shared" si="0"/>
        <v>762.72000000000025</v>
      </c>
      <c r="N4" s="12">
        <f t="shared" si="1"/>
        <v>824.04000000000008</v>
      </c>
      <c r="O4" s="15">
        <f t="shared" si="2"/>
        <v>0.12670622377805743</v>
      </c>
      <c r="P4" s="16">
        <f t="shared" si="3"/>
        <v>0.11727752414931313</v>
      </c>
      <c r="Q4" s="274">
        <f>'Pesos elementos'!I36*'Pesos elementos'!K36/('Pesos elementos'!$L6+'Pesos elementos'!$M6)</f>
        <v>2.7582505765341134E-2</v>
      </c>
      <c r="R4" s="276">
        <f>'Pesos elementos'!J36*'Pesos elementos'!L36/('Pesos elementos'!$L6+'Pesos elementos'!$M6)</f>
        <v>2.9800042021805778E-2</v>
      </c>
      <c r="S4" s="26"/>
      <c r="T4" s="14">
        <f>'Pesos elementos'!F6</f>
        <v>2.2999999999999998</v>
      </c>
      <c r="U4" s="13">
        <f t="shared" si="4"/>
        <v>52.899999999999977</v>
      </c>
      <c r="W4" s="18">
        <f t="shared" si="5"/>
        <v>666.07862900000032</v>
      </c>
      <c r="X4" s="19">
        <f t="shared" si="6"/>
        <v>727.39862900000003</v>
      </c>
      <c r="Z4" s="10">
        <v>22</v>
      </c>
      <c r="AA4" s="14">
        <f>'Pesos elementos'!U6</f>
        <v>435.96642000000003</v>
      </c>
      <c r="AB4" s="12">
        <f>AA4+AB3</f>
        <v>966.41371000000004</v>
      </c>
      <c r="AC4" s="237">
        <v>20</v>
      </c>
      <c r="AD4" s="231">
        <f>AC4*30*0.35*(I4*K4+J4*L4)</f>
        <v>4760.2800000000007</v>
      </c>
      <c r="AE4" s="272">
        <f>AB4/AD4</f>
        <v>0.20301614820976915</v>
      </c>
      <c r="AG4" s="227">
        <f>AD4-AB4</f>
        <v>3793.8662900000008</v>
      </c>
    </row>
    <row r="5" spans="1:33" x14ac:dyDescent="0.3">
      <c r="B5" s="3" t="s">
        <v>27</v>
      </c>
      <c r="C5" s="2" t="s">
        <v>28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7">G5+H4</f>
        <v>140.238013</v>
      </c>
      <c r="I5" s="12">
        <v>54.480000000000011</v>
      </c>
      <c r="J5" s="13">
        <v>58.86</v>
      </c>
      <c r="K5" s="228">
        <v>0.2</v>
      </c>
      <c r="L5" s="229">
        <v>0.2</v>
      </c>
      <c r="M5" s="14">
        <f t="shared" si="0"/>
        <v>762.72000000000025</v>
      </c>
      <c r="N5" s="12">
        <f t="shared" si="1"/>
        <v>824.04000000000008</v>
      </c>
      <c r="O5" s="15">
        <f t="shared" si="2"/>
        <v>0.1838656558107824</v>
      </c>
      <c r="P5" s="16">
        <f t="shared" si="3"/>
        <v>0.1701835020144653</v>
      </c>
      <c r="Q5" s="274">
        <f>'Pesos elementos'!I37*'Pesos elementos'!K37/('Pesos elementos'!$L7+'Pesos elementos'!$M7)</f>
        <v>2.7582505765341134E-2</v>
      </c>
      <c r="R5" s="276">
        <f>'Pesos elementos'!J37*'Pesos elementos'!L37/('Pesos elementos'!$L7+'Pesos elementos'!$M7)</f>
        <v>2.9800042021805778E-2</v>
      </c>
      <c r="S5" s="26"/>
      <c r="T5" s="14">
        <f>'Pesos elementos'!F7</f>
        <v>2.2999999999999998</v>
      </c>
      <c r="U5" s="13">
        <f t="shared" si="4"/>
        <v>50.59999999999998</v>
      </c>
      <c r="W5" s="21">
        <f t="shared" si="5"/>
        <v>622.48198700000023</v>
      </c>
      <c r="X5" s="22">
        <f t="shared" si="6"/>
        <v>683.80198700000005</v>
      </c>
      <c r="Z5" s="10">
        <f>Z4-1</f>
        <v>21</v>
      </c>
      <c r="AA5" s="14">
        <f>'Pesos elementos'!U7</f>
        <v>435.96642000000003</v>
      </c>
      <c r="AB5" s="12">
        <f t="shared" ref="AB5:AB26" si="8">AA5+AB4</f>
        <v>1402.38013</v>
      </c>
      <c r="AC5" s="237">
        <v>20</v>
      </c>
      <c r="AD5" s="231">
        <f>AC5*30*0.35*(I5*K5+J5*L5)</f>
        <v>4760.2800000000007</v>
      </c>
      <c r="AE5" s="272">
        <f>AB5/AD5</f>
        <v>0.29460034493769272</v>
      </c>
      <c r="AG5" s="227">
        <f>AD5-AB5</f>
        <v>3357.8998700000006</v>
      </c>
    </row>
    <row r="6" spans="1:33" x14ac:dyDescent="0.3">
      <c r="B6" s="3" t="s">
        <v>27</v>
      </c>
      <c r="C6" s="2" t="s">
        <v>29</v>
      </c>
      <c r="D6" s="2">
        <f>D5/1000</f>
        <v>7.0000000000000001E-3</v>
      </c>
      <c r="E6" s="23"/>
      <c r="F6" s="10">
        <f t="shared" ref="F6:F25" si="9">F5-1</f>
        <v>20</v>
      </c>
      <c r="G6" s="29">
        <f>('Pesos elementos'!U8)*$D$4</f>
        <v>43.596642000000003</v>
      </c>
      <c r="H6" s="11">
        <f t="shared" si="7"/>
        <v>183.834655</v>
      </c>
      <c r="I6" s="12">
        <v>54.480000000000011</v>
      </c>
      <c r="J6" s="13">
        <v>58.86</v>
      </c>
      <c r="K6" s="228">
        <v>0.2</v>
      </c>
      <c r="L6" s="229">
        <v>0.2</v>
      </c>
      <c r="M6" s="14">
        <f t="shared" si="0"/>
        <v>762.72000000000025</v>
      </c>
      <c r="N6" s="12">
        <f t="shared" si="1"/>
        <v>824.04000000000008</v>
      </c>
      <c r="O6" s="15">
        <f t="shared" si="2"/>
        <v>0.24102508784350737</v>
      </c>
      <c r="P6" s="16">
        <f t="shared" si="3"/>
        <v>0.22308947987961747</v>
      </c>
      <c r="Q6" s="274">
        <f>'Pesos elementos'!I38*'Pesos elementos'!K38/('Pesos elementos'!$L8+'Pesos elementos'!$M8)</f>
        <v>2.7582505765341134E-2</v>
      </c>
      <c r="R6" s="276">
        <f>'Pesos elementos'!J38*'Pesos elementos'!L38/('Pesos elementos'!$L8+'Pesos elementos'!$M8)</f>
        <v>2.9800042021805778E-2</v>
      </c>
      <c r="S6" s="26"/>
      <c r="T6" s="14">
        <f>'Pesos elementos'!F8</f>
        <v>2.2999999999999998</v>
      </c>
      <c r="U6" s="13">
        <f t="shared" si="4"/>
        <v>48.299999999999983</v>
      </c>
      <c r="W6" s="21">
        <f t="shared" si="5"/>
        <v>578.88534500000026</v>
      </c>
      <c r="X6" s="22">
        <f t="shared" si="6"/>
        <v>640.20534500000008</v>
      </c>
      <c r="Z6" s="10">
        <f t="shared" ref="Z6:Z25" si="10">Z5-1</f>
        <v>20</v>
      </c>
      <c r="AA6" s="14">
        <f>'Pesos elementos'!U8</f>
        <v>435.96642000000003</v>
      </c>
      <c r="AB6" s="12">
        <f t="shared" si="8"/>
        <v>1838.34655</v>
      </c>
      <c r="AC6" s="237">
        <v>20</v>
      </c>
      <c r="AD6" s="231">
        <f>AC6*30*0.35*(I6*K6+J6*L6)</f>
        <v>4760.2800000000007</v>
      </c>
      <c r="AE6" s="272">
        <f>AB6/AD6</f>
        <v>0.38618454166561628</v>
      </c>
      <c r="AG6" s="227">
        <f>AD6-AB6</f>
        <v>2921.9334500000004</v>
      </c>
    </row>
    <row r="7" spans="1:33" x14ac:dyDescent="0.3">
      <c r="F7" s="10">
        <f t="shared" si="9"/>
        <v>19</v>
      </c>
      <c r="G7" s="29">
        <f>('Pesos elementos'!U9)*$D$4</f>
        <v>43.596642000000003</v>
      </c>
      <c r="H7" s="11">
        <f t="shared" si="7"/>
        <v>227.431297</v>
      </c>
      <c r="I7" s="12">
        <v>54.480000000000011</v>
      </c>
      <c r="J7" s="13">
        <v>58.86</v>
      </c>
      <c r="K7" s="228">
        <v>0.2</v>
      </c>
      <c r="L7" s="229">
        <v>0.2</v>
      </c>
      <c r="M7" s="14">
        <f t="shared" si="0"/>
        <v>762.72000000000025</v>
      </c>
      <c r="N7" s="12">
        <f t="shared" si="1"/>
        <v>824.04000000000008</v>
      </c>
      <c r="O7" s="15">
        <f t="shared" si="2"/>
        <v>0.29818451987623235</v>
      </c>
      <c r="P7" s="16">
        <f t="shared" si="3"/>
        <v>0.27599545774476963</v>
      </c>
      <c r="Q7" s="274">
        <f>'Pesos elementos'!I39*'Pesos elementos'!K39/('Pesos elementos'!$L9+'Pesos elementos'!$M9)</f>
        <v>2.7582505765341134E-2</v>
      </c>
      <c r="R7" s="276">
        <f>'Pesos elementos'!J39*'Pesos elementos'!L39/('Pesos elementos'!$L9+'Pesos elementos'!$M9)</f>
        <v>2.9800042021805778E-2</v>
      </c>
      <c r="S7" s="26"/>
      <c r="T7" s="14">
        <f>'Pesos elementos'!F9</f>
        <v>2.2999999999999998</v>
      </c>
      <c r="U7" s="13">
        <f t="shared" si="4"/>
        <v>45.999999999999986</v>
      </c>
      <c r="W7" s="21">
        <f t="shared" si="5"/>
        <v>535.28870300000028</v>
      </c>
      <c r="X7" s="22">
        <f t="shared" si="6"/>
        <v>596.60870300000011</v>
      </c>
      <c r="Z7" s="10">
        <f t="shared" si="10"/>
        <v>19</v>
      </c>
      <c r="AA7" s="14">
        <f>'Pesos elementos'!U9</f>
        <v>435.96642000000003</v>
      </c>
      <c r="AB7" s="12">
        <f t="shared" si="8"/>
        <v>2274.31297</v>
      </c>
      <c r="AC7" s="237">
        <v>20</v>
      </c>
      <c r="AD7" s="231">
        <f>AC7*30*0.35*(I7*K7+J7*L7)</f>
        <v>4760.2800000000007</v>
      </c>
      <c r="AE7" s="272">
        <f>AB7/AD7</f>
        <v>0.47776873839353978</v>
      </c>
      <c r="AG7" s="227">
        <f>AD7-AB7</f>
        <v>2485.9670300000007</v>
      </c>
    </row>
    <row r="8" spans="1:33" x14ac:dyDescent="0.3">
      <c r="A8" s="24"/>
      <c r="F8" s="10">
        <f t="shared" si="9"/>
        <v>18</v>
      </c>
      <c r="G8" s="29">
        <f>('Pesos elementos'!U10)*$D$4</f>
        <v>43.596642000000003</v>
      </c>
      <c r="H8" s="11">
        <f t="shared" si="7"/>
        <v>271.027939</v>
      </c>
      <c r="I8" s="12">
        <v>54.480000000000011</v>
      </c>
      <c r="J8" s="13">
        <v>58.86</v>
      </c>
      <c r="K8" s="228">
        <v>0.2</v>
      </c>
      <c r="L8" s="229">
        <v>0.2</v>
      </c>
      <c r="M8" s="14">
        <f t="shared" si="0"/>
        <v>762.72000000000025</v>
      </c>
      <c r="N8" s="12">
        <f t="shared" si="1"/>
        <v>824.04000000000008</v>
      </c>
      <c r="O8" s="15">
        <f t="shared" si="2"/>
        <v>0.35534395190895729</v>
      </c>
      <c r="P8" s="16">
        <f t="shared" si="3"/>
        <v>0.3289014356099218</v>
      </c>
      <c r="Q8" s="274">
        <f>'Pesos elementos'!I40*'Pesos elementos'!K40/('Pesos elementos'!$L10+'Pesos elementos'!$M10)</f>
        <v>2.7582505765341134E-2</v>
      </c>
      <c r="R8" s="276">
        <f>'Pesos elementos'!J40*'Pesos elementos'!L40/('Pesos elementos'!$L10+'Pesos elementos'!$M10)</f>
        <v>2.9800042021805778E-2</v>
      </c>
      <c r="S8" s="26"/>
      <c r="T8" s="14">
        <f>'Pesos elementos'!F10</f>
        <v>2.2999999999999998</v>
      </c>
      <c r="U8" s="13">
        <f t="shared" si="4"/>
        <v>43.699999999999989</v>
      </c>
      <c r="W8" s="21">
        <f t="shared" si="5"/>
        <v>491.69206100000025</v>
      </c>
      <c r="X8" s="22">
        <f t="shared" si="6"/>
        <v>553.01206100000013</v>
      </c>
      <c r="Z8" s="10">
        <f t="shared" si="10"/>
        <v>18</v>
      </c>
      <c r="AA8" s="14">
        <f>'Pesos elementos'!U10</f>
        <v>435.96642000000003</v>
      </c>
      <c r="AB8" s="12">
        <f t="shared" si="8"/>
        <v>2710.2793900000001</v>
      </c>
      <c r="AC8" s="237">
        <v>20</v>
      </c>
      <c r="AD8" s="231">
        <f>AC8*30*0.35*(I8*K8+J8*L8)</f>
        <v>4760.2800000000007</v>
      </c>
      <c r="AE8" s="272">
        <f>AB8/AD8</f>
        <v>0.56935293512146334</v>
      </c>
      <c r="AG8" s="227">
        <f>AD8-AB8</f>
        <v>2050.0006100000005</v>
      </c>
    </row>
    <row r="9" spans="1:33" x14ac:dyDescent="0.3">
      <c r="A9" s="24"/>
      <c r="B9" s="25"/>
      <c r="C9" s="26"/>
      <c r="D9" s="24"/>
      <c r="F9" s="10">
        <f t="shared" si="9"/>
        <v>17</v>
      </c>
      <c r="G9" s="29">
        <f>('Pesos elementos'!U11)*$D$4</f>
        <v>43.596642000000003</v>
      </c>
      <c r="H9" s="11">
        <f t="shared" si="7"/>
        <v>314.62458100000003</v>
      </c>
      <c r="I9" s="12">
        <v>54.480000000000011</v>
      </c>
      <c r="J9" s="13">
        <v>58.86</v>
      </c>
      <c r="K9" s="228">
        <v>0.2</v>
      </c>
      <c r="L9" s="229">
        <v>0.2</v>
      </c>
      <c r="M9" s="14">
        <f t="shared" si="0"/>
        <v>762.72000000000025</v>
      </c>
      <c r="N9" s="12">
        <f t="shared" si="1"/>
        <v>824.04000000000008</v>
      </c>
      <c r="O9" s="15">
        <f t="shared" si="2"/>
        <v>0.41250338394168229</v>
      </c>
      <c r="P9" s="16">
        <f t="shared" si="3"/>
        <v>0.38180741347507402</v>
      </c>
      <c r="Q9" s="274">
        <f>'Pesos elementos'!I41*'Pesos elementos'!K41/('Pesos elementos'!$L11+'Pesos elementos'!$M11)</f>
        <v>2.7582505765341134E-2</v>
      </c>
      <c r="R9" s="276">
        <f>'Pesos elementos'!J41*'Pesos elementos'!L41/('Pesos elementos'!$L11+'Pesos elementos'!$M11)</f>
        <v>2.9800042021805778E-2</v>
      </c>
      <c r="S9" s="26"/>
      <c r="T9" s="14">
        <f>'Pesos elementos'!F11</f>
        <v>2.2999999999999998</v>
      </c>
      <c r="U9" s="13">
        <f t="shared" si="4"/>
        <v>41.399999999999991</v>
      </c>
      <c r="W9" s="21">
        <f t="shared" si="5"/>
        <v>448.09541900000022</v>
      </c>
      <c r="X9" s="22">
        <f t="shared" si="6"/>
        <v>509.41541900000004</v>
      </c>
      <c r="Z9" s="10">
        <f t="shared" si="10"/>
        <v>17</v>
      </c>
      <c r="AA9" s="14">
        <f>'Pesos elementos'!U11</f>
        <v>435.96642000000003</v>
      </c>
      <c r="AB9" s="12">
        <f t="shared" si="8"/>
        <v>3146.2458100000003</v>
      </c>
      <c r="AC9" s="237">
        <v>20</v>
      </c>
      <c r="AD9" s="231">
        <f>AC9*30*0.35*(I9*K9+J9*L9)</f>
        <v>4760.2800000000007</v>
      </c>
      <c r="AE9" s="272">
        <f>AB9/AD9</f>
        <v>0.66093713184938696</v>
      </c>
      <c r="AG9" s="227">
        <f>AD9-AB9</f>
        <v>1614.0341900000003</v>
      </c>
    </row>
    <row r="10" spans="1:33" x14ac:dyDescent="0.3">
      <c r="A10" s="24"/>
      <c r="B10" s="25"/>
      <c r="C10" s="26"/>
      <c r="D10" s="24"/>
      <c r="F10" s="10">
        <f t="shared" si="9"/>
        <v>16</v>
      </c>
      <c r="G10" s="29">
        <f>('Pesos elementos'!U12)*$D$4</f>
        <v>43.596642000000003</v>
      </c>
      <c r="H10" s="11">
        <f t="shared" si="7"/>
        <v>358.22122300000001</v>
      </c>
      <c r="I10" s="12">
        <v>54.480000000000011</v>
      </c>
      <c r="J10" s="13">
        <v>58.86</v>
      </c>
      <c r="K10" s="228">
        <v>0.2</v>
      </c>
      <c r="L10" s="229">
        <v>0.2</v>
      </c>
      <c r="M10" s="14">
        <f t="shared" si="0"/>
        <v>762.72000000000025</v>
      </c>
      <c r="N10" s="12">
        <f t="shared" si="1"/>
        <v>824.04000000000008</v>
      </c>
      <c r="O10" s="15">
        <f t="shared" si="2"/>
        <v>0.46966281597440723</v>
      </c>
      <c r="P10" s="16">
        <f t="shared" si="3"/>
        <v>0.43471339134022619</v>
      </c>
      <c r="Q10" s="274">
        <f>'Pesos elementos'!I42*'Pesos elementos'!K42/('Pesos elementos'!$L12+'Pesos elementos'!$M12)</f>
        <v>2.7582505765341134E-2</v>
      </c>
      <c r="R10" s="276">
        <f>'Pesos elementos'!J42*'Pesos elementos'!L42/('Pesos elementos'!$L12+'Pesos elementos'!$M12)</f>
        <v>2.9800042021805778E-2</v>
      </c>
      <c r="S10" s="26"/>
      <c r="T10" s="14">
        <f>'Pesos elementos'!F12</f>
        <v>2.2999999999999998</v>
      </c>
      <c r="U10" s="13">
        <f t="shared" si="4"/>
        <v>39.099999999999994</v>
      </c>
      <c r="W10" s="21">
        <f t="shared" si="5"/>
        <v>404.49877700000025</v>
      </c>
      <c r="X10" s="22">
        <f t="shared" si="6"/>
        <v>465.81877700000007</v>
      </c>
      <c r="Z10" s="10">
        <f t="shared" si="10"/>
        <v>16</v>
      </c>
      <c r="AA10" s="14">
        <f>'Pesos elementos'!U12</f>
        <v>435.96642000000003</v>
      </c>
      <c r="AB10" s="12">
        <f t="shared" si="8"/>
        <v>3582.2122300000005</v>
      </c>
      <c r="AC10" s="237">
        <v>20</v>
      </c>
      <c r="AD10" s="231">
        <f>AC10*30*0.35*(I10*K10+J10*L10)</f>
        <v>4760.2800000000007</v>
      </c>
      <c r="AE10" s="272">
        <f>AB10/AD10</f>
        <v>0.75252132857731058</v>
      </c>
      <c r="AG10" s="227">
        <f>AD10-AB10</f>
        <v>1178.0677700000001</v>
      </c>
    </row>
    <row r="11" spans="1:33" x14ac:dyDescent="0.3">
      <c r="A11" s="24"/>
      <c r="B11" s="25"/>
      <c r="C11" s="26"/>
      <c r="D11" s="26"/>
      <c r="F11" s="10">
        <f t="shared" si="9"/>
        <v>15</v>
      </c>
      <c r="G11" s="29">
        <f>('Pesos elementos'!U13)*$D$4</f>
        <v>43.596642000000003</v>
      </c>
      <c r="H11" s="11">
        <f t="shared" si="7"/>
        <v>401.81786499999998</v>
      </c>
      <c r="I11" s="12">
        <v>54.480000000000011</v>
      </c>
      <c r="J11" s="13">
        <v>58.86</v>
      </c>
      <c r="K11" s="228">
        <v>0.2</v>
      </c>
      <c r="L11" s="229">
        <v>0.2</v>
      </c>
      <c r="M11" s="14">
        <f t="shared" si="0"/>
        <v>762.72000000000025</v>
      </c>
      <c r="N11" s="12">
        <f t="shared" si="1"/>
        <v>824.04000000000008</v>
      </c>
      <c r="O11" s="15">
        <f t="shared" si="2"/>
        <v>0.52682224800713218</v>
      </c>
      <c r="P11" s="16">
        <f t="shared" si="3"/>
        <v>0.48761936920537829</v>
      </c>
      <c r="Q11" s="274">
        <f>'Pesos elementos'!I43*'Pesos elementos'!K43/('Pesos elementos'!$L13+'Pesos elementos'!$M13)</f>
        <v>2.7582505765341134E-2</v>
      </c>
      <c r="R11" s="276">
        <f>'Pesos elementos'!J43*'Pesos elementos'!L43/('Pesos elementos'!$L13+'Pesos elementos'!$M13)</f>
        <v>2.9800042021805778E-2</v>
      </c>
      <c r="S11" s="26"/>
      <c r="T11" s="14">
        <f>'Pesos elementos'!F13</f>
        <v>2.2999999999999998</v>
      </c>
      <c r="U11" s="13">
        <f t="shared" si="4"/>
        <v>36.799999999999997</v>
      </c>
      <c r="W11" s="21">
        <f t="shared" si="5"/>
        <v>360.90213500000027</v>
      </c>
      <c r="X11" s="22">
        <f t="shared" si="6"/>
        <v>422.22213500000009</v>
      </c>
      <c r="Z11" s="10">
        <f t="shared" si="10"/>
        <v>15</v>
      </c>
      <c r="AA11" s="14">
        <f>'Pesos elementos'!U13</f>
        <v>435.96642000000003</v>
      </c>
      <c r="AB11" s="12">
        <f t="shared" si="8"/>
        <v>4018.1786500000007</v>
      </c>
      <c r="AC11" s="237">
        <v>20</v>
      </c>
      <c r="AD11" s="231">
        <f>AC11*30*0.35*(I11*K11+J11*L11)</f>
        <v>4760.2800000000007</v>
      </c>
      <c r="AE11" s="272">
        <f>AB11/AD11</f>
        <v>0.84410552530523419</v>
      </c>
      <c r="AG11" s="227">
        <f>AD11-AB11</f>
        <v>742.10134999999991</v>
      </c>
    </row>
    <row r="12" spans="1:33" x14ac:dyDescent="0.3">
      <c r="A12" s="24"/>
      <c r="B12" s="25"/>
      <c r="C12" s="26"/>
      <c r="D12" s="24"/>
      <c r="F12" s="10">
        <f t="shared" si="9"/>
        <v>14</v>
      </c>
      <c r="G12" s="29">
        <f>('Pesos elementos'!U14)*$D$4</f>
        <v>45.225917000000003</v>
      </c>
      <c r="H12" s="11">
        <f t="shared" si="7"/>
        <v>447.04378199999996</v>
      </c>
      <c r="I12" s="12">
        <v>54.480000000000011</v>
      </c>
      <c r="J12" s="13">
        <v>58.86</v>
      </c>
      <c r="K12" s="228">
        <v>0.2</v>
      </c>
      <c r="L12" s="229">
        <v>0.2</v>
      </c>
      <c r="M12" s="14">
        <f t="shared" si="0"/>
        <v>762.72000000000025</v>
      </c>
      <c r="N12" s="12">
        <f t="shared" si="1"/>
        <v>824.04000000000008</v>
      </c>
      <c r="O12" s="15">
        <f t="shared" si="2"/>
        <v>0.5861178178099431</v>
      </c>
      <c r="P12" s="16">
        <f t="shared" si="3"/>
        <v>0.54250252657637965</v>
      </c>
      <c r="Q12" s="274">
        <f>'Pesos elementos'!I44*'Pesos elementos'!K44/('Pesos elementos'!$L14+'Pesos elementos'!$M14)</f>
        <v>3.4478132206676414E-2</v>
      </c>
      <c r="R12" s="276">
        <f>'Pesos elementos'!J44*'Pesos elementos'!L44/('Pesos elementos'!$L14+'Pesos elementos'!$M14)</f>
        <v>3.7250052527257223E-2</v>
      </c>
      <c r="S12" s="26"/>
      <c r="T12" s="14">
        <f>'Pesos elementos'!F14</f>
        <v>2.2999999999999998</v>
      </c>
      <c r="U12" s="13">
        <f t="shared" si="4"/>
        <v>34.5</v>
      </c>
      <c r="W12" s="21">
        <f t="shared" si="5"/>
        <v>315.67621800000029</v>
      </c>
      <c r="X12" s="22">
        <f t="shared" si="6"/>
        <v>376.99621800000011</v>
      </c>
      <c r="Z12" s="10">
        <f t="shared" si="10"/>
        <v>14</v>
      </c>
      <c r="AA12" s="14">
        <f>'Pesos elementos'!U14</f>
        <v>452.25916999999998</v>
      </c>
      <c r="AB12" s="12">
        <f t="shared" si="8"/>
        <v>4470.437820000001</v>
      </c>
      <c r="AC12" s="237">
        <v>20</v>
      </c>
      <c r="AD12" s="231">
        <f>AC12*30*0.35*(I12*K12+J12*L12)</f>
        <v>4760.2800000000007</v>
      </c>
      <c r="AE12" s="272">
        <f>AB12/AD12</f>
        <v>0.93911236733973635</v>
      </c>
      <c r="AG12" s="227">
        <f>AD12-AB12</f>
        <v>289.84217999999964</v>
      </c>
    </row>
    <row r="13" spans="1:33" x14ac:dyDescent="0.3">
      <c r="A13" s="24"/>
      <c r="B13" s="25"/>
      <c r="C13" s="26"/>
      <c r="D13" s="24"/>
      <c r="F13" s="10">
        <f t="shared" si="9"/>
        <v>13</v>
      </c>
      <c r="G13" s="29">
        <f>('Pesos elementos'!U15)*$D$4</f>
        <v>46.855192000000002</v>
      </c>
      <c r="H13" s="11">
        <f t="shared" si="7"/>
        <v>493.89897399999995</v>
      </c>
      <c r="I13" s="12">
        <v>54.480000000000011</v>
      </c>
      <c r="J13" s="13">
        <v>58.86</v>
      </c>
      <c r="K13" s="27">
        <v>0.25</v>
      </c>
      <c r="L13" s="230">
        <v>0.25</v>
      </c>
      <c r="M13" s="14">
        <f t="shared" si="0"/>
        <v>953.4000000000002</v>
      </c>
      <c r="N13" s="12">
        <f t="shared" si="1"/>
        <v>1030.05</v>
      </c>
      <c r="O13" s="15">
        <f t="shared" si="2"/>
        <v>0.51803962030627215</v>
      </c>
      <c r="P13" s="16">
        <f t="shared" si="3"/>
        <v>0.47949029076258431</v>
      </c>
      <c r="Q13" s="274">
        <f>'Pesos elementos'!I45*'Pesos elementos'!K45/('Pesos elementos'!$L15+'Pesos elementos'!$M15)</f>
        <v>3.4478132206676414E-2</v>
      </c>
      <c r="R13" s="276">
        <f>'Pesos elementos'!J45*'Pesos elementos'!L45/('Pesos elementos'!$L15+'Pesos elementos'!$M15)</f>
        <v>3.7250052527257223E-2</v>
      </c>
      <c r="S13" s="26"/>
      <c r="T13" s="14">
        <f>'Pesos elementos'!F15</f>
        <v>2.2999999999999998</v>
      </c>
      <c r="U13" s="13">
        <f t="shared" si="4"/>
        <v>32.200000000000003</v>
      </c>
      <c r="W13" s="21">
        <f t="shared" si="5"/>
        <v>459.50102600000025</v>
      </c>
      <c r="X13" s="22">
        <f t="shared" si="6"/>
        <v>536.151026</v>
      </c>
      <c r="Z13" s="10">
        <f t="shared" si="10"/>
        <v>13</v>
      </c>
      <c r="AA13" s="14">
        <f>'Pesos elementos'!U15</f>
        <v>468.55192</v>
      </c>
      <c r="AB13" s="12">
        <f t="shared" si="8"/>
        <v>4938.9897400000009</v>
      </c>
      <c r="AC13" s="238">
        <v>30</v>
      </c>
      <c r="AD13" s="231">
        <f>AC13*30*0.35*(I13*K13+J13*L13)</f>
        <v>8925.5249999999996</v>
      </c>
      <c r="AE13" s="272">
        <f>AB13/AD13</f>
        <v>0.5533556558297692</v>
      </c>
      <c r="AG13" s="227">
        <f>AD13-AB13</f>
        <v>3986.5352599999987</v>
      </c>
    </row>
    <row r="14" spans="1:33" x14ac:dyDescent="0.3">
      <c r="A14" s="24"/>
      <c r="B14" s="25"/>
      <c r="C14" s="25"/>
      <c r="D14" s="24"/>
      <c r="F14" s="10">
        <f t="shared" si="9"/>
        <v>12</v>
      </c>
      <c r="G14" s="29">
        <f>('Pesos elementos'!U16)*$D$4</f>
        <v>46.855192000000002</v>
      </c>
      <c r="H14" s="11">
        <f t="shared" si="7"/>
        <v>540.75416599999994</v>
      </c>
      <c r="I14" s="12">
        <v>54.480000000000011</v>
      </c>
      <c r="J14" s="13">
        <v>58.86</v>
      </c>
      <c r="K14" s="27">
        <v>0.25</v>
      </c>
      <c r="L14" s="230">
        <v>0.25</v>
      </c>
      <c r="M14" s="14">
        <f t="shared" si="0"/>
        <v>953.4000000000002</v>
      </c>
      <c r="N14" s="12">
        <f t="shared" si="1"/>
        <v>1030.05</v>
      </c>
      <c r="O14" s="15">
        <f t="shared" si="2"/>
        <v>0.56718498636458969</v>
      </c>
      <c r="P14" s="16">
        <f t="shared" si="3"/>
        <v>0.52497856026406486</v>
      </c>
      <c r="Q14" s="274">
        <f>'Pesos elementos'!I46*'Pesos elementos'!K46/('Pesos elementos'!$L16+'Pesos elementos'!$M16)</f>
        <v>3.4478132206676414E-2</v>
      </c>
      <c r="R14" s="276">
        <f>'Pesos elementos'!J46*'Pesos elementos'!L46/('Pesos elementos'!$L16+'Pesos elementos'!$M16)</f>
        <v>3.7250052527257223E-2</v>
      </c>
      <c r="S14" s="26"/>
      <c r="T14" s="14">
        <f>'Pesos elementos'!F16</f>
        <v>2.2999999999999998</v>
      </c>
      <c r="U14" s="13">
        <f t="shared" si="4"/>
        <v>29.900000000000006</v>
      </c>
      <c r="W14" s="21">
        <f t="shared" si="5"/>
        <v>412.64583400000026</v>
      </c>
      <c r="X14" s="22">
        <f t="shared" si="6"/>
        <v>489.29583400000001</v>
      </c>
      <c r="Z14" s="10">
        <f t="shared" si="10"/>
        <v>12</v>
      </c>
      <c r="AA14" s="14">
        <f>'Pesos elementos'!U16</f>
        <v>468.55192</v>
      </c>
      <c r="AB14" s="12">
        <f t="shared" si="8"/>
        <v>5407.5416600000008</v>
      </c>
      <c r="AC14" s="238">
        <v>30</v>
      </c>
      <c r="AD14" s="231">
        <f>AC14*30*0.35*(I14*K14+J14*L14)</f>
        <v>8925.5249999999996</v>
      </c>
      <c r="AE14" s="272">
        <f>AB14/AD14</f>
        <v>0.60585138241167902</v>
      </c>
      <c r="AG14" s="227">
        <f>AD14-AB14</f>
        <v>3517.9833399999989</v>
      </c>
    </row>
    <row r="15" spans="1:33" x14ac:dyDescent="0.3">
      <c r="A15" s="24"/>
      <c r="B15" s="25"/>
      <c r="C15" s="26"/>
      <c r="D15" s="24"/>
      <c r="F15" s="10">
        <f t="shared" si="9"/>
        <v>11</v>
      </c>
      <c r="G15" s="29">
        <f>('Pesos elementos'!U17)*$D$4</f>
        <v>46.855192000000002</v>
      </c>
      <c r="H15" s="11">
        <f t="shared" si="7"/>
        <v>587.60935799999993</v>
      </c>
      <c r="I15" s="12">
        <v>54.480000000000011</v>
      </c>
      <c r="J15" s="13">
        <v>58.86</v>
      </c>
      <c r="K15" s="27">
        <v>0.25</v>
      </c>
      <c r="L15" s="230">
        <v>0.25</v>
      </c>
      <c r="M15" s="14">
        <f t="shared" si="0"/>
        <v>953.4000000000002</v>
      </c>
      <c r="N15" s="12">
        <f t="shared" si="1"/>
        <v>1030.05</v>
      </c>
      <c r="O15" s="15">
        <f t="shared" si="2"/>
        <v>0.61633035242290723</v>
      </c>
      <c r="P15" s="16">
        <f t="shared" si="3"/>
        <v>0.5704668297655453</v>
      </c>
      <c r="Q15" s="274">
        <f>'Pesos elementos'!I47*'Pesos elementos'!K47/('Pesos elementos'!$L17+'Pesos elementos'!$M17)</f>
        <v>3.4478132206676414E-2</v>
      </c>
      <c r="R15" s="276">
        <f>'Pesos elementos'!J47*'Pesos elementos'!L47/('Pesos elementos'!$L17+'Pesos elementos'!$M17)</f>
        <v>3.7250052527257223E-2</v>
      </c>
      <c r="S15" s="26"/>
      <c r="T15" s="14">
        <f>'Pesos elementos'!F17</f>
        <v>2.2999999999999998</v>
      </c>
      <c r="U15" s="13">
        <f t="shared" si="4"/>
        <v>27.600000000000005</v>
      </c>
      <c r="W15" s="21">
        <f t="shared" si="5"/>
        <v>365.79064200000028</v>
      </c>
      <c r="X15" s="22">
        <f t="shared" si="6"/>
        <v>442.44064200000003</v>
      </c>
      <c r="Z15" s="10">
        <f t="shared" si="10"/>
        <v>11</v>
      </c>
      <c r="AA15" s="14">
        <f>'Pesos elementos'!U17</f>
        <v>468.55192</v>
      </c>
      <c r="AB15" s="12">
        <f t="shared" si="8"/>
        <v>5876.0935800000007</v>
      </c>
      <c r="AC15" s="238">
        <v>30</v>
      </c>
      <c r="AD15" s="231">
        <f>AC15*30*0.35*(I15*K15+J15*L15)</f>
        <v>8925.5249999999996</v>
      </c>
      <c r="AE15" s="272">
        <f>AB15/AD15</f>
        <v>0.65834710899358873</v>
      </c>
      <c r="AG15" s="227">
        <f>AD15-AB15</f>
        <v>3049.431419999999</v>
      </c>
    </row>
    <row r="16" spans="1:33" x14ac:dyDescent="0.3">
      <c r="A16" s="24"/>
      <c r="B16" s="25"/>
      <c r="C16" s="26"/>
      <c r="D16" s="24"/>
      <c r="F16" s="10">
        <f t="shared" si="9"/>
        <v>10</v>
      </c>
      <c r="G16" s="29">
        <f>('Pesos elementos'!U18)*$D$4</f>
        <v>46.855192000000002</v>
      </c>
      <c r="H16" s="11">
        <f t="shared" si="7"/>
        <v>634.46454999999992</v>
      </c>
      <c r="I16" s="12">
        <v>54.480000000000011</v>
      </c>
      <c r="J16" s="13">
        <v>58.86</v>
      </c>
      <c r="K16" s="27">
        <v>0.25</v>
      </c>
      <c r="L16" s="230">
        <v>0.25</v>
      </c>
      <c r="M16" s="14">
        <f t="shared" si="0"/>
        <v>953.4000000000002</v>
      </c>
      <c r="N16" s="12">
        <f t="shared" si="1"/>
        <v>1030.05</v>
      </c>
      <c r="O16" s="15">
        <f t="shared" si="2"/>
        <v>0.66547571848122489</v>
      </c>
      <c r="P16" s="16">
        <f t="shared" si="3"/>
        <v>0.61595509926702585</v>
      </c>
      <c r="Q16" s="274">
        <f>'Pesos elementos'!I48*'Pesos elementos'!K48/('Pesos elementos'!$L18+'Pesos elementos'!$M18)</f>
        <v>3.4478132206676414E-2</v>
      </c>
      <c r="R16" s="276">
        <f>'Pesos elementos'!J48*'Pesos elementos'!L48/('Pesos elementos'!$L18+'Pesos elementos'!$M18)</f>
        <v>3.7250052527257223E-2</v>
      </c>
      <c r="S16" s="26"/>
      <c r="T16" s="14">
        <f>'Pesos elementos'!F18</f>
        <v>2.2999999999999998</v>
      </c>
      <c r="U16" s="13">
        <f t="shared" si="4"/>
        <v>25.300000000000004</v>
      </c>
      <c r="W16" s="21">
        <f t="shared" si="5"/>
        <v>318.93545000000029</v>
      </c>
      <c r="X16" s="22">
        <f t="shared" si="6"/>
        <v>395.58545000000004</v>
      </c>
      <c r="Z16" s="10">
        <f t="shared" si="10"/>
        <v>10</v>
      </c>
      <c r="AA16" s="14">
        <f>'Pesos elementos'!U18</f>
        <v>468.55192</v>
      </c>
      <c r="AB16" s="12">
        <f t="shared" si="8"/>
        <v>6344.6455000000005</v>
      </c>
      <c r="AC16" s="238">
        <v>30</v>
      </c>
      <c r="AD16" s="231">
        <f>AC16*30*0.35*(I16*K16+J16*L16)</f>
        <v>8925.5249999999996</v>
      </c>
      <c r="AE16" s="272">
        <f>AB16/AD16</f>
        <v>0.71084283557549843</v>
      </c>
      <c r="AG16" s="227">
        <f>AD16-AB16</f>
        <v>2580.8794999999991</v>
      </c>
    </row>
    <row r="17" spans="1:33" x14ac:dyDescent="0.3">
      <c r="A17" s="24"/>
      <c r="B17" s="25"/>
      <c r="C17" s="26"/>
      <c r="D17" s="24"/>
      <c r="F17" s="10">
        <f t="shared" si="9"/>
        <v>9</v>
      </c>
      <c r="G17" s="29">
        <f>('Pesos elementos'!U19)*$D$4</f>
        <v>46.855192000000002</v>
      </c>
      <c r="H17" s="11">
        <f t="shared" si="7"/>
        <v>681.31974199999991</v>
      </c>
      <c r="I17" s="12">
        <v>54.480000000000011</v>
      </c>
      <c r="J17" s="13">
        <v>58.86</v>
      </c>
      <c r="K17" s="27">
        <v>0.25</v>
      </c>
      <c r="L17" s="230">
        <v>0.25</v>
      </c>
      <c r="M17" s="14">
        <f t="shared" si="0"/>
        <v>953.4000000000002</v>
      </c>
      <c r="N17" s="12">
        <f t="shared" si="1"/>
        <v>1030.05</v>
      </c>
      <c r="O17" s="15">
        <f t="shared" si="2"/>
        <v>0.71462108453954243</v>
      </c>
      <c r="P17" s="16">
        <f t="shared" si="3"/>
        <v>0.66144336876850629</v>
      </c>
      <c r="Q17" s="274">
        <f>'Pesos elementos'!I49*'Pesos elementos'!K49/('Pesos elementos'!$L19+'Pesos elementos'!$M19)</f>
        <v>3.4478132206676414E-2</v>
      </c>
      <c r="R17" s="276">
        <f>'Pesos elementos'!J49*'Pesos elementos'!L49/('Pesos elementos'!$L19+'Pesos elementos'!$M19)</f>
        <v>3.7250052527257223E-2</v>
      </c>
      <c r="S17" s="26"/>
      <c r="T17" s="14">
        <f>'Pesos elementos'!F19</f>
        <v>2.2999999999999998</v>
      </c>
      <c r="U17" s="13">
        <f t="shared" si="4"/>
        <v>23.000000000000004</v>
      </c>
      <c r="W17" s="21">
        <f t="shared" si="5"/>
        <v>272.0802580000003</v>
      </c>
      <c r="X17" s="22">
        <f t="shared" si="6"/>
        <v>348.73025800000005</v>
      </c>
      <c r="Z17" s="10">
        <f t="shared" si="10"/>
        <v>9</v>
      </c>
      <c r="AA17" s="14">
        <f>'Pesos elementos'!U19</f>
        <v>468.55192</v>
      </c>
      <c r="AB17" s="12">
        <f t="shared" si="8"/>
        <v>6813.1974200000004</v>
      </c>
      <c r="AC17" s="238">
        <v>30</v>
      </c>
      <c r="AD17" s="231">
        <f>AC17*30*0.35*(I17*K17+J17*L17)</f>
        <v>8925.5249999999996</v>
      </c>
      <c r="AE17" s="272">
        <f>AB17/AD17</f>
        <v>0.76333856215740814</v>
      </c>
      <c r="AG17" s="227">
        <f>AD17-AB17</f>
        <v>2112.3275799999992</v>
      </c>
    </row>
    <row r="18" spans="1:33" x14ac:dyDescent="0.3">
      <c r="A18" s="24"/>
      <c r="B18" s="25"/>
      <c r="C18" s="26"/>
      <c r="D18" s="24"/>
      <c r="F18" s="10">
        <f t="shared" si="9"/>
        <v>8</v>
      </c>
      <c r="G18" s="29">
        <f>('Pesos elementos'!U20)*$D$4</f>
        <v>46.855192000000002</v>
      </c>
      <c r="H18" s="11">
        <f t="shared" si="7"/>
        <v>728.17493399999989</v>
      </c>
      <c r="I18" s="12">
        <v>54.480000000000011</v>
      </c>
      <c r="J18" s="13">
        <v>58.86</v>
      </c>
      <c r="K18" s="27">
        <v>0.25</v>
      </c>
      <c r="L18" s="230">
        <v>0.25</v>
      </c>
      <c r="M18" s="14">
        <f t="shared" si="0"/>
        <v>953.4000000000002</v>
      </c>
      <c r="N18" s="12">
        <f t="shared" si="1"/>
        <v>1030.05</v>
      </c>
      <c r="O18" s="15">
        <f t="shared" si="2"/>
        <v>0.76376645059785997</v>
      </c>
      <c r="P18" s="16">
        <f t="shared" si="3"/>
        <v>0.70693163826998684</v>
      </c>
      <c r="Q18" s="274">
        <f>'Pesos elementos'!I50*'Pesos elementos'!K50/('Pesos elementos'!$L20+'Pesos elementos'!$M20)</f>
        <v>3.4478132206676414E-2</v>
      </c>
      <c r="R18" s="276">
        <f>'Pesos elementos'!J50*'Pesos elementos'!L50/('Pesos elementos'!$L20+'Pesos elementos'!$M20)</f>
        <v>3.7250052527257223E-2</v>
      </c>
      <c r="S18" s="26"/>
      <c r="T18" s="14">
        <f>'Pesos elementos'!F20</f>
        <v>2.2999999999999998</v>
      </c>
      <c r="U18" s="13">
        <f t="shared" si="4"/>
        <v>20.700000000000003</v>
      </c>
      <c r="W18" s="21">
        <f t="shared" si="5"/>
        <v>225.22506600000031</v>
      </c>
      <c r="X18" s="22">
        <f t="shared" si="6"/>
        <v>301.87506600000006</v>
      </c>
      <c r="Z18" s="10">
        <f t="shared" si="10"/>
        <v>8</v>
      </c>
      <c r="AA18" s="14">
        <f>'Pesos elementos'!U20</f>
        <v>468.55192</v>
      </c>
      <c r="AB18" s="12">
        <f t="shared" si="8"/>
        <v>7281.7493400000003</v>
      </c>
      <c r="AC18" s="238">
        <v>30</v>
      </c>
      <c r="AD18" s="231">
        <f>AC18*30*0.35*(I18*K18+J18*L18)</f>
        <v>8925.5249999999996</v>
      </c>
      <c r="AE18" s="272">
        <f>AB18/AD18</f>
        <v>0.81583428873931796</v>
      </c>
      <c r="AG18" s="227">
        <f>AD18-AB18</f>
        <v>1643.7756599999993</v>
      </c>
    </row>
    <row r="19" spans="1:33" x14ac:dyDescent="0.3">
      <c r="A19" s="24"/>
      <c r="B19" s="25"/>
      <c r="C19" s="26"/>
      <c r="D19" s="24"/>
      <c r="F19" s="10">
        <f t="shared" si="9"/>
        <v>7</v>
      </c>
      <c r="G19" s="29">
        <f>('Pesos elementos'!U21)*$D$4</f>
        <v>46.855192000000002</v>
      </c>
      <c r="H19" s="11">
        <f t="shared" si="7"/>
        <v>775.03012599999988</v>
      </c>
      <c r="I19" s="12">
        <v>54.480000000000011</v>
      </c>
      <c r="J19" s="13">
        <v>58.86</v>
      </c>
      <c r="K19" s="27">
        <v>0.25</v>
      </c>
      <c r="L19" s="230">
        <v>0.25</v>
      </c>
      <c r="M19" s="14">
        <f t="shared" si="0"/>
        <v>953.4000000000002</v>
      </c>
      <c r="N19" s="12">
        <f t="shared" si="1"/>
        <v>1030.05</v>
      </c>
      <c r="O19" s="15">
        <f t="shared" si="2"/>
        <v>0.81291181665617762</v>
      </c>
      <c r="P19" s="16">
        <f t="shared" si="3"/>
        <v>0.75241990777146728</v>
      </c>
      <c r="Q19" s="274">
        <f>'Pesos elementos'!I51*'Pesos elementos'!K51/('Pesos elementos'!$L21+'Pesos elementos'!$M21)</f>
        <v>3.4478132206676414E-2</v>
      </c>
      <c r="R19" s="276">
        <f>'Pesos elementos'!J51*'Pesos elementos'!L51/('Pesos elementos'!$L21+'Pesos elementos'!$M21)</f>
        <v>3.7250052527257223E-2</v>
      </c>
      <c r="S19" s="26"/>
      <c r="T19" s="14">
        <f>'Pesos elementos'!F21</f>
        <v>2.2999999999999998</v>
      </c>
      <c r="U19" s="13">
        <f t="shared" si="4"/>
        <v>18.400000000000002</v>
      </c>
      <c r="W19" s="21">
        <f t="shared" si="5"/>
        <v>178.36987400000032</v>
      </c>
      <c r="X19" s="22">
        <f t="shared" si="6"/>
        <v>255.01987400000007</v>
      </c>
      <c r="Z19" s="10">
        <f t="shared" si="10"/>
        <v>7</v>
      </c>
      <c r="AA19" s="14">
        <f>'Pesos elementos'!U21</f>
        <v>468.55192</v>
      </c>
      <c r="AB19" s="12">
        <f t="shared" si="8"/>
        <v>7750.3012600000002</v>
      </c>
      <c r="AC19" s="239">
        <v>35</v>
      </c>
      <c r="AD19" s="231">
        <f>AC19*30*0.35*(I19*K19+J19*L19)</f>
        <v>10413.112500000001</v>
      </c>
      <c r="AE19" s="272">
        <f>AB19/AD19</f>
        <v>0.7442828702753379</v>
      </c>
      <c r="AG19" s="227">
        <f>AD19-AB19</f>
        <v>2662.8112400000009</v>
      </c>
    </row>
    <row r="20" spans="1:33" x14ac:dyDescent="0.3">
      <c r="A20" s="24"/>
      <c r="B20" s="25"/>
      <c r="D20" s="26"/>
      <c r="F20" s="10">
        <f t="shared" si="9"/>
        <v>6</v>
      </c>
      <c r="G20" s="29">
        <f>('Pesos elementos'!U22)*$D$4</f>
        <v>46.855192000000002</v>
      </c>
      <c r="H20" s="11">
        <f t="shared" si="7"/>
        <v>821.88531799999987</v>
      </c>
      <c r="I20" s="12">
        <v>54.480000000000011</v>
      </c>
      <c r="J20" s="13">
        <v>58.86</v>
      </c>
      <c r="K20" s="27">
        <v>0.25</v>
      </c>
      <c r="L20" s="230">
        <v>0.25</v>
      </c>
      <c r="M20" s="14">
        <f t="shared" si="0"/>
        <v>953.4000000000002</v>
      </c>
      <c r="N20" s="12">
        <f t="shared" si="1"/>
        <v>1030.05</v>
      </c>
      <c r="O20" s="15">
        <f t="shared" si="2"/>
        <v>0.86205718271449516</v>
      </c>
      <c r="P20" s="16">
        <f t="shared" si="3"/>
        <v>0.79790817727294783</v>
      </c>
      <c r="Q20" s="274">
        <f>'Pesos elementos'!I52*'Pesos elementos'!K52/('Pesos elementos'!$L22+'Pesos elementos'!$M22)</f>
        <v>3.4478132206676414E-2</v>
      </c>
      <c r="R20" s="276">
        <f>'Pesos elementos'!J52*'Pesos elementos'!L52/('Pesos elementos'!$L22+'Pesos elementos'!$M22)</f>
        <v>3.7250052527257223E-2</v>
      </c>
      <c r="S20" s="26"/>
      <c r="T20" s="14">
        <f>'Pesos elementos'!F22</f>
        <v>2.2999999999999998</v>
      </c>
      <c r="U20" s="13">
        <f t="shared" si="4"/>
        <v>16.100000000000001</v>
      </c>
      <c r="W20" s="21">
        <f t="shared" si="5"/>
        <v>131.51468200000033</v>
      </c>
      <c r="X20" s="22">
        <f t="shared" si="6"/>
        <v>208.16468200000008</v>
      </c>
      <c r="Z20" s="10">
        <f t="shared" si="10"/>
        <v>6</v>
      </c>
      <c r="AA20" s="14">
        <f>'Pesos elementos'!U22</f>
        <v>468.55192</v>
      </c>
      <c r="AB20" s="12">
        <f t="shared" si="8"/>
        <v>8218.8531800000001</v>
      </c>
      <c r="AC20" s="239">
        <v>35</v>
      </c>
      <c r="AD20" s="231">
        <f>AC20*30*0.35*(I20*K20+J20*L20)</f>
        <v>10413.112500000001</v>
      </c>
      <c r="AE20" s="272">
        <f>AB20/AD20</f>
        <v>0.78927920734554624</v>
      </c>
      <c r="AG20" s="227">
        <f>AD20-AB20</f>
        <v>2194.259320000001</v>
      </c>
    </row>
    <row r="21" spans="1:33" x14ac:dyDescent="0.3">
      <c r="A21" s="24"/>
      <c r="B21" s="25"/>
      <c r="C21" s="26"/>
      <c r="D21" s="24"/>
      <c r="F21" s="10">
        <f t="shared" si="9"/>
        <v>5</v>
      </c>
      <c r="G21" s="29">
        <f>('Pesos elementos'!U23)*$D$4</f>
        <v>46.880104500000002</v>
      </c>
      <c r="H21" s="11">
        <f t="shared" si="7"/>
        <v>868.76542249999989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 t="shared" si="0"/>
        <v>953.4000000000002</v>
      </c>
      <c r="N21" s="12">
        <f t="shared" si="1"/>
        <v>1030.05</v>
      </c>
      <c r="O21" s="15">
        <f t="shared" si="2"/>
        <v>0.91122867893853543</v>
      </c>
      <c r="P21" s="16">
        <f t="shared" si="3"/>
        <v>0.84342063249356825</v>
      </c>
      <c r="Q21" s="274">
        <f>'Pesos elementos'!I53*'Pesos elementos'!K53/('Pesos elementos'!$L23+'Pesos elementos'!$M23)</f>
        <v>3.4478132206676414E-2</v>
      </c>
      <c r="R21" s="276">
        <f>'Pesos elementos'!J53*'Pesos elementos'!L53/('Pesos elementos'!$L23+'Pesos elementos'!$M23)</f>
        <v>3.7250052527257223E-2</v>
      </c>
      <c r="S21" s="26"/>
      <c r="T21" s="14">
        <f>'Pesos elementos'!F23</f>
        <v>2.2999999999999998</v>
      </c>
      <c r="U21" s="13">
        <f t="shared" si="4"/>
        <v>13.8</v>
      </c>
      <c r="W21" s="21">
        <f t="shared" si="5"/>
        <v>84.634577500000319</v>
      </c>
      <c r="X21" s="22">
        <f t="shared" si="6"/>
        <v>161.28457750000007</v>
      </c>
      <c r="Z21" s="10">
        <f t="shared" si="10"/>
        <v>5</v>
      </c>
      <c r="AA21" s="14">
        <f>'Pesos elementos'!U23</f>
        <v>468.80104499999999</v>
      </c>
      <c r="AB21" s="12">
        <f t="shared" si="8"/>
        <v>8687.6542250000002</v>
      </c>
      <c r="AC21" s="239">
        <v>35</v>
      </c>
      <c r="AD21" s="231">
        <f>AC21*30*0.35*(I21*K21+J21*L21)</f>
        <v>10413.112500000001</v>
      </c>
      <c r="AE21" s="272">
        <f>AB21/AD21</f>
        <v>0.83429946857867898</v>
      </c>
      <c r="AG21" s="227">
        <f>AD21-AB21</f>
        <v>1725.4582750000009</v>
      </c>
    </row>
    <row r="22" spans="1:33" x14ac:dyDescent="0.3">
      <c r="F22" s="10">
        <f t="shared" si="9"/>
        <v>4</v>
      </c>
      <c r="G22" s="29">
        <f>('Pesos elementos'!U24)*$D$4</f>
        <v>46.905017000000001</v>
      </c>
      <c r="H22" s="11">
        <f t="shared" si="7"/>
        <v>915.67043949999993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 t="shared" si="0"/>
        <v>953.4000000000002</v>
      </c>
      <c r="N22" s="12">
        <f t="shared" si="1"/>
        <v>1030.05</v>
      </c>
      <c r="O22" s="15">
        <f t="shared" si="2"/>
        <v>0.96042630532829842</v>
      </c>
      <c r="P22" s="16">
        <f t="shared" si="3"/>
        <v>0.88895727343332842</v>
      </c>
      <c r="Q22" s="274">
        <f>'Pesos elementos'!I54*'Pesos elementos'!K54/('Pesos elementos'!$L24+'Pesos elementos'!$M24)</f>
        <v>3.4478132206676414E-2</v>
      </c>
      <c r="R22" s="276">
        <f>'Pesos elementos'!J54*'Pesos elementos'!L54/('Pesos elementos'!$L24+'Pesos elementos'!$M24)</f>
        <v>3.7250052527257223E-2</v>
      </c>
      <c r="S22" s="26"/>
      <c r="T22" s="14">
        <f>'Pesos elementos'!F24</f>
        <v>2.2999999999999998</v>
      </c>
      <c r="U22" s="13">
        <f t="shared" si="4"/>
        <v>11.5</v>
      </c>
      <c r="W22" s="21">
        <f t="shared" si="5"/>
        <v>37.729560500000275</v>
      </c>
      <c r="X22" s="22">
        <f t="shared" si="6"/>
        <v>114.37956050000003</v>
      </c>
      <c r="Z22" s="10">
        <f t="shared" si="10"/>
        <v>4</v>
      </c>
      <c r="AA22" s="14">
        <f>'Pesos elementos'!U24</f>
        <v>469.05016999999998</v>
      </c>
      <c r="AB22" s="12">
        <f t="shared" si="8"/>
        <v>9156.7043950000007</v>
      </c>
      <c r="AC22" s="239">
        <v>35</v>
      </c>
      <c r="AD22" s="231">
        <f>AC22*30*0.35*(I22*K22+J22*L22)</f>
        <v>10413.112500000001</v>
      </c>
      <c r="AE22" s="272">
        <f>AB22/AD22</f>
        <v>0.87934365397473613</v>
      </c>
      <c r="AG22" s="227">
        <f>AD22-AB22</f>
        <v>1256.4081050000004</v>
      </c>
    </row>
    <row r="23" spans="1:33" x14ac:dyDescent="0.3">
      <c r="F23" s="10">
        <f t="shared" si="9"/>
        <v>3</v>
      </c>
      <c r="G23" s="29">
        <f>('Pesos elementos'!U25)*$D$4</f>
        <v>47.181497000000007</v>
      </c>
      <c r="H23" s="11">
        <f t="shared" si="7"/>
        <v>962.85193649999997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 t="shared" si="0"/>
        <v>953.4000000000002</v>
      </c>
      <c r="N23" s="12">
        <f t="shared" si="1"/>
        <v>1030.05</v>
      </c>
      <c r="O23" s="15">
        <f t="shared" si="2"/>
        <v>1.0099139254247953</v>
      </c>
      <c r="P23" s="16">
        <f t="shared" si="3"/>
        <v>0.93476232852774133</v>
      </c>
      <c r="Q23" s="274">
        <f>'Pesos elementos'!I55*'Pesos elementos'!K55/('Pesos elementos'!$L25+'Pesos elementos'!$M25)</f>
        <v>3.6908308926089733E-2</v>
      </c>
      <c r="R23" s="276">
        <f>'Pesos elementos'!J55*'Pesos elementos'!L55/('Pesos elementos'!$L25+'Pesos elementos'!$M25)</f>
        <v>3.7250052527257223E-2</v>
      </c>
      <c r="S23" s="26"/>
      <c r="T23" s="14">
        <f>'Pesos elementos'!F25</f>
        <v>2.2999999999999998</v>
      </c>
      <c r="U23" s="13">
        <f t="shared" si="4"/>
        <v>9.1999999999999993</v>
      </c>
      <c r="W23" s="21">
        <f t="shared" si="5"/>
        <v>-9.4519364999997606</v>
      </c>
      <c r="X23" s="22">
        <f t="shared" si="6"/>
        <v>67.198063499999989</v>
      </c>
      <c r="Z23" s="10">
        <f t="shared" si="10"/>
        <v>3</v>
      </c>
      <c r="AA23" s="14">
        <f>'Pesos elementos'!U25</f>
        <v>471.81497000000002</v>
      </c>
      <c r="AB23" s="12">
        <f t="shared" si="8"/>
        <v>9628.5193650000001</v>
      </c>
      <c r="AC23" s="239">
        <v>35</v>
      </c>
      <c r="AD23" s="231">
        <f>AC23*30*0.35*(I23*K23+J23*L23)</f>
        <v>10413.112500000001</v>
      </c>
      <c r="AE23" s="272">
        <f>AB23/AD23</f>
        <v>0.92465335076328037</v>
      </c>
      <c r="AG23" s="227">
        <f>AD23-AB23</f>
        <v>784.59313500000098</v>
      </c>
    </row>
    <row r="24" spans="1:33" x14ac:dyDescent="0.3">
      <c r="C24" s="4"/>
      <c r="F24" s="10">
        <f t="shared" si="9"/>
        <v>2</v>
      </c>
      <c r="G24" s="29">
        <f>('Pesos elementos'!U26)*$D$4</f>
        <v>48.037664250000006</v>
      </c>
      <c r="H24" s="11">
        <f t="shared" si="7"/>
        <v>1010.88960075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 t="shared" si="0"/>
        <v>1020.6000000000004</v>
      </c>
      <c r="N24" s="12">
        <f t="shared" si="1"/>
        <v>1030.05</v>
      </c>
      <c r="O24" s="15">
        <f t="shared" si="2"/>
        <v>0.99048559744268039</v>
      </c>
      <c r="P24" s="16">
        <f t="shared" si="3"/>
        <v>0.98139857361293148</v>
      </c>
      <c r="Q24" s="274">
        <f>'Pesos elementos'!I56*'Pesos elementos'!K56/('Pesos elementos'!$L26+'Pesos elementos'!$M26)</f>
        <v>4.1280080450360308E-2</v>
      </c>
      <c r="R24" s="276">
        <f>'Pesos elementos'!J56*'Pesos elementos'!L56/('Pesos elementos'!$L26+'Pesos elementos'!$M26)</f>
        <v>3.8264455292441095E-2</v>
      </c>
      <c r="S24" s="26"/>
      <c r="T24" s="14">
        <f>'Pesos elementos'!F26</f>
        <v>2.2999999999999998</v>
      </c>
      <c r="U24" s="13">
        <f t="shared" si="4"/>
        <v>6.8999999999999995</v>
      </c>
      <c r="W24" s="21">
        <f t="shared" si="5"/>
        <v>9.7103992500003642</v>
      </c>
      <c r="X24" s="22">
        <f t="shared" si="6"/>
        <v>19.160399249999955</v>
      </c>
      <c r="Z24" s="10">
        <f t="shared" si="10"/>
        <v>2</v>
      </c>
      <c r="AA24" s="14">
        <f>'Pesos elementos'!U26</f>
        <v>480.3766425</v>
      </c>
      <c r="AB24" s="12">
        <f t="shared" si="8"/>
        <v>10108.8960075</v>
      </c>
      <c r="AC24" s="239">
        <v>35</v>
      </c>
      <c r="AD24" s="231">
        <f>AC24*30*0.35*(I24*K24+J24*L24)</f>
        <v>10765.9125</v>
      </c>
      <c r="AE24" s="272">
        <f>AB24/AD24</f>
        <v>0.93897252160464795</v>
      </c>
      <c r="AG24" s="227">
        <f>AD24-AB24</f>
        <v>657.01649250000082</v>
      </c>
    </row>
    <row r="25" spans="1:33" x14ac:dyDescent="0.3">
      <c r="F25" s="10">
        <f t="shared" si="9"/>
        <v>1</v>
      </c>
      <c r="G25" s="29">
        <f>('Pesos elementos'!U27)*$D$4</f>
        <v>47.535311125</v>
      </c>
      <c r="H25" s="11">
        <f t="shared" si="7"/>
        <v>1058.4249118749999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 t="shared" si="0"/>
        <v>1143.625</v>
      </c>
      <c r="N25" s="12">
        <f t="shared" si="1"/>
        <v>1060.0799999999997</v>
      </c>
      <c r="O25" s="15">
        <f t="shared" si="2"/>
        <v>0.92549997759317948</v>
      </c>
      <c r="P25" s="16">
        <f t="shared" si="3"/>
        <v>0.99843871394140082</v>
      </c>
      <c r="Q25" s="274">
        <f>'Pesos elementos'!I57*'Pesos elementos'!K57/('Pesos elementos'!$L27+'Pesos elementos'!$M27)</f>
        <v>4.3016939379801215E-2</v>
      </c>
      <c r="R25" s="276">
        <f>'Pesos elementos'!J57*'Pesos elementos'!L57/('Pesos elementos'!$L27+'Pesos elementos'!$M27)</f>
        <v>4.0555667226661408E-2</v>
      </c>
      <c r="S25" s="26"/>
      <c r="T25" s="14">
        <f>'Pesos elementos'!F27</f>
        <v>2.2999999999999998</v>
      </c>
      <c r="U25" s="13">
        <f>T25+U26</f>
        <v>4.5999999999999996</v>
      </c>
      <c r="W25" s="21">
        <f t="shared" si="5"/>
        <v>85.200088125000093</v>
      </c>
      <c r="X25" s="22">
        <f t="shared" si="6"/>
        <v>1.6550881249997929</v>
      </c>
      <c r="Z25" s="10">
        <f t="shared" si="10"/>
        <v>1</v>
      </c>
      <c r="AA25" s="14">
        <f>'Pesos elementos'!U27</f>
        <v>475.35311124999998</v>
      </c>
      <c r="AB25" s="12">
        <f t="shared" si="8"/>
        <v>10584.24911875</v>
      </c>
      <c r="AC25" s="239">
        <v>35</v>
      </c>
      <c r="AD25" s="231">
        <f>AC25*30*0.35*(I25*K25+J25*L25)</f>
        <v>11569.451249999998</v>
      </c>
      <c r="AE25" s="272">
        <f>AB25/AD25</f>
        <v>0.91484452374091652</v>
      </c>
      <c r="AG25" s="227">
        <f>AD25-AB25</f>
        <v>985.20213124999827</v>
      </c>
    </row>
    <row r="26" spans="1:33" ht="15" thickBot="1" x14ac:dyDescent="0.35">
      <c r="F26" s="33">
        <v>-1</v>
      </c>
      <c r="G26" s="34">
        <f>('Pesos elementos'!U28)*$D$4</f>
        <v>67.050944750000014</v>
      </c>
      <c r="H26" s="35">
        <f t="shared" si="7"/>
        <v>1125.475856625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 t="shared" si="0"/>
        <v>1224.6499999999999</v>
      </c>
      <c r="N26" s="36">
        <f t="shared" si="1"/>
        <v>1154.58</v>
      </c>
      <c r="O26" s="41">
        <f t="shared" si="2"/>
        <v>0.91901837800596098</v>
      </c>
      <c r="P26" s="42">
        <f t="shared" si="3"/>
        <v>0.97479244108247165</v>
      </c>
      <c r="Q26" s="275">
        <f>'Pesos elementos'!I58*'Pesos elementos'!K58/('Pesos elementos'!$L28+'Pesos elementos'!$M28)</f>
        <v>2.8790286765056721E-2</v>
      </c>
      <c r="R26" s="277">
        <f>'Pesos elementos'!J58*'Pesos elementos'!L58/('Pesos elementos'!$L28+'Pesos elementos'!$M28)</f>
        <v>2.7100454023262721E-2</v>
      </c>
      <c r="S26" s="26"/>
      <c r="T26" s="40">
        <f>'Pesos elementos'!F28</f>
        <v>2.2999999999999998</v>
      </c>
      <c r="U26" s="37">
        <f>T26</f>
        <v>2.2999999999999998</v>
      </c>
      <c r="W26" s="44">
        <f t="shared" si="5"/>
        <v>99.174143374999858</v>
      </c>
      <c r="X26" s="45">
        <f t="shared" si="6"/>
        <v>29.104143374999921</v>
      </c>
      <c r="Z26" s="33">
        <v>-1</v>
      </c>
      <c r="AA26" s="40">
        <f>'Pesos elementos'!U28</f>
        <v>670.50944750000008</v>
      </c>
      <c r="AB26" s="36">
        <f t="shared" si="8"/>
        <v>11254.758566250001</v>
      </c>
      <c r="AC26" s="240">
        <v>35</v>
      </c>
      <c r="AD26" s="232">
        <f>AC26*30*0.35*(I26*K26+J26*L26)</f>
        <v>12490.957499999999</v>
      </c>
      <c r="AE26" s="273">
        <f>AB26/AD26</f>
        <v>0.90103249220486115</v>
      </c>
      <c r="AG26" s="227">
        <f>AD26-AB26</f>
        <v>1236.1989337499981</v>
      </c>
    </row>
  </sheetData>
  <conditionalFormatting sqref="W4:X26">
    <cfRule type="cellIs" dxfId="3" priority="4" operator="lessThan">
      <formula>0</formula>
    </cfRule>
  </conditionalFormatting>
  <conditionalFormatting sqref="AG4:AG26">
    <cfRule type="cellIs" dxfId="2" priority="3" operator="lessThan">
      <formula>0</formula>
    </cfRule>
  </conditionalFormatting>
  <conditionalFormatting sqref="W3:X3">
    <cfRule type="cellIs" dxfId="1" priority="2" operator="lessThan">
      <formula>0</formula>
    </cfRule>
  </conditionalFormatting>
  <conditionalFormatting sqref="A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 activeCell="B26" sqref="B26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45</v>
      </c>
      <c r="C1" s="264" t="s">
        <v>51</v>
      </c>
      <c r="D1" s="265"/>
      <c r="E1" s="265"/>
      <c r="F1" s="266" t="s">
        <v>55</v>
      </c>
      <c r="G1" s="267"/>
      <c r="H1" s="267"/>
      <c r="I1" s="264" t="s">
        <v>41</v>
      </c>
      <c r="J1" s="265"/>
      <c r="K1" s="265"/>
      <c r="L1" s="265"/>
      <c r="M1" s="265"/>
      <c r="N1" s="265"/>
      <c r="O1" s="265"/>
      <c r="P1" s="265"/>
      <c r="Q1" s="265"/>
      <c r="S1" s="266" t="s">
        <v>56</v>
      </c>
      <c r="T1" s="267"/>
      <c r="U1" s="267"/>
      <c r="V1" s="267"/>
      <c r="W1" s="267"/>
      <c r="X1" s="267"/>
      <c r="Y1" s="267"/>
      <c r="Z1" s="267"/>
      <c r="AA1" s="146"/>
    </row>
    <row r="2" spans="1:27" s="132" customFormat="1" ht="15" thickBot="1" x14ac:dyDescent="0.35">
      <c r="A2" s="132" t="s">
        <v>74</v>
      </c>
      <c r="B2" s="164" t="s">
        <v>73</v>
      </c>
      <c r="C2" s="165" t="s">
        <v>73</v>
      </c>
      <c r="D2" s="132" t="s">
        <v>76</v>
      </c>
      <c r="E2" s="132" t="s">
        <v>77</v>
      </c>
      <c r="F2" s="140" t="s">
        <v>73</v>
      </c>
      <c r="G2" s="145" t="s">
        <v>76</v>
      </c>
      <c r="H2" s="145" t="s">
        <v>77</v>
      </c>
      <c r="I2" s="165" t="s">
        <v>78</v>
      </c>
      <c r="J2" s="132" t="s">
        <v>79</v>
      </c>
      <c r="K2" s="132" t="s">
        <v>80</v>
      </c>
      <c r="L2" s="166" t="s">
        <v>82</v>
      </c>
      <c r="M2" s="166" t="s">
        <v>83</v>
      </c>
      <c r="N2" s="166" t="s">
        <v>84</v>
      </c>
      <c r="O2" s="166" t="s">
        <v>87</v>
      </c>
      <c r="P2" s="166" t="s">
        <v>85</v>
      </c>
      <c r="Q2" s="166" t="s">
        <v>86</v>
      </c>
      <c r="R2" s="166" t="s">
        <v>89</v>
      </c>
      <c r="S2" s="140" t="s">
        <v>81</v>
      </c>
      <c r="T2" s="145" t="s">
        <v>88</v>
      </c>
      <c r="U2" s="145" t="s">
        <v>83</v>
      </c>
      <c r="V2" s="145" t="s">
        <v>84</v>
      </c>
      <c r="W2" s="145" t="s">
        <v>87</v>
      </c>
      <c r="X2" s="145" t="s">
        <v>86</v>
      </c>
      <c r="Y2" s="145" t="s">
        <v>90</v>
      </c>
      <c r="Z2" s="145" t="s">
        <v>82</v>
      </c>
      <c r="AA2" s="165"/>
    </row>
    <row r="3" spans="1:27" s="132" customFormat="1" ht="15" thickBot="1" x14ac:dyDescent="0.35">
      <c r="A3" s="132" t="s">
        <v>97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120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75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93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94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105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96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98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95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68" t="s">
        <v>51</v>
      </c>
      <c r="C3" s="269"/>
      <c r="D3" s="270" t="s">
        <v>54</v>
      </c>
      <c r="E3" s="271"/>
      <c r="F3" s="269" t="s">
        <v>55</v>
      </c>
      <c r="G3" s="269"/>
      <c r="H3" s="270" t="s">
        <v>41</v>
      </c>
      <c r="I3" s="271"/>
      <c r="J3" s="269" t="s">
        <v>56</v>
      </c>
      <c r="K3" s="269"/>
      <c r="L3" s="270" t="s">
        <v>45</v>
      </c>
      <c r="M3" s="271"/>
    </row>
    <row r="4" spans="1:13" x14ac:dyDescent="0.3">
      <c r="A4" s="1" t="s">
        <v>30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57</v>
      </c>
    </row>
    <row r="3" spans="1:13" x14ac:dyDescent="0.3">
      <c r="B3" s="268" t="s">
        <v>51</v>
      </c>
      <c r="C3" s="269"/>
      <c r="D3" s="270" t="s">
        <v>54</v>
      </c>
      <c r="E3" s="271"/>
      <c r="F3" s="269" t="s">
        <v>55</v>
      </c>
      <c r="G3" s="269"/>
      <c r="H3" s="270" t="s">
        <v>41</v>
      </c>
      <c r="I3" s="271"/>
      <c r="J3" s="269" t="s">
        <v>56</v>
      </c>
      <c r="K3" s="269"/>
      <c r="L3" s="270" t="s">
        <v>45</v>
      </c>
      <c r="M3" s="271"/>
    </row>
    <row r="4" spans="1:13" x14ac:dyDescent="0.3">
      <c r="A4" s="1" t="s">
        <v>30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52</v>
      </c>
      <c r="C5" s="79" t="s">
        <v>53</v>
      </c>
      <c r="D5" s="80" t="s">
        <v>52</v>
      </c>
      <c r="E5" s="43" t="s">
        <v>53</v>
      </c>
      <c r="F5" s="79" t="s">
        <v>52</v>
      </c>
      <c r="G5" s="79" t="s">
        <v>53</v>
      </c>
      <c r="H5" s="80" t="s">
        <v>52</v>
      </c>
      <c r="I5" s="43" t="s">
        <v>53</v>
      </c>
      <c r="J5" s="79" t="s">
        <v>52</v>
      </c>
      <c r="K5" s="79" t="s">
        <v>53</v>
      </c>
      <c r="L5" s="80" t="s">
        <v>52</v>
      </c>
      <c r="M5" s="43" t="s">
        <v>53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2018-11-07T02:13:56Z</dcterms:modified>
</cp:coreProperties>
</file>