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4AAFFD5-3CDF-4FE2-A51D-A8A256486D34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Tablas" sheetId="1" r:id="rId1"/>
    <sheet name="Plantill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C26" i="2"/>
  <c r="I25" i="2" s="1"/>
  <c r="I26" i="2" s="1"/>
  <c r="C27" i="2"/>
  <c r="I17" i="2"/>
  <c r="I19" i="2" s="1"/>
  <c r="I9" i="2"/>
  <c r="I42" i="2" s="1"/>
  <c r="B10" i="2"/>
  <c r="I8" i="2"/>
  <c r="L8" i="2" s="1"/>
  <c r="I7" i="2"/>
  <c r="L7" i="2" s="1"/>
  <c r="I37" i="2"/>
  <c r="I16" i="2"/>
  <c r="I18" i="2" s="1"/>
  <c r="I12" i="2"/>
  <c r="H6" i="1"/>
  <c r="H5" i="1"/>
  <c r="H4" i="1"/>
  <c r="G13" i="1"/>
  <c r="I6" i="2"/>
  <c r="I13" i="2" s="1"/>
  <c r="I5" i="2"/>
  <c r="L5" i="2" s="1"/>
  <c r="B15" i="2"/>
  <c r="G12" i="1"/>
  <c r="M30" i="2" l="1"/>
  <c r="N26" i="2"/>
  <c r="M26" i="2" s="1"/>
  <c r="I39" i="2"/>
  <c r="I30" i="2"/>
  <c r="I46" i="2"/>
  <c r="L26" i="2"/>
  <c r="I22" i="2"/>
  <c r="I23" i="2" s="1"/>
  <c r="I47" i="2"/>
  <c r="L13" i="2"/>
  <c r="I48" i="2" l="1"/>
  <c r="I40" i="2"/>
  <c r="M29" i="2"/>
  <c r="M31" i="2"/>
  <c r="I24" i="2"/>
  <c r="L24" i="2" s="1"/>
  <c r="L48" i="2" l="1"/>
  <c r="N48" i="2"/>
  <c r="M48" i="2" s="1"/>
  <c r="O24" i="2"/>
  <c r="N24" i="2"/>
  <c r="I32" i="2"/>
  <c r="I33" i="2" s="1"/>
  <c r="I34" i="2" l="1"/>
  <c r="I38" i="2" s="1"/>
  <c r="F23" i="2" s="1"/>
  <c r="I41" i="2"/>
  <c r="I43" i="2" s="1"/>
  <c r="L38" i="2" l="1"/>
  <c r="O38" i="2"/>
  <c r="N43" i="2"/>
  <c r="M43" i="2" s="1"/>
  <c r="L43" i="2"/>
  <c r="I35" i="2"/>
  <c r="I36" i="2" s="1"/>
  <c r="L36" i="2" s="1"/>
  <c r="N38" i="2"/>
</calcChain>
</file>

<file path=xl/sharedStrings.xml><?xml version="1.0" encoding="utf-8"?>
<sst xmlns="http://schemas.openxmlformats.org/spreadsheetml/2006/main" count="138" uniqueCount="86">
  <si>
    <t>As [cm2/m]</t>
  </si>
  <si>
    <t>φ [mm]</t>
  </si>
  <si>
    <t>s [cm]</t>
  </si>
  <si>
    <t>Datos del muro</t>
  </si>
  <si>
    <t>cm</t>
  </si>
  <si>
    <t>Propiedades de los materiales</t>
  </si>
  <si>
    <t>Hormigón f'c (H30)</t>
  </si>
  <si>
    <t>kgf/cm2</t>
  </si>
  <si>
    <t>MURO PISO 1 EJE 2-16</t>
  </si>
  <si>
    <t>Altura libre</t>
  </si>
  <si>
    <t>Cargas sobre el muro</t>
  </si>
  <si>
    <t>T</t>
  </si>
  <si>
    <t>$Q_{SC}$</t>
  </si>
  <si>
    <t>$Q_{PP}$</t>
  </si>
  <si>
    <t>$Q_{SISMICO}$</t>
  </si>
  <si>
    <t>Área</t>
  </si>
  <si>
    <t>cm2</t>
  </si>
  <si>
    <t>Área barras</t>
  </si>
  <si>
    <t>Fierro máximo</t>
  </si>
  <si>
    <t>e [cm]</t>
  </si>
  <si>
    <t>Área a buscar</t>
  </si>
  <si>
    <t>Fierro encontrado</t>
  </si>
  <si>
    <t>Fierro es</t>
  </si>
  <si>
    <t>Espesor</t>
  </si>
  <si>
    <t>Cálculo parámetros</t>
  </si>
  <si>
    <t>Resistencia axial</t>
  </si>
  <si>
    <t>$\sigma_u$</t>
  </si>
  <si>
    <t>$\sigma_{adm}$</t>
  </si>
  <si>
    <t>$\tau$</t>
  </si>
  <si>
    <t>Tensión fluencia acero (A63-42H)</t>
  </si>
  <si>
    <t>Tensión corte acero (A63-42H)</t>
  </si>
  <si>
    <t>cm2/m</t>
  </si>
  <si>
    <t>$\phi$</t>
  </si>
  <si>
    <t>Separación obtenida</t>
  </si>
  <si>
    <t>mm</t>
  </si>
  <si>
    <t>Acv</t>
  </si>
  <si>
    <t>Vn</t>
  </si>
  <si>
    <t>Vs REQ</t>
  </si>
  <si>
    <t>Vu</t>
  </si>
  <si>
    <t>Armadura de corte ($\phi$)</t>
  </si>
  <si>
    <t>Diseño del muro</t>
  </si>
  <si>
    <t>Separación (s)</t>
  </si>
  <si>
    <t>Vs total</t>
  </si>
  <si>
    <t>Resistencia total sin reducir</t>
  </si>
  <si>
    <t>Resistencia máxima admisible</t>
  </si>
  <si>
    <t>Vu/$\phi$</t>
  </si>
  <si>
    <t>Vs max</t>
  </si>
  <si>
    <t>Área total</t>
  </si>
  <si>
    <t>Corte resistente total</t>
  </si>
  <si>
    <t>Vn max</t>
  </si>
  <si>
    <t>[-]</t>
  </si>
  <si>
    <t>Separación s horizontal max</t>
  </si>
  <si>
    <t>Cálculo acero</t>
  </si>
  <si>
    <t>Cuantía mínima</t>
  </si>
  <si>
    <t>Cálculo corte análisis</t>
  </si>
  <si>
    <t>$V_{U}$</t>
  </si>
  <si>
    <t>Separación s vertical max</t>
  </si>
  <si>
    <t>$\alpha_c$</t>
  </si>
  <si>
    <t>Esbeltez (&lt;h)</t>
  </si>
  <si>
    <t>${Vc}_{max}$</t>
  </si>
  <si>
    <t>$Vc$</t>
  </si>
  <si>
    <t>Ac REQ</t>
  </si>
  <si>
    <t>d</t>
  </si>
  <si>
    <t>Largo del muro ($l_w$)</t>
  </si>
  <si>
    <t>Real</t>
  </si>
  <si>
    <t>${Vc}_1$</t>
  </si>
  <si>
    <t>Cuantía requerida</t>
  </si>
  <si>
    <t>Resistencia acero con el acero definido</t>
  </si>
  <si>
    <t>Área de una barra</t>
  </si>
  <si>
    <t>Cálculo resistencia del hormigón</t>
  </si>
  <si>
    <t>Diseño corte con ACI.318-05</t>
  </si>
  <si>
    <t>$Q_{DISEÑO}$ CS</t>
  </si>
  <si>
    <t>Diseño corte simple, suma de valores absolutos</t>
  </si>
  <si>
    <t>$V_{U}$ CS</t>
  </si>
  <si>
    <t>$Q_{DISEÑO}$ LRFD</t>
  </si>
  <si>
    <t>$V_{U}$ LRFD</t>
  </si>
  <si>
    <t>Si se define corte último se usa este, LRFD</t>
  </si>
  <si>
    <t>Si se define corte último se usa este, CS</t>
  </si>
  <si>
    <t>Diseño armadura corte (MÉTODO SIMPLIFICADO, CS)</t>
  </si>
  <si>
    <t>Resistencia corte último según ACI.318-05, LRFD</t>
  </si>
  <si>
    <t>H35</t>
  </si>
  <si>
    <t>H40</t>
  </si>
  <si>
    <t>H30</t>
  </si>
  <si>
    <t>H25</t>
  </si>
  <si>
    <t>Área mínima</t>
  </si>
  <si>
    <t>Vn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</si>
</sst>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2" xfId="0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 applyBorder="1"/>
    <xf numFmtId="0" fontId="0" fillId="0" borderId="12" xfId="0" applyFill="1" applyBorder="1"/>
    <xf numFmtId="2" fontId="0" fillId="0" borderId="12" xfId="0" applyNumberFormat="1" applyBorder="1"/>
    <xf numFmtId="0" fontId="0" fillId="0" borderId="12" xfId="0" applyFill="1" applyBorder="1" applyAlignment="1">
      <alignment horizontal="right"/>
    </xf>
    <xf numFmtId="168" fontId="0" fillId="0" borderId="0" xfId="0" applyNumberFormat="1"/>
    <xf numFmtId="0" fontId="1" fillId="0" borderId="0" xfId="0" applyFont="1" applyFill="1" applyBorder="1" applyAlignment="1">
      <alignment horizontal="left"/>
    </xf>
    <xf numFmtId="169" fontId="0" fillId="0" borderId="12" xfId="0" applyNumberFormat="1" applyBorder="1"/>
    <xf numFmtId="1" fontId="0" fillId="0" borderId="12" xfId="0" applyNumberFormat="1" applyBorder="1"/>
    <xf numFmtId="168" fontId="0" fillId="0" borderId="12" xfId="0" applyNumberFormat="1" applyBorder="1"/>
    <xf numFmtId="164" fontId="0" fillId="0" borderId="12" xfId="0" applyNumberFormat="1" applyBorder="1"/>
    <xf numFmtId="0" fontId="3" fillId="0" borderId="12" xfId="0" applyFont="1" applyBorder="1" applyAlignment="1">
      <alignment horizontal="left"/>
    </xf>
    <xf numFmtId="0" fontId="1" fillId="2" borderId="0" xfId="0" applyFont="1" applyFill="1"/>
    <xf numFmtId="0" fontId="4" fillId="0" borderId="0" xfId="0" applyFont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workbookViewId="0">
      <selection activeCell="L5" sqref="L5"/>
    </sheetView>
  </sheetViews>
  <sheetFormatPr baseColWidth="10" defaultColWidth="8.88671875" defaultRowHeight="14.4" x14ac:dyDescent="0.3"/>
  <cols>
    <col min="1" max="1" width="4.33203125" customWidth="1"/>
    <col min="2" max="2" width="10.88671875" bestFit="1" customWidth="1"/>
    <col min="3" max="3" width="7.5546875" bestFit="1" customWidth="1"/>
    <col min="4" max="4" width="6.109375" bestFit="1" customWidth="1"/>
    <col min="5" max="5" width="4.44140625" customWidth="1"/>
    <col min="6" max="6" width="15.6640625" bestFit="1" customWidth="1"/>
  </cols>
  <sheetData>
    <row r="2" spans="2:12" ht="15" thickBot="1" x14ac:dyDescent="0.35">
      <c r="B2" s="17" t="s">
        <v>17</v>
      </c>
      <c r="F2" t="s">
        <v>18</v>
      </c>
      <c r="K2" t="s">
        <v>81</v>
      </c>
    </row>
    <row r="3" spans="2:12" ht="15" thickBot="1" x14ac:dyDescent="0.35">
      <c r="B3" s="1" t="s">
        <v>0</v>
      </c>
      <c r="C3" s="2" t="s">
        <v>1</v>
      </c>
      <c r="D3" s="3" t="s">
        <v>2</v>
      </c>
      <c r="F3" s="2" t="s">
        <v>19</v>
      </c>
      <c r="G3" s="2" t="s">
        <v>1</v>
      </c>
      <c r="K3" t="s">
        <v>80</v>
      </c>
      <c r="L3">
        <v>350</v>
      </c>
    </row>
    <row r="4" spans="2:12" x14ac:dyDescent="0.3">
      <c r="B4" s="4">
        <v>2.0099999999999998</v>
      </c>
      <c r="C4" s="5">
        <v>8</v>
      </c>
      <c r="D4" s="6">
        <v>25</v>
      </c>
      <c r="F4" s="20">
        <v>15</v>
      </c>
      <c r="G4" s="23">
        <v>16</v>
      </c>
      <c r="H4">
        <f>G4/F4</f>
        <v>1.0666666666666667</v>
      </c>
      <c r="K4" t="s">
        <v>82</v>
      </c>
      <c r="L4">
        <v>300</v>
      </c>
    </row>
    <row r="5" spans="2:12" x14ac:dyDescent="0.3">
      <c r="B5" s="7">
        <v>2.09</v>
      </c>
      <c r="C5" s="8">
        <v>8</v>
      </c>
      <c r="D5" s="9">
        <v>24</v>
      </c>
      <c r="F5" s="14">
        <v>20</v>
      </c>
      <c r="G5" s="14">
        <v>22</v>
      </c>
      <c r="H5">
        <f>G5/F5</f>
        <v>1.1000000000000001</v>
      </c>
      <c r="K5" t="s">
        <v>83</v>
      </c>
    </row>
    <row r="6" spans="2:12" ht="15" thickBot="1" x14ac:dyDescent="0.35">
      <c r="B6" s="7">
        <v>2.19</v>
      </c>
      <c r="C6" s="8">
        <v>8</v>
      </c>
      <c r="D6" s="9">
        <v>23</v>
      </c>
      <c r="F6" s="22">
        <v>25</v>
      </c>
      <c r="G6" s="24">
        <v>28</v>
      </c>
      <c r="H6">
        <f>G6/F6</f>
        <v>1.1200000000000001</v>
      </c>
    </row>
    <row r="7" spans="2:12" x14ac:dyDescent="0.3">
      <c r="B7" s="7">
        <v>2.2799999999999998</v>
      </c>
      <c r="C7" s="8">
        <v>8</v>
      </c>
      <c r="D7" s="9">
        <v>22</v>
      </c>
    </row>
    <row r="8" spans="2:12" x14ac:dyDescent="0.3">
      <c r="B8" s="7">
        <v>2.39</v>
      </c>
      <c r="C8" s="8">
        <v>8</v>
      </c>
      <c r="D8" s="9">
        <v>21</v>
      </c>
      <c r="F8" t="s">
        <v>23</v>
      </c>
      <c r="G8" s="14">
        <v>16</v>
      </c>
    </row>
    <row r="9" spans="2:12" x14ac:dyDescent="0.3">
      <c r="B9" s="10">
        <v>2.5099999999999998</v>
      </c>
      <c r="C9" s="8">
        <v>8</v>
      </c>
      <c r="D9" s="9">
        <v>20</v>
      </c>
    </row>
    <row r="10" spans="2:12" x14ac:dyDescent="0.3">
      <c r="B10" s="7">
        <v>2.65</v>
      </c>
      <c r="C10" s="8">
        <v>8</v>
      </c>
      <c r="D10" s="9">
        <v>19</v>
      </c>
    </row>
    <row r="11" spans="2:12" x14ac:dyDescent="0.3">
      <c r="B11" s="7">
        <v>2.79</v>
      </c>
      <c r="C11" s="8">
        <v>8</v>
      </c>
      <c r="D11" s="9">
        <v>18</v>
      </c>
      <c r="F11" t="s">
        <v>20</v>
      </c>
      <c r="G11" s="14">
        <v>2.78</v>
      </c>
      <c r="H11" s="25"/>
    </row>
    <row r="12" spans="2:12" x14ac:dyDescent="0.3">
      <c r="B12" s="7">
        <v>2.96</v>
      </c>
      <c r="C12" s="8">
        <v>8</v>
      </c>
      <c r="D12" s="9">
        <v>17</v>
      </c>
      <c r="F12" t="s">
        <v>21</v>
      </c>
      <c r="G12" s="25">
        <f>IF(VLOOKUP(G11,$B$4:$D$67,1,TRUE)&lt;G11,VLOOKUP(2*G11-VLOOKUP(G11,$B$4:$D$67,1,TRUE),$B$4:$D$67,1,TRUE),VLOOKUP(G11,$B$4:$D$67,1,TRUE))</f>
        <v>2.79</v>
      </c>
      <c r="H12" s="25"/>
    </row>
    <row r="13" spans="2:12" x14ac:dyDescent="0.3">
      <c r="B13" s="7">
        <v>3.14</v>
      </c>
      <c r="C13" s="8">
        <v>8</v>
      </c>
      <c r="D13" s="9">
        <v>16</v>
      </c>
      <c r="F13" t="s">
        <v>22</v>
      </c>
      <c r="G13" s="25" t="str">
        <f>VLOOKUP(G12,B4:D67,2)&amp;"@"&amp;VLOOKUP(G12,B4:D67,3)</f>
        <v>8@18</v>
      </c>
      <c r="H13" s="25"/>
    </row>
    <row r="14" spans="2:12" x14ac:dyDescent="0.3">
      <c r="B14" s="10">
        <v>3.1355555554999999</v>
      </c>
      <c r="C14" s="8">
        <v>10</v>
      </c>
      <c r="D14" s="9">
        <v>25</v>
      </c>
      <c r="G14" s="25"/>
      <c r="H14" s="25"/>
    </row>
    <row r="15" spans="2:12" x14ac:dyDescent="0.3">
      <c r="B15" s="7">
        <v>3.27</v>
      </c>
      <c r="C15" s="8">
        <v>10</v>
      </c>
      <c r="D15" s="9">
        <v>24</v>
      </c>
      <c r="G15" s="25"/>
      <c r="H15" s="25"/>
    </row>
    <row r="16" spans="2:12" x14ac:dyDescent="0.3">
      <c r="B16" s="10">
        <v>3.35</v>
      </c>
      <c r="C16" s="8">
        <v>8</v>
      </c>
      <c r="D16" s="9">
        <v>15</v>
      </c>
    </row>
    <row r="17" spans="2:4" x14ac:dyDescent="0.3">
      <c r="B17" s="7">
        <v>3.41</v>
      </c>
      <c r="C17" s="8">
        <v>10</v>
      </c>
      <c r="D17" s="9">
        <v>23</v>
      </c>
    </row>
    <row r="18" spans="2:4" x14ac:dyDescent="0.3">
      <c r="B18" s="7">
        <v>3.57</v>
      </c>
      <c r="C18" s="8">
        <v>10</v>
      </c>
      <c r="D18" s="9">
        <v>22</v>
      </c>
    </row>
    <row r="19" spans="2:4" x14ac:dyDescent="0.3">
      <c r="B19" s="10">
        <v>3.59</v>
      </c>
      <c r="C19" s="8">
        <v>8</v>
      </c>
      <c r="D19" s="9">
        <v>14</v>
      </c>
    </row>
    <row r="20" spans="2:4" x14ac:dyDescent="0.3">
      <c r="B20" s="7">
        <v>3.74</v>
      </c>
      <c r="C20" s="8">
        <v>10</v>
      </c>
      <c r="D20" s="9">
        <v>21</v>
      </c>
    </row>
    <row r="21" spans="2:4" x14ac:dyDescent="0.3">
      <c r="B21" s="10">
        <v>3.87</v>
      </c>
      <c r="C21" s="8">
        <v>8</v>
      </c>
      <c r="D21" s="9">
        <v>13</v>
      </c>
    </row>
    <row r="22" spans="2:4" x14ac:dyDescent="0.3">
      <c r="B22" s="10">
        <v>3.93</v>
      </c>
      <c r="C22" s="8">
        <v>10</v>
      </c>
      <c r="D22" s="9">
        <v>20</v>
      </c>
    </row>
    <row r="23" spans="2:4" x14ac:dyDescent="0.3">
      <c r="B23" s="7">
        <v>4.13</v>
      </c>
      <c r="C23" s="8">
        <v>10</v>
      </c>
      <c r="D23" s="9">
        <v>19</v>
      </c>
    </row>
    <row r="24" spans="2:4" x14ac:dyDescent="0.3">
      <c r="B24" s="10">
        <v>4.1900000000000004</v>
      </c>
      <c r="C24" s="8">
        <v>8</v>
      </c>
      <c r="D24" s="9">
        <v>12</v>
      </c>
    </row>
    <row r="25" spans="2:4" x14ac:dyDescent="0.3">
      <c r="B25" s="7">
        <v>4.3600000000000003</v>
      </c>
      <c r="C25" s="8">
        <v>10</v>
      </c>
      <c r="D25" s="9">
        <v>18</v>
      </c>
    </row>
    <row r="26" spans="2:4" x14ac:dyDescent="0.3">
      <c r="B26" s="7">
        <v>4.5199999999999996</v>
      </c>
      <c r="C26" s="8">
        <v>12</v>
      </c>
      <c r="D26" s="9">
        <v>25</v>
      </c>
    </row>
    <row r="27" spans="2:4" x14ac:dyDescent="0.3">
      <c r="B27" s="10">
        <v>4.57</v>
      </c>
      <c r="C27" s="8">
        <v>8</v>
      </c>
      <c r="D27" s="9">
        <v>11</v>
      </c>
    </row>
    <row r="28" spans="2:4" x14ac:dyDescent="0.3">
      <c r="B28" s="7">
        <v>4.62</v>
      </c>
      <c r="C28" s="8">
        <v>10</v>
      </c>
      <c r="D28" s="9">
        <v>17</v>
      </c>
    </row>
    <row r="29" spans="2:4" x14ac:dyDescent="0.3">
      <c r="B29" s="7">
        <v>4.71</v>
      </c>
      <c r="C29" s="8">
        <v>12</v>
      </c>
      <c r="D29" s="9">
        <v>24</v>
      </c>
    </row>
    <row r="30" spans="2:4" x14ac:dyDescent="0.3">
      <c r="B30" s="7">
        <v>4.91</v>
      </c>
      <c r="C30" s="8">
        <v>10</v>
      </c>
      <c r="D30" s="9">
        <v>16</v>
      </c>
    </row>
    <row r="31" spans="2:4" x14ac:dyDescent="0.3">
      <c r="B31" s="7">
        <v>4.92</v>
      </c>
      <c r="C31" s="8">
        <v>12</v>
      </c>
      <c r="D31" s="9">
        <v>23</v>
      </c>
    </row>
    <row r="32" spans="2:4" x14ac:dyDescent="0.3">
      <c r="B32" s="10">
        <v>5.03</v>
      </c>
      <c r="C32" s="8">
        <v>8</v>
      </c>
      <c r="D32" s="9">
        <v>10</v>
      </c>
    </row>
    <row r="33" spans="2:4" x14ac:dyDescent="0.3">
      <c r="B33" s="7">
        <v>5.14</v>
      </c>
      <c r="C33" s="8">
        <v>12</v>
      </c>
      <c r="D33" s="9">
        <v>22</v>
      </c>
    </row>
    <row r="34" spans="2:4" x14ac:dyDescent="0.3">
      <c r="B34" s="10">
        <v>5.24</v>
      </c>
      <c r="C34" s="8">
        <v>10</v>
      </c>
      <c r="D34" s="9">
        <v>15</v>
      </c>
    </row>
    <row r="35" spans="2:4" x14ac:dyDescent="0.3">
      <c r="B35" s="7">
        <v>5.39</v>
      </c>
      <c r="C35" s="8">
        <v>12</v>
      </c>
      <c r="D35" s="9">
        <v>21</v>
      </c>
    </row>
    <row r="36" spans="2:4" x14ac:dyDescent="0.3">
      <c r="B36" s="10">
        <v>5.61</v>
      </c>
      <c r="C36" s="8">
        <v>10</v>
      </c>
      <c r="D36" s="9">
        <v>14</v>
      </c>
    </row>
    <row r="37" spans="2:4" x14ac:dyDescent="0.3">
      <c r="B37" s="10">
        <v>5.65</v>
      </c>
      <c r="C37" s="8">
        <v>12</v>
      </c>
      <c r="D37" s="9">
        <v>20</v>
      </c>
    </row>
    <row r="38" spans="2:4" x14ac:dyDescent="0.3">
      <c r="B38" s="7">
        <v>5.95</v>
      </c>
      <c r="C38" s="8">
        <v>12</v>
      </c>
      <c r="D38" s="9">
        <v>19</v>
      </c>
    </row>
    <row r="39" spans="2:4" x14ac:dyDescent="0.3">
      <c r="B39" s="10">
        <v>6.04</v>
      </c>
      <c r="C39" s="8">
        <v>10</v>
      </c>
      <c r="D39" s="9">
        <v>13</v>
      </c>
    </row>
    <row r="40" spans="2:4" x14ac:dyDescent="0.3">
      <c r="B40" s="7">
        <v>6.28</v>
      </c>
      <c r="C40" s="8">
        <v>12</v>
      </c>
      <c r="D40" s="9">
        <v>18</v>
      </c>
    </row>
    <row r="41" spans="2:4" x14ac:dyDescent="0.3">
      <c r="B41" s="10">
        <v>6.54</v>
      </c>
      <c r="C41" s="8">
        <v>10</v>
      </c>
      <c r="D41" s="9">
        <v>12</v>
      </c>
    </row>
    <row r="42" spans="2:4" x14ac:dyDescent="0.3">
      <c r="B42" s="7">
        <v>6.65</v>
      </c>
      <c r="C42" s="8">
        <v>12</v>
      </c>
      <c r="D42" s="9">
        <v>17</v>
      </c>
    </row>
    <row r="43" spans="2:4" x14ac:dyDescent="0.3">
      <c r="B43" s="7">
        <v>7.07</v>
      </c>
      <c r="C43" s="8">
        <v>12</v>
      </c>
      <c r="D43" s="9">
        <v>16</v>
      </c>
    </row>
    <row r="44" spans="2:4" x14ac:dyDescent="0.3">
      <c r="B44" s="10">
        <v>7.14</v>
      </c>
      <c r="C44" s="8">
        <v>10</v>
      </c>
      <c r="D44" s="9">
        <v>11</v>
      </c>
    </row>
    <row r="45" spans="2:4" x14ac:dyDescent="0.3">
      <c r="B45" s="10">
        <v>7.54</v>
      </c>
      <c r="C45" s="8">
        <v>12</v>
      </c>
      <c r="D45" s="9">
        <v>15</v>
      </c>
    </row>
    <row r="46" spans="2:4" x14ac:dyDescent="0.3">
      <c r="B46" s="10">
        <v>7.85</v>
      </c>
      <c r="C46" s="8">
        <v>10</v>
      </c>
      <c r="D46" s="9">
        <v>10</v>
      </c>
    </row>
    <row r="47" spans="2:4" x14ac:dyDescent="0.3">
      <c r="B47" s="7">
        <v>8.0399999999999991</v>
      </c>
      <c r="C47" s="8">
        <v>16</v>
      </c>
      <c r="D47" s="9">
        <v>25</v>
      </c>
    </row>
    <row r="48" spans="2:4" x14ac:dyDescent="0.3">
      <c r="B48" s="10">
        <v>8.08</v>
      </c>
      <c r="C48" s="8">
        <v>12</v>
      </c>
      <c r="D48" s="9">
        <v>14</v>
      </c>
    </row>
    <row r="49" spans="2:4" x14ac:dyDescent="0.3">
      <c r="B49" s="7">
        <v>8.3800000000000008</v>
      </c>
      <c r="C49" s="8">
        <v>16</v>
      </c>
      <c r="D49" s="9">
        <v>24</v>
      </c>
    </row>
    <row r="50" spans="2:4" x14ac:dyDescent="0.3">
      <c r="B50" s="10">
        <v>8.6999999999999993</v>
      </c>
      <c r="C50" s="8">
        <v>12</v>
      </c>
      <c r="D50" s="9">
        <v>13</v>
      </c>
    </row>
    <row r="51" spans="2:4" x14ac:dyDescent="0.3">
      <c r="B51" s="7">
        <v>8.74</v>
      </c>
      <c r="C51" s="8">
        <v>16</v>
      </c>
      <c r="D51" s="9">
        <v>23</v>
      </c>
    </row>
    <row r="52" spans="2:4" x14ac:dyDescent="0.3">
      <c r="B52" s="7">
        <v>9.14</v>
      </c>
      <c r="C52" s="8">
        <v>16</v>
      </c>
      <c r="D52" s="9">
        <v>22</v>
      </c>
    </row>
    <row r="53" spans="2:4" x14ac:dyDescent="0.3">
      <c r="B53" s="10">
        <v>9.42</v>
      </c>
      <c r="C53" s="8">
        <v>12</v>
      </c>
      <c r="D53" s="9">
        <v>12</v>
      </c>
    </row>
    <row r="54" spans="2:4" x14ac:dyDescent="0.3">
      <c r="B54" s="7">
        <v>9.57</v>
      </c>
      <c r="C54" s="8">
        <v>16</v>
      </c>
      <c r="D54" s="9">
        <v>21</v>
      </c>
    </row>
    <row r="55" spans="2:4" x14ac:dyDescent="0.3">
      <c r="B55" s="10">
        <v>10.050000000000001</v>
      </c>
      <c r="C55" s="8">
        <v>16</v>
      </c>
      <c r="D55" s="9">
        <v>20</v>
      </c>
    </row>
    <row r="56" spans="2:4" x14ac:dyDescent="0.3">
      <c r="B56" s="10">
        <v>10.28</v>
      </c>
      <c r="C56" s="8">
        <v>12</v>
      </c>
      <c r="D56" s="9">
        <v>11</v>
      </c>
    </row>
    <row r="57" spans="2:4" x14ac:dyDescent="0.3">
      <c r="B57" s="7">
        <v>10.58</v>
      </c>
      <c r="C57" s="8">
        <v>16</v>
      </c>
      <c r="D57" s="9">
        <v>19</v>
      </c>
    </row>
    <row r="58" spans="2:4" x14ac:dyDescent="0.3">
      <c r="B58" s="7">
        <v>11.17</v>
      </c>
      <c r="C58" s="8">
        <v>16</v>
      </c>
      <c r="D58" s="9">
        <v>18</v>
      </c>
    </row>
    <row r="59" spans="2:4" x14ac:dyDescent="0.3">
      <c r="B59" s="10">
        <v>11.31</v>
      </c>
      <c r="C59" s="8">
        <v>12</v>
      </c>
      <c r="D59" s="9">
        <v>10</v>
      </c>
    </row>
    <row r="60" spans="2:4" x14ac:dyDescent="0.3">
      <c r="B60" s="7">
        <v>11.83</v>
      </c>
      <c r="C60" s="8">
        <v>16</v>
      </c>
      <c r="D60" s="9">
        <v>17</v>
      </c>
    </row>
    <row r="61" spans="2:4" x14ac:dyDescent="0.3">
      <c r="B61" s="7">
        <v>12.57</v>
      </c>
      <c r="C61" s="8">
        <v>16</v>
      </c>
      <c r="D61" s="9">
        <v>16</v>
      </c>
    </row>
    <row r="62" spans="2:4" x14ac:dyDescent="0.3">
      <c r="B62" s="10">
        <v>13.4</v>
      </c>
      <c r="C62" s="8">
        <v>16</v>
      </c>
      <c r="D62" s="9">
        <v>15</v>
      </c>
    </row>
    <row r="63" spans="2:4" x14ac:dyDescent="0.3">
      <c r="B63" s="10">
        <v>14.36</v>
      </c>
      <c r="C63" s="8">
        <v>16</v>
      </c>
      <c r="D63" s="9">
        <v>14</v>
      </c>
    </row>
    <row r="64" spans="2:4" x14ac:dyDescent="0.3">
      <c r="B64" s="10">
        <v>15.47</v>
      </c>
      <c r="C64" s="8">
        <v>16</v>
      </c>
      <c r="D64" s="9">
        <v>13</v>
      </c>
    </row>
    <row r="65" spans="2:4" x14ac:dyDescent="0.3">
      <c r="B65" s="10">
        <v>16.760000000000002</v>
      </c>
      <c r="C65" s="8">
        <v>16</v>
      </c>
      <c r="D65" s="9">
        <v>12</v>
      </c>
    </row>
    <row r="66" spans="2:4" x14ac:dyDescent="0.3">
      <c r="B66" s="10">
        <v>18.28</v>
      </c>
      <c r="C66" s="8">
        <v>16</v>
      </c>
      <c r="D66" s="9">
        <v>11</v>
      </c>
    </row>
    <row r="67" spans="2:4" ht="15" thickBot="1" x14ac:dyDescent="0.35">
      <c r="B67" s="11">
        <v>20.11</v>
      </c>
      <c r="C67" s="12">
        <v>16</v>
      </c>
      <c r="D67" s="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D7F1-EE11-4176-B28A-840FC552FF55}">
  <dimension ref="B2:Q59"/>
  <sheetViews>
    <sheetView showGridLines="0" tabSelected="1" topLeftCell="A13" workbookViewId="0">
      <selection activeCell="I32" sqref="I32"/>
    </sheetView>
  </sheetViews>
  <sheetFormatPr baseColWidth="10" defaultRowHeight="14.4" x14ac:dyDescent="0.3"/>
  <cols>
    <col min="1" max="1" width="3.33203125" customWidth="1"/>
    <col min="2" max="2" width="29.21875" bestFit="1" customWidth="1"/>
    <col min="3" max="3" width="6" bestFit="1" customWidth="1"/>
    <col min="4" max="4" width="7.6640625" bestFit="1" customWidth="1"/>
    <col min="5" max="5" width="2" customWidth="1"/>
    <col min="6" max="6" width="11.6640625" bestFit="1" customWidth="1"/>
    <col min="7" max="7" width="3.6640625" customWidth="1"/>
    <col min="8" max="8" width="24.21875" style="15" customWidth="1"/>
    <col min="9" max="9" width="11.109375" customWidth="1"/>
    <col min="10" max="10" width="7.6640625" bestFit="1" customWidth="1"/>
    <col min="11" max="11" width="1.88671875" customWidth="1"/>
    <col min="12" max="12" width="14.5546875" bestFit="1" customWidth="1"/>
    <col min="14" max="14" width="12" bestFit="1" customWidth="1"/>
  </cols>
  <sheetData>
    <row r="2" spans="2:12" ht="18" x14ac:dyDescent="0.35">
      <c r="B2" s="37" t="s">
        <v>8</v>
      </c>
    </row>
    <row r="4" spans="2:12" x14ac:dyDescent="0.3">
      <c r="B4" s="17" t="s">
        <v>5</v>
      </c>
      <c r="H4" s="18" t="s">
        <v>24</v>
      </c>
    </row>
    <row r="5" spans="2:12" x14ac:dyDescent="0.3">
      <c r="B5" s="19" t="s">
        <v>6</v>
      </c>
      <c r="C5" s="16">
        <v>300</v>
      </c>
      <c r="D5" s="16" t="s">
        <v>7</v>
      </c>
      <c r="H5" s="19" t="s">
        <v>58</v>
      </c>
      <c r="I5" s="16">
        <f>C12/16</f>
        <v>937.5</v>
      </c>
      <c r="J5" s="16" t="s">
        <v>4</v>
      </c>
      <c r="K5" s="21"/>
      <c r="L5" s="38" t="str">
        <f>IF(I5&lt;C10,"[OK]","[REDISEÑAR]")</f>
        <v>[REDISEÑAR]</v>
      </c>
    </row>
    <row r="6" spans="2:12" x14ac:dyDescent="0.3">
      <c r="B6" s="19" t="s">
        <v>29</v>
      </c>
      <c r="C6" s="16">
        <v>4200</v>
      </c>
      <c r="D6" s="16" t="s">
        <v>7</v>
      </c>
      <c r="H6" s="19" t="s">
        <v>15</v>
      </c>
      <c r="I6" s="16">
        <f>C10*C11</f>
        <v>12500</v>
      </c>
      <c r="J6" s="16" t="s">
        <v>16</v>
      </c>
      <c r="K6" s="21"/>
    </row>
    <row r="7" spans="2:12" x14ac:dyDescent="0.3">
      <c r="B7" s="19" t="s">
        <v>30</v>
      </c>
      <c r="C7" s="16">
        <v>2800</v>
      </c>
      <c r="D7" s="16" t="s">
        <v>7</v>
      </c>
      <c r="H7" s="19" t="s">
        <v>51</v>
      </c>
      <c r="I7" s="16">
        <f>MIN(0.8*C11/5,3*C10,45)</f>
        <v>45</v>
      </c>
      <c r="J7" s="16" t="s">
        <v>4</v>
      </c>
      <c r="K7" s="21"/>
      <c r="L7" s="38" t="str">
        <f>IF(I7&gt;C23,"[OK]","[REDISEÑAR]")</f>
        <v>[OK]</v>
      </c>
    </row>
    <row r="8" spans="2:12" x14ac:dyDescent="0.3">
      <c r="H8" s="19" t="s">
        <v>56</v>
      </c>
      <c r="I8" s="16">
        <f>MIN(0.8*C12/3,3*C11,45)</f>
        <v>45</v>
      </c>
      <c r="J8" s="16" t="s">
        <v>4</v>
      </c>
      <c r="K8" s="21"/>
      <c r="L8" s="38" t="str">
        <f>IF(I8&gt;C23,"[OK]","[REDISEÑAR]")</f>
        <v>[OK]</v>
      </c>
    </row>
    <row r="9" spans="2:12" x14ac:dyDescent="0.3">
      <c r="B9" s="17" t="s">
        <v>3</v>
      </c>
      <c r="H9" s="19" t="s">
        <v>62</v>
      </c>
      <c r="I9" s="16">
        <f>0.8*C11</f>
        <v>400</v>
      </c>
      <c r="J9" s="28" t="s">
        <v>4</v>
      </c>
    </row>
    <row r="10" spans="2:12" x14ac:dyDescent="0.3">
      <c r="B10" s="19" t="str">
        <f>"Espesor del muro (h)"</f>
        <v>Espesor del muro (h)</v>
      </c>
      <c r="C10" s="16">
        <v>25</v>
      </c>
      <c r="D10" s="16" t="s">
        <v>4</v>
      </c>
    </row>
    <row r="11" spans="2:12" x14ac:dyDescent="0.3">
      <c r="B11" s="19" t="s">
        <v>63</v>
      </c>
      <c r="C11" s="16">
        <v>500</v>
      </c>
      <c r="D11" s="16" t="s">
        <v>4</v>
      </c>
      <c r="H11" s="18" t="s">
        <v>25</v>
      </c>
    </row>
    <row r="12" spans="2:12" x14ac:dyDescent="0.3">
      <c r="B12" s="19" t="s">
        <v>9</v>
      </c>
      <c r="C12" s="16">
        <v>15000</v>
      </c>
      <c r="D12" s="16" t="s">
        <v>4</v>
      </c>
      <c r="H12" s="19" t="s">
        <v>27</v>
      </c>
      <c r="I12" s="16">
        <f>0.35*C5</f>
        <v>105</v>
      </c>
      <c r="J12" s="16" t="s">
        <v>7</v>
      </c>
      <c r="K12" s="21"/>
    </row>
    <row r="13" spans="2:12" x14ac:dyDescent="0.3">
      <c r="H13" s="19" t="s">
        <v>26</v>
      </c>
      <c r="I13" s="29">
        <f>C15*1000/I6</f>
        <v>63.84</v>
      </c>
      <c r="J13" s="16" t="s">
        <v>7</v>
      </c>
      <c r="K13" s="21"/>
      <c r="L13" s="38" t="str">
        <f>IF(I13&lt;I12,"[OK]","[REDISEÑAR]")</f>
        <v>[OK]</v>
      </c>
    </row>
    <row r="14" spans="2:12" x14ac:dyDescent="0.3">
      <c r="B14" s="17" t="s">
        <v>10</v>
      </c>
    </row>
    <row r="15" spans="2:12" x14ac:dyDescent="0.3">
      <c r="B15" s="19" t="str">
        <f>"$N_U$"</f>
        <v>$N_U$</v>
      </c>
      <c r="C15" s="16">
        <v>798</v>
      </c>
      <c r="D15" s="16" t="s">
        <v>11</v>
      </c>
      <c r="H15" s="18" t="s">
        <v>54</v>
      </c>
    </row>
    <row r="16" spans="2:12" x14ac:dyDescent="0.3">
      <c r="B16" s="19" t="s">
        <v>13</v>
      </c>
      <c r="C16" s="16">
        <v>40</v>
      </c>
      <c r="D16" s="16" t="s">
        <v>11</v>
      </c>
      <c r="H16" s="19" t="s">
        <v>74</v>
      </c>
      <c r="I16" s="16">
        <f>1.2*C16+C17+1.4*C18</f>
        <v>206</v>
      </c>
      <c r="J16" s="16" t="s">
        <v>11</v>
      </c>
      <c r="L16" t="s">
        <v>70</v>
      </c>
    </row>
    <row r="17" spans="2:15" x14ac:dyDescent="0.3">
      <c r="B17" s="19" t="s">
        <v>12</v>
      </c>
      <c r="C17" s="16">
        <v>25</v>
      </c>
      <c r="D17" s="16" t="s">
        <v>11</v>
      </c>
      <c r="H17" s="19" t="s">
        <v>71</v>
      </c>
      <c r="I17" s="16">
        <f>SUM(C16:C18)</f>
        <v>160</v>
      </c>
      <c r="J17" s="16" t="s">
        <v>11</v>
      </c>
      <c r="L17" t="s">
        <v>72</v>
      </c>
    </row>
    <row r="18" spans="2:15" x14ac:dyDescent="0.3">
      <c r="B18" s="19" t="s">
        <v>14</v>
      </c>
      <c r="C18" s="16">
        <v>95</v>
      </c>
      <c r="D18" s="16" t="s">
        <v>11</v>
      </c>
      <c r="H18" s="19" t="s">
        <v>75</v>
      </c>
      <c r="I18" s="16">
        <f>IF(C19=0,I16,C19)</f>
        <v>150</v>
      </c>
      <c r="J18" s="16" t="s">
        <v>11</v>
      </c>
      <c r="L18" s="39" t="s">
        <v>76</v>
      </c>
    </row>
    <row r="19" spans="2:15" x14ac:dyDescent="0.3">
      <c r="B19" s="19" t="s">
        <v>55</v>
      </c>
      <c r="C19" s="16">
        <v>150</v>
      </c>
      <c r="D19" s="16" t="s">
        <v>11</v>
      </c>
      <c r="H19" s="19" t="s">
        <v>73</v>
      </c>
      <c r="I19" s="16">
        <f>IF(C19=0,I17,C19)</f>
        <v>150</v>
      </c>
      <c r="J19" s="16" t="s">
        <v>11</v>
      </c>
      <c r="L19" s="39" t="s">
        <v>77</v>
      </c>
    </row>
    <row r="21" spans="2:15" x14ac:dyDescent="0.3">
      <c r="B21" s="32" t="s">
        <v>40</v>
      </c>
      <c r="H21" s="26" t="s">
        <v>78</v>
      </c>
    </row>
    <row r="22" spans="2:15" x14ac:dyDescent="0.3">
      <c r="B22" s="30" t="s">
        <v>39</v>
      </c>
      <c r="C22" s="16">
        <v>10</v>
      </c>
      <c r="D22" s="28" t="s">
        <v>34</v>
      </c>
      <c r="H22" s="19" t="s">
        <v>28</v>
      </c>
      <c r="I22" s="29">
        <f>I19*1000/I6</f>
        <v>12</v>
      </c>
      <c r="J22" s="28" t="s">
        <v>7</v>
      </c>
    </row>
    <row r="23" spans="2:15" x14ac:dyDescent="0.3">
      <c r="B23" s="30" t="s">
        <v>41</v>
      </c>
      <c r="C23" s="16">
        <v>14</v>
      </c>
      <c r="D23" s="28" t="s">
        <v>4</v>
      </c>
      <c r="F23" s="38" t="str">
        <f>IF(OR(C23&gt;25,C23&lt;10),"[REDISEÑAR]",IF(AND(C23&lt;=I24,C23&lt;=I38),"[OK]","[REDISEÑAR]"))</f>
        <v>[OK]</v>
      </c>
      <c r="H23" s="19" t="s">
        <v>61</v>
      </c>
      <c r="I23" s="29">
        <f>MAX(I22*100*C10/(2*C7),C27)</f>
        <v>5.3571428571428568</v>
      </c>
      <c r="J23" s="28" t="s">
        <v>31</v>
      </c>
      <c r="L23" s="15"/>
      <c r="M23" s="15"/>
      <c r="N23" s="15"/>
    </row>
    <row r="24" spans="2:15" x14ac:dyDescent="0.3">
      <c r="C24" s="27"/>
      <c r="H24" s="19" t="s">
        <v>33</v>
      </c>
      <c r="I24" s="19">
        <f>ROUNDDOWN((1/I23)*C26*100,0)</f>
        <v>14</v>
      </c>
      <c r="J24" s="16" t="s">
        <v>4</v>
      </c>
      <c r="L24" s="38" t="str">
        <f>IF(OR(I24&lt;10,I24&gt;25),"[REDISEÑAR]","[OK")</f>
        <v>[OK</v>
      </c>
      <c r="M24" s="40" t="s">
        <v>64</v>
      </c>
      <c r="N24" s="41">
        <f>1/I23*(C22/2)^2*PI()</f>
        <v>14.660765716752369</v>
      </c>
      <c r="O24" t="str">
        <f>"$\phi$"&amp;C22&amp;"@"&amp;I24</f>
        <v>$\phi$10@14</v>
      </c>
    </row>
    <row r="25" spans="2:15" x14ac:dyDescent="0.3">
      <c r="B25" s="18" t="s">
        <v>52</v>
      </c>
      <c r="H25" s="30" t="s">
        <v>47</v>
      </c>
      <c r="I25" s="29">
        <f>C26*2*IF(C11/C23&gt;=1,C11/C23,0)</f>
        <v>56.099868814103452</v>
      </c>
      <c r="J25" s="28" t="s">
        <v>16</v>
      </c>
      <c r="M25" s="15"/>
      <c r="N25" s="43"/>
    </row>
    <row r="26" spans="2:15" x14ac:dyDescent="0.3">
      <c r="B26" s="30" t="s">
        <v>68</v>
      </c>
      <c r="C26" s="29">
        <f>(C22/(2*10))^2*PI()</f>
        <v>0.78539816339744828</v>
      </c>
      <c r="D26" s="28" t="s">
        <v>16</v>
      </c>
      <c r="H26" s="19" t="s">
        <v>48</v>
      </c>
      <c r="I26" s="33">
        <f>C7*I25/1000</f>
        <v>157.07963267948966</v>
      </c>
      <c r="J26" s="16" t="s">
        <v>11</v>
      </c>
      <c r="L26" s="38" t="str">
        <f>IF(I26&gt;I19,"[OK]","[REDISEÑAR]")</f>
        <v>[OK]</v>
      </c>
      <c r="M26" s="40" t="str">
        <f>IF(N26&gt;0,"Sobrado","Faltan")</f>
        <v>Sobrado</v>
      </c>
      <c r="N26" s="42">
        <f>I26-I19</f>
        <v>7.0796326794896629</v>
      </c>
    </row>
    <row r="27" spans="2:15" x14ac:dyDescent="0.3">
      <c r="B27" s="30" t="s">
        <v>84</v>
      </c>
      <c r="C27" s="29">
        <f>2.5/1000*100*C10/2</f>
        <v>3.125</v>
      </c>
      <c r="D27" s="16" t="s">
        <v>16</v>
      </c>
      <c r="N27" s="15"/>
    </row>
    <row r="28" spans="2:15" x14ac:dyDescent="0.3">
      <c r="H28" s="18" t="s">
        <v>79</v>
      </c>
      <c r="L28" s="17" t="s">
        <v>69</v>
      </c>
    </row>
    <row r="29" spans="2:15" x14ac:dyDescent="0.3">
      <c r="H29" s="19" t="s">
        <v>32</v>
      </c>
      <c r="I29" s="16">
        <v>0.6</v>
      </c>
      <c r="J29" s="16" t="s">
        <v>50</v>
      </c>
      <c r="L29" s="19" t="s">
        <v>65</v>
      </c>
      <c r="M29" s="29">
        <f>SQRT(C5*0.0980665)*(1/0.0980665)/1000*I31*0.17</f>
        <v>74.799027579460727</v>
      </c>
      <c r="N29" s="16" t="s">
        <v>11</v>
      </c>
    </row>
    <row r="30" spans="2:15" x14ac:dyDescent="0.3">
      <c r="H30" s="19" t="s">
        <v>45</v>
      </c>
      <c r="I30" s="33">
        <f>I18/I29</f>
        <v>250</v>
      </c>
      <c r="J30" s="16" t="s">
        <v>11</v>
      </c>
      <c r="L30" s="19" t="s">
        <v>57</v>
      </c>
      <c r="M30" s="16">
        <f>IF(C12/I9&lt;=1.5,0.25,IF(C12/I9&gt;=2,0.17,0.17+(0.25-0.17)/(C12/I9-1.5)*C12/I9))</f>
        <v>0.17</v>
      </c>
      <c r="N30" s="28" t="s">
        <v>50</v>
      </c>
    </row>
    <row r="31" spans="2:15" x14ac:dyDescent="0.3">
      <c r="H31" s="19" t="s">
        <v>35</v>
      </c>
      <c r="I31" s="34">
        <f>I9*C10*0.8-I39</f>
        <v>7955.1201049487172</v>
      </c>
      <c r="J31" s="16" t="s">
        <v>16</v>
      </c>
      <c r="L31" s="19" t="s">
        <v>59</v>
      </c>
      <c r="M31" s="29">
        <f>SQRT(C5*0.0980665)*(1/0.0980665)/1000*I31*M30</f>
        <v>74.799027579460727</v>
      </c>
      <c r="N31" s="28" t="s">
        <v>11</v>
      </c>
    </row>
    <row r="32" spans="2:15" x14ac:dyDescent="0.3">
      <c r="H32" s="19" t="s">
        <v>60</v>
      </c>
      <c r="I32" s="33">
        <f>MIN(M31,M29)</f>
        <v>74.799027579460727</v>
      </c>
      <c r="J32" s="28" t="s">
        <v>11</v>
      </c>
    </row>
    <row r="33" spans="8:17" x14ac:dyDescent="0.3">
      <c r="H33" s="19" t="s">
        <v>37</v>
      </c>
      <c r="I33" s="33">
        <f>I30-I32</f>
        <v>175.20097242053927</v>
      </c>
      <c r="J33" s="16" t="s">
        <v>11</v>
      </c>
    </row>
    <row r="34" spans="8:17" x14ac:dyDescent="0.3">
      <c r="H34" s="19" t="s">
        <v>61</v>
      </c>
      <c r="I34" s="36">
        <f>MAX(I33/(C6*I9/1000/100)/2,C27)</f>
        <v>5.2143146553731921</v>
      </c>
      <c r="J34" s="28" t="s">
        <v>31</v>
      </c>
    </row>
    <row r="35" spans="8:17" x14ac:dyDescent="0.3">
      <c r="H35" s="19" t="s">
        <v>66</v>
      </c>
      <c r="I35" s="35">
        <f>I34/C10/100*2</f>
        <v>4.1714517242985539E-3</v>
      </c>
      <c r="J35" s="16" t="s">
        <v>50</v>
      </c>
    </row>
    <row r="36" spans="8:17" x14ac:dyDescent="0.3">
      <c r="H36" s="19" t="s">
        <v>53</v>
      </c>
      <c r="I36" s="16">
        <f>MAX(0.0025,0.0025*0.5*(2.5-C10/(C11*0.8))*(I35-0.0025))</f>
        <v>2.5000000000000001E-3</v>
      </c>
      <c r="J36" s="28" t="s">
        <v>50</v>
      </c>
      <c r="L36" s="38" t="str">
        <f>IF(OR(I35&gt;I36,ABS(I35-I36)&lt;0.0001),"[OK]","[REDISEÑAR]")</f>
        <v>[OK]</v>
      </c>
      <c r="P36" s="31"/>
    </row>
    <row r="37" spans="8:17" x14ac:dyDescent="0.3">
      <c r="H37" s="19" t="s">
        <v>46</v>
      </c>
      <c r="I37" s="33">
        <f>SQRT(C5*0.0980665)*(1/0.0980665)/1000*0.66*0.8*C11*C10</f>
        <v>365.04316828555454</v>
      </c>
      <c r="J37" s="16" t="s">
        <v>11</v>
      </c>
      <c r="L37" s="39" t="s">
        <v>43</v>
      </c>
      <c r="N37" s="15"/>
    </row>
    <row r="38" spans="8:17" x14ac:dyDescent="0.3">
      <c r="H38" s="19" t="s">
        <v>33</v>
      </c>
      <c r="I38" s="19">
        <f>ROUNDDOWN(1/I34*C26*100,0)</f>
        <v>15</v>
      </c>
      <c r="J38" s="16" t="s">
        <v>4</v>
      </c>
      <c r="L38" s="38" t="str">
        <f>IF(OR(I38&lt;10,I38&gt;25),"[REDISEÑAR]","[OK")</f>
        <v>[OK</v>
      </c>
      <c r="M38" s="40" t="s">
        <v>64</v>
      </c>
      <c r="N38" s="41">
        <f>1/I34*(C22/2)^2*PI()</f>
        <v>15.062346929679807</v>
      </c>
      <c r="O38" t="str">
        <f>"$\phi$"&amp;C22&amp;"@"&amp;I38</f>
        <v>$\phi$10@15</v>
      </c>
      <c r="Q38" s="39"/>
    </row>
    <row r="39" spans="8:17" x14ac:dyDescent="0.3">
      <c r="H39" s="30" t="s">
        <v>47</v>
      </c>
      <c r="I39" s="29">
        <f>C26*2*IF(I9/C23&gt;=1,I9/C23,0)</f>
        <v>44.879895051282759</v>
      </c>
      <c r="J39" s="28" t="s">
        <v>16</v>
      </c>
      <c r="M39" s="15"/>
      <c r="N39" s="15"/>
    </row>
    <row r="40" spans="8:17" x14ac:dyDescent="0.3">
      <c r="H40" s="19" t="s">
        <v>42</v>
      </c>
      <c r="I40" s="33">
        <f>MIN(I39*C6/1000,I37)</f>
        <v>188.4955592153876</v>
      </c>
      <c r="J40" s="16" t="s">
        <v>11</v>
      </c>
      <c r="L40" s="39" t="s">
        <v>67</v>
      </c>
      <c r="M40" s="15"/>
      <c r="N40" s="15"/>
    </row>
    <row r="41" spans="8:17" x14ac:dyDescent="0.3">
      <c r="H41" s="19" t="s">
        <v>36</v>
      </c>
      <c r="I41" s="33">
        <f>I40+I32</f>
        <v>263.29458679484833</v>
      </c>
      <c r="J41" s="16" t="s">
        <v>11</v>
      </c>
    </row>
    <row r="42" spans="8:17" x14ac:dyDescent="0.3">
      <c r="H42" s="19" t="s">
        <v>49</v>
      </c>
      <c r="I42" s="33">
        <f>0.66*SQRT(C5*0.0980665)*(1/0.0980665)/1000*I9*C10</f>
        <v>365.04316828555454</v>
      </c>
      <c r="J42" s="16" t="s">
        <v>11</v>
      </c>
      <c r="M42" s="15"/>
      <c r="N42" s="15"/>
    </row>
    <row r="43" spans="8:17" x14ac:dyDescent="0.3">
      <c r="H43" s="19" t="s">
        <v>85</v>
      </c>
      <c r="I43" s="33">
        <f>MIN(I42,I41)</f>
        <v>263.29458679484833</v>
      </c>
      <c r="J43" s="16" t="s">
        <v>11</v>
      </c>
      <c r="L43" s="38" t="str">
        <f>IF(I43&gt;I30,"[OK]","[REDISEÑAR]")</f>
        <v>[OK]</v>
      </c>
      <c r="M43" s="40" t="str">
        <f>IF(N43&gt;0,"Sobrado","Faltan")</f>
        <v>Sobrado</v>
      </c>
      <c r="N43" s="42">
        <f>I43-I30</f>
        <v>13.294586794848328</v>
      </c>
    </row>
    <row r="45" spans="8:17" x14ac:dyDescent="0.3">
      <c r="H45" s="18" t="s">
        <v>44</v>
      </c>
      <c r="N45" s="15"/>
    </row>
    <row r="46" spans="8:17" x14ac:dyDescent="0.3">
      <c r="H46" s="19" t="s">
        <v>38</v>
      </c>
      <c r="I46" s="16">
        <f>I18</f>
        <v>150</v>
      </c>
      <c r="J46" s="16" t="s">
        <v>11</v>
      </c>
      <c r="N46" s="25"/>
    </row>
    <row r="47" spans="8:17" x14ac:dyDescent="0.3">
      <c r="H47" s="19" t="s">
        <v>45</v>
      </c>
      <c r="I47" s="33">
        <f>I30</f>
        <v>250</v>
      </c>
      <c r="J47" s="16" t="s">
        <v>11</v>
      </c>
    </row>
    <row r="48" spans="8:17" x14ac:dyDescent="0.3">
      <c r="H48" s="19" t="s">
        <v>36</v>
      </c>
      <c r="I48" s="33">
        <f>2/3*I31*SQRT(C5*0.0980665)*(1/0.0980665)/1000</f>
        <v>293.32951991945379</v>
      </c>
      <c r="J48" s="16" t="s">
        <v>11</v>
      </c>
      <c r="L48" s="38" t="str">
        <f>IF(I48&gt;I47,"[OK]","[REDISEÑAR]")</f>
        <v>[OK]</v>
      </c>
      <c r="M48" s="40" t="str">
        <f>IF(N48&gt;0,"Sobrado","Faltan")</f>
        <v>Sobrado</v>
      </c>
      <c r="N48" s="42">
        <f>I48-I47</f>
        <v>43.329519919453787</v>
      </c>
    </row>
    <row r="56" spans="8:8" x14ac:dyDescent="0.3">
      <c r="H56"/>
    </row>
    <row r="57" spans="8:8" x14ac:dyDescent="0.3">
      <c r="H57"/>
    </row>
    <row r="58" spans="8:8" x14ac:dyDescent="0.3">
      <c r="H58"/>
    </row>
    <row r="59" spans="8:8" x14ac:dyDescent="0.3">
      <c r="H59"/>
    </row>
  </sheetData>
  <pageMargins left="0.7" right="0.7" top="0.75" bottom="0.75" header="0.3" footer="0.3"/>
  <pageSetup orientation="portrait" horizontalDpi="0" verticalDpi="0" r:id="rId1"/>
  <ignoredErrors>
    <ignoredError sqref="I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2018-11-25T05:01:18Z</dcterms:modified>
</cp:coreProperties>
</file>