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F66CD993-4CF1-4D7B-BFA1-A66ABC5D2CEB}" xr6:coauthVersionLast="31" xr6:coauthVersionMax="37" xr10:uidLastSave="{00000000-0000-0000-0000-000000000000}"/>
  <bookViews>
    <workbookView xWindow="0" yWindow="0" windowWidth="22260" windowHeight="12648" xr2:uid="{00000000-000D-0000-FFFF-FFFF00000000}"/>
  </bookViews>
  <sheets>
    <sheet name="Cubicaciones" sheetId="5" r:id="rId1"/>
    <sheet name="Tablas informes" sheetId="7" r:id="rId2"/>
    <sheet name="Pesos elementos" sheetId="1" r:id="rId3"/>
    <sheet name="Verificación corte muros" sheetId="2" r:id="rId4"/>
    <sheet name="Distancias vigas" sheetId="6" r:id="rId5"/>
    <sheet name="Distancias muros" sheetId="3" r:id="rId6"/>
    <sheet name="Distancias tabiques" sheetId="4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5" l="1"/>
  <c r="D32" i="5"/>
  <c r="D31" i="5"/>
  <c r="K28" i="5"/>
  <c r="J28" i="5"/>
  <c r="I28" i="5"/>
  <c r="H28" i="5"/>
  <c r="U52" i="5"/>
  <c r="U53" i="5" s="1"/>
  <c r="U50" i="5"/>
  <c r="U51" i="5" s="1"/>
  <c r="U49" i="5"/>
  <c r="U48" i="5"/>
  <c r="U46" i="5"/>
  <c r="U47" i="5" s="1"/>
  <c r="U44" i="5"/>
  <c r="U45" i="5" s="1"/>
  <c r="U42" i="5"/>
  <c r="U43" i="5" s="1"/>
  <c r="U41" i="5"/>
  <c r="U40" i="5"/>
  <c r="U38" i="5"/>
  <c r="U39" i="5" s="1"/>
  <c r="U36" i="5"/>
  <c r="U37" i="5" s="1"/>
  <c r="U34" i="5"/>
  <c r="U35" i="5" s="1"/>
  <c r="U33" i="5"/>
  <c r="U32" i="5"/>
  <c r="U30" i="5"/>
  <c r="U31" i="5" s="1"/>
  <c r="U28" i="5"/>
  <c r="U29" i="5" s="1"/>
  <c r="U26" i="5"/>
  <c r="U27" i="5" s="1"/>
  <c r="U25" i="5"/>
  <c r="U24" i="5"/>
  <c r="U22" i="5"/>
  <c r="U23" i="5" s="1"/>
  <c r="U20" i="5"/>
  <c r="U21" i="5" s="1"/>
  <c r="U18" i="5"/>
  <c r="U19" i="5" s="1"/>
  <c r="U17" i="5"/>
  <c r="U16" i="5"/>
  <c r="U14" i="5"/>
  <c r="U15" i="5" s="1"/>
  <c r="U12" i="5"/>
  <c r="U13" i="5" s="1"/>
  <c r="U10" i="5"/>
  <c r="U11" i="5" s="1"/>
  <c r="U9" i="5"/>
  <c r="U8" i="5"/>
  <c r="U6" i="5"/>
  <c r="U7" i="5" s="1"/>
  <c r="U5" i="5"/>
  <c r="U4" i="5"/>
  <c r="W5" i="5"/>
  <c r="W4" i="5"/>
  <c r="W3" i="5"/>
  <c r="V8" i="5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7" i="5"/>
  <c r="V6" i="5"/>
  <c r="V5" i="5"/>
  <c r="V4" i="5"/>
  <c r="AJ8" i="7"/>
  <c r="AI8" i="7"/>
  <c r="AH8" i="7"/>
  <c r="AJ7" i="7"/>
  <c r="AI7" i="7"/>
  <c r="AH7" i="7"/>
  <c r="AG7" i="7"/>
  <c r="AF7" i="7"/>
  <c r="AE7" i="7"/>
  <c r="AJ6" i="7"/>
  <c r="AI6" i="7"/>
  <c r="AH6" i="7"/>
  <c r="AG6" i="7"/>
  <c r="AF6" i="7"/>
  <c r="AE6" i="7"/>
  <c r="AJ5" i="7"/>
  <c r="AI5" i="7"/>
  <c r="AH5" i="7"/>
  <c r="AG5" i="7"/>
  <c r="AF5" i="7"/>
  <c r="AE5" i="7"/>
  <c r="AJ4" i="7"/>
  <c r="AI4" i="7"/>
  <c r="AH4" i="7"/>
  <c r="AG4" i="7"/>
  <c r="AF4" i="7"/>
  <c r="AE4" i="7"/>
  <c r="AJ3" i="7"/>
  <c r="AI3" i="7"/>
  <c r="AH3" i="7"/>
  <c r="AG3" i="7"/>
  <c r="AF3" i="7"/>
  <c r="AE3" i="7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87" i="1"/>
  <c r="AA9" i="7"/>
  <c r="AB8" i="7"/>
  <c r="AA8" i="7"/>
  <c r="Z8" i="7"/>
  <c r="Y8" i="7"/>
  <c r="AB7" i="7"/>
  <c r="AA7" i="7"/>
  <c r="Z7" i="7"/>
  <c r="Y7" i="7"/>
  <c r="AB6" i="7"/>
  <c r="AA6" i="7"/>
  <c r="Z6" i="7"/>
  <c r="Y6" i="7"/>
  <c r="V5" i="7"/>
  <c r="AB5" i="7"/>
  <c r="AA5" i="7"/>
  <c r="Z5" i="7"/>
  <c r="Y5" i="7"/>
  <c r="X8" i="7"/>
  <c r="W8" i="7"/>
  <c r="X7" i="7"/>
  <c r="W7" i="7"/>
  <c r="X6" i="7"/>
  <c r="W6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V4" i="7"/>
  <c r="W58" i="1"/>
  <c r="V59" i="1"/>
  <c r="U59" i="1"/>
  <c r="T59" i="1"/>
  <c r="T10" i="7"/>
  <c r="W59" i="1"/>
  <c r="X59" i="1"/>
  <c r="X58" i="1"/>
  <c r="S10" i="7"/>
  <c r="R10" i="7"/>
  <c r="T3" i="7"/>
  <c r="S3" i="7"/>
  <c r="R3" i="7"/>
  <c r="Q3" i="7"/>
  <c r="P3" i="7"/>
  <c r="O3" i="7"/>
  <c r="N3" i="7"/>
  <c r="M3" i="7"/>
  <c r="L3" i="7"/>
  <c r="T4" i="7"/>
  <c r="S4" i="7"/>
  <c r="R4" i="7"/>
  <c r="Q4" i="7"/>
  <c r="P4" i="7"/>
  <c r="O4" i="7"/>
  <c r="N4" i="7"/>
  <c r="M4" i="7"/>
  <c r="L4" i="7"/>
  <c r="T5" i="7"/>
  <c r="S5" i="7"/>
  <c r="R5" i="7"/>
  <c r="Q5" i="7"/>
  <c r="P5" i="7"/>
  <c r="O5" i="7"/>
  <c r="N5" i="7"/>
  <c r="M5" i="7"/>
  <c r="L5" i="7"/>
  <c r="T6" i="7"/>
  <c r="S6" i="7"/>
  <c r="R6" i="7"/>
  <c r="Q6" i="7"/>
  <c r="P6" i="7"/>
  <c r="O6" i="7"/>
  <c r="N6" i="7"/>
  <c r="M6" i="7"/>
  <c r="L6" i="7"/>
  <c r="T7" i="7"/>
  <c r="S7" i="7"/>
  <c r="R7" i="7"/>
  <c r="Q7" i="7"/>
  <c r="P7" i="7"/>
  <c r="O7" i="7"/>
  <c r="N7" i="7"/>
  <c r="M7" i="7"/>
  <c r="L7" i="7"/>
  <c r="T8" i="7"/>
  <c r="S8" i="7"/>
  <c r="R8" i="7"/>
  <c r="Q8" i="7"/>
  <c r="P8" i="7"/>
  <c r="O8" i="7"/>
  <c r="N8" i="7"/>
  <c r="M8" i="7"/>
  <c r="L8" i="7"/>
  <c r="K4" i="7"/>
  <c r="K5" i="7"/>
  <c r="T9" i="7"/>
  <c r="S9" i="7"/>
  <c r="R9" i="7"/>
  <c r="Q9" i="7"/>
  <c r="P9" i="7"/>
  <c r="O9" i="7"/>
  <c r="N9" i="7"/>
  <c r="M9" i="7"/>
  <c r="L9" i="7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58" i="1"/>
  <c r="I8" i="7"/>
  <c r="H8" i="7"/>
  <c r="G8" i="7"/>
  <c r="F8" i="7"/>
  <c r="B4" i="7"/>
  <c r="I3" i="7"/>
  <c r="H3" i="7"/>
  <c r="G3" i="7"/>
  <c r="F3" i="7"/>
  <c r="E3" i="7"/>
  <c r="D3" i="7"/>
  <c r="I4" i="7"/>
  <c r="H4" i="7"/>
  <c r="G4" i="7"/>
  <c r="F4" i="7"/>
  <c r="E4" i="7"/>
  <c r="D4" i="7"/>
  <c r="I5" i="7"/>
  <c r="H5" i="7"/>
  <c r="G5" i="7"/>
  <c r="F5" i="7"/>
  <c r="E5" i="7"/>
  <c r="D5" i="7"/>
  <c r="I6" i="7"/>
  <c r="H6" i="7"/>
  <c r="G6" i="7"/>
  <c r="F6" i="7"/>
  <c r="E6" i="7"/>
  <c r="D6" i="7"/>
  <c r="S28" i="1"/>
  <c r="I7" i="7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8" i="1"/>
  <c r="G7" i="7"/>
  <c r="F7" i="7"/>
  <c r="E7" i="7"/>
  <c r="D7" i="7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28" i="1"/>
  <c r="W6" i="5" l="1"/>
  <c r="V37" i="5"/>
  <c r="W7" i="5" l="1"/>
  <c r="V38" i="5"/>
  <c r="V39" i="5" l="1"/>
  <c r="W8" i="5"/>
  <c r="W9" i="5" l="1"/>
  <c r="V40" i="5"/>
  <c r="V41" i="5" l="1"/>
  <c r="W10" i="5"/>
  <c r="W11" i="5" l="1"/>
  <c r="V42" i="5"/>
  <c r="V43" i="5" l="1"/>
  <c r="W12" i="5"/>
  <c r="V44" i="5" l="1"/>
  <c r="W13" i="5"/>
  <c r="W14" i="5" l="1"/>
  <c r="V45" i="5"/>
  <c r="V46" i="5" l="1"/>
  <c r="W15" i="5"/>
  <c r="V47" i="5" l="1"/>
  <c r="W16" i="5"/>
  <c r="W17" i="5" l="1"/>
  <c r="V48" i="5"/>
  <c r="V49" i="5" l="1"/>
  <c r="W18" i="5"/>
  <c r="W19" i="5" l="1"/>
  <c r="V50" i="5"/>
  <c r="V51" i="5" l="1"/>
  <c r="V52" i="5" s="1"/>
  <c r="W20" i="5"/>
  <c r="W21" i="5" l="1"/>
  <c r="V53" i="5"/>
  <c r="W22" i="5" l="1"/>
  <c r="W23" i="5" l="1"/>
  <c r="W24" i="5" l="1"/>
  <c r="W25" i="5" l="1"/>
  <c r="W26" i="5" l="1"/>
  <c r="W27" i="5" l="1"/>
  <c r="W28" i="5" l="1"/>
  <c r="W29" i="5" l="1"/>
  <c r="W30" i="5" l="1"/>
  <c r="W31" i="5" l="1"/>
  <c r="W32" i="5" l="1"/>
  <c r="W33" i="5" l="1"/>
  <c r="W34" i="5" l="1"/>
  <c r="W35" i="5" l="1"/>
  <c r="W36" i="5" l="1"/>
  <c r="W37" i="5" l="1"/>
  <c r="W38" i="5" l="1"/>
  <c r="W39" i="5" l="1"/>
  <c r="W40" i="5" l="1"/>
  <c r="W41" i="5" l="1"/>
  <c r="W42" i="5" l="1"/>
  <c r="W43" i="5" l="1"/>
  <c r="W44" i="5" l="1"/>
  <c r="W45" i="5" l="1"/>
  <c r="W46" i="5" l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W47" i="5" l="1"/>
  <c r="J28" i="2"/>
  <c r="I28" i="2"/>
  <c r="F31" i="2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W48" i="5" l="1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W49" i="5" l="1"/>
  <c r="AA28" i="1"/>
  <c r="AA27" i="1"/>
  <c r="C6" i="1"/>
  <c r="M6" i="1" s="1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4" i="2"/>
  <c r="T25" i="2"/>
  <c r="T26" i="2"/>
  <c r="U26" i="2" s="1"/>
  <c r="B19" i="5"/>
  <c r="B18" i="5"/>
  <c r="D4" i="5"/>
  <c r="I87" i="1"/>
  <c r="J64" i="1"/>
  <c r="I64" i="1"/>
  <c r="L64" i="1" s="1"/>
  <c r="K58" i="1"/>
  <c r="J58" i="1"/>
  <c r="I58" i="1"/>
  <c r="AD3" i="2"/>
  <c r="N3" i="2"/>
  <c r="M3" i="2"/>
  <c r="I5" i="1"/>
  <c r="L5" i="1" s="1"/>
  <c r="H28" i="1"/>
  <c r="B27" i="5" s="1"/>
  <c r="H27" i="1"/>
  <c r="B26" i="5" s="1"/>
  <c r="H26" i="1"/>
  <c r="B25" i="5" s="1"/>
  <c r="H25" i="1"/>
  <c r="B24" i="5" s="1"/>
  <c r="H24" i="1"/>
  <c r="B23" i="5" s="1"/>
  <c r="H23" i="1"/>
  <c r="B22" i="5" s="1"/>
  <c r="H22" i="1"/>
  <c r="B21" i="5" s="1"/>
  <c r="H21" i="1"/>
  <c r="B20" i="5" s="1"/>
  <c r="H20" i="1"/>
  <c r="H19" i="1"/>
  <c r="H18" i="1"/>
  <c r="B17" i="5" s="1"/>
  <c r="H17" i="1"/>
  <c r="B16" i="5" s="1"/>
  <c r="H16" i="1"/>
  <c r="B15" i="5" s="1"/>
  <c r="H15" i="1"/>
  <c r="B14" i="5" s="1"/>
  <c r="H14" i="1"/>
  <c r="B13" i="5" s="1"/>
  <c r="H13" i="1"/>
  <c r="B12" i="5" s="1"/>
  <c r="H12" i="1"/>
  <c r="B11" i="5" s="1"/>
  <c r="H11" i="1"/>
  <c r="B10" i="5" s="1"/>
  <c r="H10" i="1"/>
  <c r="B9" i="5" s="1"/>
  <c r="H9" i="1"/>
  <c r="B8" i="5" s="1"/>
  <c r="H8" i="1"/>
  <c r="B7" i="5" s="1"/>
  <c r="H7" i="1"/>
  <c r="B6" i="5" s="1"/>
  <c r="H6" i="1"/>
  <c r="B5" i="5" s="1"/>
  <c r="H5" i="1"/>
  <c r="B4" i="5" s="1"/>
  <c r="H4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W50" i="5" l="1"/>
  <c r="B3" i="5"/>
  <c r="V4" i="1"/>
  <c r="P5" i="1"/>
  <c r="Q26" i="2"/>
  <c r="I52" i="2" s="1"/>
  <c r="C4" i="5"/>
  <c r="U25" i="2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M5" i="1"/>
  <c r="C19" i="1"/>
  <c r="K64" i="1" s="1"/>
  <c r="M64" i="1" s="1"/>
  <c r="N64" i="1" s="1"/>
  <c r="P4" i="1"/>
  <c r="S4" i="1" s="1"/>
  <c r="P28" i="1" l="1"/>
  <c r="H7" i="7" s="1"/>
  <c r="P13" i="1"/>
  <c r="P12" i="1"/>
  <c r="P20" i="1"/>
  <c r="P14" i="1"/>
  <c r="P21" i="1"/>
  <c r="P15" i="1"/>
  <c r="P16" i="1"/>
  <c r="P6" i="1"/>
  <c r="P22" i="1"/>
  <c r="P7" i="1"/>
  <c r="P23" i="1"/>
  <c r="P24" i="1"/>
  <c r="P9" i="1"/>
  <c r="P26" i="1"/>
  <c r="P8" i="1"/>
  <c r="P17" i="1"/>
  <c r="P25" i="1"/>
  <c r="P10" i="1"/>
  <c r="P18" i="1"/>
  <c r="P11" i="1"/>
  <c r="P19" i="1"/>
  <c r="P27" i="1"/>
  <c r="S5" i="1"/>
  <c r="H4" i="5" s="1"/>
  <c r="Q5" i="1"/>
  <c r="I4" i="5"/>
  <c r="O29" i="1"/>
  <c r="P29" i="1" l="1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R8" i="6" l="1"/>
  <c r="Q8" i="6"/>
  <c r="P8" i="6"/>
  <c r="O8" i="6"/>
  <c r="I8" i="6"/>
  <c r="H8" i="6"/>
  <c r="G8" i="6"/>
  <c r="I78" i="1"/>
  <c r="L78" i="1" s="1"/>
  <c r="I75" i="1"/>
  <c r="L75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9" i="1" s="1"/>
  <c r="L79" i="1" s="1"/>
  <c r="D5" i="6"/>
  <c r="D8" i="6" s="1"/>
  <c r="C5" i="6"/>
  <c r="C11" i="6" s="1"/>
  <c r="I82" i="1" s="1"/>
  <c r="L82" i="1" s="1"/>
  <c r="B5" i="6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M4" i="4"/>
  <c r="L4" i="4"/>
  <c r="K4" i="4"/>
  <c r="J4" i="4"/>
  <c r="P58" i="1" s="1"/>
  <c r="I4" i="4"/>
  <c r="O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R26" i="2" s="1"/>
  <c r="J52" i="2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7" i="1"/>
  <c r="R25" i="2" s="1"/>
  <c r="J51" i="2" s="1"/>
  <c r="I57" i="1"/>
  <c r="Q25" i="2" s="1"/>
  <c r="I51" i="2" s="1"/>
  <c r="J56" i="1"/>
  <c r="I56" i="1"/>
  <c r="Q24" i="2" s="1"/>
  <c r="I50" i="2" s="1"/>
  <c r="J55" i="1"/>
  <c r="I55" i="1"/>
  <c r="Q23" i="2" s="1"/>
  <c r="I49" i="2" s="1"/>
  <c r="J54" i="1"/>
  <c r="I54" i="1"/>
  <c r="Q22" i="2" s="1"/>
  <c r="I48" i="2" s="1"/>
  <c r="J53" i="1"/>
  <c r="I53" i="1"/>
  <c r="J52" i="1"/>
  <c r="I52" i="1"/>
  <c r="Q20" i="2" s="1"/>
  <c r="I46" i="2" s="1"/>
  <c r="J51" i="1"/>
  <c r="I51" i="1"/>
  <c r="Q19" i="2" s="1"/>
  <c r="I45" i="2" s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Q12" i="2" s="1"/>
  <c r="I38" i="2" s="1"/>
  <c r="J43" i="1"/>
  <c r="R11" i="2" s="1"/>
  <c r="J37" i="2" s="1"/>
  <c r="I43" i="1"/>
  <c r="Q11" i="2" s="1"/>
  <c r="I37" i="2" s="1"/>
  <c r="J42" i="1"/>
  <c r="I42" i="1"/>
  <c r="J41" i="1"/>
  <c r="I41" i="1"/>
  <c r="J40" i="1"/>
  <c r="I40" i="1"/>
  <c r="Q8" i="2" s="1"/>
  <c r="I34" i="2" s="1"/>
  <c r="J39" i="1"/>
  <c r="R7" i="2" s="1"/>
  <c r="J33" i="2" s="1"/>
  <c r="I39" i="1"/>
  <c r="Q7" i="2" s="1"/>
  <c r="I33" i="2" s="1"/>
  <c r="J38" i="1"/>
  <c r="I38" i="1"/>
  <c r="J37" i="1"/>
  <c r="I37" i="1"/>
  <c r="J36" i="1"/>
  <c r="I36" i="1"/>
  <c r="J35" i="1"/>
  <c r="I35" i="1"/>
  <c r="H58" i="1"/>
  <c r="H87" i="1" s="1"/>
  <c r="H57" i="1"/>
  <c r="H86" i="1" s="1"/>
  <c r="H56" i="1"/>
  <c r="H85" i="1" s="1"/>
  <c r="H55" i="1"/>
  <c r="H84" i="1" s="1"/>
  <c r="H54" i="1"/>
  <c r="H83" i="1" s="1"/>
  <c r="H53" i="1"/>
  <c r="H82" i="1" s="1"/>
  <c r="H52" i="1"/>
  <c r="H81" i="1" s="1"/>
  <c r="H51" i="1"/>
  <c r="H80" i="1" s="1"/>
  <c r="H50" i="1"/>
  <c r="H79" i="1" s="1"/>
  <c r="H49" i="1"/>
  <c r="H78" i="1" s="1"/>
  <c r="H48" i="1"/>
  <c r="H77" i="1" s="1"/>
  <c r="H47" i="1"/>
  <c r="H76" i="1" s="1"/>
  <c r="H46" i="1"/>
  <c r="H75" i="1" s="1"/>
  <c r="H45" i="1"/>
  <c r="H74" i="1" s="1"/>
  <c r="H44" i="1"/>
  <c r="H73" i="1" s="1"/>
  <c r="H43" i="1"/>
  <c r="H72" i="1" s="1"/>
  <c r="H42" i="1"/>
  <c r="H71" i="1" s="1"/>
  <c r="H41" i="1"/>
  <c r="H70" i="1" s="1"/>
  <c r="H40" i="1"/>
  <c r="H69" i="1" s="1"/>
  <c r="H39" i="1"/>
  <c r="H68" i="1" s="1"/>
  <c r="H38" i="1"/>
  <c r="H67" i="1" s="1"/>
  <c r="H37" i="1"/>
  <c r="H66" i="1" s="1"/>
  <c r="H36" i="1"/>
  <c r="H65" i="1" s="1"/>
  <c r="H35" i="1"/>
  <c r="H64" i="1" s="1"/>
  <c r="H34" i="1"/>
  <c r="H63" i="1" l="1"/>
  <c r="O63" i="1" s="1"/>
  <c r="Y34" i="1"/>
  <c r="R19" i="2"/>
  <c r="J45" i="2" s="1"/>
  <c r="R24" i="2"/>
  <c r="J50" i="2" s="1"/>
  <c r="Q15" i="2"/>
  <c r="I41" i="2" s="1"/>
  <c r="R15" i="2"/>
  <c r="J41" i="2" s="1"/>
  <c r="R23" i="2"/>
  <c r="J49" i="2" s="1"/>
  <c r="Q4" i="2"/>
  <c r="I30" i="2" s="1"/>
  <c r="Q16" i="2"/>
  <c r="I42" i="2" s="1"/>
  <c r="R22" i="2"/>
  <c r="J48" i="2" s="1"/>
  <c r="S57" i="1"/>
  <c r="U57" i="1" s="1"/>
  <c r="I34" i="1"/>
  <c r="Q3" i="2"/>
  <c r="I29" i="2" s="1"/>
  <c r="J34" i="1"/>
  <c r="Q34" i="1" s="1"/>
  <c r="I71" i="1"/>
  <c r="L71" i="1" s="1"/>
  <c r="I74" i="1"/>
  <c r="L74" i="1" s="1"/>
  <c r="I66" i="1"/>
  <c r="L66" i="1" s="1"/>
  <c r="I81" i="1"/>
  <c r="L81" i="1" s="1"/>
  <c r="I67" i="1"/>
  <c r="L67" i="1" s="1"/>
  <c r="I83" i="1"/>
  <c r="L83" i="1" s="1"/>
  <c r="I70" i="1"/>
  <c r="L70" i="1" s="1"/>
  <c r="J68" i="1"/>
  <c r="K68" i="1" s="1"/>
  <c r="M68" i="1" s="1"/>
  <c r="J78" i="1"/>
  <c r="K78" i="1" s="1"/>
  <c r="M78" i="1" s="1"/>
  <c r="N78" i="1" s="1"/>
  <c r="W8" i="6"/>
  <c r="P50" i="1"/>
  <c r="X8" i="6"/>
  <c r="O47" i="1"/>
  <c r="Y8" i="6"/>
  <c r="L36" i="1"/>
  <c r="Q36" i="1" s="1"/>
  <c r="T36" i="1" s="1"/>
  <c r="L40" i="1"/>
  <c r="R8" i="2" s="1"/>
  <c r="J34" i="2" s="1"/>
  <c r="L44" i="1"/>
  <c r="Q44" i="1" s="1"/>
  <c r="T44" i="1" s="1"/>
  <c r="L48" i="1"/>
  <c r="Q48" i="1" s="1"/>
  <c r="T48" i="1" s="1"/>
  <c r="L52" i="1"/>
  <c r="Q52" i="1" s="1"/>
  <c r="T52" i="1" s="1"/>
  <c r="P35" i="1"/>
  <c r="P39" i="1"/>
  <c r="P43" i="1"/>
  <c r="P47" i="1"/>
  <c r="P51" i="1"/>
  <c r="S51" i="1" s="1"/>
  <c r="U51" i="1" s="1"/>
  <c r="B11" i="6"/>
  <c r="I63" i="1" s="1"/>
  <c r="L63" i="1" s="1"/>
  <c r="J63" i="1"/>
  <c r="K63" i="1" s="1"/>
  <c r="M63" i="1" s="1"/>
  <c r="B8" i="6"/>
  <c r="J8" i="6"/>
  <c r="Z8" i="6"/>
  <c r="P38" i="1"/>
  <c r="P54" i="1"/>
  <c r="O43" i="1"/>
  <c r="S43" i="1" s="1"/>
  <c r="U43" i="1" s="1"/>
  <c r="K37" i="1"/>
  <c r="Q37" i="1" s="1"/>
  <c r="K41" i="1"/>
  <c r="Q9" i="2" s="1"/>
  <c r="I35" i="2" s="1"/>
  <c r="K45" i="1"/>
  <c r="Q13" i="2" s="1"/>
  <c r="I39" i="2" s="1"/>
  <c r="K49" i="1"/>
  <c r="Q17" i="2" s="1"/>
  <c r="I43" i="2" s="1"/>
  <c r="K53" i="1"/>
  <c r="Q21" i="2" s="1"/>
  <c r="I47" i="2" s="1"/>
  <c r="O36" i="1"/>
  <c r="O40" i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8" i="1"/>
  <c r="L68" i="1" s="1"/>
  <c r="I72" i="1"/>
  <c r="L72" i="1" s="1"/>
  <c r="I76" i="1"/>
  <c r="L76" i="1" s="1"/>
  <c r="I80" i="1"/>
  <c r="L80" i="1" s="1"/>
  <c r="I84" i="1"/>
  <c r="L84" i="1" s="1"/>
  <c r="C8" i="6"/>
  <c r="K8" i="6"/>
  <c r="X11" i="6"/>
  <c r="S55" i="1"/>
  <c r="U55" i="1" s="1"/>
  <c r="L37" i="1"/>
  <c r="R5" i="2" s="1"/>
  <c r="J31" i="2" s="1"/>
  <c r="L41" i="1"/>
  <c r="L45" i="1"/>
  <c r="L49" i="1"/>
  <c r="L53" i="1"/>
  <c r="R21" i="2" s="1"/>
  <c r="J47" i="2" s="1"/>
  <c r="P36" i="1"/>
  <c r="P40" i="1"/>
  <c r="P44" i="1"/>
  <c r="P48" i="1"/>
  <c r="P52" i="1"/>
  <c r="G11" i="6"/>
  <c r="F9" i="6"/>
  <c r="J85" i="1" s="1"/>
  <c r="K85" i="1" s="1"/>
  <c r="M85" i="1" s="1"/>
  <c r="L8" i="6"/>
  <c r="T8" i="6"/>
  <c r="P46" i="1"/>
  <c r="S46" i="1" s="1"/>
  <c r="U46" i="1" s="1"/>
  <c r="O39" i="1"/>
  <c r="S39" i="1" s="1"/>
  <c r="U39" i="1" s="1"/>
  <c r="K38" i="1"/>
  <c r="Q6" i="2" s="1"/>
  <c r="I32" i="2" s="1"/>
  <c r="K42" i="1"/>
  <c r="Q10" i="2" s="1"/>
  <c r="I36" i="2" s="1"/>
  <c r="K46" i="1"/>
  <c r="Q14" i="2" s="1"/>
  <c r="I40" i="2" s="1"/>
  <c r="K50" i="1"/>
  <c r="Q18" i="2" s="1"/>
  <c r="I44" i="2" s="1"/>
  <c r="O37" i="1"/>
  <c r="O41" i="1"/>
  <c r="O45" i="1"/>
  <c r="O49" i="1"/>
  <c r="O53" i="1"/>
  <c r="S53" i="1" s="1"/>
  <c r="U53" i="1" s="1"/>
  <c r="O11" i="6"/>
  <c r="I65" i="1"/>
  <c r="L65" i="1" s="1"/>
  <c r="I69" i="1"/>
  <c r="L69" i="1" s="1"/>
  <c r="I73" i="1"/>
  <c r="L73" i="1" s="1"/>
  <c r="I77" i="1"/>
  <c r="L77" i="1" s="1"/>
  <c r="E8" i="6"/>
  <c r="M8" i="6"/>
  <c r="U8" i="6"/>
  <c r="P42" i="1"/>
  <c r="O35" i="1"/>
  <c r="Y11" i="6"/>
  <c r="L35" i="1"/>
  <c r="R3" i="2" s="1"/>
  <c r="J29" i="2" s="1"/>
  <c r="L38" i="1"/>
  <c r="R6" i="2" s="1"/>
  <c r="J32" i="2" s="1"/>
  <c r="L42" i="1"/>
  <c r="L46" i="1"/>
  <c r="R14" i="2" s="1"/>
  <c r="J40" i="2" s="1"/>
  <c r="L50" i="1"/>
  <c r="R18" i="2" s="1"/>
  <c r="J44" i="2" s="1"/>
  <c r="P37" i="1"/>
  <c r="P41" i="1"/>
  <c r="P45" i="1"/>
  <c r="P49" i="1"/>
  <c r="P11" i="6"/>
  <c r="K9" i="6"/>
  <c r="Q58" i="1"/>
  <c r="T58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56" i="1"/>
  <c r="T56" i="1" s="1"/>
  <c r="S38" i="1"/>
  <c r="U38" i="1" s="1"/>
  <c r="S54" i="1"/>
  <c r="U54" i="1" s="1"/>
  <c r="Q47" i="1"/>
  <c r="T47" i="1" s="1"/>
  <c r="Q43" i="1"/>
  <c r="T43" i="1" s="1"/>
  <c r="Q57" i="1"/>
  <c r="T57" i="1" s="1"/>
  <c r="Q55" i="1"/>
  <c r="T55" i="1" s="1"/>
  <c r="Q54" i="1"/>
  <c r="T54" i="1" s="1"/>
  <c r="W11" i="6"/>
  <c r="T9" i="6"/>
  <c r="J11" i="6"/>
  <c r="R11" i="6"/>
  <c r="Z11" i="6"/>
  <c r="H9" i="6"/>
  <c r="E9" i="6"/>
  <c r="J76" i="1" s="1"/>
  <c r="K76" i="1" s="1"/>
  <c r="M76" i="1" s="1"/>
  <c r="I11" i="6"/>
  <c r="V5" i="6"/>
  <c r="V8" i="6" s="1"/>
  <c r="N5" i="6"/>
  <c r="N8" i="6" s="1"/>
  <c r="I4" i="1"/>
  <c r="C25" i="1"/>
  <c r="I28" i="1" s="1"/>
  <c r="L28" i="1" s="1"/>
  <c r="I27" i="1"/>
  <c r="L27" i="1" s="1"/>
  <c r="I26" i="1"/>
  <c r="L26" i="1" s="1"/>
  <c r="I25" i="1"/>
  <c r="L25" i="1" s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S6" i="1" s="1"/>
  <c r="C3" i="5" l="1"/>
  <c r="L4" i="1"/>
  <c r="Q40" i="1"/>
  <c r="T40" i="1" s="1"/>
  <c r="Q42" i="1"/>
  <c r="T42" i="1" s="1"/>
  <c r="S45" i="1"/>
  <c r="U45" i="1" s="1"/>
  <c r="S36" i="1"/>
  <c r="U36" i="1" s="1"/>
  <c r="Q53" i="1"/>
  <c r="R20" i="2"/>
  <c r="J46" i="2" s="1"/>
  <c r="Q49" i="1"/>
  <c r="R17" i="2"/>
  <c r="J43" i="2" s="1"/>
  <c r="R12" i="2"/>
  <c r="J38" i="2" s="1"/>
  <c r="R16" i="2"/>
  <c r="J42" i="2" s="1"/>
  <c r="S35" i="1"/>
  <c r="U35" i="1" s="1"/>
  <c r="Q45" i="1"/>
  <c r="T45" i="1" s="1"/>
  <c r="R13" i="2"/>
  <c r="J39" i="2" s="1"/>
  <c r="Q38" i="1"/>
  <c r="T38" i="1" s="1"/>
  <c r="Q41" i="1"/>
  <c r="T41" i="1" s="1"/>
  <c r="S40" i="1"/>
  <c r="U40" i="1" s="1"/>
  <c r="R9" i="2"/>
  <c r="J35" i="2" s="1"/>
  <c r="Q5" i="2"/>
  <c r="I31" i="2" s="1"/>
  <c r="R4" i="2"/>
  <c r="J30" i="2" s="1"/>
  <c r="Q35" i="1"/>
  <c r="T35" i="1" s="1"/>
  <c r="Q50" i="1"/>
  <c r="T50" i="1" s="1"/>
  <c r="R10" i="2"/>
  <c r="J36" i="2" s="1"/>
  <c r="Q46" i="1"/>
  <c r="T46" i="1" s="1"/>
  <c r="S49" i="1"/>
  <c r="U49" i="1" s="1"/>
  <c r="S47" i="1"/>
  <c r="U47" i="1" s="1"/>
  <c r="N68" i="1"/>
  <c r="Q9" i="1" s="1"/>
  <c r="N76" i="1"/>
  <c r="Q17" i="1" s="1"/>
  <c r="J66" i="1"/>
  <c r="K66" i="1" s="1"/>
  <c r="M66" i="1" s="1"/>
  <c r="N66" i="1" s="1"/>
  <c r="J72" i="1"/>
  <c r="K72" i="1" s="1"/>
  <c r="M72" i="1" s="1"/>
  <c r="N72" i="1" s="1"/>
  <c r="J70" i="1"/>
  <c r="K70" i="1" s="1"/>
  <c r="M70" i="1" s="1"/>
  <c r="N70" i="1" s="1"/>
  <c r="J82" i="1"/>
  <c r="K82" i="1" s="1"/>
  <c r="M82" i="1" s="1"/>
  <c r="N82" i="1" s="1"/>
  <c r="J65" i="1"/>
  <c r="K65" i="1" s="1"/>
  <c r="M65" i="1" s="1"/>
  <c r="N65" i="1" s="1"/>
  <c r="Q19" i="1"/>
  <c r="I18" i="5"/>
  <c r="N63" i="1"/>
  <c r="Q4" i="1" s="1"/>
  <c r="J69" i="1"/>
  <c r="K69" i="1" s="1"/>
  <c r="M69" i="1" s="1"/>
  <c r="N69" i="1" s="1"/>
  <c r="J73" i="1"/>
  <c r="K73" i="1" s="1"/>
  <c r="M73" i="1" s="1"/>
  <c r="N73" i="1" s="1"/>
  <c r="J71" i="1"/>
  <c r="K71" i="1" s="1"/>
  <c r="M71" i="1" s="1"/>
  <c r="N71" i="1" s="1"/>
  <c r="J80" i="1"/>
  <c r="K80" i="1" s="1"/>
  <c r="M80" i="1" s="1"/>
  <c r="N80" i="1" s="1"/>
  <c r="J77" i="1"/>
  <c r="K77" i="1" s="1"/>
  <c r="M77" i="1" s="1"/>
  <c r="N77" i="1" s="1"/>
  <c r="J75" i="1"/>
  <c r="K75" i="1" s="1"/>
  <c r="M75" i="1" s="1"/>
  <c r="N75" i="1" s="1"/>
  <c r="J84" i="1"/>
  <c r="K84" i="1" s="1"/>
  <c r="M84" i="1" s="1"/>
  <c r="N84" i="1" s="1"/>
  <c r="J81" i="1"/>
  <c r="K81" i="1" s="1"/>
  <c r="M81" i="1" s="1"/>
  <c r="N81" i="1" s="1"/>
  <c r="J67" i="1"/>
  <c r="K67" i="1" s="1"/>
  <c r="M67" i="1" s="1"/>
  <c r="N67" i="1" s="1"/>
  <c r="S37" i="1"/>
  <c r="U37" i="1" s="1"/>
  <c r="J79" i="1"/>
  <c r="K79" i="1" s="1"/>
  <c r="M79" i="1" s="1"/>
  <c r="N79" i="1" s="1"/>
  <c r="J74" i="1"/>
  <c r="K74" i="1" s="1"/>
  <c r="M74" i="1" s="1"/>
  <c r="N74" i="1" s="1"/>
  <c r="S41" i="1"/>
  <c r="U41" i="1" s="1"/>
  <c r="I85" i="1"/>
  <c r="L85" i="1" s="1"/>
  <c r="N85" i="1" s="1"/>
  <c r="J83" i="1"/>
  <c r="K83" i="1" s="1"/>
  <c r="M83" i="1" s="1"/>
  <c r="N83" i="1" s="1"/>
  <c r="C20" i="5"/>
  <c r="C21" i="5"/>
  <c r="C15" i="5"/>
  <c r="C27" i="5"/>
  <c r="P27" i="5" s="1"/>
  <c r="C5" i="5"/>
  <c r="C14" i="5"/>
  <c r="C11" i="5"/>
  <c r="C12" i="5"/>
  <c r="C13" i="5"/>
  <c r="C22" i="5"/>
  <c r="C7" i="5"/>
  <c r="C16" i="5"/>
  <c r="C24" i="5"/>
  <c r="C17" i="5"/>
  <c r="C25" i="5"/>
  <c r="C19" i="5"/>
  <c r="C6" i="5"/>
  <c r="C23" i="5"/>
  <c r="C8" i="5"/>
  <c r="C9" i="5"/>
  <c r="C10" i="5"/>
  <c r="C18" i="5"/>
  <c r="C26" i="5"/>
  <c r="T37" i="1"/>
  <c r="T53" i="1"/>
  <c r="T34" i="1"/>
  <c r="T49" i="1"/>
  <c r="N9" i="6"/>
  <c r="J86" i="1" s="1"/>
  <c r="K86" i="1" s="1"/>
  <c r="M86" i="1" s="1"/>
  <c r="N11" i="6"/>
  <c r="I86" i="1" s="1"/>
  <c r="L86" i="1" s="1"/>
  <c r="V9" i="6"/>
  <c r="J87" i="1" s="1"/>
  <c r="K87" i="1" s="1"/>
  <c r="M87" i="1" s="1"/>
  <c r="V11" i="6"/>
  <c r="L87" i="1" s="1"/>
  <c r="D6" i="2"/>
  <c r="N23" i="2" s="1"/>
  <c r="P26" i="5" l="1"/>
  <c r="S52" i="5"/>
  <c r="S51" i="5"/>
  <c r="I8" i="5"/>
  <c r="I16" i="5"/>
  <c r="I3" i="5"/>
  <c r="Q6" i="1"/>
  <c r="I5" i="5"/>
  <c r="Q20" i="1"/>
  <c r="I19" i="5"/>
  <c r="Q18" i="1"/>
  <c r="I17" i="5"/>
  <c r="Q11" i="1"/>
  <c r="I10" i="5"/>
  <c r="Q21" i="1"/>
  <c r="I20" i="5"/>
  <c r="Q14" i="1"/>
  <c r="I13" i="5"/>
  <c r="Q13" i="1"/>
  <c r="I12" i="5"/>
  <c r="Q24" i="1"/>
  <c r="I23" i="5"/>
  <c r="Q8" i="1"/>
  <c r="I7" i="5"/>
  <c r="Q26" i="1"/>
  <c r="I25" i="5"/>
  <c r="Q22" i="1"/>
  <c r="I21" i="5"/>
  <c r="Q12" i="1"/>
  <c r="I11" i="5"/>
  <c r="Q25" i="1"/>
  <c r="I24" i="5"/>
  <c r="Q7" i="1"/>
  <c r="I6" i="5"/>
  <c r="Q10" i="1"/>
  <c r="I9" i="5"/>
  <c r="Q15" i="1"/>
  <c r="I14" i="5"/>
  <c r="Q16" i="1"/>
  <c r="I15" i="5"/>
  <c r="Q23" i="1"/>
  <c r="I22" i="5"/>
  <c r="M88" i="1"/>
  <c r="L88" i="1"/>
  <c r="N86" i="1"/>
  <c r="N87" i="1"/>
  <c r="N8" i="2"/>
  <c r="M25" i="2"/>
  <c r="L29" i="1"/>
  <c r="M28" i="1"/>
  <c r="D27" i="5"/>
  <c r="M27" i="1"/>
  <c r="S27" i="1" s="1"/>
  <c r="D26" i="5"/>
  <c r="M26" i="1"/>
  <c r="S26" i="1" s="1"/>
  <c r="D25" i="5"/>
  <c r="M14" i="1"/>
  <c r="S14" i="1" s="1"/>
  <c r="D13" i="5"/>
  <c r="M13" i="1"/>
  <c r="D12" i="5"/>
  <c r="M23" i="1"/>
  <c r="S23" i="1" s="1"/>
  <c r="D22" i="5"/>
  <c r="M15" i="1"/>
  <c r="S15" i="1" s="1"/>
  <c r="D14" i="5"/>
  <c r="M16" i="1"/>
  <c r="S16" i="1" s="1"/>
  <c r="D15" i="5"/>
  <c r="M17" i="1"/>
  <c r="D16" i="5"/>
  <c r="M25" i="1"/>
  <c r="S25" i="1" s="1"/>
  <c r="D24" i="5"/>
  <c r="M20" i="1"/>
  <c r="S20" i="1" s="1"/>
  <c r="D19" i="5"/>
  <c r="M24" i="1"/>
  <c r="S24" i="1" s="1"/>
  <c r="D23" i="5"/>
  <c r="M10" i="1"/>
  <c r="S10" i="1" s="1"/>
  <c r="D9" i="5"/>
  <c r="M22" i="1"/>
  <c r="S22" i="1" s="1"/>
  <c r="D21" i="5"/>
  <c r="M12" i="1"/>
  <c r="S12" i="1" s="1"/>
  <c r="D11" i="5"/>
  <c r="M7" i="1"/>
  <c r="S7" i="1" s="1"/>
  <c r="D6" i="5"/>
  <c r="M8" i="1"/>
  <c r="S8" i="1" s="1"/>
  <c r="D7" i="5"/>
  <c r="M9" i="1"/>
  <c r="S9" i="1" s="1"/>
  <c r="D8" i="5"/>
  <c r="M18" i="1"/>
  <c r="S18" i="1" s="1"/>
  <c r="D17" i="5"/>
  <c r="M19" i="1"/>
  <c r="S19" i="1" s="1"/>
  <c r="D18" i="5"/>
  <c r="M11" i="1"/>
  <c r="S11" i="1" s="1"/>
  <c r="D10" i="5"/>
  <c r="M21" i="1"/>
  <c r="S21" i="1" s="1"/>
  <c r="D20" i="5"/>
  <c r="D5" i="5"/>
  <c r="M4" i="1"/>
  <c r="D3" i="5"/>
  <c r="R38" i="1"/>
  <c r="V38" i="1" s="1"/>
  <c r="X8" i="1" s="1"/>
  <c r="Z8" i="1" s="1"/>
  <c r="R46" i="1"/>
  <c r="V46" i="1" s="1"/>
  <c r="R50" i="1"/>
  <c r="V50" i="1" s="1"/>
  <c r="R54" i="1"/>
  <c r="V54" i="1" s="1"/>
  <c r="R52" i="1"/>
  <c r="V52" i="1" s="1"/>
  <c r="R37" i="1"/>
  <c r="V37" i="1" s="1"/>
  <c r="R36" i="1"/>
  <c r="V36" i="1" s="1"/>
  <c r="R48" i="1"/>
  <c r="V48" i="1" s="1"/>
  <c r="R41" i="1"/>
  <c r="V41" i="1" s="1"/>
  <c r="R51" i="1"/>
  <c r="V51" i="1" s="1"/>
  <c r="R56" i="1"/>
  <c r="V56" i="1" s="1"/>
  <c r="R40" i="1"/>
  <c r="V40" i="1" s="1"/>
  <c r="R45" i="1"/>
  <c r="V45" i="1" s="1"/>
  <c r="X15" i="1" s="1"/>
  <c r="Z15" i="1" s="1"/>
  <c r="R42" i="1"/>
  <c r="V42" i="1" s="1"/>
  <c r="R55" i="1"/>
  <c r="V55" i="1" s="1"/>
  <c r="R49" i="1"/>
  <c r="V49" i="1" s="1"/>
  <c r="R53" i="1"/>
  <c r="V53" i="1" s="1"/>
  <c r="R58" i="1"/>
  <c r="V58" i="1" s="1"/>
  <c r="R35" i="1"/>
  <c r="V35" i="1" s="1"/>
  <c r="X5" i="1" s="1"/>
  <c r="Z5" i="1" s="1"/>
  <c r="R43" i="1"/>
  <c r="V43" i="1" s="1"/>
  <c r="R44" i="1"/>
  <c r="V44" i="1" s="1"/>
  <c r="R57" i="1"/>
  <c r="V57" i="1" s="1"/>
  <c r="R39" i="1"/>
  <c r="V39" i="1" s="1"/>
  <c r="R34" i="1"/>
  <c r="V34" i="1" s="1"/>
  <c r="R47" i="1"/>
  <c r="V47" i="1" s="1"/>
  <c r="X17" i="1" s="1"/>
  <c r="Z17" i="1" s="1"/>
  <c r="M4" i="2"/>
  <c r="N10" i="2"/>
  <c r="N4" i="2"/>
  <c r="N11" i="2"/>
  <c r="M5" i="2"/>
  <c r="N13" i="2"/>
  <c r="M7" i="2"/>
  <c r="M14" i="2"/>
  <c r="N7" i="2"/>
  <c r="N18" i="2"/>
  <c r="N25" i="2"/>
  <c r="M8" i="2"/>
  <c r="M21" i="2"/>
  <c r="M19" i="2"/>
  <c r="N22" i="2"/>
  <c r="M15" i="2"/>
  <c r="N5" i="2"/>
  <c r="M12" i="2"/>
  <c r="N15" i="2"/>
  <c r="N19" i="2"/>
  <c r="M6" i="2"/>
  <c r="N9" i="2"/>
  <c r="M16" i="2"/>
  <c r="M20" i="2"/>
  <c r="N6" i="2"/>
  <c r="M9" i="2"/>
  <c r="M13" i="2"/>
  <c r="M11" i="2"/>
  <c r="N20" i="2"/>
  <c r="M26" i="2"/>
  <c r="N14" i="2"/>
  <c r="M17" i="2"/>
  <c r="N26" i="2"/>
  <c r="M23" i="2"/>
  <c r="M18" i="2"/>
  <c r="M24" i="2"/>
  <c r="M22" i="2"/>
  <c r="M10" i="2"/>
  <c r="N12" i="2"/>
  <c r="N17" i="2"/>
  <c r="N24" i="2"/>
  <c r="N16" i="2"/>
  <c r="N21" i="2"/>
  <c r="P25" i="5" l="1"/>
  <c r="S50" i="5"/>
  <c r="S49" i="5"/>
  <c r="S17" i="1"/>
  <c r="H16" i="5" s="1"/>
  <c r="S13" i="1"/>
  <c r="H12" i="5" s="1"/>
  <c r="X9" i="1"/>
  <c r="Z9" i="1" s="1"/>
  <c r="X27" i="1"/>
  <c r="Z27" i="1" s="1"/>
  <c r="X12" i="1"/>
  <c r="Z12" i="1" s="1"/>
  <c r="X25" i="1"/>
  <c r="Z25" i="1" s="1"/>
  <c r="X22" i="1"/>
  <c r="Z22" i="1" s="1"/>
  <c r="X11" i="1"/>
  <c r="Z11" i="1" s="1"/>
  <c r="X4" i="1"/>
  <c r="Z4" i="1" s="1"/>
  <c r="X21" i="1"/>
  <c r="Z21" i="1" s="1"/>
  <c r="X13" i="1"/>
  <c r="Z13" i="1" s="1"/>
  <c r="X24" i="1"/>
  <c r="Z24" i="1" s="1"/>
  <c r="X26" i="1"/>
  <c r="Z26" i="1" s="1"/>
  <c r="X14" i="1"/>
  <c r="Z14" i="1" s="1"/>
  <c r="X28" i="1"/>
  <c r="Z28" i="1" s="1"/>
  <c r="X16" i="1"/>
  <c r="Z16" i="1" s="1"/>
  <c r="X19" i="1"/>
  <c r="Z19" i="1" s="1"/>
  <c r="X18" i="1"/>
  <c r="Z18" i="1" s="1"/>
  <c r="X6" i="1"/>
  <c r="Z6" i="1" s="1"/>
  <c r="X7" i="1"/>
  <c r="Z7" i="1" s="1"/>
  <c r="X10" i="1"/>
  <c r="Z10" i="1" s="1"/>
  <c r="X20" i="1"/>
  <c r="Z20" i="1" s="1"/>
  <c r="X53" i="1"/>
  <c r="X23" i="1"/>
  <c r="Z23" i="1" s="1"/>
  <c r="H21" i="5"/>
  <c r="H22" i="5"/>
  <c r="H14" i="5"/>
  <c r="H25" i="5"/>
  <c r="H11" i="5"/>
  <c r="H26" i="5"/>
  <c r="H10" i="5"/>
  <c r="H27" i="5"/>
  <c r="H17" i="5"/>
  <c r="H8" i="5"/>
  <c r="H7" i="5"/>
  <c r="H19" i="5"/>
  <c r="H18" i="5"/>
  <c r="H6" i="5"/>
  <c r="H23" i="5"/>
  <c r="H15" i="5"/>
  <c r="H13" i="5"/>
  <c r="H24" i="5"/>
  <c r="H5" i="5"/>
  <c r="N29" i="1"/>
  <c r="H20" i="5"/>
  <c r="H9" i="5"/>
  <c r="W53" i="1"/>
  <c r="J23" i="5" s="1"/>
  <c r="H3" i="5"/>
  <c r="W40" i="1"/>
  <c r="J10" i="5" s="1"/>
  <c r="X40" i="1"/>
  <c r="W54" i="1"/>
  <c r="J24" i="5" s="1"/>
  <c r="X54" i="1"/>
  <c r="W35" i="1"/>
  <c r="J5" i="5" s="1"/>
  <c r="X35" i="1"/>
  <c r="W46" i="1"/>
  <c r="J16" i="5" s="1"/>
  <c r="X46" i="1"/>
  <c r="W51" i="1"/>
  <c r="J21" i="5" s="1"/>
  <c r="X51" i="1"/>
  <c r="W47" i="1"/>
  <c r="J17" i="5" s="1"/>
  <c r="X47" i="1"/>
  <c r="W41" i="1"/>
  <c r="J11" i="5" s="1"/>
  <c r="X41" i="1"/>
  <c r="W38" i="1"/>
  <c r="J8" i="5" s="1"/>
  <c r="X38" i="1"/>
  <c r="W43" i="1"/>
  <c r="J13" i="5" s="1"/>
  <c r="X43" i="1"/>
  <c r="W50" i="1"/>
  <c r="X50" i="1"/>
  <c r="W49" i="1"/>
  <c r="J19" i="5" s="1"/>
  <c r="X49" i="1"/>
  <c r="W48" i="1"/>
  <c r="J18" i="5" s="1"/>
  <c r="X48" i="1"/>
  <c r="W39" i="1"/>
  <c r="J9" i="5" s="1"/>
  <c r="X39" i="1"/>
  <c r="W36" i="1"/>
  <c r="J6" i="5" s="1"/>
  <c r="X36" i="1"/>
  <c r="W56" i="1"/>
  <c r="J26" i="5" s="1"/>
  <c r="X56" i="1"/>
  <c r="W55" i="1"/>
  <c r="J25" i="5" s="1"/>
  <c r="X55" i="1"/>
  <c r="W57" i="1"/>
  <c r="J27" i="5" s="1"/>
  <c r="X57" i="1"/>
  <c r="W42" i="1"/>
  <c r="J12" i="5" s="1"/>
  <c r="X42" i="1"/>
  <c r="W37" i="1"/>
  <c r="J7" i="5" s="1"/>
  <c r="X37" i="1"/>
  <c r="W34" i="1"/>
  <c r="X34" i="1"/>
  <c r="W44" i="1"/>
  <c r="X44" i="1"/>
  <c r="W45" i="1"/>
  <c r="J15" i="5" s="1"/>
  <c r="X45" i="1"/>
  <c r="W52" i="1"/>
  <c r="J22" i="5" s="1"/>
  <c r="X52" i="1"/>
  <c r="N88" i="1"/>
  <c r="T67" i="1" s="1"/>
  <c r="Q28" i="1"/>
  <c r="I27" i="5"/>
  <c r="Q27" i="1"/>
  <c r="I26" i="5"/>
  <c r="R24" i="1"/>
  <c r="T24" i="1" s="1"/>
  <c r="M29" i="1"/>
  <c r="P24" i="5" l="1"/>
  <c r="S48" i="5"/>
  <c r="S47" i="5"/>
  <c r="G22" i="2"/>
  <c r="U24" i="1"/>
  <c r="O23" i="5" s="1"/>
  <c r="R14" i="1"/>
  <c r="T14" i="1" s="1"/>
  <c r="R11" i="1"/>
  <c r="T11" i="1" s="1"/>
  <c r="J4" i="5"/>
  <c r="R4" i="1"/>
  <c r="T4" i="1" s="1"/>
  <c r="J20" i="5"/>
  <c r="T66" i="1"/>
  <c r="J3" i="5"/>
  <c r="R5" i="1"/>
  <c r="T5" i="1" s="1"/>
  <c r="U5" i="1" s="1"/>
  <c r="S29" i="1"/>
  <c r="T65" i="1" s="1"/>
  <c r="K23" i="5"/>
  <c r="AA22" i="2"/>
  <c r="R7" i="1"/>
  <c r="T7" i="1" s="1"/>
  <c r="U7" i="1" s="1"/>
  <c r="R10" i="1"/>
  <c r="T10" i="1" s="1"/>
  <c r="U10" i="1" s="1"/>
  <c r="R26" i="1"/>
  <c r="T26" i="1" s="1"/>
  <c r="R27" i="1"/>
  <c r="T27" i="1" s="1"/>
  <c r="R21" i="1"/>
  <c r="T21" i="1" s="1"/>
  <c r="R16" i="1"/>
  <c r="T16" i="1" s="1"/>
  <c r="R18" i="1"/>
  <c r="T18" i="1" s="1"/>
  <c r="R6" i="1"/>
  <c r="T6" i="1" s="1"/>
  <c r="U6" i="1" s="1"/>
  <c r="R13" i="1"/>
  <c r="T13" i="1" s="1"/>
  <c r="R9" i="1"/>
  <c r="T9" i="1" s="1"/>
  <c r="R19" i="1"/>
  <c r="T19" i="1" s="1"/>
  <c r="R12" i="1"/>
  <c r="T12" i="1" s="1"/>
  <c r="R20" i="1"/>
  <c r="T20" i="1" s="1"/>
  <c r="U20" i="1" s="1"/>
  <c r="R25" i="1"/>
  <c r="T25" i="1" s="1"/>
  <c r="R17" i="1"/>
  <c r="T17" i="1" s="1"/>
  <c r="R8" i="1"/>
  <c r="T8" i="1" s="1"/>
  <c r="R22" i="1"/>
  <c r="T22" i="1" s="1"/>
  <c r="R23" i="1"/>
  <c r="T23" i="1" s="1"/>
  <c r="R15" i="1"/>
  <c r="T15" i="1" s="1"/>
  <c r="J14" i="5"/>
  <c r="R28" i="1"/>
  <c r="T28" i="1" s="1"/>
  <c r="U28" i="1" s="1"/>
  <c r="Q29" i="1"/>
  <c r="M23" i="5" l="1"/>
  <c r="N23" i="5" s="1"/>
  <c r="P23" i="5"/>
  <c r="S45" i="5"/>
  <c r="S46" i="5"/>
  <c r="G13" i="2"/>
  <c r="U15" i="1"/>
  <c r="O14" i="5" s="1"/>
  <c r="G17" i="2"/>
  <c r="U19" i="1"/>
  <c r="G20" i="2"/>
  <c r="U22" i="1"/>
  <c r="O21" i="5" s="1"/>
  <c r="G7" i="2"/>
  <c r="U9" i="1"/>
  <c r="O8" i="5" s="1"/>
  <c r="G9" i="2"/>
  <c r="U11" i="1"/>
  <c r="O10" i="5" s="1"/>
  <c r="G11" i="2"/>
  <c r="U13" i="1"/>
  <c r="G6" i="2"/>
  <c r="U8" i="1"/>
  <c r="O7" i="5" s="1"/>
  <c r="G14" i="2"/>
  <c r="U16" i="1"/>
  <c r="O15" i="5" s="1"/>
  <c r="G12" i="2"/>
  <c r="U14" i="1"/>
  <c r="O13" i="5" s="1"/>
  <c r="G21" i="2"/>
  <c r="U23" i="1"/>
  <c r="O22" i="5" s="1"/>
  <c r="K3" i="5"/>
  <c r="U4" i="1"/>
  <c r="O3" i="5" s="1"/>
  <c r="G15" i="2"/>
  <c r="U17" i="1"/>
  <c r="O16" i="5" s="1"/>
  <c r="G23" i="2"/>
  <c r="U25" i="1"/>
  <c r="O24" i="5" s="1"/>
  <c r="G19" i="2"/>
  <c r="U21" i="1"/>
  <c r="O20" i="5" s="1"/>
  <c r="G24" i="2"/>
  <c r="U26" i="1"/>
  <c r="O25" i="5" s="1"/>
  <c r="G16" i="2"/>
  <c r="U18" i="1"/>
  <c r="O17" i="5" s="1"/>
  <c r="G10" i="2"/>
  <c r="U12" i="1"/>
  <c r="O11" i="5" s="1"/>
  <c r="G25" i="2"/>
  <c r="U27" i="1"/>
  <c r="O26" i="5" s="1"/>
  <c r="K13" i="5"/>
  <c r="AA9" i="2"/>
  <c r="AA12" i="2"/>
  <c r="K10" i="5"/>
  <c r="T68" i="1"/>
  <c r="G4" i="2"/>
  <c r="AA4" i="2"/>
  <c r="AA3" i="2"/>
  <c r="AB3" i="2" s="1"/>
  <c r="AE3" i="2" s="1"/>
  <c r="K4" i="5"/>
  <c r="O6" i="5"/>
  <c r="G5" i="2"/>
  <c r="O19" i="5"/>
  <c r="G18" i="2"/>
  <c r="O9" i="5"/>
  <c r="G8" i="2"/>
  <c r="O4" i="5"/>
  <c r="G3" i="2"/>
  <c r="H3" i="2" s="1"/>
  <c r="AA26" i="2"/>
  <c r="G26" i="2"/>
  <c r="AA20" i="2"/>
  <c r="K7" i="5"/>
  <c r="AA6" i="2"/>
  <c r="K17" i="5"/>
  <c r="AA16" i="2"/>
  <c r="K16" i="5"/>
  <c r="AA15" i="2"/>
  <c r="K12" i="5"/>
  <c r="AA11" i="2"/>
  <c r="K6" i="5"/>
  <c r="AA5" i="2"/>
  <c r="K24" i="5"/>
  <c r="AA23" i="2"/>
  <c r="K19" i="5"/>
  <c r="AA18" i="2"/>
  <c r="K11" i="5"/>
  <c r="AA10" i="2"/>
  <c r="K20" i="5"/>
  <c r="AA19" i="2"/>
  <c r="K14" i="5"/>
  <c r="AA13" i="2"/>
  <c r="K18" i="5"/>
  <c r="AA17" i="2"/>
  <c r="K9" i="5"/>
  <c r="AA8" i="2"/>
  <c r="K5" i="5"/>
  <c r="K26" i="5"/>
  <c r="AA25" i="2"/>
  <c r="K15" i="5"/>
  <c r="AA14" i="2"/>
  <c r="K22" i="5"/>
  <c r="AA21" i="2"/>
  <c r="K8" i="5"/>
  <c r="AA7" i="2"/>
  <c r="K25" i="5"/>
  <c r="AA24" i="2"/>
  <c r="O5" i="5"/>
  <c r="O12" i="5"/>
  <c r="K21" i="5"/>
  <c r="O18" i="5"/>
  <c r="K27" i="5"/>
  <c r="O27" i="5"/>
  <c r="R29" i="1"/>
  <c r="T29" i="1"/>
  <c r="M17" i="5" l="1"/>
  <c r="N17" i="5" s="1"/>
  <c r="M25" i="5"/>
  <c r="N25" i="5" s="1"/>
  <c r="M20" i="5"/>
  <c r="N20" i="5" s="1"/>
  <c r="M21" i="5"/>
  <c r="N21" i="5" s="1"/>
  <c r="M22" i="5"/>
  <c r="N22" i="5" s="1"/>
  <c r="M24" i="5"/>
  <c r="N24" i="5" s="1"/>
  <c r="M26" i="5"/>
  <c r="N26" i="5" s="1"/>
  <c r="M6" i="5"/>
  <c r="N6" i="5" s="1"/>
  <c r="M27" i="5"/>
  <c r="N27" i="5" s="1"/>
  <c r="M11" i="5"/>
  <c r="N11" i="5" s="1"/>
  <c r="M12" i="5"/>
  <c r="N12" i="5" s="1"/>
  <c r="M18" i="5"/>
  <c r="N18" i="5" s="1"/>
  <c r="M19" i="5"/>
  <c r="N19" i="5" s="1"/>
  <c r="M16" i="5"/>
  <c r="N16" i="5" s="1"/>
  <c r="M13" i="5"/>
  <c r="N13" i="5" s="1"/>
  <c r="M14" i="5"/>
  <c r="N14" i="5" s="1"/>
  <c r="M5" i="5"/>
  <c r="N5" i="5" s="1"/>
  <c r="M7" i="5"/>
  <c r="N7" i="5" s="1"/>
  <c r="M8" i="5"/>
  <c r="N8" i="5" s="1"/>
  <c r="M10" i="5"/>
  <c r="N10" i="5" s="1"/>
  <c r="M9" i="5"/>
  <c r="N9" i="5" s="1"/>
  <c r="M15" i="5"/>
  <c r="N15" i="5" s="1"/>
  <c r="P22" i="5"/>
  <c r="S43" i="5"/>
  <c r="S44" i="5"/>
  <c r="M4" i="5"/>
  <c r="N4" i="5" s="1"/>
  <c r="M3" i="5"/>
  <c r="N3" i="5" s="1"/>
  <c r="L3" i="5"/>
  <c r="T4" i="5" s="1"/>
  <c r="T5" i="5" s="1"/>
  <c r="T63" i="1"/>
  <c r="I9" i="7"/>
  <c r="AB4" i="2"/>
  <c r="AG4" i="2" s="1"/>
  <c r="H4" i="2"/>
  <c r="X4" i="2" s="1"/>
  <c r="X3" i="2"/>
  <c r="O3" i="2"/>
  <c r="W3" i="2"/>
  <c r="P3" i="2"/>
  <c r="AG3" i="2"/>
  <c r="P21" i="5" l="1"/>
  <c r="S42" i="5"/>
  <c r="S41" i="5"/>
  <c r="L4" i="5"/>
  <c r="T6" i="5" s="1"/>
  <c r="T7" i="5" s="1"/>
  <c r="AB5" i="2"/>
  <c r="AG5" i="2" s="1"/>
  <c r="AE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P4" i="2"/>
  <c r="W4" i="2"/>
  <c r="O4" i="2"/>
  <c r="P20" i="5" l="1"/>
  <c r="S40" i="5"/>
  <c r="S39" i="5"/>
  <c r="L5" i="5"/>
  <c r="T8" i="5" s="1"/>
  <c r="T9" i="5" s="1"/>
  <c r="AB6" i="2"/>
  <c r="AG6" i="2" s="1"/>
  <c r="AE5" i="2"/>
  <c r="P6" i="2"/>
  <c r="X5" i="2"/>
  <c r="W5" i="2"/>
  <c r="P5" i="2"/>
  <c r="O5" i="2"/>
  <c r="W6" i="2"/>
  <c r="O6" i="2"/>
  <c r="X6" i="2"/>
  <c r="P19" i="5" l="1"/>
  <c r="S37" i="5"/>
  <c r="S38" i="5"/>
  <c r="L6" i="5"/>
  <c r="T10" i="5" s="1"/>
  <c r="T11" i="5" s="1"/>
  <c r="AB7" i="2"/>
  <c r="AG7" i="2" s="1"/>
  <c r="AE6" i="2"/>
  <c r="X7" i="2"/>
  <c r="W7" i="2"/>
  <c r="P7" i="2"/>
  <c r="O7" i="2"/>
  <c r="P18" i="5" l="1"/>
  <c r="S35" i="5"/>
  <c r="S36" i="5"/>
  <c r="L7" i="5"/>
  <c r="T12" i="5" s="1"/>
  <c r="T13" i="5" s="1"/>
  <c r="AB8" i="2"/>
  <c r="AG8" i="2" s="1"/>
  <c r="AE7" i="2"/>
  <c r="X8" i="2"/>
  <c r="W8" i="2"/>
  <c r="P8" i="2"/>
  <c r="O8" i="2"/>
  <c r="P17" i="5" l="1"/>
  <c r="S33" i="5"/>
  <c r="S34" i="5"/>
  <c r="L8" i="5"/>
  <c r="T14" i="5" s="1"/>
  <c r="T15" i="5" s="1"/>
  <c r="AB9" i="2"/>
  <c r="AG9" i="2" s="1"/>
  <c r="AE8" i="2"/>
  <c r="P9" i="2"/>
  <c r="O9" i="2"/>
  <c r="X9" i="2"/>
  <c r="W9" i="2"/>
  <c r="X10" i="2"/>
  <c r="W10" i="2"/>
  <c r="O10" i="2"/>
  <c r="P10" i="2"/>
  <c r="P16" i="5" l="1"/>
  <c r="S32" i="5"/>
  <c r="S31" i="5"/>
  <c r="L9" i="5"/>
  <c r="T16" i="5" s="1"/>
  <c r="T17" i="5" s="1"/>
  <c r="AB10" i="2"/>
  <c r="AG10" i="2" s="1"/>
  <c r="AE9" i="2"/>
  <c r="W11" i="2"/>
  <c r="X11" i="2"/>
  <c r="P11" i="2"/>
  <c r="O11" i="2"/>
  <c r="P15" i="5" l="1"/>
  <c r="S29" i="5"/>
  <c r="S30" i="5"/>
  <c r="L10" i="5"/>
  <c r="T18" i="5" s="1"/>
  <c r="T19" i="5" s="1"/>
  <c r="AB11" i="2"/>
  <c r="AG11" i="2" s="1"/>
  <c r="AE10" i="2"/>
  <c r="W12" i="2"/>
  <c r="X12" i="2"/>
  <c r="P12" i="2"/>
  <c r="O12" i="2"/>
  <c r="P14" i="5" l="1"/>
  <c r="S27" i="5"/>
  <c r="S28" i="5"/>
  <c r="L11" i="5"/>
  <c r="T20" i="5" s="1"/>
  <c r="T21" i="5" s="1"/>
  <c r="AB12" i="2"/>
  <c r="AG12" i="2" s="1"/>
  <c r="AE11" i="2"/>
  <c r="X13" i="2"/>
  <c r="P13" i="2"/>
  <c r="O13" i="2"/>
  <c r="W13" i="2"/>
  <c r="P13" i="5" l="1"/>
  <c r="S26" i="5"/>
  <c r="S25" i="5"/>
  <c r="L12" i="5"/>
  <c r="T22" i="5" s="1"/>
  <c r="T23" i="5" s="1"/>
  <c r="AB13" i="2"/>
  <c r="AG13" i="2" s="1"/>
  <c r="AE12" i="2"/>
  <c r="P14" i="2"/>
  <c r="X14" i="2"/>
  <c r="W14" i="2"/>
  <c r="O14" i="2"/>
  <c r="P12" i="5" l="1"/>
  <c r="S23" i="5"/>
  <c r="S24" i="5"/>
  <c r="L13" i="5"/>
  <c r="T24" i="5" s="1"/>
  <c r="T25" i="5" s="1"/>
  <c r="AB14" i="2"/>
  <c r="AG14" i="2" s="1"/>
  <c r="AE13" i="2"/>
  <c r="W15" i="2"/>
  <c r="X15" i="2"/>
  <c r="O15" i="2"/>
  <c r="P15" i="2"/>
  <c r="P11" i="5" l="1"/>
  <c r="S21" i="5"/>
  <c r="S22" i="5"/>
  <c r="L14" i="5"/>
  <c r="T26" i="5" s="1"/>
  <c r="T27" i="5" s="1"/>
  <c r="AB15" i="2"/>
  <c r="AE14" i="2"/>
  <c r="W16" i="2"/>
  <c r="X16" i="2"/>
  <c r="P16" i="2"/>
  <c r="O16" i="2"/>
  <c r="P10" i="5" l="1"/>
  <c r="S19" i="5"/>
  <c r="S20" i="5"/>
  <c r="L15" i="5"/>
  <c r="T28" i="5" s="1"/>
  <c r="T29" i="5" s="1"/>
  <c r="AB16" i="2"/>
  <c r="AG16" i="2" s="1"/>
  <c r="AE15" i="2"/>
  <c r="AG15" i="2"/>
  <c r="W17" i="2"/>
  <c r="X17" i="2"/>
  <c r="P17" i="2"/>
  <c r="O17" i="2"/>
  <c r="P9" i="5" l="1"/>
  <c r="S17" i="5"/>
  <c r="S18" i="5"/>
  <c r="L16" i="5"/>
  <c r="T30" i="5" s="1"/>
  <c r="T31" i="5" s="1"/>
  <c r="AB17" i="2"/>
  <c r="AG17" i="2" s="1"/>
  <c r="AE16" i="2"/>
  <c r="X18" i="2"/>
  <c r="W18" i="2"/>
  <c r="P18" i="2"/>
  <c r="O18" i="2"/>
  <c r="P8" i="5" l="1"/>
  <c r="S16" i="5"/>
  <c r="S15" i="5"/>
  <c r="L17" i="5"/>
  <c r="T32" i="5" s="1"/>
  <c r="T33" i="5" s="1"/>
  <c r="AB18" i="2"/>
  <c r="AG18" i="2" s="1"/>
  <c r="AE17" i="2"/>
  <c r="X19" i="2"/>
  <c r="W19" i="2"/>
  <c r="P19" i="2"/>
  <c r="O19" i="2"/>
  <c r="P7" i="5" l="1"/>
  <c r="S13" i="5"/>
  <c r="S14" i="5"/>
  <c r="L18" i="5"/>
  <c r="T34" i="5" s="1"/>
  <c r="T35" i="5" s="1"/>
  <c r="AB19" i="2"/>
  <c r="AG19" i="2" s="1"/>
  <c r="AE18" i="2"/>
  <c r="X20" i="2"/>
  <c r="P20" i="2"/>
  <c r="O20" i="2"/>
  <c r="W20" i="2"/>
  <c r="P6" i="5" l="1"/>
  <c r="S11" i="5"/>
  <c r="S12" i="5"/>
  <c r="L19" i="5"/>
  <c r="T36" i="5" s="1"/>
  <c r="T37" i="5" s="1"/>
  <c r="AB20" i="2"/>
  <c r="AG20" i="2" s="1"/>
  <c r="AE19" i="2"/>
  <c r="X21" i="2"/>
  <c r="P21" i="2"/>
  <c r="O21" i="2"/>
  <c r="W21" i="2"/>
  <c r="P5" i="5" l="1"/>
  <c r="S9" i="5"/>
  <c r="S10" i="5"/>
  <c r="L20" i="5"/>
  <c r="T38" i="5" s="1"/>
  <c r="T39" i="5" s="1"/>
  <c r="AB21" i="2"/>
  <c r="AG21" i="2" s="1"/>
  <c r="AE20" i="2"/>
  <c r="X22" i="2"/>
  <c r="W22" i="2"/>
  <c r="P22" i="2"/>
  <c r="O22" i="2"/>
  <c r="P4" i="5" l="1"/>
  <c r="S7" i="5"/>
  <c r="S8" i="5"/>
  <c r="L21" i="5"/>
  <c r="T40" i="5" s="1"/>
  <c r="T41" i="5" s="1"/>
  <c r="AB22" i="2"/>
  <c r="AG22" i="2" s="1"/>
  <c r="AE21" i="2"/>
  <c r="P23" i="2"/>
  <c r="W23" i="2"/>
  <c r="X23" i="2"/>
  <c r="O23" i="2"/>
  <c r="P3" i="5" l="1"/>
  <c r="S6" i="5"/>
  <c r="S5" i="5"/>
  <c r="L22" i="5"/>
  <c r="T42" i="5" s="1"/>
  <c r="T43" i="5" s="1"/>
  <c r="AB23" i="2"/>
  <c r="AG23" i="2" s="1"/>
  <c r="AE22" i="2"/>
  <c r="O24" i="2"/>
  <c r="W24" i="2"/>
  <c r="P24" i="2"/>
  <c r="X24" i="2"/>
  <c r="S3" i="5" l="1"/>
  <c r="S4" i="5"/>
  <c r="L23" i="5"/>
  <c r="T44" i="5" s="1"/>
  <c r="T45" i="5" s="1"/>
  <c r="AB24" i="2"/>
  <c r="AG24" i="2" s="1"/>
  <c r="AE23" i="2"/>
  <c r="P25" i="2"/>
  <c r="O25" i="2"/>
  <c r="W25" i="2"/>
  <c r="X25" i="2"/>
  <c r="L24" i="5" l="1"/>
  <c r="T46" i="5" s="1"/>
  <c r="T47" i="5" s="1"/>
  <c r="AB25" i="2"/>
  <c r="AG25" i="2" s="1"/>
  <c r="AE24" i="2"/>
  <c r="O26" i="2"/>
  <c r="X26" i="2"/>
  <c r="W26" i="2"/>
  <c r="P26" i="2"/>
  <c r="L25" i="5" l="1"/>
  <c r="T48" i="5" s="1"/>
  <c r="T49" i="5" s="1"/>
  <c r="AB26" i="2"/>
  <c r="AE26" i="2" s="1"/>
  <c r="AE25" i="2"/>
  <c r="L26" i="5" l="1"/>
  <c r="T50" i="5" s="1"/>
  <c r="T51" i="5" s="1"/>
  <c r="AG26" i="2"/>
  <c r="L27" i="5" l="1"/>
  <c r="T52" i="5" l="1"/>
  <c r="T53" i="5" s="1"/>
  <c r="Q23" i="5"/>
  <c r="Q17" i="5"/>
  <c r="Q22" i="5"/>
  <c r="Q27" i="5"/>
  <c r="Q19" i="5"/>
  <c r="Q14" i="5"/>
  <c r="Q10" i="5"/>
  <c r="Q25" i="5"/>
  <c r="Q11" i="5"/>
  <c r="Q16" i="5"/>
  <c r="Q5" i="5"/>
  <c r="Q9" i="5"/>
  <c r="Q13" i="5"/>
  <c r="Q21" i="5"/>
  <c r="Q18" i="5"/>
  <c r="Q8" i="5"/>
  <c r="Q24" i="5"/>
  <c r="Q4" i="5"/>
  <c r="Q20" i="5"/>
  <c r="Q26" i="5"/>
  <c r="Q12" i="5"/>
  <c r="Q7" i="5"/>
  <c r="Q15" i="5"/>
  <c r="Q6" i="5"/>
  <c r="Q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K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L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M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59B56DC4-B1D4-4226-A077-C99AE0CA10F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Q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R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S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<sst xmlns="http://schemas.openxmlformats.org/spreadsheetml/2006/main" count="261" uniqueCount="167">
  <si>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</si>
  <si>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</si>
  <si>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</si>
  <si>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</si>
  <si>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</si>
  <si>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</si>
  <si>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</si>
  <si>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</si>
  <si>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</si>
  <si>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</si>
  <si>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</si>
  <si>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</si>
  <si>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</si>
  <si>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</si>
  <si>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</si>
  <si>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</si>
  <si>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</si>
  <si>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</si>
  <si>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</si>
  <si>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</si>
  <si>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</si>
  <si>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</si>
  <si>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</si>
  <si>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</si>
  <si>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</si>
  <si>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</si>
  <si>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</si>
  <si>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</si>
  <si>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</si>
  <si>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</si>
  <si>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</si>
  <si>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</si>
  <si>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</si>
  <si>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</si>
  <si>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</si>
  <si>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</si>
  <si>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</si>
  <si>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</si>
  <si>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</si>
  <si>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</si>
  <si>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</si>
  <si>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</si>
  <si>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</si>
  <si>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</si>
  <si>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</si>
  <si>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</si>
  <si>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</si>
  <si>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</si>
  <si>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</si>
  <si>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</si>
  <si>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</si>
  <si>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</si>
  <si>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</si>
  <si>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</si>
  <si>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</si>
  <si>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</si>
  <si>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</si>
  <si>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</si>
  <si>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</si>
  <si>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</si>
  <si>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</si>
  <si>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</si>
  <si>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</si>
  <si>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</si>
  <si>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</si>
  <si>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</si>
  <si>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</si>
  <si>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</si>
  <si>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</si>
  <si>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</si>
  <si>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</si>
  <si>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</si>
  <si>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</si>
  <si>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</si>
  <si>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</si>
  <si>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</si>
  <si>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</si>
  <si>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</si>
  <si>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</si>
  <si>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</si>
  <si>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</si>
  <si>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</si>
  <si>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</si>
  <si>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</si>
  <si>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</si>
  <si>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</si>
  <si>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</si>
  <si>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</si>
  <si>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</si>
  <si>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</si>
  <si>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</si>
  <si>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</si>
  <si>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</si>
  <si>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</si>
  <si>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</si>
  <si>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</si>
  <si>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</si>
  <si>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</si>
  <si>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</si>
  <si>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</si>
  <si>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</si>
  <si>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</si>
  <si>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</si>
  <si>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</si>
  <si>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</si>
  <si>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</si>
  <si>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</si>
  <si>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</si>
  <si>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</si>
  <si>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</si>
  <si>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</si>
  <si>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</si>
  <si>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</si>
  <si>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</si>
  <si>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</si>
  <si>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</si>
  <si>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</si>
  <si>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</si>
  <si>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</si>
  <si>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</si>
  <si>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</si>
  <si>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</si>
  <si>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</si>
  <si>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</si>
  <si>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</si>
  <si>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</si>
  <si>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</si>
  <si>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</si>
  <si>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</si>
  <si>
    <t>Peso</t>
  </si>
  <si>
    <t>Peso acum</t>
  </si>
  <si>
    <t>$N_u$</t>
  </si>
  <si>
    <t>$f'c$</t>
  </si>
  <si>
    <t>MUROS</t>
  </si>
  <si>
    <t>SUMA PISO</t>
  </si>
  <si>
    <t>LOSA</t>
  </si>
  <si>
    <t>MURO</t>
  </si>
  <si>
    <t>VIGA</t>
  </si>
  <si>
    <t>Hacum</t>
  </si>
  <si>
    <t>H</t>
  </si>
  <si>
    <t>Pesos dentro</t>
  </si>
  <si>
    <t>Peso fuera</t>
  </si>
  <si>
    <t>Dist dentro</t>
  </si>
  <si>
    <t>Dist fuera</t>
  </si>
  <si>
    <t>Densidad muro x</t>
  </si>
  <si>
    <t>Densidad muro y</t>
  </si>
  <si>
    <t>ex (m)</t>
  </si>
  <si>
    <t>ey (m)</t>
  </si>
  <si>
    <t>25% SC</t>
  </si>
  <si>
    <t>SC (T)</t>
  </si>
  <si>
    <t>Lx (m)</t>
  </si>
  <si>
    <t>Ly (m)</t>
  </si>
  <si>
    <t>Total</t>
  </si>
  <si>
    <t>Área planta muro (m2)</t>
  </si>
  <si>
    <t>Peso Hormigón muro (T)</t>
  </si>
  <si>
    <t>Peso estuco (T)</t>
  </si>
  <si>
    <t>Peso muro + estuco (T)</t>
  </si>
  <si>
    <t>Volumen estuco (m3)</t>
  </si>
  <si>
    <t>Peso hormigón vigas (T)</t>
  </si>
  <si>
    <t>Peso estuco vigas (T)</t>
  </si>
  <si>
    <t>Peso total (T)</t>
  </si>
  <si>
    <t>3-23</t>
  </si>
  <si>
    <t>$\sum$ Ps nivel (T)</t>
  </si>
  <si>
    <t>Ps</t>
  </si>
  <si>
    <t>inc</t>
  </si>
  <si>
    <t>nivel</t>
  </si>
  <si>
    <t>%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</si>
</sst>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2" fontId="0" fillId="5" borderId="43" xfId="0" applyNumberFormat="1" applyFill="1" applyBorder="1" applyAlignment="1">
      <alignment horizontal="center" vertical="center"/>
    </xf>
    <xf numFmtId="2" fontId="6" fillId="5" borderId="41" xfId="0" applyNumberFormat="1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5" borderId="40" xfId="0" applyNumberFormat="1" applyFill="1" applyBorder="1" applyAlignment="1">
      <alignment horizontal="center" vertical="center"/>
    </xf>
    <xf numFmtId="2" fontId="0" fillId="5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5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5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5" borderId="48" xfId="0" applyNumberFormat="1" applyFill="1" applyBorder="1" applyAlignment="1">
      <alignment horizontal="center" vertical="center"/>
    </xf>
    <xf numFmtId="2" fontId="2" fillId="5" borderId="48" xfId="0" applyNumberFormat="1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5" borderId="11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6" fillId="6" borderId="33" xfId="0" applyNumberFormat="1" applyFon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0" xfId="0" applyNumberFormat="1"/>
    <xf numFmtId="2" fontId="0" fillId="7" borderId="7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0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2" fontId="0" fillId="0" borderId="31" xfId="0" applyNumberFormat="1" applyFont="1" applyFill="1" applyBorder="1" applyAlignment="1">
      <alignment horizontal="center" vertical="center"/>
    </xf>
    <xf numFmtId="2" fontId="0" fillId="0" borderId="43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 vertical="center"/>
    </xf>
    <xf numFmtId="2" fontId="0" fillId="0" borderId="41" xfId="0" applyNumberFormat="1" applyFont="1" applyFill="1" applyBorder="1" applyAlignment="1">
      <alignment horizontal="center" vertical="center"/>
    </xf>
    <xf numFmtId="2" fontId="6" fillId="0" borderId="29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2" fontId="6" fillId="0" borderId="43" xfId="0" applyNumberFormat="1" applyFont="1" applyFill="1" applyBorder="1" applyAlignment="1">
      <alignment horizontal="center" vertical="center"/>
    </xf>
    <xf numFmtId="2" fontId="0" fillId="0" borderId="29" xfId="0" applyNumberFormat="1" applyFont="1" applyFill="1" applyBorder="1" applyAlignment="1">
      <alignment horizontal="center" vertical="center"/>
    </xf>
    <xf numFmtId="2" fontId="0" fillId="0" borderId="34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2" fontId="0" fillId="0" borderId="4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7" fontId="0" fillId="0" borderId="7" xfId="0" applyNumberForma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165" fontId="0" fillId="0" borderId="56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5" borderId="37" xfId="0" applyNumberFormat="1" applyFill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5" borderId="38" xfId="0" applyNumberFormat="1" applyFill="1" applyBorder="1" applyAlignment="1">
      <alignment horizontal="center" vertical="center"/>
    </xf>
    <xf numFmtId="165" fontId="0" fillId="0" borderId="55" xfId="0" applyNumberFormat="1" applyBorder="1" applyAlignment="1">
      <alignment horizontal="center" vertical="center"/>
    </xf>
    <xf numFmtId="165" fontId="0" fillId="0" borderId="57" xfId="0" applyNumberFormat="1" applyBorder="1" applyAlignment="1">
      <alignment horizontal="center" vertical="center"/>
    </xf>
    <xf numFmtId="165" fontId="0" fillId="5" borderId="36" xfId="0" applyNumberFormat="1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165" fontId="0" fillId="0" borderId="5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52" xfId="0" applyNumberFormat="1" applyBorder="1" applyAlignment="1">
      <alignment horizontal="center" vertical="center"/>
    </xf>
    <xf numFmtId="165" fontId="0" fillId="0" borderId="5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5" fontId="2" fillId="5" borderId="22" xfId="0" applyNumberFormat="1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 wrapText="1"/>
    </xf>
    <xf numFmtId="165" fontId="0" fillId="0" borderId="60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6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s-CL">
                <a:latin typeface="LM Roman 10" panose="00000500000000000000" pitchFamily="50" charset="0"/>
              </a:rPr>
              <a:t>Variación</a:t>
            </a:r>
            <a:r>
              <a:rPr lang="es-CL" baseline="0">
                <a:latin typeface="LM Roman 10" panose="00000500000000000000" pitchFamily="50" charset="0"/>
              </a:rPr>
              <a:t> peso sísmico total en altura</a:t>
            </a:r>
            <a:endParaRPr lang="es-CL">
              <a:latin typeface="LM Roman 10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Cubicaciones!$T$3:$T$100</c:f>
              <c:numCache>
                <c:formatCode>0.0</c:formatCode>
                <c:ptCount val="98"/>
                <c:pt idx="0" formatCode="General">
                  <c:v>0</c:v>
                </c:pt>
                <c:pt idx="1">
                  <c:v>136.12184500000001</c:v>
                </c:pt>
                <c:pt idx="2">
                  <c:v>136.12184500000001</c:v>
                </c:pt>
                <c:pt idx="3">
                  <c:v>504.49931500000002</c:v>
                </c:pt>
                <c:pt idx="4">
                  <c:v>504.49931500000002</c:v>
                </c:pt>
                <c:pt idx="5">
                  <c:v>913.34131000000002</c:v>
                </c:pt>
                <c:pt idx="6">
                  <c:v>913.34131000000002</c:v>
                </c:pt>
                <c:pt idx="7">
                  <c:v>1322.183305</c:v>
                </c:pt>
                <c:pt idx="8">
                  <c:v>1322.183305</c:v>
                </c:pt>
                <c:pt idx="9">
                  <c:v>1731.0253</c:v>
                </c:pt>
                <c:pt idx="10">
                  <c:v>1731.0253</c:v>
                </c:pt>
                <c:pt idx="11">
                  <c:v>2139.867295</c:v>
                </c:pt>
                <c:pt idx="12">
                  <c:v>2139.867295</c:v>
                </c:pt>
                <c:pt idx="13">
                  <c:v>2548.7092900000002</c:v>
                </c:pt>
                <c:pt idx="14">
                  <c:v>2548.7092900000002</c:v>
                </c:pt>
                <c:pt idx="15">
                  <c:v>2957.5512850000005</c:v>
                </c:pt>
                <c:pt idx="16">
                  <c:v>2957.5512850000005</c:v>
                </c:pt>
                <c:pt idx="17">
                  <c:v>3366.3932800000007</c:v>
                </c:pt>
                <c:pt idx="18">
                  <c:v>3366.3932800000007</c:v>
                </c:pt>
                <c:pt idx="19">
                  <c:v>3775.2352750000009</c:v>
                </c:pt>
                <c:pt idx="20">
                  <c:v>3775.2352750000009</c:v>
                </c:pt>
                <c:pt idx="21">
                  <c:v>4200.6191450000006</c:v>
                </c:pt>
                <c:pt idx="22">
                  <c:v>4200.6191450000006</c:v>
                </c:pt>
                <c:pt idx="23">
                  <c:v>4642.544890000001</c:v>
                </c:pt>
                <c:pt idx="24">
                  <c:v>4642.544890000001</c:v>
                </c:pt>
                <c:pt idx="25">
                  <c:v>5084.4706350000015</c:v>
                </c:pt>
                <c:pt idx="26">
                  <c:v>5084.4706350000015</c:v>
                </c:pt>
                <c:pt idx="27">
                  <c:v>5526.396380000002</c:v>
                </c:pt>
                <c:pt idx="28">
                  <c:v>5526.396380000002</c:v>
                </c:pt>
                <c:pt idx="29">
                  <c:v>5968.3221250000024</c:v>
                </c:pt>
                <c:pt idx="30">
                  <c:v>5968.3221250000024</c:v>
                </c:pt>
                <c:pt idx="31">
                  <c:v>6410.2478700000029</c:v>
                </c:pt>
                <c:pt idx="32">
                  <c:v>6410.2478700000029</c:v>
                </c:pt>
                <c:pt idx="33">
                  <c:v>6852.1736150000033</c:v>
                </c:pt>
                <c:pt idx="34">
                  <c:v>6852.1736150000033</c:v>
                </c:pt>
                <c:pt idx="35">
                  <c:v>7294.0993600000038</c:v>
                </c:pt>
                <c:pt idx="36">
                  <c:v>7294.0993600000038</c:v>
                </c:pt>
                <c:pt idx="37">
                  <c:v>7736.0251050000043</c:v>
                </c:pt>
                <c:pt idx="38">
                  <c:v>7736.0251050000043</c:v>
                </c:pt>
                <c:pt idx="39">
                  <c:v>8177.9508500000047</c:v>
                </c:pt>
                <c:pt idx="40">
                  <c:v>8177.9508500000047</c:v>
                </c:pt>
                <c:pt idx="41">
                  <c:v>8619.8765950000052</c:v>
                </c:pt>
                <c:pt idx="42">
                  <c:v>8619.8765950000052</c:v>
                </c:pt>
                <c:pt idx="43">
                  <c:v>9064.5671400000047</c:v>
                </c:pt>
                <c:pt idx="44">
                  <c:v>9064.5671400000047</c:v>
                </c:pt>
                <c:pt idx="45">
                  <c:v>9517.7243325000054</c:v>
                </c:pt>
                <c:pt idx="46">
                  <c:v>9517.7243325000054</c:v>
                </c:pt>
                <c:pt idx="47">
                  <c:v>9986.1872087500051</c:v>
                </c:pt>
                <c:pt idx="48">
                  <c:v>9986.1872087500051</c:v>
                </c:pt>
                <c:pt idx="49">
                  <c:v>10650.499286250006</c:v>
                </c:pt>
                <c:pt idx="50">
                  <c:v>10650.499286250006</c:v>
                </c:pt>
              </c:numCache>
            </c:numRef>
          </c:xVal>
          <c:yVal>
            <c:numRef>
              <c:f>Cubicaciones!$S$3:$S$100</c:f>
              <c:numCache>
                <c:formatCode>0.0</c:formatCode>
                <c:ptCount val="98"/>
                <c:pt idx="0">
                  <c:v>61.510000000000012</c:v>
                </c:pt>
                <c:pt idx="1">
                  <c:v>61.510000000000012</c:v>
                </c:pt>
                <c:pt idx="2">
                  <c:v>59.050000000000011</c:v>
                </c:pt>
                <c:pt idx="3">
                  <c:v>59.050000000000011</c:v>
                </c:pt>
                <c:pt idx="4">
                  <c:v>56.590000000000011</c:v>
                </c:pt>
                <c:pt idx="5">
                  <c:v>56.590000000000011</c:v>
                </c:pt>
                <c:pt idx="6">
                  <c:v>54.13000000000001</c:v>
                </c:pt>
                <c:pt idx="7">
                  <c:v>54.13000000000001</c:v>
                </c:pt>
                <c:pt idx="8">
                  <c:v>51.670000000000009</c:v>
                </c:pt>
                <c:pt idx="9">
                  <c:v>51.670000000000009</c:v>
                </c:pt>
                <c:pt idx="10">
                  <c:v>49.210000000000008</c:v>
                </c:pt>
                <c:pt idx="11">
                  <c:v>49.210000000000008</c:v>
                </c:pt>
                <c:pt idx="12">
                  <c:v>46.750000000000007</c:v>
                </c:pt>
                <c:pt idx="13">
                  <c:v>46.750000000000007</c:v>
                </c:pt>
                <c:pt idx="14">
                  <c:v>44.290000000000006</c:v>
                </c:pt>
                <c:pt idx="15">
                  <c:v>44.290000000000006</c:v>
                </c:pt>
                <c:pt idx="16">
                  <c:v>41.830000000000005</c:v>
                </c:pt>
                <c:pt idx="17">
                  <c:v>41.830000000000005</c:v>
                </c:pt>
                <c:pt idx="18">
                  <c:v>39.370000000000005</c:v>
                </c:pt>
                <c:pt idx="19">
                  <c:v>39.370000000000005</c:v>
                </c:pt>
                <c:pt idx="20">
                  <c:v>36.910000000000004</c:v>
                </c:pt>
                <c:pt idx="21">
                  <c:v>36.910000000000004</c:v>
                </c:pt>
                <c:pt idx="22">
                  <c:v>34.450000000000003</c:v>
                </c:pt>
                <c:pt idx="23">
                  <c:v>34.450000000000003</c:v>
                </c:pt>
                <c:pt idx="24">
                  <c:v>31.990000000000006</c:v>
                </c:pt>
                <c:pt idx="25">
                  <c:v>31.990000000000006</c:v>
                </c:pt>
                <c:pt idx="26">
                  <c:v>29.530000000000005</c:v>
                </c:pt>
                <c:pt idx="27">
                  <c:v>29.530000000000005</c:v>
                </c:pt>
                <c:pt idx="28">
                  <c:v>27.070000000000004</c:v>
                </c:pt>
                <c:pt idx="29">
                  <c:v>27.070000000000004</c:v>
                </c:pt>
                <c:pt idx="30">
                  <c:v>24.610000000000003</c:v>
                </c:pt>
                <c:pt idx="31">
                  <c:v>24.610000000000003</c:v>
                </c:pt>
                <c:pt idx="32">
                  <c:v>22.150000000000002</c:v>
                </c:pt>
                <c:pt idx="33">
                  <c:v>22.150000000000002</c:v>
                </c:pt>
                <c:pt idx="34">
                  <c:v>19.690000000000001</c:v>
                </c:pt>
                <c:pt idx="35">
                  <c:v>19.690000000000001</c:v>
                </c:pt>
                <c:pt idx="36">
                  <c:v>17.23</c:v>
                </c:pt>
                <c:pt idx="37">
                  <c:v>17.23</c:v>
                </c:pt>
                <c:pt idx="38">
                  <c:v>14.77</c:v>
                </c:pt>
                <c:pt idx="39">
                  <c:v>14.77</c:v>
                </c:pt>
                <c:pt idx="40">
                  <c:v>12.309999999999999</c:v>
                </c:pt>
                <c:pt idx="41">
                  <c:v>12.309999999999999</c:v>
                </c:pt>
                <c:pt idx="42">
                  <c:v>9.85</c:v>
                </c:pt>
                <c:pt idx="43">
                  <c:v>9.85</c:v>
                </c:pt>
                <c:pt idx="44">
                  <c:v>7.39</c:v>
                </c:pt>
                <c:pt idx="45">
                  <c:v>7.39</c:v>
                </c:pt>
                <c:pt idx="46">
                  <c:v>4.93</c:v>
                </c:pt>
                <c:pt idx="47">
                  <c:v>4.93</c:v>
                </c:pt>
                <c:pt idx="48">
                  <c:v>2.4699999999999998</c:v>
                </c:pt>
                <c:pt idx="49">
                  <c:v>2.4699999999999998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3-4566-A8D6-3F8BF86E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64200"/>
        <c:axId val="491555344"/>
      </c:scatterChart>
      <c:valAx>
        <c:axId val="491564200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s-CL">
                    <a:latin typeface="LM Roman 10" panose="00000500000000000000" pitchFamily="50" charset="0"/>
                  </a:rPr>
                  <a:t>Peso sísmico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CL"/>
          </a:p>
        </c:txPr>
        <c:crossAx val="491555344"/>
        <c:crosses val="autoZero"/>
        <c:crossBetween val="midCat"/>
      </c:valAx>
      <c:valAx>
        <c:axId val="491555344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s-CL">
                    <a:latin typeface="LM Roman 10" panose="00000500000000000000" pitchFamily="50" charset="0"/>
                  </a:rPr>
                  <a:t>Altura</a:t>
                </a:r>
                <a:r>
                  <a:rPr lang="es-CL" baseline="0">
                    <a:latin typeface="LM Roman 10" panose="00000500000000000000" pitchFamily="50" charset="0"/>
                  </a:rPr>
                  <a:t> (m)</a:t>
                </a:r>
                <a:endParaRPr lang="es-CL">
                  <a:latin typeface="LM Roman 10" panose="000005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CL"/>
          </a:p>
        </c:txPr>
        <c:crossAx val="49156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s-CL">
                <a:latin typeface="LM Roman 10" panose="00000500000000000000" pitchFamily="50" charset="0"/>
              </a:rPr>
              <a:t>Porcentaje peso sísmico por</a:t>
            </a:r>
            <a:r>
              <a:rPr lang="es-CL" baseline="0">
                <a:latin typeface="LM Roman 10" panose="00000500000000000000" pitchFamily="50" charset="0"/>
              </a:rPr>
              <a:t> piso</a:t>
            </a:r>
            <a:endParaRPr lang="es-CL">
              <a:latin typeface="LM Roman 10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Cubicaciones!$U$3:$U$100</c:f>
              <c:numCache>
                <c:formatCode>0.0%</c:formatCode>
                <c:ptCount val="98"/>
                <c:pt idx="0" formatCode="General">
                  <c:v>0</c:v>
                </c:pt>
                <c:pt idx="1">
                  <c:v>1.2780794715956261E-2</c:v>
                </c:pt>
                <c:pt idx="2">
                  <c:v>1.2780794715956261E-2</c:v>
                </c:pt>
                <c:pt idx="3">
                  <c:v>3.4587812279897732E-2</c:v>
                </c:pt>
                <c:pt idx="4">
                  <c:v>3.4587812279897732E-2</c:v>
                </c:pt>
                <c:pt idx="5">
                  <c:v>3.8387120078757504E-2</c:v>
                </c:pt>
                <c:pt idx="6">
                  <c:v>3.8387120078757504E-2</c:v>
                </c:pt>
                <c:pt idx="7">
                  <c:v>3.8387120078757504E-2</c:v>
                </c:pt>
                <c:pt idx="8">
                  <c:v>3.8387120078757504E-2</c:v>
                </c:pt>
                <c:pt idx="9">
                  <c:v>3.8387120078757504E-2</c:v>
                </c:pt>
                <c:pt idx="10">
                  <c:v>3.8387120078757504E-2</c:v>
                </c:pt>
                <c:pt idx="11">
                  <c:v>3.8387120078757504E-2</c:v>
                </c:pt>
                <c:pt idx="12">
                  <c:v>3.8387120078757504E-2</c:v>
                </c:pt>
                <c:pt idx="13">
                  <c:v>3.8387120078757504E-2</c:v>
                </c:pt>
                <c:pt idx="14">
                  <c:v>3.8387120078757504E-2</c:v>
                </c:pt>
                <c:pt idx="15">
                  <c:v>3.8387120078757504E-2</c:v>
                </c:pt>
                <c:pt idx="16">
                  <c:v>3.8387120078757504E-2</c:v>
                </c:pt>
                <c:pt idx="17">
                  <c:v>3.8387120078757504E-2</c:v>
                </c:pt>
                <c:pt idx="18">
                  <c:v>3.8387120078757504E-2</c:v>
                </c:pt>
                <c:pt idx="19">
                  <c:v>3.8387120078757504E-2</c:v>
                </c:pt>
                <c:pt idx="20">
                  <c:v>3.8387120078757504E-2</c:v>
                </c:pt>
                <c:pt idx="21">
                  <c:v>3.9940274964308818E-2</c:v>
                </c:pt>
                <c:pt idx="22">
                  <c:v>3.9940274964308818E-2</c:v>
                </c:pt>
                <c:pt idx="23">
                  <c:v>4.1493429849860132E-2</c:v>
                </c:pt>
                <c:pt idx="24">
                  <c:v>4.1493429849860132E-2</c:v>
                </c:pt>
                <c:pt idx="25">
                  <c:v>4.1493429849860132E-2</c:v>
                </c:pt>
                <c:pt idx="26">
                  <c:v>4.1493429849860132E-2</c:v>
                </c:pt>
                <c:pt idx="27">
                  <c:v>4.1493429849860132E-2</c:v>
                </c:pt>
                <c:pt idx="28">
                  <c:v>4.1493429849860132E-2</c:v>
                </c:pt>
                <c:pt idx="29">
                  <c:v>4.1493429849860132E-2</c:v>
                </c:pt>
                <c:pt idx="30">
                  <c:v>4.1493429849860132E-2</c:v>
                </c:pt>
                <c:pt idx="31">
                  <c:v>4.1493429849860132E-2</c:v>
                </c:pt>
                <c:pt idx="32">
                  <c:v>4.1493429849860132E-2</c:v>
                </c:pt>
                <c:pt idx="33">
                  <c:v>4.1493429849860132E-2</c:v>
                </c:pt>
                <c:pt idx="34">
                  <c:v>4.1493429849860132E-2</c:v>
                </c:pt>
                <c:pt idx="35">
                  <c:v>4.1493429849860132E-2</c:v>
                </c:pt>
                <c:pt idx="36">
                  <c:v>4.1493429849860132E-2</c:v>
                </c:pt>
                <c:pt idx="37">
                  <c:v>4.1493429849860132E-2</c:v>
                </c:pt>
                <c:pt idx="38">
                  <c:v>4.1493429849860132E-2</c:v>
                </c:pt>
                <c:pt idx="39">
                  <c:v>4.1493429849860132E-2</c:v>
                </c:pt>
                <c:pt idx="40">
                  <c:v>4.1493429849860132E-2</c:v>
                </c:pt>
                <c:pt idx="41">
                  <c:v>4.1493429849860132E-2</c:v>
                </c:pt>
                <c:pt idx="42">
                  <c:v>4.1493429849860132E-2</c:v>
                </c:pt>
                <c:pt idx="43">
                  <c:v>4.1753023313574028E-2</c:v>
                </c:pt>
                <c:pt idx="44">
                  <c:v>4.1753023313574028E-2</c:v>
                </c:pt>
                <c:pt idx="45">
                  <c:v>4.2547976420695542E-2</c:v>
                </c:pt>
                <c:pt idx="46">
                  <c:v>4.2547976420695542E-2</c:v>
                </c:pt>
                <c:pt idx="47">
                  <c:v>4.3985062451935404E-2</c:v>
                </c:pt>
                <c:pt idx="48">
                  <c:v>4.3985062451935404E-2</c:v>
                </c:pt>
                <c:pt idx="49">
                  <c:v>6.2373796724970378E-2</c:v>
                </c:pt>
                <c:pt idx="50">
                  <c:v>6.2373796724970378E-2</c:v>
                </c:pt>
              </c:numCache>
            </c:numRef>
          </c:xVal>
          <c:yVal>
            <c:numRef>
              <c:f>Cubicaciones!$W$3:$W$100</c:f>
              <c:numCache>
                <c:formatCode>General</c:formatCode>
                <c:ptCount val="98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5-4755-AD26-893049F1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64200"/>
        <c:axId val="491555344"/>
      </c:scatterChart>
      <c:valAx>
        <c:axId val="49156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s-CL">
                    <a:latin typeface="LM Roman 10" panose="00000500000000000000" pitchFamily="50" charset="0"/>
                  </a:rPr>
                  <a:t>% del</a:t>
                </a:r>
                <a:r>
                  <a:rPr lang="es-CL" baseline="0">
                    <a:latin typeface="LM Roman 10" panose="00000500000000000000" pitchFamily="50" charset="0"/>
                  </a:rPr>
                  <a:t> peso sísmico total</a:t>
                </a:r>
                <a:endParaRPr lang="es-CL">
                  <a:latin typeface="LM Roman 10" panose="000005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1555344"/>
        <c:crosses val="autoZero"/>
        <c:crossBetween val="midCat"/>
      </c:valAx>
      <c:valAx>
        <c:axId val="491555344"/>
        <c:scaling>
          <c:orientation val="minMax"/>
          <c:max val="2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s-CL">
                    <a:latin typeface="LM Roman 10" panose="00000500000000000000" pitchFamily="50" charset="0"/>
                  </a:rPr>
                  <a:t>N° piso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156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s-CL">
                <a:latin typeface="LM Roman 10" panose="00000500000000000000" pitchFamily="50" charset="0"/>
              </a:rPr>
              <a:t>Participación</a:t>
            </a:r>
            <a:r>
              <a:rPr lang="es-CL" baseline="0">
                <a:latin typeface="LM Roman 10" panose="00000500000000000000" pitchFamily="50" charset="0"/>
              </a:rPr>
              <a:t> del peso sísmico según elemento estructural. Peso total: 10650.5T</a:t>
            </a:r>
            <a:endParaRPr lang="es-CL">
              <a:latin typeface="LM Roman 10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Cubicaciones!$C$31:$C$33</c:f>
              <c:strCache>
                <c:ptCount val="3"/>
                <c:pt idx="0">
                  <c:v>Losas</c:v>
                </c:pt>
                <c:pt idx="1">
                  <c:v>Vigas</c:v>
                </c:pt>
                <c:pt idx="2">
                  <c:v>Muros</c:v>
                </c:pt>
              </c:strCache>
            </c:strRef>
          </c:cat>
          <c:val>
            <c:numRef>
              <c:f>Cubicaciones!$D$31:$D$33</c:f>
              <c:numCache>
                <c:formatCode>0.0%</c:formatCode>
                <c:ptCount val="3"/>
                <c:pt idx="0">
                  <c:v>0.54237001616042391</c:v>
                </c:pt>
                <c:pt idx="1">
                  <c:v>0.10737406158285866</c:v>
                </c:pt>
                <c:pt idx="2">
                  <c:v>0.34476595897626411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C-4E89-9073-94DAFDDB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403980752406"/>
          <c:y val="0.44947980460775744"/>
          <c:w val="0.15996874999999999"/>
          <c:h val="0.3020864583333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563880</xdr:colOff>
      <xdr:row>1</xdr:row>
      <xdr:rowOff>156210</xdr:rowOff>
    </xdr:from>
    <xdr:to>
      <xdr:col>29</xdr:col>
      <xdr:colOff>129000</xdr:colOff>
      <xdr:row>16</xdr:row>
      <xdr:rowOff>102510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999E8-2654-4332-908F-E633CD016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548640</xdr:colOff>
      <xdr:row>17</xdr:row>
      <xdr:rowOff>175260</xdr:rowOff>
    </xdr:from>
    <xdr:to>
      <xdr:col>29</xdr:col>
      <xdr:colOff>113760</xdr:colOff>
      <xdr:row>33</xdr:row>
      <xdr:rowOff>121560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2AE2A4-D440-4910-8482-1AF35C79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358140</xdr:colOff>
      <xdr:row>30</xdr:row>
      <xdr:rowOff>133350</xdr:rowOff>
    </xdr:from>
    <xdr:to>
      <xdr:col>13</xdr:col>
      <xdr:colOff>936720</xdr:colOff>
      <xdr:row>46</xdr:row>
      <xdr:rowOff>87270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4876F3-140A-4C33-89AD-0C9EC00A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W53"/>
  <sheetViews>
    <sheetView showGridLines="0" tabSelected="1" topLeftCell="N1" workbookViewId="0">
      <selection activeCell="AE21" sqref="AE21"/>
    </sheetView>
  </sheetViews>
  <sheetFormatPr baseColWidth="10" defaultColWidth="11.5546875" defaultRowHeight="14.4" x14ac:dyDescent="0.3"/>
  <cols>
    <col min="1" max="1" width="3" style="49" customWidth="1"/>
    <col min="2" max="2" width="4.77734375" style="49" bestFit="1" customWidth="1"/>
    <col min="3" max="3" width="9.5546875" style="49" bestFit="1" customWidth="1"/>
    <col min="4" max="4" width="8.6640625" style="49" customWidth="1"/>
    <col min="5" max="5" width="7.33203125" style="49" customWidth="1"/>
    <col min="6" max="6" width="7" style="49" customWidth="1"/>
    <col min="7" max="7" width="8.6640625" style="49" customWidth="1"/>
    <col min="8" max="8" width="7" style="49" customWidth="1"/>
    <col min="9" max="9" width="7.5546875" style="49" customWidth="1"/>
    <col min="10" max="10" width="8.21875" style="49" customWidth="1"/>
    <col min="11" max="11" width="8" style="49" customWidth="1"/>
    <col min="12" max="12" width="9.88671875" style="49" customWidth="1"/>
    <col min="13" max="13" width="13.88671875" style="49" customWidth="1"/>
    <col min="14" max="14" width="14.88671875" style="49" customWidth="1"/>
    <col min="15" max="15" width="8.44140625" style="49" bestFit="1" customWidth="1"/>
    <col min="16" max="16" width="6.6640625" style="49" bestFit="1" customWidth="1"/>
    <col min="17" max="17" width="6.6640625" style="49" customWidth="1"/>
    <col min="18" max="18" width="4.5546875" style="49" customWidth="1"/>
    <col min="19" max="16384" width="11.5546875" style="49"/>
  </cols>
  <sheetData>
    <row r="1" spans="2:23" ht="15" thickBot="1" x14ac:dyDescent="0.35"/>
    <row r="2" spans="2:23" ht="29.4" thickBot="1" x14ac:dyDescent="0.35">
      <c r="B2" s="119" t="s">
        <v>111</v>
      </c>
      <c r="C2" s="187" t="s">
        <v>34</v>
      </c>
      <c r="D2" s="328" t="s">
        <v>102</v>
      </c>
      <c r="E2" s="328" t="s">
        <v>105</v>
      </c>
      <c r="F2" s="328" t="s">
        <v>104</v>
      </c>
      <c r="G2" s="328" t="s">
        <v>120</v>
      </c>
      <c r="H2" s="328" t="s">
        <v>114</v>
      </c>
      <c r="I2" s="328" t="s">
        <v>112</v>
      </c>
      <c r="J2" s="328" t="s">
        <v>113</v>
      </c>
      <c r="K2" s="328" t="s">
        <v>115</v>
      </c>
      <c r="L2" s="328" t="s">
        <v>162</v>
      </c>
      <c r="M2" s="328" t="s">
        <v>119</v>
      </c>
      <c r="N2" s="328" t="s">
        <v>121</v>
      </c>
      <c r="O2" s="280" t="s">
        <v>116</v>
      </c>
      <c r="P2" s="49" t="s">
        <v>138</v>
      </c>
      <c r="S2" s="107" t="s">
        <v>138</v>
      </c>
      <c r="T2" s="187" t="s">
        <v>163</v>
      </c>
      <c r="U2" s="187" t="s">
        <v>166</v>
      </c>
      <c r="V2" s="187" t="s">
        <v>164</v>
      </c>
      <c r="W2" s="188" t="s">
        <v>165</v>
      </c>
    </row>
    <row r="3" spans="2:23" x14ac:dyDescent="0.3">
      <c r="B3" s="189">
        <f>'Pesos elementos'!H4</f>
        <v>24</v>
      </c>
      <c r="C3" s="325">
        <f>'Pesos elementos'!F4+'Pesos elementos'!I4</f>
        <v>2.46</v>
      </c>
      <c r="D3" s="325">
        <f>'Pesos elementos'!J4+'Pesos elementos'!K4</f>
        <v>68.697999999999993</v>
      </c>
      <c r="E3" s="325">
        <v>19.0746</v>
      </c>
      <c r="F3" s="325">
        <v>15.599299999999999</v>
      </c>
      <c r="G3" s="325">
        <v>726.26449500000001</v>
      </c>
      <c r="H3" s="325">
        <f>'Pesos elementos'!S4</f>
        <v>38.814369999999997</v>
      </c>
      <c r="I3" s="325">
        <f>'Pesos elementos'!N63</f>
        <v>71.462699999999998</v>
      </c>
      <c r="J3" s="325">
        <f>'Pesos elementos'!W34</f>
        <v>51.68954999999999</v>
      </c>
      <c r="K3" s="325">
        <f>'Pesos elementos'!T4</f>
        <v>136.12184500000001</v>
      </c>
      <c r="L3" s="325">
        <f>K3</f>
        <v>136.12184500000001</v>
      </c>
      <c r="M3" s="325">
        <f>K3/9.8</f>
        <v>13.889984183673469</v>
      </c>
      <c r="N3" s="325">
        <f t="shared" ref="N3" si="0">M3/D3*(G3)</f>
        <v>146.84273703329939</v>
      </c>
      <c r="O3" s="190">
        <f>'Pesos elementos'!U4</f>
        <v>1.9814528079420073</v>
      </c>
      <c r="P3" s="308">
        <f t="shared" ref="P3:P25" si="1">P4+C3</f>
        <v>61.510000000000012</v>
      </c>
      <c r="Q3" s="313">
        <f>K3/$L$27</f>
        <v>1.2780794715956261E-2</v>
      </c>
      <c r="S3" s="323">
        <f>VLOOKUP(W3,$B$3:$P$27,15,FALSE)</f>
        <v>61.510000000000012</v>
      </c>
      <c r="T3" s="329">
        <v>0</v>
      </c>
      <c r="U3" s="329">
        <v>0</v>
      </c>
      <c r="V3" s="329">
        <v>0</v>
      </c>
      <c r="W3" s="68">
        <f>24</f>
        <v>24</v>
      </c>
    </row>
    <row r="4" spans="2:23" x14ac:dyDescent="0.3">
      <c r="B4" s="191">
        <f>'Pesos elementos'!H5</f>
        <v>23</v>
      </c>
      <c r="C4" s="326">
        <f>'Pesos elementos'!F4+'Pesos elementos'!I5</f>
        <v>2.46</v>
      </c>
      <c r="D4" s="326">
        <f>'Pesos elementos'!J5+'Pesos elementos'!K5</f>
        <v>410.20299999999997</v>
      </c>
      <c r="E4" s="326">
        <v>15.9534</v>
      </c>
      <c r="F4" s="326">
        <v>16.260899999999999</v>
      </c>
      <c r="G4" s="326">
        <v>37835.549589000002</v>
      </c>
      <c r="H4" s="326">
        <f>'Pesos elementos'!S5</f>
        <v>231.76469500000002</v>
      </c>
      <c r="I4" s="326">
        <f>'Pesos elementos'!N64</f>
        <v>44.458700000000007</v>
      </c>
      <c r="J4" s="326">
        <f>'Pesos elementos'!W34</f>
        <v>51.68954999999999</v>
      </c>
      <c r="K4" s="326">
        <f>'Pesos elementos'!T5</f>
        <v>368.37747000000002</v>
      </c>
      <c r="L4" s="326">
        <f>L3+K4</f>
        <v>504.49931500000002</v>
      </c>
      <c r="M4" s="326">
        <f>K4/9.8</f>
        <v>37.589537755102043</v>
      </c>
      <c r="N4" s="326">
        <f t="shared" ref="N4:N27" si="2">M4/D4*(G4)</f>
        <v>3467.1146231518328</v>
      </c>
      <c r="O4" s="192">
        <f>'Pesos elementos'!U5</f>
        <v>0.89803699631645806</v>
      </c>
      <c r="P4" s="308">
        <f t="shared" si="1"/>
        <v>59.050000000000011</v>
      </c>
      <c r="Q4" s="313">
        <f t="shared" ref="Q4:Q27" si="3">K4/$L$27</f>
        <v>3.4587812279897732E-2</v>
      </c>
      <c r="S4" s="323">
        <f t="shared" ref="S4:S52" si="4">VLOOKUP(W4,$B$3:$P$27,15,FALSE)</f>
        <v>61.510000000000012</v>
      </c>
      <c r="T4" s="326">
        <f>IF(V4=1,VLOOKUP(W4,$B$3:$O$27,11,FALSE),T3)</f>
        <v>136.12184500000001</v>
      </c>
      <c r="U4" s="330">
        <f>IF($V4=1,VLOOKUP($W4,$B$3:$Q$27,16,FALSE),U3)</f>
        <v>1.2780794715956261E-2</v>
      </c>
      <c r="V4" s="329">
        <f>V3+1</f>
        <v>1</v>
      </c>
      <c r="W4" s="68">
        <f>IF(V4=0,W3-1,W3)</f>
        <v>24</v>
      </c>
    </row>
    <row r="5" spans="2:23" x14ac:dyDescent="0.3">
      <c r="B5" s="191">
        <f>'Pesos elementos'!H6</f>
        <v>22</v>
      </c>
      <c r="C5" s="326">
        <f>'Pesos elementos'!F5+'Pesos elementos'!I6</f>
        <v>2.46</v>
      </c>
      <c r="D5" s="326">
        <f>'Pesos elementos'!J6+'Pesos elementos'!K6</f>
        <v>410.20299999999997</v>
      </c>
      <c r="E5" s="326">
        <v>15.9534</v>
      </c>
      <c r="F5" s="326">
        <v>16.260899999999999</v>
      </c>
      <c r="G5" s="326">
        <v>37835.549589000002</v>
      </c>
      <c r="H5" s="326">
        <f>'Pesos elementos'!S6</f>
        <v>231.76469500000002</v>
      </c>
      <c r="I5" s="326">
        <f>'Pesos elementos'!N65</f>
        <v>44.458700000000007</v>
      </c>
      <c r="J5" s="326">
        <f>'Pesos elementos'!W35</f>
        <v>132.61860000000001</v>
      </c>
      <c r="K5" s="326">
        <f>'Pesos elementos'!T6</f>
        <v>408.84199500000005</v>
      </c>
      <c r="L5" s="326">
        <f t="shared" ref="L5:L27" si="5">L4+K5</f>
        <v>913.34131000000002</v>
      </c>
      <c r="M5" s="326">
        <f t="shared" ref="M5:M26" si="6">K5/9.8</f>
        <v>41.718570918367348</v>
      </c>
      <c r="N5" s="326">
        <f t="shared" si="2"/>
        <v>3847.9607871324715</v>
      </c>
      <c r="O5" s="192">
        <f>'Pesos elementos'!U6</f>
        <v>0.99668211836578491</v>
      </c>
      <c r="P5" s="308">
        <f t="shared" si="1"/>
        <v>56.590000000000011</v>
      </c>
      <c r="Q5" s="313">
        <f t="shared" si="3"/>
        <v>3.8387120078757504E-2</v>
      </c>
      <c r="S5" s="323">
        <f t="shared" si="4"/>
        <v>59.050000000000011</v>
      </c>
      <c r="T5" s="326">
        <f>IF(V5=1,VLOOKUP(W5,$B$3:$O$27,11,FALSE),T4)</f>
        <v>136.12184500000001</v>
      </c>
      <c r="U5" s="330">
        <f t="shared" ref="U5:U53" si="7">IF($V5=1,VLOOKUP($W5,$B$3:$Q$27,16,FALSE),U4)</f>
        <v>1.2780794715956261E-2</v>
      </c>
      <c r="V5" s="329">
        <f>V4-1</f>
        <v>0</v>
      </c>
      <c r="W5" s="68">
        <f t="shared" ref="W5:W50" si="8">IF(V5=0,W4-1,W4)</f>
        <v>23</v>
      </c>
    </row>
    <row r="6" spans="2:23" x14ac:dyDescent="0.3">
      <c r="B6" s="191">
        <f>'Pesos elementos'!H7</f>
        <v>21</v>
      </c>
      <c r="C6" s="326">
        <f>'Pesos elementos'!F6+'Pesos elementos'!I7</f>
        <v>2.46</v>
      </c>
      <c r="D6" s="326">
        <f>'Pesos elementos'!J7+'Pesos elementos'!K7</f>
        <v>410.20299999999997</v>
      </c>
      <c r="E6" s="326">
        <v>15.9534</v>
      </c>
      <c r="F6" s="326">
        <v>16.260899999999999</v>
      </c>
      <c r="G6" s="326">
        <v>37835.549589000002</v>
      </c>
      <c r="H6" s="326">
        <f>'Pesos elementos'!S7</f>
        <v>231.76469500000002</v>
      </c>
      <c r="I6" s="326">
        <f>'Pesos elementos'!N66</f>
        <v>44.458700000000007</v>
      </c>
      <c r="J6" s="326">
        <f>'Pesos elementos'!W36</f>
        <v>132.61860000000001</v>
      </c>
      <c r="K6" s="326">
        <f>'Pesos elementos'!T7</f>
        <v>408.84199500000005</v>
      </c>
      <c r="L6" s="326">
        <f t="shared" si="5"/>
        <v>1322.183305</v>
      </c>
      <c r="M6" s="326">
        <f t="shared" si="6"/>
        <v>41.718570918367348</v>
      </c>
      <c r="N6" s="326">
        <f t="shared" si="2"/>
        <v>3847.9607871324715</v>
      </c>
      <c r="O6" s="192">
        <f>'Pesos elementos'!U7</f>
        <v>0.99668211836578491</v>
      </c>
      <c r="P6" s="308">
        <f t="shared" si="1"/>
        <v>54.13000000000001</v>
      </c>
      <c r="Q6" s="313">
        <f t="shared" si="3"/>
        <v>3.8387120078757504E-2</v>
      </c>
      <c r="S6" s="323">
        <f t="shared" si="4"/>
        <v>59.050000000000011</v>
      </c>
      <c r="T6" s="326">
        <f>IF(V6=1,VLOOKUP(W6,$B$3:$O$27,11,FALSE),T5)</f>
        <v>504.49931500000002</v>
      </c>
      <c r="U6" s="330">
        <f t="shared" si="7"/>
        <v>3.4587812279897732E-2</v>
      </c>
      <c r="V6" s="329">
        <f>V5+1</f>
        <v>1</v>
      </c>
      <c r="W6" s="68">
        <f t="shared" si="8"/>
        <v>23</v>
      </c>
    </row>
    <row r="7" spans="2:23" x14ac:dyDescent="0.3">
      <c r="B7" s="191">
        <f>'Pesos elementos'!H8</f>
        <v>20</v>
      </c>
      <c r="C7" s="326">
        <f>'Pesos elementos'!F7+'Pesos elementos'!I8</f>
        <v>2.46</v>
      </c>
      <c r="D7" s="326">
        <f>'Pesos elementos'!J8+'Pesos elementos'!K8</f>
        <v>410.20299999999997</v>
      </c>
      <c r="E7" s="326">
        <v>15.9534</v>
      </c>
      <c r="F7" s="326">
        <v>16.260899999999999</v>
      </c>
      <c r="G7" s="326">
        <v>37835.549589000002</v>
      </c>
      <c r="H7" s="326">
        <f>'Pesos elementos'!S8</f>
        <v>231.76469500000002</v>
      </c>
      <c r="I7" s="326">
        <f>'Pesos elementos'!N67</f>
        <v>44.458700000000007</v>
      </c>
      <c r="J7" s="326">
        <f>'Pesos elementos'!W37</f>
        <v>132.61860000000001</v>
      </c>
      <c r="K7" s="326">
        <f>'Pesos elementos'!T8</f>
        <v>408.84199500000005</v>
      </c>
      <c r="L7" s="326">
        <f t="shared" si="5"/>
        <v>1731.0253</v>
      </c>
      <c r="M7" s="326">
        <f t="shared" si="6"/>
        <v>41.718570918367348</v>
      </c>
      <c r="N7" s="326">
        <f t="shared" si="2"/>
        <v>3847.9607871324715</v>
      </c>
      <c r="O7" s="192">
        <f>'Pesos elementos'!U8</f>
        <v>0.99668211836578491</v>
      </c>
      <c r="P7" s="308">
        <f t="shared" si="1"/>
        <v>51.670000000000009</v>
      </c>
      <c r="Q7" s="313">
        <f t="shared" si="3"/>
        <v>3.8387120078757504E-2</v>
      </c>
      <c r="S7" s="323">
        <f t="shared" si="4"/>
        <v>56.590000000000011</v>
      </c>
      <c r="T7" s="326">
        <f>IF(V7=1,VLOOKUP(W7,$B$3:$O$27,11,FALSE),T6)</f>
        <v>504.49931500000002</v>
      </c>
      <c r="U7" s="330">
        <f t="shared" si="7"/>
        <v>3.4587812279897732E-2</v>
      </c>
      <c r="V7" s="329">
        <f>V6-1</f>
        <v>0</v>
      </c>
      <c r="W7" s="68">
        <f t="shared" si="8"/>
        <v>22</v>
      </c>
    </row>
    <row r="8" spans="2:23" x14ac:dyDescent="0.3">
      <c r="B8" s="191">
        <f>'Pesos elementos'!H9</f>
        <v>19</v>
      </c>
      <c r="C8" s="326">
        <f>'Pesos elementos'!F8+'Pesos elementos'!I9</f>
        <v>2.46</v>
      </c>
      <c r="D8" s="326">
        <f>'Pesos elementos'!J9+'Pesos elementos'!K9</f>
        <v>410.20299999999997</v>
      </c>
      <c r="E8" s="326">
        <v>15.9534</v>
      </c>
      <c r="F8" s="326">
        <v>16.260899999999999</v>
      </c>
      <c r="G8" s="326">
        <v>37835.549589000002</v>
      </c>
      <c r="H8" s="326">
        <f>'Pesos elementos'!S9</f>
        <v>231.76469500000002</v>
      </c>
      <c r="I8" s="326">
        <f>'Pesos elementos'!N68</f>
        <v>44.458700000000007</v>
      </c>
      <c r="J8" s="326">
        <f>'Pesos elementos'!W38</f>
        <v>132.61860000000001</v>
      </c>
      <c r="K8" s="326">
        <f>'Pesos elementos'!T9</f>
        <v>408.84199500000005</v>
      </c>
      <c r="L8" s="326">
        <f t="shared" si="5"/>
        <v>2139.867295</v>
      </c>
      <c r="M8" s="326">
        <f t="shared" si="6"/>
        <v>41.718570918367348</v>
      </c>
      <c r="N8" s="326">
        <f t="shared" si="2"/>
        <v>3847.9607871324715</v>
      </c>
      <c r="O8" s="192">
        <f>'Pesos elementos'!U9</f>
        <v>0.99668211836578491</v>
      </c>
      <c r="P8" s="308">
        <f t="shared" si="1"/>
        <v>49.210000000000008</v>
      </c>
      <c r="Q8" s="313">
        <f t="shared" si="3"/>
        <v>3.8387120078757504E-2</v>
      </c>
      <c r="S8" s="323">
        <f t="shared" si="4"/>
        <v>56.590000000000011</v>
      </c>
      <c r="T8" s="326">
        <f>IF(V8=1,VLOOKUP(W8,$B$3:$O$27,11,FALSE),T7)</f>
        <v>913.34131000000002</v>
      </c>
      <c r="U8" s="330">
        <f t="shared" si="7"/>
        <v>3.8387120078757504E-2</v>
      </c>
      <c r="V8" s="329">
        <f t="shared" ref="V8:V33" si="9">V7+1</f>
        <v>1</v>
      </c>
      <c r="W8" s="68">
        <f t="shared" si="8"/>
        <v>22</v>
      </c>
    </row>
    <row r="9" spans="2:23" x14ac:dyDescent="0.3">
      <c r="B9" s="191">
        <f>'Pesos elementos'!H10</f>
        <v>18</v>
      </c>
      <c r="C9" s="326">
        <f>'Pesos elementos'!F9+'Pesos elementos'!I10</f>
        <v>2.46</v>
      </c>
      <c r="D9" s="326">
        <f>'Pesos elementos'!J10+'Pesos elementos'!K10</f>
        <v>410.20299999999997</v>
      </c>
      <c r="E9" s="326">
        <v>15.9534</v>
      </c>
      <c r="F9" s="326">
        <v>16.260899999999999</v>
      </c>
      <c r="G9" s="326">
        <v>37835.549589000002</v>
      </c>
      <c r="H9" s="326">
        <f>'Pesos elementos'!S10</f>
        <v>231.76469500000002</v>
      </c>
      <c r="I9" s="326">
        <f>'Pesos elementos'!N69</f>
        <v>44.458700000000007</v>
      </c>
      <c r="J9" s="326">
        <f>'Pesos elementos'!W39</f>
        <v>132.61860000000001</v>
      </c>
      <c r="K9" s="326">
        <f>'Pesos elementos'!T10</f>
        <v>408.84199500000005</v>
      </c>
      <c r="L9" s="326">
        <f t="shared" si="5"/>
        <v>2548.7092900000002</v>
      </c>
      <c r="M9" s="326">
        <f t="shared" si="6"/>
        <v>41.718570918367348</v>
      </c>
      <c r="N9" s="326">
        <f t="shared" si="2"/>
        <v>3847.9607871324715</v>
      </c>
      <c r="O9" s="192">
        <f>'Pesos elementos'!U10</f>
        <v>0.99668211836578491</v>
      </c>
      <c r="P9" s="308">
        <f t="shared" si="1"/>
        <v>46.750000000000007</v>
      </c>
      <c r="Q9" s="313">
        <f t="shared" si="3"/>
        <v>3.8387120078757504E-2</v>
      </c>
      <c r="S9" s="323">
        <f t="shared" si="4"/>
        <v>54.13000000000001</v>
      </c>
      <c r="T9" s="326">
        <f>IF(V9=1,VLOOKUP(W9,$B$3:$O$27,11,FALSE),T8)</f>
        <v>913.34131000000002</v>
      </c>
      <c r="U9" s="330">
        <f t="shared" si="7"/>
        <v>3.8387120078757504E-2</v>
      </c>
      <c r="V9" s="329">
        <f t="shared" ref="V9:V33" si="10">V8-1</f>
        <v>0</v>
      </c>
      <c r="W9" s="68">
        <f t="shared" si="8"/>
        <v>21</v>
      </c>
    </row>
    <row r="10" spans="2:23" x14ac:dyDescent="0.3">
      <c r="B10" s="191">
        <f>'Pesos elementos'!H11</f>
        <v>17</v>
      </c>
      <c r="C10" s="326">
        <f>'Pesos elementos'!F10+'Pesos elementos'!I11</f>
        <v>2.46</v>
      </c>
      <c r="D10" s="326">
        <f>'Pesos elementos'!J11+'Pesos elementos'!K11</f>
        <v>410.20299999999997</v>
      </c>
      <c r="E10" s="326">
        <v>15.9534</v>
      </c>
      <c r="F10" s="326">
        <v>16.260899999999999</v>
      </c>
      <c r="G10" s="326">
        <v>37835.549589000002</v>
      </c>
      <c r="H10" s="326">
        <f>'Pesos elementos'!S11</f>
        <v>231.76469500000002</v>
      </c>
      <c r="I10" s="326">
        <f>'Pesos elementos'!N70</f>
        <v>44.458700000000007</v>
      </c>
      <c r="J10" s="326">
        <f>'Pesos elementos'!W40</f>
        <v>132.61860000000001</v>
      </c>
      <c r="K10" s="326">
        <f>'Pesos elementos'!T11</f>
        <v>408.84199500000005</v>
      </c>
      <c r="L10" s="326">
        <f t="shared" si="5"/>
        <v>2957.5512850000005</v>
      </c>
      <c r="M10" s="326">
        <f t="shared" si="6"/>
        <v>41.718570918367348</v>
      </c>
      <c r="N10" s="326">
        <f t="shared" si="2"/>
        <v>3847.9607871324715</v>
      </c>
      <c r="O10" s="192">
        <f>'Pesos elementos'!U11</f>
        <v>0.99668211836578491</v>
      </c>
      <c r="P10" s="308">
        <f t="shared" si="1"/>
        <v>44.290000000000006</v>
      </c>
      <c r="Q10" s="313">
        <f t="shared" si="3"/>
        <v>3.8387120078757504E-2</v>
      </c>
      <c r="S10" s="323">
        <f t="shared" si="4"/>
        <v>54.13000000000001</v>
      </c>
      <c r="T10" s="326">
        <f>IF(V10=1,VLOOKUP(W10,$B$3:$O$27,11,FALSE),T9)</f>
        <v>1322.183305</v>
      </c>
      <c r="U10" s="330">
        <f t="shared" si="7"/>
        <v>3.8387120078757504E-2</v>
      </c>
      <c r="V10" s="329">
        <f t="shared" ref="V10:V33" si="11">V9+1</f>
        <v>1</v>
      </c>
      <c r="W10" s="68">
        <f t="shared" si="8"/>
        <v>21</v>
      </c>
    </row>
    <row r="11" spans="2:23" x14ac:dyDescent="0.3">
      <c r="B11" s="191">
        <f>'Pesos elementos'!H12</f>
        <v>16</v>
      </c>
      <c r="C11" s="326">
        <f>'Pesos elementos'!F11+'Pesos elementos'!I12</f>
        <v>2.46</v>
      </c>
      <c r="D11" s="326">
        <f>'Pesos elementos'!J12+'Pesos elementos'!K12</f>
        <v>410.20299999999997</v>
      </c>
      <c r="E11" s="326">
        <v>15.9534</v>
      </c>
      <c r="F11" s="326">
        <v>16.260899999999999</v>
      </c>
      <c r="G11" s="326">
        <v>37835.549589000002</v>
      </c>
      <c r="H11" s="326">
        <f>'Pesos elementos'!S12</f>
        <v>231.76469500000002</v>
      </c>
      <c r="I11" s="326">
        <f>'Pesos elementos'!N71</f>
        <v>44.458700000000007</v>
      </c>
      <c r="J11" s="326">
        <f>'Pesos elementos'!W41</f>
        <v>132.61860000000001</v>
      </c>
      <c r="K11" s="326">
        <f>'Pesos elementos'!T12</f>
        <v>408.84199500000005</v>
      </c>
      <c r="L11" s="326">
        <f t="shared" si="5"/>
        <v>3366.3932800000007</v>
      </c>
      <c r="M11" s="326">
        <f t="shared" si="6"/>
        <v>41.718570918367348</v>
      </c>
      <c r="N11" s="326">
        <f t="shared" si="2"/>
        <v>3847.9607871324715</v>
      </c>
      <c r="O11" s="192">
        <f>'Pesos elementos'!U12</f>
        <v>0.99668211836578491</v>
      </c>
      <c r="P11" s="308">
        <f t="shared" si="1"/>
        <v>41.830000000000005</v>
      </c>
      <c r="Q11" s="313">
        <f t="shared" si="3"/>
        <v>3.8387120078757504E-2</v>
      </c>
      <c r="S11" s="323">
        <f t="shared" si="4"/>
        <v>51.670000000000009</v>
      </c>
      <c r="T11" s="326">
        <f>IF(V11=1,VLOOKUP(W11,$B$3:$O$27,11,FALSE),T10)</f>
        <v>1322.183305</v>
      </c>
      <c r="U11" s="330">
        <f t="shared" si="7"/>
        <v>3.8387120078757504E-2</v>
      </c>
      <c r="V11" s="329">
        <f t="shared" ref="V11:V33" si="12">V10-1</f>
        <v>0</v>
      </c>
      <c r="W11" s="68">
        <f t="shared" si="8"/>
        <v>20</v>
      </c>
    </row>
    <row r="12" spans="2:23" x14ac:dyDescent="0.3">
      <c r="B12" s="191">
        <f>'Pesos elementos'!H13</f>
        <v>15</v>
      </c>
      <c r="C12" s="326">
        <f>'Pesos elementos'!F12+'Pesos elementos'!I13</f>
        <v>2.46</v>
      </c>
      <c r="D12" s="326">
        <f>'Pesos elementos'!J13+'Pesos elementos'!K13</f>
        <v>410.20299999999997</v>
      </c>
      <c r="E12" s="326">
        <v>15.9534</v>
      </c>
      <c r="F12" s="326">
        <v>16.260899999999999</v>
      </c>
      <c r="G12" s="326">
        <v>37835.549589000002</v>
      </c>
      <c r="H12" s="326">
        <f>'Pesos elementos'!S13</f>
        <v>231.76469500000002</v>
      </c>
      <c r="I12" s="326">
        <f>'Pesos elementos'!N72</f>
        <v>44.458700000000007</v>
      </c>
      <c r="J12" s="326">
        <f>'Pesos elementos'!W42</f>
        <v>132.61860000000001</v>
      </c>
      <c r="K12" s="326">
        <f>'Pesos elementos'!T13</f>
        <v>408.84199500000005</v>
      </c>
      <c r="L12" s="326">
        <f t="shared" si="5"/>
        <v>3775.2352750000009</v>
      </c>
      <c r="M12" s="326">
        <f t="shared" si="6"/>
        <v>41.718570918367348</v>
      </c>
      <c r="N12" s="326">
        <f t="shared" si="2"/>
        <v>3847.9607871324715</v>
      </c>
      <c r="O12" s="192">
        <f>'Pesos elementos'!U13</f>
        <v>0.99668211836578491</v>
      </c>
      <c r="P12" s="308">
        <f t="shared" si="1"/>
        <v>39.370000000000005</v>
      </c>
      <c r="Q12" s="313">
        <f t="shared" si="3"/>
        <v>3.8387120078757504E-2</v>
      </c>
      <c r="S12" s="323">
        <f t="shared" si="4"/>
        <v>51.670000000000009</v>
      </c>
      <c r="T12" s="326">
        <f>IF(V12=1,VLOOKUP(W12,$B$3:$O$27,11,FALSE),T11)</f>
        <v>1731.0253</v>
      </c>
      <c r="U12" s="330">
        <f t="shared" si="7"/>
        <v>3.8387120078757504E-2</v>
      </c>
      <c r="V12" s="329">
        <f t="shared" ref="V12:V33" si="13">V11+1</f>
        <v>1</v>
      </c>
      <c r="W12" s="68">
        <f t="shared" si="8"/>
        <v>20</v>
      </c>
    </row>
    <row r="13" spans="2:23" x14ac:dyDescent="0.3">
      <c r="B13" s="191">
        <f>'Pesos elementos'!H14</f>
        <v>14</v>
      </c>
      <c r="C13" s="326">
        <f>'Pesos elementos'!F13+'Pesos elementos'!I14</f>
        <v>2.46</v>
      </c>
      <c r="D13" s="326">
        <f>'Pesos elementos'!J14+'Pesos elementos'!K14</f>
        <v>410.20299999999997</v>
      </c>
      <c r="E13" s="326">
        <v>15.9534</v>
      </c>
      <c r="F13" s="326">
        <v>16.260899999999999</v>
      </c>
      <c r="G13" s="326">
        <v>37835.549589000002</v>
      </c>
      <c r="H13" s="326">
        <f>'Pesos elementos'!S14</f>
        <v>231.76469500000002</v>
      </c>
      <c r="I13" s="326">
        <f>'Pesos elementos'!N73</f>
        <v>44.458700000000007</v>
      </c>
      <c r="J13" s="326">
        <f>'Pesos elementos'!W43</f>
        <v>132.61860000000001</v>
      </c>
      <c r="K13" s="326">
        <f>'Pesos elementos'!T14</f>
        <v>425.38387000000006</v>
      </c>
      <c r="L13" s="326">
        <f t="shared" si="5"/>
        <v>4200.6191450000006</v>
      </c>
      <c r="M13" s="326">
        <f t="shared" si="6"/>
        <v>43.406517346938777</v>
      </c>
      <c r="N13" s="326">
        <f t="shared" si="2"/>
        <v>4003.6504841892697</v>
      </c>
      <c r="O13" s="192">
        <f>'Pesos elementos'!U14</f>
        <v>1.0370081886285574</v>
      </c>
      <c r="P13" s="308">
        <f t="shared" si="1"/>
        <v>36.910000000000004</v>
      </c>
      <c r="Q13" s="313">
        <f t="shared" si="3"/>
        <v>3.9940274964308818E-2</v>
      </c>
      <c r="S13" s="323">
        <f t="shared" si="4"/>
        <v>49.210000000000008</v>
      </c>
      <c r="T13" s="326">
        <f>IF(V13=1,VLOOKUP(W13,$B$3:$O$27,11,FALSE),T12)</f>
        <v>1731.0253</v>
      </c>
      <c r="U13" s="330">
        <f t="shared" si="7"/>
        <v>3.8387120078757504E-2</v>
      </c>
      <c r="V13" s="329">
        <f t="shared" ref="V13:V33" si="14">V12-1</f>
        <v>0</v>
      </c>
      <c r="W13" s="68">
        <f t="shared" si="8"/>
        <v>19</v>
      </c>
    </row>
    <row r="14" spans="2:23" x14ac:dyDescent="0.3">
      <c r="B14" s="191">
        <f>'Pesos elementos'!H15</f>
        <v>13</v>
      </c>
      <c r="C14" s="326">
        <f>'Pesos elementos'!F14+'Pesos elementos'!I15</f>
        <v>2.46</v>
      </c>
      <c r="D14" s="326">
        <f>'Pesos elementos'!J15+'Pesos elementos'!K15</f>
        <v>410.20299999999997</v>
      </c>
      <c r="E14" s="326">
        <v>15.9534</v>
      </c>
      <c r="F14" s="326">
        <v>16.260899999999999</v>
      </c>
      <c r="G14" s="326">
        <v>37835.549589000002</v>
      </c>
      <c r="H14" s="326">
        <f>'Pesos elementos'!S15</f>
        <v>231.76469500000002</v>
      </c>
      <c r="I14" s="326">
        <f>'Pesos elementos'!N74</f>
        <v>44.458700000000007</v>
      </c>
      <c r="J14" s="326">
        <f>'Pesos elementos'!W44</f>
        <v>165.70235</v>
      </c>
      <c r="K14" s="326">
        <f>'Pesos elementos'!T15</f>
        <v>441.92574500000001</v>
      </c>
      <c r="L14" s="326">
        <f t="shared" si="5"/>
        <v>4642.544890000001</v>
      </c>
      <c r="M14" s="326">
        <f t="shared" si="6"/>
        <v>45.094463775510199</v>
      </c>
      <c r="N14" s="326">
        <f>M14/D14*(G14)</f>
        <v>4159.340181246067</v>
      </c>
      <c r="O14" s="192">
        <f>'Pesos elementos'!U15</f>
        <v>1.0773342588913295</v>
      </c>
      <c r="P14" s="308">
        <f t="shared" si="1"/>
        <v>34.450000000000003</v>
      </c>
      <c r="Q14" s="313">
        <f t="shared" si="3"/>
        <v>4.1493429849860132E-2</v>
      </c>
      <c r="S14" s="323">
        <f t="shared" si="4"/>
        <v>49.210000000000008</v>
      </c>
      <c r="T14" s="326">
        <f>IF(V14=1,VLOOKUP(W14,$B$3:$O$27,11,FALSE),T13)</f>
        <v>2139.867295</v>
      </c>
      <c r="U14" s="330">
        <f t="shared" si="7"/>
        <v>3.8387120078757504E-2</v>
      </c>
      <c r="V14" s="329">
        <f t="shared" ref="V14:V33" si="15">V13+1</f>
        <v>1</v>
      </c>
      <c r="W14" s="68">
        <f t="shared" si="8"/>
        <v>19</v>
      </c>
    </row>
    <row r="15" spans="2:23" x14ac:dyDescent="0.3">
      <c r="B15" s="191">
        <f>'Pesos elementos'!H16</f>
        <v>12</v>
      </c>
      <c r="C15" s="326">
        <f>'Pesos elementos'!F15+'Pesos elementos'!I16</f>
        <v>2.46</v>
      </c>
      <c r="D15" s="326">
        <f>'Pesos elementos'!J16+'Pesos elementos'!K16</f>
        <v>410.20299999999997</v>
      </c>
      <c r="E15" s="326">
        <v>15.9534</v>
      </c>
      <c r="F15" s="326">
        <v>16.260899999999999</v>
      </c>
      <c r="G15" s="326">
        <v>37835.549589000002</v>
      </c>
      <c r="H15" s="326">
        <f>'Pesos elementos'!S16</f>
        <v>231.76469500000002</v>
      </c>
      <c r="I15" s="326">
        <f>'Pesos elementos'!N75</f>
        <v>44.458700000000007</v>
      </c>
      <c r="J15" s="326">
        <f>'Pesos elementos'!W45</f>
        <v>165.70235</v>
      </c>
      <c r="K15" s="326">
        <f>'Pesos elementos'!T16</f>
        <v>441.92574500000001</v>
      </c>
      <c r="L15" s="326">
        <f t="shared" si="5"/>
        <v>5084.4706350000015</v>
      </c>
      <c r="M15" s="326">
        <f t="shared" si="6"/>
        <v>45.094463775510199</v>
      </c>
      <c r="N15" s="326">
        <f t="shared" si="2"/>
        <v>4159.340181246067</v>
      </c>
      <c r="O15" s="192">
        <f>'Pesos elementos'!U16</f>
        <v>1.0773342588913295</v>
      </c>
      <c r="P15" s="308">
        <f t="shared" si="1"/>
        <v>31.990000000000006</v>
      </c>
      <c r="Q15" s="313">
        <f t="shared" si="3"/>
        <v>4.1493429849860132E-2</v>
      </c>
      <c r="S15" s="323">
        <f t="shared" si="4"/>
        <v>46.750000000000007</v>
      </c>
      <c r="T15" s="326">
        <f>IF(V15=1,VLOOKUP(W15,$B$3:$O$27,11,FALSE),T14)</f>
        <v>2139.867295</v>
      </c>
      <c r="U15" s="330">
        <f t="shared" si="7"/>
        <v>3.8387120078757504E-2</v>
      </c>
      <c r="V15" s="329">
        <f t="shared" ref="V15:V33" si="16">V14-1</f>
        <v>0</v>
      </c>
      <c r="W15" s="68">
        <f t="shared" si="8"/>
        <v>18</v>
      </c>
    </row>
    <row r="16" spans="2:23" x14ac:dyDescent="0.3">
      <c r="B16" s="191">
        <f>'Pesos elementos'!H17</f>
        <v>11</v>
      </c>
      <c r="C16" s="326">
        <f>'Pesos elementos'!F16+'Pesos elementos'!I17</f>
        <v>2.46</v>
      </c>
      <c r="D16" s="326">
        <f>'Pesos elementos'!J17+'Pesos elementos'!K17</f>
        <v>410.20299999999997</v>
      </c>
      <c r="E16" s="326">
        <v>15.9534</v>
      </c>
      <c r="F16" s="326">
        <v>16.260899999999999</v>
      </c>
      <c r="G16" s="326">
        <v>37835.549589000002</v>
      </c>
      <c r="H16" s="326">
        <f>'Pesos elementos'!S17</f>
        <v>231.76469500000002</v>
      </c>
      <c r="I16" s="326">
        <f>'Pesos elementos'!N76</f>
        <v>44.458700000000007</v>
      </c>
      <c r="J16" s="326">
        <f>'Pesos elementos'!W46</f>
        <v>165.70235</v>
      </c>
      <c r="K16" s="326">
        <f>'Pesos elementos'!T17</f>
        <v>441.92574500000001</v>
      </c>
      <c r="L16" s="326">
        <f t="shared" si="5"/>
        <v>5526.396380000002</v>
      </c>
      <c r="M16" s="326">
        <f t="shared" si="6"/>
        <v>45.094463775510199</v>
      </c>
      <c r="N16" s="326">
        <f t="shared" si="2"/>
        <v>4159.340181246067</v>
      </c>
      <c r="O16" s="192">
        <f>'Pesos elementos'!U17</f>
        <v>1.0773342588913295</v>
      </c>
      <c r="P16" s="308">
        <f t="shared" si="1"/>
        <v>29.530000000000005</v>
      </c>
      <c r="Q16" s="313">
        <f t="shared" si="3"/>
        <v>4.1493429849860132E-2</v>
      </c>
      <c r="S16" s="323">
        <f t="shared" si="4"/>
        <v>46.750000000000007</v>
      </c>
      <c r="T16" s="326">
        <f>IF(V16=1,VLOOKUP(W16,$B$3:$O$27,11,FALSE),T15)</f>
        <v>2548.7092900000002</v>
      </c>
      <c r="U16" s="330">
        <f t="shared" si="7"/>
        <v>3.8387120078757504E-2</v>
      </c>
      <c r="V16" s="329">
        <f t="shared" ref="V16:V33" si="17">V15+1</f>
        <v>1</v>
      </c>
      <c r="W16" s="68">
        <f t="shared" si="8"/>
        <v>18</v>
      </c>
    </row>
    <row r="17" spans="2:23" x14ac:dyDescent="0.3">
      <c r="B17" s="191">
        <f>'Pesos elementos'!H18</f>
        <v>10</v>
      </c>
      <c r="C17" s="326">
        <f>'Pesos elementos'!F17+'Pesos elementos'!I18</f>
        <v>2.46</v>
      </c>
      <c r="D17" s="326">
        <f>'Pesos elementos'!J18+'Pesos elementos'!K18</f>
        <v>410.20299999999997</v>
      </c>
      <c r="E17" s="326">
        <v>15.9534</v>
      </c>
      <c r="F17" s="326">
        <v>16.260899999999999</v>
      </c>
      <c r="G17" s="326">
        <v>37835.549589000002</v>
      </c>
      <c r="H17" s="326">
        <f>'Pesos elementos'!S18</f>
        <v>231.76469500000002</v>
      </c>
      <c r="I17" s="326">
        <f>'Pesos elementos'!N77</f>
        <v>44.458700000000007</v>
      </c>
      <c r="J17" s="326">
        <f>'Pesos elementos'!W47</f>
        <v>165.70235</v>
      </c>
      <c r="K17" s="326">
        <f>'Pesos elementos'!T18</f>
        <v>441.92574500000001</v>
      </c>
      <c r="L17" s="326">
        <f t="shared" si="5"/>
        <v>5968.3221250000024</v>
      </c>
      <c r="M17" s="326">
        <f t="shared" si="6"/>
        <v>45.094463775510199</v>
      </c>
      <c r="N17" s="326">
        <f t="shared" si="2"/>
        <v>4159.340181246067</v>
      </c>
      <c r="O17" s="192">
        <f>'Pesos elementos'!U18</f>
        <v>1.0773342588913295</v>
      </c>
      <c r="P17" s="308">
        <f t="shared" si="1"/>
        <v>27.070000000000004</v>
      </c>
      <c r="Q17" s="313">
        <f t="shared" si="3"/>
        <v>4.1493429849860132E-2</v>
      </c>
      <c r="S17" s="323">
        <f t="shared" si="4"/>
        <v>44.290000000000006</v>
      </c>
      <c r="T17" s="326">
        <f>IF(V17=1,VLOOKUP(W17,$B$3:$O$27,11,FALSE),T16)</f>
        <v>2548.7092900000002</v>
      </c>
      <c r="U17" s="330">
        <f t="shared" si="7"/>
        <v>3.8387120078757504E-2</v>
      </c>
      <c r="V17" s="329">
        <f t="shared" ref="V17:V33" si="18">V16-1</f>
        <v>0</v>
      </c>
      <c r="W17" s="68">
        <f t="shared" si="8"/>
        <v>17</v>
      </c>
    </row>
    <row r="18" spans="2:23" x14ac:dyDescent="0.3">
      <c r="B18" s="191">
        <f>'Pesos elementos'!H19</f>
        <v>9</v>
      </c>
      <c r="C18" s="326">
        <f>'Pesos elementos'!F18+'Pesos elementos'!I19</f>
        <v>2.46</v>
      </c>
      <c r="D18" s="326">
        <f>'Pesos elementos'!J19+'Pesos elementos'!K19</f>
        <v>410.20299999999997</v>
      </c>
      <c r="E18" s="326">
        <v>15.9534</v>
      </c>
      <c r="F18" s="326">
        <v>16.260899999999999</v>
      </c>
      <c r="G18" s="326">
        <v>37835.549589000002</v>
      </c>
      <c r="H18" s="326">
        <f>'Pesos elementos'!S19</f>
        <v>231.76469500000002</v>
      </c>
      <c r="I18" s="326">
        <f>'Pesos elementos'!N78</f>
        <v>44.458700000000007</v>
      </c>
      <c r="J18" s="326">
        <f>'Pesos elementos'!W48</f>
        <v>165.70235</v>
      </c>
      <c r="K18" s="326">
        <f>'Pesos elementos'!T19</f>
        <v>441.92574500000001</v>
      </c>
      <c r="L18" s="326">
        <f t="shared" si="5"/>
        <v>6410.2478700000029</v>
      </c>
      <c r="M18" s="326">
        <f t="shared" si="6"/>
        <v>45.094463775510199</v>
      </c>
      <c r="N18" s="326">
        <f t="shared" si="2"/>
        <v>4159.340181246067</v>
      </c>
      <c r="O18" s="192">
        <f>'Pesos elementos'!U19</f>
        <v>1.0773342588913295</v>
      </c>
      <c r="P18" s="308">
        <f t="shared" si="1"/>
        <v>24.610000000000003</v>
      </c>
      <c r="Q18" s="313">
        <f t="shared" si="3"/>
        <v>4.1493429849860132E-2</v>
      </c>
      <c r="S18" s="323">
        <f t="shared" si="4"/>
        <v>44.290000000000006</v>
      </c>
      <c r="T18" s="326">
        <f>IF(V18=1,VLOOKUP(W18,$B$3:$O$27,11,FALSE),T17)</f>
        <v>2957.5512850000005</v>
      </c>
      <c r="U18" s="330">
        <f t="shared" si="7"/>
        <v>3.8387120078757504E-2</v>
      </c>
      <c r="V18" s="329">
        <f t="shared" ref="V18:V33" si="19">V17+1</f>
        <v>1</v>
      </c>
      <c r="W18" s="68">
        <f t="shared" si="8"/>
        <v>17</v>
      </c>
    </row>
    <row r="19" spans="2:23" x14ac:dyDescent="0.3">
      <c r="B19" s="191">
        <f>'Pesos elementos'!H20</f>
        <v>8</v>
      </c>
      <c r="C19" s="326">
        <f>'Pesos elementos'!F19+'Pesos elementos'!I20</f>
        <v>2.46</v>
      </c>
      <c r="D19" s="326">
        <f>'Pesos elementos'!J20+'Pesos elementos'!K20</f>
        <v>410.20299999999997</v>
      </c>
      <c r="E19" s="326">
        <v>15.9534</v>
      </c>
      <c r="F19" s="326">
        <v>16.260899999999999</v>
      </c>
      <c r="G19" s="326">
        <v>37835.549589000002</v>
      </c>
      <c r="H19" s="326">
        <f>'Pesos elementos'!S20</f>
        <v>231.76469500000002</v>
      </c>
      <c r="I19" s="326">
        <f>'Pesos elementos'!N79</f>
        <v>44.458700000000007</v>
      </c>
      <c r="J19" s="326">
        <f>'Pesos elementos'!W49</f>
        <v>165.70235</v>
      </c>
      <c r="K19" s="326">
        <f>'Pesos elementos'!T20</f>
        <v>441.92574500000001</v>
      </c>
      <c r="L19" s="326">
        <f t="shared" si="5"/>
        <v>6852.1736150000033</v>
      </c>
      <c r="M19" s="326">
        <f t="shared" si="6"/>
        <v>45.094463775510199</v>
      </c>
      <c r="N19" s="326">
        <f t="shared" si="2"/>
        <v>4159.340181246067</v>
      </c>
      <c r="O19" s="192">
        <f>'Pesos elementos'!U20</f>
        <v>1.0773342588913295</v>
      </c>
      <c r="P19" s="308">
        <f t="shared" si="1"/>
        <v>22.150000000000002</v>
      </c>
      <c r="Q19" s="313">
        <f t="shared" si="3"/>
        <v>4.1493429849860132E-2</v>
      </c>
      <c r="S19" s="323">
        <f t="shared" si="4"/>
        <v>41.830000000000005</v>
      </c>
      <c r="T19" s="326">
        <f>IF(V19=1,VLOOKUP(W19,$B$3:$O$27,11,FALSE),T18)</f>
        <v>2957.5512850000005</v>
      </c>
      <c r="U19" s="330">
        <f t="shared" si="7"/>
        <v>3.8387120078757504E-2</v>
      </c>
      <c r="V19" s="329">
        <f t="shared" ref="V19:V33" si="20">V18-1</f>
        <v>0</v>
      </c>
      <c r="W19" s="68">
        <f t="shared" si="8"/>
        <v>16</v>
      </c>
    </row>
    <row r="20" spans="2:23" x14ac:dyDescent="0.3">
      <c r="B20" s="191">
        <f>'Pesos elementos'!H21</f>
        <v>7</v>
      </c>
      <c r="C20" s="326">
        <f>'Pesos elementos'!F20+'Pesos elementos'!I21</f>
        <v>2.46</v>
      </c>
      <c r="D20" s="326">
        <f>'Pesos elementos'!J21+'Pesos elementos'!K21</f>
        <v>410.20299999999997</v>
      </c>
      <c r="E20" s="326">
        <v>15.9534</v>
      </c>
      <c r="F20" s="326">
        <v>16.260899999999999</v>
      </c>
      <c r="G20" s="326">
        <v>37835.549589000002</v>
      </c>
      <c r="H20" s="326">
        <f>'Pesos elementos'!S21</f>
        <v>231.76469500000002</v>
      </c>
      <c r="I20" s="326">
        <f>'Pesos elementos'!N80</f>
        <v>44.458700000000007</v>
      </c>
      <c r="J20" s="326">
        <f>'Pesos elementos'!W50</f>
        <v>165.70235</v>
      </c>
      <c r="K20" s="326">
        <f>'Pesos elementos'!T21</f>
        <v>441.92574500000001</v>
      </c>
      <c r="L20" s="326">
        <f t="shared" si="5"/>
        <v>7294.0993600000038</v>
      </c>
      <c r="M20" s="326">
        <f t="shared" si="6"/>
        <v>45.094463775510199</v>
      </c>
      <c r="N20" s="326">
        <f t="shared" si="2"/>
        <v>4159.340181246067</v>
      </c>
      <c r="O20" s="192">
        <f>'Pesos elementos'!U21</f>
        <v>1.0773342588913295</v>
      </c>
      <c r="P20" s="308">
        <f t="shared" si="1"/>
        <v>19.690000000000001</v>
      </c>
      <c r="Q20" s="313">
        <f t="shared" si="3"/>
        <v>4.1493429849860132E-2</v>
      </c>
      <c r="S20" s="323">
        <f t="shared" si="4"/>
        <v>41.830000000000005</v>
      </c>
      <c r="T20" s="326">
        <f>IF(V20=1,VLOOKUP(W20,$B$3:$O$27,11,FALSE),T19)</f>
        <v>3366.3932800000007</v>
      </c>
      <c r="U20" s="330">
        <f t="shared" si="7"/>
        <v>3.8387120078757504E-2</v>
      </c>
      <c r="V20" s="329">
        <f t="shared" ref="V20:V33" si="21">V19+1</f>
        <v>1</v>
      </c>
      <c r="W20" s="68">
        <f t="shared" si="8"/>
        <v>16</v>
      </c>
    </row>
    <row r="21" spans="2:23" x14ac:dyDescent="0.3">
      <c r="B21" s="191">
        <f>'Pesos elementos'!H22</f>
        <v>6</v>
      </c>
      <c r="C21" s="326">
        <f>'Pesos elementos'!F21+'Pesos elementos'!I22</f>
        <v>2.46</v>
      </c>
      <c r="D21" s="326">
        <f>'Pesos elementos'!J22+'Pesos elementos'!K22</f>
        <v>410.20299999999997</v>
      </c>
      <c r="E21" s="326">
        <v>15.9534</v>
      </c>
      <c r="F21" s="326">
        <v>16.260899999999999</v>
      </c>
      <c r="G21" s="326">
        <v>37835.549589000002</v>
      </c>
      <c r="H21" s="326">
        <f>'Pesos elementos'!S22</f>
        <v>231.76469500000002</v>
      </c>
      <c r="I21" s="326">
        <f>'Pesos elementos'!N81</f>
        <v>44.458700000000007</v>
      </c>
      <c r="J21" s="326">
        <f>'Pesos elementos'!W51</f>
        <v>165.70235</v>
      </c>
      <c r="K21" s="326">
        <f>'Pesos elementos'!T22</f>
        <v>441.92574500000001</v>
      </c>
      <c r="L21" s="326">
        <f t="shared" si="5"/>
        <v>7736.0251050000043</v>
      </c>
      <c r="M21" s="326">
        <f t="shared" si="6"/>
        <v>45.094463775510199</v>
      </c>
      <c r="N21" s="326">
        <f t="shared" si="2"/>
        <v>4159.340181246067</v>
      </c>
      <c r="O21" s="192">
        <f>'Pesos elementos'!U22</f>
        <v>1.0773342588913295</v>
      </c>
      <c r="P21" s="308">
        <f t="shared" si="1"/>
        <v>17.23</v>
      </c>
      <c r="Q21" s="313">
        <f t="shared" si="3"/>
        <v>4.1493429849860132E-2</v>
      </c>
      <c r="S21" s="323">
        <f t="shared" si="4"/>
        <v>39.370000000000005</v>
      </c>
      <c r="T21" s="326">
        <f>IF(V21=1,VLOOKUP(W21,$B$3:$O$27,11,FALSE),T20)</f>
        <v>3366.3932800000007</v>
      </c>
      <c r="U21" s="330">
        <f t="shared" si="7"/>
        <v>3.8387120078757504E-2</v>
      </c>
      <c r="V21" s="329">
        <f t="shared" ref="V21:V33" si="22">V20-1</f>
        <v>0</v>
      </c>
      <c r="W21" s="68">
        <f t="shared" si="8"/>
        <v>15</v>
      </c>
    </row>
    <row r="22" spans="2:23" x14ac:dyDescent="0.3">
      <c r="B22" s="191">
        <f>'Pesos elementos'!H23</f>
        <v>5</v>
      </c>
      <c r="C22" s="326">
        <f>'Pesos elementos'!F22+'Pesos elementos'!I23</f>
        <v>2.46</v>
      </c>
      <c r="D22" s="326">
        <f>'Pesos elementos'!J23+'Pesos elementos'!K23</f>
        <v>410.20299999999997</v>
      </c>
      <c r="E22" s="326">
        <v>15.9534</v>
      </c>
      <c r="F22" s="326">
        <v>16.260899999999999</v>
      </c>
      <c r="G22" s="326">
        <v>37835.549589000002</v>
      </c>
      <c r="H22" s="326">
        <f>'Pesos elementos'!S23</f>
        <v>231.76469500000002</v>
      </c>
      <c r="I22" s="326">
        <f>'Pesos elementos'!N82</f>
        <v>44.458700000000007</v>
      </c>
      <c r="J22" s="326">
        <f>'Pesos elementos'!W52</f>
        <v>165.70235</v>
      </c>
      <c r="K22" s="326">
        <f>'Pesos elementos'!T23</f>
        <v>441.92574500000001</v>
      </c>
      <c r="L22" s="326">
        <f t="shared" si="5"/>
        <v>8177.9508500000047</v>
      </c>
      <c r="M22" s="326">
        <f t="shared" si="6"/>
        <v>45.094463775510199</v>
      </c>
      <c r="N22" s="326">
        <f t="shared" si="2"/>
        <v>4159.340181246067</v>
      </c>
      <c r="O22" s="192">
        <f>'Pesos elementos'!U23</f>
        <v>1.0773342588913295</v>
      </c>
      <c r="P22" s="308">
        <f t="shared" si="1"/>
        <v>14.77</v>
      </c>
      <c r="Q22" s="313">
        <f t="shared" si="3"/>
        <v>4.1493429849860132E-2</v>
      </c>
      <c r="S22" s="323">
        <f t="shared" si="4"/>
        <v>39.370000000000005</v>
      </c>
      <c r="T22" s="326">
        <f>IF(V22=1,VLOOKUP(W22,$B$3:$O$27,11,FALSE),T21)</f>
        <v>3775.2352750000009</v>
      </c>
      <c r="U22" s="330">
        <f t="shared" si="7"/>
        <v>3.8387120078757504E-2</v>
      </c>
      <c r="V22" s="329">
        <f t="shared" ref="V22:V33" si="23">V21+1</f>
        <v>1</v>
      </c>
      <c r="W22" s="68">
        <f t="shared" si="8"/>
        <v>15</v>
      </c>
    </row>
    <row r="23" spans="2:23" x14ac:dyDescent="0.3">
      <c r="B23" s="191">
        <f>'Pesos elementos'!H24</f>
        <v>4</v>
      </c>
      <c r="C23" s="326">
        <f>'Pesos elementos'!F23+'Pesos elementos'!I24</f>
        <v>2.46</v>
      </c>
      <c r="D23" s="326">
        <f>'Pesos elementos'!J24+'Pesos elementos'!K24</f>
        <v>410.20299999999997</v>
      </c>
      <c r="E23" s="326">
        <v>15.9534</v>
      </c>
      <c r="F23" s="326">
        <v>16.260899999999999</v>
      </c>
      <c r="G23" s="326">
        <v>37835.549589000002</v>
      </c>
      <c r="H23" s="326">
        <f>'Pesos elementos'!S24</f>
        <v>231.76469500000002</v>
      </c>
      <c r="I23" s="326">
        <f>'Pesos elementos'!N83</f>
        <v>44.458700000000007</v>
      </c>
      <c r="J23" s="326">
        <f>'Pesos elementos'!W53</f>
        <v>165.70235</v>
      </c>
      <c r="K23" s="326">
        <f>'Pesos elementos'!T24</f>
        <v>441.92574500000001</v>
      </c>
      <c r="L23" s="326">
        <f t="shared" si="5"/>
        <v>8619.8765950000052</v>
      </c>
      <c r="M23" s="326">
        <f t="shared" si="6"/>
        <v>45.094463775510199</v>
      </c>
      <c r="N23" s="326">
        <f t="shared" si="2"/>
        <v>4159.340181246067</v>
      </c>
      <c r="O23" s="192">
        <f>'Pesos elementos'!U24</f>
        <v>1.0773342588913295</v>
      </c>
      <c r="P23" s="308">
        <f t="shared" si="1"/>
        <v>12.309999999999999</v>
      </c>
      <c r="Q23" s="313">
        <f t="shared" si="3"/>
        <v>4.1493429849860132E-2</v>
      </c>
      <c r="S23" s="323">
        <f t="shared" si="4"/>
        <v>36.910000000000004</v>
      </c>
      <c r="T23" s="326">
        <f>IF(V23=1,VLOOKUP(W23,$B$3:$O$27,11,FALSE),T22)</f>
        <v>3775.2352750000009</v>
      </c>
      <c r="U23" s="330">
        <f t="shared" si="7"/>
        <v>3.8387120078757504E-2</v>
      </c>
      <c r="V23" s="329">
        <f t="shared" ref="V23:V33" si="24">V22-1</f>
        <v>0</v>
      </c>
      <c r="W23" s="68">
        <f t="shared" si="8"/>
        <v>14</v>
      </c>
    </row>
    <row r="24" spans="2:23" x14ac:dyDescent="0.3">
      <c r="B24" s="191">
        <f>'Pesos elementos'!H25</f>
        <v>3</v>
      </c>
      <c r="C24" s="326">
        <f>'Pesos elementos'!F24+'Pesos elementos'!I25</f>
        <v>2.46</v>
      </c>
      <c r="D24" s="326">
        <f>'Pesos elementos'!J25+'Pesos elementos'!K25</f>
        <v>410.20299999999997</v>
      </c>
      <c r="E24" s="326">
        <v>15.9534</v>
      </c>
      <c r="F24" s="326">
        <v>16.260899999999999</v>
      </c>
      <c r="G24" s="326">
        <v>37835.549589000002</v>
      </c>
      <c r="H24" s="326">
        <f>'Pesos elementos'!S25</f>
        <v>231.76469500000002</v>
      </c>
      <c r="I24" s="326">
        <f>'Pesos elementos'!N84</f>
        <v>44.458700000000007</v>
      </c>
      <c r="J24" s="326">
        <f>'Pesos elementos'!W54</f>
        <v>165.70235</v>
      </c>
      <c r="K24" s="326">
        <f>'Pesos elementos'!T25</f>
        <v>444.69054500000004</v>
      </c>
      <c r="L24" s="326">
        <f t="shared" si="5"/>
        <v>9064.5671400000047</v>
      </c>
      <c r="M24" s="326">
        <f t="shared" si="6"/>
        <v>45.376586224489799</v>
      </c>
      <c r="N24" s="326">
        <f t="shared" si="2"/>
        <v>4185.362072623112</v>
      </c>
      <c r="O24" s="192">
        <f>'Pesos elementos'!U25</f>
        <v>1.0840743363651657</v>
      </c>
      <c r="P24" s="308">
        <f t="shared" si="1"/>
        <v>9.85</v>
      </c>
      <c r="Q24" s="313">
        <f t="shared" si="3"/>
        <v>4.1753023313574028E-2</v>
      </c>
      <c r="S24" s="323">
        <f t="shared" si="4"/>
        <v>36.910000000000004</v>
      </c>
      <c r="T24" s="326">
        <f>IF(V24=1,VLOOKUP(W24,$B$3:$O$27,11,FALSE),T23)</f>
        <v>4200.6191450000006</v>
      </c>
      <c r="U24" s="330">
        <f t="shared" si="7"/>
        <v>3.9940274964308818E-2</v>
      </c>
      <c r="V24" s="329">
        <f t="shared" ref="V24:V33" si="25">V23+1</f>
        <v>1</v>
      </c>
      <c r="W24" s="68">
        <f t="shared" si="8"/>
        <v>14</v>
      </c>
    </row>
    <row r="25" spans="2:23" x14ac:dyDescent="0.3">
      <c r="B25" s="193">
        <f>'Pesos elementos'!H26</f>
        <v>2</v>
      </c>
      <c r="C25" s="326">
        <f>'Pesos elementos'!F25+'Pesos elementos'!I26</f>
        <v>2.46</v>
      </c>
      <c r="D25" s="326">
        <f>'Pesos elementos'!J26+'Pesos elementos'!K26</f>
        <v>410.702</v>
      </c>
      <c r="E25" s="326">
        <v>15.9534</v>
      </c>
      <c r="F25" s="326">
        <v>16.260899999999999</v>
      </c>
      <c r="G25" s="326">
        <v>37835.549589000002</v>
      </c>
      <c r="H25" s="326">
        <f>'Pesos elementos'!S26</f>
        <v>232.04662999999999</v>
      </c>
      <c r="I25" s="326">
        <f>'Pesos elementos'!N85</f>
        <v>43.80830000000001</v>
      </c>
      <c r="J25" s="326">
        <f>'Pesos elementos'!W55</f>
        <v>171.23195000000004</v>
      </c>
      <c r="K25" s="326">
        <f>'Pesos elementos'!T26</f>
        <v>453.15719249999995</v>
      </c>
      <c r="L25" s="326">
        <f t="shared" si="5"/>
        <v>9517.7243325000054</v>
      </c>
      <c r="M25" s="326">
        <f t="shared" si="6"/>
        <v>46.24052984693877</v>
      </c>
      <c r="N25" s="326">
        <f t="shared" si="2"/>
        <v>4259.8669109122584</v>
      </c>
      <c r="O25" s="192">
        <f>'Pesos elementos'!U26</f>
        <v>1.10337225652663</v>
      </c>
      <c r="P25" s="308">
        <f t="shared" si="1"/>
        <v>7.39</v>
      </c>
      <c r="Q25" s="313">
        <f t="shared" si="3"/>
        <v>4.2547976420695542E-2</v>
      </c>
      <c r="S25" s="323">
        <f t="shared" si="4"/>
        <v>34.450000000000003</v>
      </c>
      <c r="T25" s="326">
        <f>IF(V25=1,VLOOKUP(W25,$B$3:$O$27,11,FALSE),T24)</f>
        <v>4200.6191450000006</v>
      </c>
      <c r="U25" s="330">
        <f t="shared" si="7"/>
        <v>3.9940274964308818E-2</v>
      </c>
      <c r="V25" s="329">
        <f t="shared" ref="V25:V33" si="26">V24-1</f>
        <v>0</v>
      </c>
      <c r="W25" s="68">
        <f t="shared" si="8"/>
        <v>13</v>
      </c>
    </row>
    <row r="26" spans="2:23" x14ac:dyDescent="0.3">
      <c r="B26" s="193">
        <f>'Pesos elementos'!H27</f>
        <v>1</v>
      </c>
      <c r="C26" s="326">
        <f>'Pesos elementos'!F26+'Pesos elementos'!I27</f>
        <v>2.46</v>
      </c>
      <c r="D26" s="326">
        <f>'Pesos elementos'!J27+'Pesos elementos'!K27</f>
        <v>433.47500000000002</v>
      </c>
      <c r="E26" s="326">
        <v>10.252800000000001</v>
      </c>
      <c r="F26" s="326">
        <v>20.002500000000001</v>
      </c>
      <c r="G26" s="326">
        <v>55075.842461</v>
      </c>
      <c r="H26" s="326">
        <f>'Pesos elementos'!S27</f>
        <v>234.67633499999999</v>
      </c>
      <c r="I26" s="326">
        <f>'Pesos elementos'!N86</f>
        <v>43.273891250000005</v>
      </c>
      <c r="J26" s="326">
        <f>'Pesos elementos'!W56</f>
        <v>183.37257499999996</v>
      </c>
      <c r="K26" s="326">
        <f>'Pesos elementos'!T27</f>
        <v>468.46287624999997</v>
      </c>
      <c r="L26" s="326">
        <f t="shared" si="5"/>
        <v>9986.1872087500051</v>
      </c>
      <c r="M26" s="326">
        <f t="shared" si="6"/>
        <v>47.802334311224485</v>
      </c>
      <c r="N26" s="326">
        <f t="shared" si="2"/>
        <v>6073.6001702360099</v>
      </c>
      <c r="O26" s="192">
        <f>'Pesos elementos'!U27</f>
        <v>1.0807148653324874</v>
      </c>
      <c r="P26" s="308">
        <f>P27+C26</f>
        <v>4.93</v>
      </c>
      <c r="Q26" s="313">
        <f t="shared" si="3"/>
        <v>4.3985062451935404E-2</v>
      </c>
      <c r="S26" s="323">
        <f t="shared" si="4"/>
        <v>34.450000000000003</v>
      </c>
      <c r="T26" s="326">
        <f>IF(V26=1,VLOOKUP(W26,$B$3:$O$27,11,FALSE),T25)</f>
        <v>4642.544890000001</v>
      </c>
      <c r="U26" s="330">
        <f t="shared" si="7"/>
        <v>4.1493429849860132E-2</v>
      </c>
      <c r="V26" s="329">
        <f t="shared" ref="V26:V33" si="27">V25+1</f>
        <v>1</v>
      </c>
      <c r="W26" s="68">
        <f t="shared" si="8"/>
        <v>13</v>
      </c>
    </row>
    <row r="27" spans="2:23" ht="15" thickBot="1" x14ac:dyDescent="0.35">
      <c r="B27" s="194">
        <f>'Pesos elementos'!H28</f>
        <v>-1</v>
      </c>
      <c r="C27" s="327">
        <f>'Pesos elementos'!F27+'Pesos elementos'!I28</f>
        <v>2.4699999999999998</v>
      </c>
      <c r="D27" s="327">
        <f>'Pesos elementos'!J28+'Pesos elementos'!K28</f>
        <v>719.46199999999999</v>
      </c>
      <c r="E27" s="327">
        <v>16.405000000000001</v>
      </c>
      <c r="F27" s="327">
        <v>19.805</v>
      </c>
      <c r="G27" s="327">
        <v>94413.263844999994</v>
      </c>
      <c r="H27" s="327">
        <f>'Pesos elementos'!S28</f>
        <v>403.91554000000008</v>
      </c>
      <c r="I27" s="327">
        <f>'Pesos elementos'!N87</f>
        <v>51.409775000000003</v>
      </c>
      <c r="J27" s="327">
        <f>'Pesos elementos'!W57</f>
        <v>197.65272499999995</v>
      </c>
      <c r="K27" s="327">
        <f>'Pesos elementos'!T28</f>
        <v>664.31207749999999</v>
      </c>
      <c r="L27" s="327">
        <f t="shared" si="5"/>
        <v>10650.499286250006</v>
      </c>
      <c r="M27" s="327">
        <f>K27/9.8</f>
        <v>67.786946683673463</v>
      </c>
      <c r="N27" s="327">
        <f t="shared" si="2"/>
        <v>8895.5175985564347</v>
      </c>
      <c r="O27" s="195">
        <f>'Pesos elementos'!U28</f>
        <v>0.92334560755119799</v>
      </c>
      <c r="P27" s="308">
        <f>C27</f>
        <v>2.4699999999999998</v>
      </c>
      <c r="Q27" s="313">
        <f t="shared" si="3"/>
        <v>6.2373796724970378E-2</v>
      </c>
      <c r="S27" s="323">
        <f t="shared" si="4"/>
        <v>31.990000000000006</v>
      </c>
      <c r="T27" s="326">
        <f>IF(V27=1,VLOOKUP(W27,$B$3:$O$27,11,FALSE),T26)</f>
        <v>4642.544890000001</v>
      </c>
      <c r="U27" s="330">
        <f t="shared" si="7"/>
        <v>4.1493429849860132E-2</v>
      </c>
      <c r="V27" s="329">
        <f t="shared" ref="V27:V33" si="28">V26-1</f>
        <v>0</v>
      </c>
      <c r="W27" s="68">
        <f t="shared" si="8"/>
        <v>12</v>
      </c>
    </row>
    <row r="28" spans="2:23" x14ac:dyDescent="0.3">
      <c r="H28" s="308">
        <f>SUM(H3:H27)</f>
        <v>5776.5114699999986</v>
      </c>
      <c r="I28" s="308">
        <f>SUM(I3:I27)</f>
        <v>1143.5873662500003</v>
      </c>
      <c r="J28" s="308">
        <f>SUM(J3:J27)</f>
        <v>3671.9295999999999</v>
      </c>
      <c r="K28" s="308">
        <f>SUM(K3:K27)</f>
        <v>10650.499286250006</v>
      </c>
      <c r="S28" s="323">
        <f t="shared" si="4"/>
        <v>31.990000000000006</v>
      </c>
      <c r="T28" s="326">
        <f>IF(V28=1,VLOOKUP(W28,$B$3:$O$27,11,FALSE),T27)</f>
        <v>5084.4706350000015</v>
      </c>
      <c r="U28" s="330">
        <f t="shared" si="7"/>
        <v>4.1493429849860132E-2</v>
      </c>
      <c r="V28" s="329">
        <f t="shared" ref="V28:V33" si="29">V27+1</f>
        <v>1</v>
      </c>
      <c r="W28" s="68">
        <f t="shared" si="8"/>
        <v>12</v>
      </c>
    </row>
    <row r="29" spans="2:23" x14ac:dyDescent="0.3">
      <c r="S29" s="323">
        <f t="shared" si="4"/>
        <v>29.530000000000005</v>
      </c>
      <c r="T29" s="326">
        <f>IF(V29=1,VLOOKUP(W29,$B$3:$O$27,11,FALSE),T28)</f>
        <v>5084.4706350000015</v>
      </c>
      <c r="U29" s="330">
        <f t="shared" si="7"/>
        <v>4.1493429849860132E-2</v>
      </c>
      <c r="V29" s="329">
        <f t="shared" ref="V29:V33" si="30">V28-1</f>
        <v>0</v>
      </c>
      <c r="W29" s="68">
        <f t="shared" si="8"/>
        <v>11</v>
      </c>
    </row>
    <row r="30" spans="2:23" x14ac:dyDescent="0.3">
      <c r="S30" s="323">
        <f t="shared" si="4"/>
        <v>29.530000000000005</v>
      </c>
      <c r="T30" s="326">
        <f>IF(V30=1,VLOOKUP(W30,$B$3:$O$27,11,FALSE),T29)</f>
        <v>5526.396380000002</v>
      </c>
      <c r="U30" s="330">
        <f t="shared" si="7"/>
        <v>4.1493429849860132E-2</v>
      </c>
      <c r="V30" s="329">
        <f t="shared" ref="V30:V33" si="31">V29+1</f>
        <v>1</v>
      </c>
      <c r="W30" s="68">
        <f t="shared" si="8"/>
        <v>11</v>
      </c>
    </row>
    <row r="31" spans="2:23" x14ac:dyDescent="0.3">
      <c r="C31" s="49" t="s">
        <v>37</v>
      </c>
      <c r="D31" s="313">
        <f>H28/K28</f>
        <v>0.54237001616042391</v>
      </c>
      <c r="S31" s="323">
        <f t="shared" si="4"/>
        <v>27.070000000000004</v>
      </c>
      <c r="T31" s="326">
        <f>IF(V31=1,VLOOKUP(W31,$B$3:$O$27,11,FALSE),T30)</f>
        <v>5526.396380000002</v>
      </c>
      <c r="U31" s="330">
        <f t="shared" si="7"/>
        <v>4.1493429849860132E-2</v>
      </c>
      <c r="V31" s="329">
        <f t="shared" ref="V31:V33" si="32">V30-1</f>
        <v>0</v>
      </c>
      <c r="W31" s="68">
        <f t="shared" si="8"/>
        <v>10</v>
      </c>
    </row>
    <row r="32" spans="2:23" x14ac:dyDescent="0.3">
      <c r="C32" s="49" t="s">
        <v>90</v>
      </c>
      <c r="D32" s="313">
        <f>I28/K28</f>
        <v>0.10737406158285866</v>
      </c>
      <c r="S32" s="323">
        <f t="shared" si="4"/>
        <v>27.070000000000004</v>
      </c>
      <c r="T32" s="326">
        <f>IF(V32=1,VLOOKUP(W32,$B$3:$O$27,11,FALSE),T31)</f>
        <v>5968.3221250000024</v>
      </c>
      <c r="U32" s="330">
        <f t="shared" si="7"/>
        <v>4.1493429849860132E-2</v>
      </c>
      <c r="V32" s="329">
        <f t="shared" ref="V32:V52" si="33">V31+1</f>
        <v>1</v>
      </c>
      <c r="W32" s="68">
        <f t="shared" si="8"/>
        <v>10</v>
      </c>
    </row>
    <row r="33" spans="3:23" x14ac:dyDescent="0.3">
      <c r="C33" s="49" t="s">
        <v>0</v>
      </c>
      <c r="D33" s="313">
        <f>J28/K28</f>
        <v>0.34476595897626411</v>
      </c>
      <c r="S33" s="323">
        <f t="shared" si="4"/>
        <v>24.610000000000003</v>
      </c>
      <c r="T33" s="326">
        <f>IF(V33=1,VLOOKUP(W33,$B$3:$O$27,11,FALSE),T32)</f>
        <v>5968.3221250000024</v>
      </c>
      <c r="U33" s="330">
        <f t="shared" si="7"/>
        <v>4.1493429849860132E-2</v>
      </c>
      <c r="V33" s="329">
        <f t="shared" ref="V33:V51" si="34">V32-1</f>
        <v>0</v>
      </c>
      <c r="W33" s="68">
        <f t="shared" si="8"/>
        <v>9</v>
      </c>
    </row>
    <row r="34" spans="3:23" x14ac:dyDescent="0.3">
      <c r="S34" s="323">
        <f t="shared" si="4"/>
        <v>24.610000000000003</v>
      </c>
      <c r="T34" s="326">
        <f>IF(V34=1,VLOOKUP(W34,$B$3:$O$27,11,FALSE),T33)</f>
        <v>6410.2478700000029</v>
      </c>
      <c r="U34" s="330">
        <f t="shared" si="7"/>
        <v>4.1493429849860132E-2</v>
      </c>
      <c r="V34" s="329">
        <f t="shared" si="33"/>
        <v>1</v>
      </c>
      <c r="W34" s="68">
        <f t="shared" si="8"/>
        <v>9</v>
      </c>
    </row>
    <row r="35" spans="3:23" x14ac:dyDescent="0.3">
      <c r="S35" s="323">
        <f t="shared" si="4"/>
        <v>22.150000000000002</v>
      </c>
      <c r="T35" s="326">
        <f>IF(V35=1,VLOOKUP(W35,$B$3:$O$27,11,FALSE),T34)</f>
        <v>6410.2478700000029</v>
      </c>
      <c r="U35" s="330">
        <f t="shared" si="7"/>
        <v>4.1493429849860132E-2</v>
      </c>
      <c r="V35" s="329">
        <f t="shared" si="34"/>
        <v>0</v>
      </c>
      <c r="W35" s="68">
        <f t="shared" si="8"/>
        <v>8</v>
      </c>
    </row>
    <row r="36" spans="3:23" x14ac:dyDescent="0.3">
      <c r="S36" s="323">
        <f t="shared" si="4"/>
        <v>22.150000000000002</v>
      </c>
      <c r="T36" s="326">
        <f>IF(V36=1,VLOOKUP(W36,$B$3:$O$27,11,FALSE),T35)</f>
        <v>6852.1736150000033</v>
      </c>
      <c r="U36" s="330">
        <f t="shared" si="7"/>
        <v>4.1493429849860132E-2</v>
      </c>
      <c r="V36" s="329">
        <f t="shared" si="33"/>
        <v>1</v>
      </c>
      <c r="W36" s="68">
        <f t="shared" si="8"/>
        <v>8</v>
      </c>
    </row>
    <row r="37" spans="3:23" x14ac:dyDescent="0.3">
      <c r="S37" s="323">
        <f t="shared" si="4"/>
        <v>19.690000000000001</v>
      </c>
      <c r="T37" s="326">
        <f>IF(V37=1,VLOOKUP(W37,$B$3:$O$27,11,FALSE),T36)</f>
        <v>6852.1736150000033</v>
      </c>
      <c r="U37" s="330">
        <f t="shared" si="7"/>
        <v>4.1493429849860132E-2</v>
      </c>
      <c r="V37" s="329">
        <f t="shared" si="34"/>
        <v>0</v>
      </c>
      <c r="W37" s="68">
        <f t="shared" si="8"/>
        <v>7</v>
      </c>
    </row>
    <row r="38" spans="3:23" x14ac:dyDescent="0.3">
      <c r="S38" s="323">
        <f t="shared" si="4"/>
        <v>19.690000000000001</v>
      </c>
      <c r="T38" s="326">
        <f>IF(V38=1,VLOOKUP(W38,$B$3:$O$27,11,FALSE),T37)</f>
        <v>7294.0993600000038</v>
      </c>
      <c r="U38" s="330">
        <f t="shared" si="7"/>
        <v>4.1493429849860132E-2</v>
      </c>
      <c r="V38" s="329">
        <f t="shared" si="33"/>
        <v>1</v>
      </c>
      <c r="W38" s="68">
        <f t="shared" si="8"/>
        <v>7</v>
      </c>
    </row>
    <row r="39" spans="3:23" x14ac:dyDescent="0.3">
      <c r="S39" s="323">
        <f t="shared" si="4"/>
        <v>17.23</v>
      </c>
      <c r="T39" s="326">
        <f>IF(V39=1,VLOOKUP(W39,$B$3:$O$27,11,FALSE),T38)</f>
        <v>7294.0993600000038</v>
      </c>
      <c r="U39" s="330">
        <f t="shared" si="7"/>
        <v>4.1493429849860132E-2</v>
      </c>
      <c r="V39" s="329">
        <f t="shared" si="34"/>
        <v>0</v>
      </c>
      <c r="W39" s="68">
        <f t="shared" si="8"/>
        <v>6</v>
      </c>
    </row>
    <row r="40" spans="3:23" x14ac:dyDescent="0.3">
      <c r="S40" s="323">
        <f t="shared" si="4"/>
        <v>17.23</v>
      </c>
      <c r="T40" s="326">
        <f>IF(V40=1,VLOOKUP(W40,$B$3:$O$27,11,FALSE),T39)</f>
        <v>7736.0251050000043</v>
      </c>
      <c r="U40" s="330">
        <f t="shared" si="7"/>
        <v>4.1493429849860132E-2</v>
      </c>
      <c r="V40" s="329">
        <f t="shared" si="33"/>
        <v>1</v>
      </c>
      <c r="W40" s="68">
        <f t="shared" si="8"/>
        <v>6</v>
      </c>
    </row>
    <row r="41" spans="3:23" x14ac:dyDescent="0.3">
      <c r="S41" s="323">
        <f t="shared" si="4"/>
        <v>14.77</v>
      </c>
      <c r="T41" s="326">
        <f>IF(V41=1,VLOOKUP(W41,$B$3:$O$27,11,FALSE),T40)</f>
        <v>7736.0251050000043</v>
      </c>
      <c r="U41" s="330">
        <f t="shared" si="7"/>
        <v>4.1493429849860132E-2</v>
      </c>
      <c r="V41" s="329">
        <f t="shared" si="34"/>
        <v>0</v>
      </c>
      <c r="W41" s="68">
        <f t="shared" si="8"/>
        <v>5</v>
      </c>
    </row>
    <row r="42" spans="3:23" x14ac:dyDescent="0.3">
      <c r="S42" s="323">
        <f t="shared" si="4"/>
        <v>14.77</v>
      </c>
      <c r="T42" s="326">
        <f>IF(V42=1,VLOOKUP(W42,$B$3:$O$27,11,FALSE),T41)</f>
        <v>8177.9508500000047</v>
      </c>
      <c r="U42" s="330">
        <f t="shared" si="7"/>
        <v>4.1493429849860132E-2</v>
      </c>
      <c r="V42" s="329">
        <f t="shared" si="33"/>
        <v>1</v>
      </c>
      <c r="W42" s="68">
        <f t="shared" si="8"/>
        <v>5</v>
      </c>
    </row>
    <row r="43" spans="3:23" x14ac:dyDescent="0.3">
      <c r="S43" s="323">
        <f t="shared" si="4"/>
        <v>12.309999999999999</v>
      </c>
      <c r="T43" s="326">
        <f>IF(V43=1,VLOOKUP(W43,$B$3:$O$27,11,FALSE),T42)</f>
        <v>8177.9508500000047</v>
      </c>
      <c r="U43" s="330">
        <f t="shared" si="7"/>
        <v>4.1493429849860132E-2</v>
      </c>
      <c r="V43" s="329">
        <f t="shared" si="34"/>
        <v>0</v>
      </c>
      <c r="W43" s="68">
        <f t="shared" si="8"/>
        <v>4</v>
      </c>
    </row>
    <row r="44" spans="3:23" x14ac:dyDescent="0.3">
      <c r="S44" s="323">
        <f t="shared" si="4"/>
        <v>12.309999999999999</v>
      </c>
      <c r="T44" s="326">
        <f>IF(V44=1,VLOOKUP(W44,$B$3:$O$27,11,FALSE),T43)</f>
        <v>8619.8765950000052</v>
      </c>
      <c r="U44" s="330">
        <f t="shared" si="7"/>
        <v>4.1493429849860132E-2</v>
      </c>
      <c r="V44" s="329">
        <f t="shared" si="33"/>
        <v>1</v>
      </c>
      <c r="W44" s="68">
        <f t="shared" si="8"/>
        <v>4</v>
      </c>
    </row>
    <row r="45" spans="3:23" x14ac:dyDescent="0.3">
      <c r="S45" s="323">
        <f t="shared" si="4"/>
        <v>9.85</v>
      </c>
      <c r="T45" s="326">
        <f>IF(V45=1,VLOOKUP(W45,$B$3:$O$27,11,FALSE),T44)</f>
        <v>8619.8765950000052</v>
      </c>
      <c r="U45" s="330">
        <f t="shared" si="7"/>
        <v>4.1493429849860132E-2</v>
      </c>
      <c r="V45" s="329">
        <f t="shared" si="34"/>
        <v>0</v>
      </c>
      <c r="W45" s="68">
        <f t="shared" si="8"/>
        <v>3</v>
      </c>
    </row>
    <row r="46" spans="3:23" x14ac:dyDescent="0.3">
      <c r="S46" s="323">
        <f t="shared" si="4"/>
        <v>9.85</v>
      </c>
      <c r="T46" s="326">
        <f>IF(V46=1,VLOOKUP(W46,$B$3:$O$27,11,FALSE),T45)</f>
        <v>9064.5671400000047</v>
      </c>
      <c r="U46" s="330">
        <f t="shared" si="7"/>
        <v>4.1753023313574028E-2</v>
      </c>
      <c r="V46" s="329">
        <f t="shared" si="33"/>
        <v>1</v>
      </c>
      <c r="W46" s="68">
        <f t="shared" si="8"/>
        <v>3</v>
      </c>
    </row>
    <row r="47" spans="3:23" x14ac:dyDescent="0.3">
      <c r="S47" s="323">
        <f t="shared" si="4"/>
        <v>7.39</v>
      </c>
      <c r="T47" s="326">
        <f>IF(V47=1,VLOOKUP(W47,$B$3:$O$27,11,FALSE),T46)</f>
        <v>9064.5671400000047</v>
      </c>
      <c r="U47" s="330">
        <f t="shared" si="7"/>
        <v>4.1753023313574028E-2</v>
      </c>
      <c r="V47" s="329">
        <f t="shared" si="34"/>
        <v>0</v>
      </c>
      <c r="W47" s="68">
        <f t="shared" si="8"/>
        <v>2</v>
      </c>
    </row>
    <row r="48" spans="3:23" x14ac:dyDescent="0.3">
      <c r="S48" s="323">
        <f t="shared" si="4"/>
        <v>7.39</v>
      </c>
      <c r="T48" s="326">
        <f t="shared" ref="T48:T52" si="35">IF(V48=1,VLOOKUP(W48,$B$3:$O$27,11,FALSE),T47)</f>
        <v>9517.7243325000054</v>
      </c>
      <c r="U48" s="330">
        <f t="shared" si="7"/>
        <v>4.2547976420695542E-2</v>
      </c>
      <c r="V48" s="329">
        <f t="shared" si="33"/>
        <v>1</v>
      </c>
      <c r="W48" s="68">
        <f t="shared" si="8"/>
        <v>2</v>
      </c>
    </row>
    <row r="49" spans="19:23" x14ac:dyDescent="0.3">
      <c r="S49" s="323">
        <f t="shared" si="4"/>
        <v>4.93</v>
      </c>
      <c r="T49" s="326">
        <f t="shared" si="35"/>
        <v>9517.7243325000054</v>
      </c>
      <c r="U49" s="330">
        <f t="shared" si="7"/>
        <v>4.2547976420695542E-2</v>
      </c>
      <c r="V49" s="329">
        <f t="shared" si="34"/>
        <v>0</v>
      </c>
      <c r="W49" s="68">
        <f t="shared" si="8"/>
        <v>1</v>
      </c>
    </row>
    <row r="50" spans="19:23" x14ac:dyDescent="0.3">
      <c r="S50" s="323">
        <f t="shared" si="4"/>
        <v>4.93</v>
      </c>
      <c r="T50" s="326">
        <f t="shared" si="35"/>
        <v>9986.1872087500051</v>
      </c>
      <c r="U50" s="330">
        <f t="shared" si="7"/>
        <v>4.3985062451935404E-2</v>
      </c>
      <c r="V50" s="329">
        <f t="shared" si="33"/>
        <v>1</v>
      </c>
      <c r="W50" s="68">
        <f t="shared" si="8"/>
        <v>1</v>
      </c>
    </row>
    <row r="51" spans="19:23" x14ac:dyDescent="0.3">
      <c r="S51" s="323">
        <f t="shared" si="4"/>
        <v>2.4699999999999998</v>
      </c>
      <c r="T51" s="326">
        <f t="shared" si="35"/>
        <v>9986.1872087500051</v>
      </c>
      <c r="U51" s="330">
        <f t="shared" si="7"/>
        <v>4.3985062451935404E-2</v>
      </c>
      <c r="V51" s="329">
        <f t="shared" si="34"/>
        <v>0</v>
      </c>
      <c r="W51" s="68">
        <v>-1</v>
      </c>
    </row>
    <row r="52" spans="19:23" x14ac:dyDescent="0.3">
      <c r="S52" s="323">
        <f t="shared" si="4"/>
        <v>2.4699999999999998</v>
      </c>
      <c r="T52" s="326">
        <f t="shared" si="35"/>
        <v>10650.499286250006</v>
      </c>
      <c r="U52" s="330">
        <f t="shared" si="7"/>
        <v>6.2373796724970378E-2</v>
      </c>
      <c r="V52" s="329">
        <f t="shared" si="33"/>
        <v>1</v>
      </c>
      <c r="W52" s="68">
        <v>-1</v>
      </c>
    </row>
    <row r="53" spans="19:23" ht="15" thickBot="1" x14ac:dyDescent="0.35">
      <c r="S53" s="295">
        <v>0</v>
      </c>
      <c r="T53" s="327">
        <f t="shared" ref="T53" si="36">IF(V53=1,VLOOKUP(W53,$B$3:$O$27,11,FALSE),T52)</f>
        <v>10650.499286250006</v>
      </c>
      <c r="U53" s="331">
        <f t="shared" si="7"/>
        <v>6.2373796724970378E-2</v>
      </c>
      <c r="V53" s="128">
        <f t="shared" ref="V53" si="37">V52+1</f>
        <v>2</v>
      </c>
      <c r="W53" s="70">
        <v>-1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V27:W27 V28:V52 V4:W4 V5:W5 V6:W6 V7:W7 V8:W8 V9:W9 V10:W10 V11:W11 V12:W12 V13:W13 V14:W14 V15:W15 V16:W16 V17:W17 V18:W18 V19:W19 V20:W20 V21:W21 V22:W22 V23:W23 V24:W24 V25:W25 V26:W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A4E0-17AB-4A2C-BC18-4AFC876AF8A8}">
  <dimension ref="B1:AJ10"/>
  <sheetViews>
    <sheetView showGridLines="0" topLeftCell="L1" workbookViewId="0">
      <selection activeCell="AJ9" sqref="AJ9"/>
    </sheetView>
  </sheetViews>
  <sheetFormatPr baseColWidth="10" defaultRowHeight="14.4" x14ac:dyDescent="0.3"/>
  <cols>
    <col min="1" max="1" width="3.109375" style="47" customWidth="1"/>
    <col min="2" max="4" width="11.5546875" style="47"/>
    <col min="5" max="5" width="20.44140625" style="47" customWidth="1"/>
    <col min="6" max="6" width="12.5546875" style="47" customWidth="1"/>
    <col min="7" max="7" width="20.88671875" style="47" customWidth="1"/>
    <col min="8" max="8" width="10.33203125" style="47" customWidth="1"/>
    <col min="9" max="9" width="11.5546875" style="47"/>
    <col min="10" max="10" width="3.21875" style="47" customWidth="1"/>
    <col min="11" max="11" width="7.88671875" style="47" bestFit="1" customWidth="1"/>
    <col min="12" max="12" width="7.44140625" style="47" customWidth="1"/>
    <col min="13" max="13" width="7.33203125" style="47" customWidth="1"/>
    <col min="14" max="14" width="6.88671875" style="47" customWidth="1"/>
    <col min="15" max="15" width="7.44140625" style="47" customWidth="1"/>
    <col min="16" max="16" width="12.109375" style="47" customWidth="1"/>
    <col min="17" max="17" width="11" style="47" customWidth="1"/>
    <col min="18" max="18" width="13.5546875" style="47" customWidth="1"/>
    <col min="19" max="19" width="11.109375" style="47" customWidth="1"/>
    <col min="20" max="20" width="12" style="47" customWidth="1"/>
    <col min="21" max="21" width="3.44140625" style="47" customWidth="1"/>
    <col min="22" max="22" width="11.5546875" style="47"/>
    <col min="23" max="23" width="6.33203125" style="47" bestFit="1" customWidth="1"/>
    <col min="24" max="24" width="6.44140625" style="47" bestFit="1" customWidth="1"/>
    <col min="25" max="26" width="6.5546875" style="47" bestFit="1" customWidth="1"/>
    <col min="27" max="27" width="17.21875" style="47" bestFit="1" customWidth="1"/>
    <col min="28" max="28" width="15.109375" style="47" bestFit="1" customWidth="1"/>
    <col min="29" max="29" width="3.77734375" style="47" customWidth="1"/>
    <col min="30" max="30" width="11.5546875" style="47"/>
    <col min="31" max="31" width="11.109375" style="47" customWidth="1"/>
    <col min="32" max="32" width="11.33203125" style="47" customWidth="1"/>
    <col min="33" max="33" width="11" style="47" bestFit="1" customWidth="1"/>
    <col min="34" max="34" width="14.33203125" style="47" customWidth="1"/>
    <col min="35" max="35" width="11.5546875" style="47"/>
    <col min="36" max="36" width="12.109375" style="47" bestFit="1" customWidth="1"/>
    <col min="37" max="16384" width="11.5546875" style="47"/>
  </cols>
  <sheetData>
    <row r="1" spans="2:36" ht="15" thickBot="1" x14ac:dyDescent="0.35"/>
    <row r="2" spans="2:36" ht="31.2" customHeight="1" thickBot="1" x14ac:dyDescent="0.35">
      <c r="B2" s="278" t="s">
        <v>111</v>
      </c>
      <c r="C2" s="165" t="s">
        <v>38</v>
      </c>
      <c r="D2" s="165" t="s">
        <v>68</v>
      </c>
      <c r="E2" s="165" t="s">
        <v>67</v>
      </c>
      <c r="F2" s="165" t="s">
        <v>65</v>
      </c>
      <c r="G2" s="165" t="s">
        <v>66</v>
      </c>
      <c r="H2" s="285" t="s">
        <v>149</v>
      </c>
      <c r="I2" s="112" t="s">
        <v>108</v>
      </c>
      <c r="K2" s="111" t="s">
        <v>33</v>
      </c>
      <c r="L2" s="50" t="s">
        <v>146</v>
      </c>
      <c r="M2" s="188" t="s">
        <v>147</v>
      </c>
      <c r="N2" s="310" t="s">
        <v>150</v>
      </c>
      <c r="O2" s="188" t="s">
        <v>151</v>
      </c>
      <c r="P2" s="278" t="s">
        <v>153</v>
      </c>
      <c r="Q2" s="279" t="s">
        <v>70</v>
      </c>
      <c r="R2" s="278" t="s">
        <v>154</v>
      </c>
      <c r="S2" s="285" t="s">
        <v>155</v>
      </c>
      <c r="T2" s="112" t="s">
        <v>156</v>
      </c>
      <c r="V2" s="111" t="s">
        <v>33</v>
      </c>
      <c r="W2" s="111" t="s">
        <v>146</v>
      </c>
      <c r="X2" s="188" t="s">
        <v>147</v>
      </c>
      <c r="Y2" s="50" t="s">
        <v>150</v>
      </c>
      <c r="Z2" s="188" t="s">
        <v>151</v>
      </c>
      <c r="AA2" s="111" t="s">
        <v>61</v>
      </c>
      <c r="AB2" s="318" t="s">
        <v>62</v>
      </c>
      <c r="AD2" s="111" t="s">
        <v>33</v>
      </c>
      <c r="AE2" s="319" t="s">
        <v>100</v>
      </c>
      <c r="AF2" s="285" t="s">
        <v>91</v>
      </c>
      <c r="AG2" s="278" t="s">
        <v>157</v>
      </c>
      <c r="AH2" s="165" t="s">
        <v>158</v>
      </c>
      <c r="AI2" s="285" t="s">
        <v>159</v>
      </c>
      <c r="AJ2" s="318" t="s">
        <v>160</v>
      </c>
    </row>
    <row r="3" spans="2:36" x14ac:dyDescent="0.3">
      <c r="B3" s="189">
        <v>24</v>
      </c>
      <c r="C3" s="281">
        <v>0.16</v>
      </c>
      <c r="D3" s="292">
        <f>'Pesos elementos'!J4</f>
        <v>68.697999999999993</v>
      </c>
      <c r="E3" s="292">
        <f>'Pesos elementos'!K4</f>
        <v>0</v>
      </c>
      <c r="F3" s="292">
        <f>'Pesos elementos'!L4</f>
        <v>27.479199999999999</v>
      </c>
      <c r="G3" s="292">
        <f>'Pesos elementos'!M4</f>
        <v>7.9002700000000008</v>
      </c>
      <c r="H3" s="293">
        <f>'Pesos elementos'!P4</f>
        <v>3.4348999999999998</v>
      </c>
      <c r="I3" s="294">
        <f>'Pesos elementos'!S4</f>
        <v>38.814369999999997</v>
      </c>
      <c r="K3" s="67">
        <v>24</v>
      </c>
      <c r="L3" s="300">
        <f>'Pesos elementos'!I34</f>
        <v>0.2</v>
      </c>
      <c r="M3" s="192">
        <f>'Pesos elementos'!J34</f>
        <v>0.2</v>
      </c>
      <c r="N3" s="303">
        <f>'Pesos elementos'!K34</f>
        <v>26.919999999999995</v>
      </c>
      <c r="O3" s="304">
        <f>'Pesos elementos'!L34</f>
        <v>17.600000000000001</v>
      </c>
      <c r="P3" s="303">
        <f>'Pesos elementos'!Q34</f>
        <v>8.9039999999999999</v>
      </c>
      <c r="Q3" s="304">
        <f>'Pesos elementos'!R34</f>
        <v>2.2509999999999999</v>
      </c>
      <c r="R3" s="303">
        <f>'Pesos elementos'!T34</f>
        <v>51.197999999999993</v>
      </c>
      <c r="S3" s="147">
        <f>'Pesos elementos'!V34</f>
        <v>0.11255</v>
      </c>
      <c r="T3" s="289">
        <f>'Pesos elementos'!X34</f>
        <v>51.310549999999992</v>
      </c>
      <c r="V3" s="67">
        <v>24</v>
      </c>
      <c r="W3" s="298">
        <f>L3</f>
        <v>0.2</v>
      </c>
      <c r="X3" s="190">
        <f>M3</f>
        <v>0.2</v>
      </c>
      <c r="Y3" s="305">
        <f>'Pesos elementos'!O34</f>
        <v>10.25</v>
      </c>
      <c r="Z3" s="315">
        <f>'Pesos elementos'!P34</f>
        <v>8.7000000000000028</v>
      </c>
      <c r="AA3" s="316">
        <f>'Pesos elementos'!S34</f>
        <v>3.7900000000000009</v>
      </c>
      <c r="AB3" s="294">
        <f>'Pesos elementos'!U34</f>
        <v>0.37900000000000011</v>
      </c>
      <c r="AD3" s="65">
        <v>24</v>
      </c>
      <c r="AE3" s="320">
        <f>'Pesos elementos'!I63</f>
        <v>23.733000000000001</v>
      </c>
      <c r="AF3" s="293">
        <f>'Pesos elementos'!J63</f>
        <v>242.60399999999998</v>
      </c>
      <c r="AG3" s="321">
        <f>'Pesos elementos'!K63</f>
        <v>6.0651000000000002</v>
      </c>
      <c r="AH3" s="292">
        <f>'Pesos elementos'!L63</f>
        <v>59.332500000000003</v>
      </c>
      <c r="AI3" s="293">
        <f>'Pesos elementos'!M63</f>
        <v>12.1302</v>
      </c>
      <c r="AJ3" s="294">
        <f>'Pesos elementos'!N63</f>
        <v>71.462699999999998</v>
      </c>
    </row>
    <row r="4" spans="2:36" ht="33" customHeight="1" x14ac:dyDescent="0.3">
      <c r="B4" s="284" t="str">
        <f>"3-23"</f>
        <v>3-23</v>
      </c>
      <c r="C4" s="282">
        <v>0.16</v>
      </c>
      <c r="D4" s="286">
        <f>'Pesos elementos'!J25</f>
        <v>410.20299999999997</v>
      </c>
      <c r="E4" s="286">
        <f>'Pesos elementos'!K25</f>
        <v>0</v>
      </c>
      <c r="F4" s="286">
        <f>'Pesos elementos'!L25</f>
        <v>164.0812</v>
      </c>
      <c r="G4" s="286">
        <f>'Pesos elementos'!M25</f>
        <v>47.173345000000005</v>
      </c>
      <c r="H4" s="288">
        <f>'Pesos elementos'!P25</f>
        <v>20.510149999999999</v>
      </c>
      <c r="I4" s="289">
        <f>'Pesos elementos'!S25</f>
        <v>231.76469500000002</v>
      </c>
      <c r="K4" s="67" t="str">
        <f>"15-23"</f>
        <v>15-23</v>
      </c>
      <c r="L4" s="300">
        <f>'Pesos elementos'!I43</f>
        <v>0.2</v>
      </c>
      <c r="M4" s="192">
        <f>'Pesos elementos'!J43</f>
        <v>0.2</v>
      </c>
      <c r="N4" s="303">
        <f>'Pesos elementos'!K43</f>
        <v>54.480000000000011</v>
      </c>
      <c r="O4" s="304">
        <f>'Pesos elementos'!L43</f>
        <v>58.86</v>
      </c>
      <c r="P4" s="303">
        <f>'Pesos elementos'!Q43</f>
        <v>22.668000000000003</v>
      </c>
      <c r="Q4" s="304">
        <f>'Pesos elementos'!R43</f>
        <v>5.6920000000000011</v>
      </c>
      <c r="R4" s="303">
        <f>'Pesos elementos'!T43</f>
        <v>130.34100000000001</v>
      </c>
      <c r="S4" s="147">
        <f>'Pesos elementos'!V43</f>
        <v>0.28460000000000008</v>
      </c>
      <c r="T4" s="289">
        <f>'Pesos elementos'!X43</f>
        <v>130.62560000000002</v>
      </c>
      <c r="V4" s="67" t="str">
        <f>"15-23"</f>
        <v>15-23</v>
      </c>
      <c r="W4" s="300">
        <f t="shared" ref="W4:W9" si="0">L4</f>
        <v>0.2</v>
      </c>
      <c r="X4" s="192">
        <f t="shared" ref="X4:X9" si="1">M4</f>
        <v>0.2</v>
      </c>
      <c r="Y4" s="303">
        <f>'Pesos elementos'!O35</f>
        <v>60.46</v>
      </c>
      <c r="Z4" s="304">
        <f>'Pesos elementos'!P35</f>
        <v>39.19</v>
      </c>
      <c r="AA4" s="317">
        <f>'Pesos elementos'!S35</f>
        <v>19.93</v>
      </c>
      <c r="AB4" s="289">
        <f>'Pesos elementos'!U35</f>
        <v>1.9930000000000001</v>
      </c>
      <c r="AD4" s="299" t="s">
        <v>161</v>
      </c>
      <c r="AE4" s="322">
        <f>'Pesos elementos'!I64</f>
        <v>14.769000000000002</v>
      </c>
      <c r="AF4" s="288">
        <f>'Pesos elementos'!J64</f>
        <v>150.72399999999999</v>
      </c>
      <c r="AG4" s="323">
        <f>'Pesos elementos'!K64</f>
        <v>3.7681</v>
      </c>
      <c r="AH4" s="286">
        <f>'Pesos elementos'!L64</f>
        <v>36.922500000000007</v>
      </c>
      <c r="AI4" s="288">
        <f>'Pesos elementos'!M64</f>
        <v>7.5362</v>
      </c>
      <c r="AJ4" s="289">
        <f>'Pesos elementos'!N64</f>
        <v>44.458700000000007</v>
      </c>
    </row>
    <row r="5" spans="2:36" x14ac:dyDescent="0.3">
      <c r="B5" s="193">
        <v>2</v>
      </c>
      <c r="C5" s="282">
        <v>0.16</v>
      </c>
      <c r="D5" s="286">
        <f>'Pesos elementos'!J26</f>
        <v>410.702</v>
      </c>
      <c r="E5" s="286">
        <f>'Pesos elementos'!K26</f>
        <v>0</v>
      </c>
      <c r="F5" s="286">
        <f>'Pesos elementos'!L26</f>
        <v>164.2808</v>
      </c>
      <c r="G5" s="286">
        <f>'Pesos elementos'!M26</f>
        <v>47.230730000000008</v>
      </c>
      <c r="H5" s="288">
        <f>'Pesos elementos'!P26</f>
        <v>20.5351</v>
      </c>
      <c r="I5" s="289">
        <f>'Pesos elementos'!S26</f>
        <v>232.04662999999999</v>
      </c>
      <c r="K5" s="67" t="str">
        <f>"4-14"</f>
        <v>4-14</v>
      </c>
      <c r="L5" s="297">
        <f>'Pesos elementos'!I54</f>
        <v>0.25</v>
      </c>
      <c r="M5" s="68">
        <f>'Pesos elementos'!J54</f>
        <v>0.25</v>
      </c>
      <c r="N5" s="303">
        <f>'Pesos elementos'!K54</f>
        <v>54.480000000000011</v>
      </c>
      <c r="O5" s="304">
        <f>'Pesos elementos'!L54</f>
        <v>58.86</v>
      </c>
      <c r="P5" s="303">
        <f>'Pesos elementos'!Q54</f>
        <v>28.335000000000001</v>
      </c>
      <c r="Q5" s="304">
        <f>'Pesos elementos'!R54</f>
        <v>5.697000000000001</v>
      </c>
      <c r="R5" s="303">
        <f>'Pesos elementos'!T54</f>
        <v>162.92624999999998</v>
      </c>
      <c r="S5" s="147">
        <f>'Pesos elementos'!V54</f>
        <v>0.28485000000000005</v>
      </c>
      <c r="T5" s="289">
        <f>'Pesos elementos'!X54</f>
        <v>163.21109999999999</v>
      </c>
      <c r="V5" s="67" t="str">
        <f>"3-14"</f>
        <v>3-14</v>
      </c>
      <c r="W5" s="300">
        <f t="shared" si="0"/>
        <v>0.25</v>
      </c>
      <c r="X5" s="192">
        <f t="shared" si="1"/>
        <v>0.25</v>
      </c>
      <c r="Y5" s="303">
        <f>'Pesos elementos'!O44</f>
        <v>60.46</v>
      </c>
      <c r="Z5" s="304">
        <f>'Pesos elementos'!P44</f>
        <v>39.19</v>
      </c>
      <c r="AA5" s="317">
        <f>'Pesos elementos'!S44</f>
        <v>24.912500000000001</v>
      </c>
      <c r="AB5" s="289">
        <f>'Pesos elementos'!U44</f>
        <v>2.4912500000000004</v>
      </c>
      <c r="AD5" s="67">
        <v>2</v>
      </c>
      <c r="AE5" s="322">
        <f>'Pesos elementos'!I85</f>
        <v>14.553000000000003</v>
      </c>
      <c r="AF5" s="288">
        <f>'Pesos elementos'!J85</f>
        <v>148.51599999999999</v>
      </c>
      <c r="AG5" s="323">
        <f>'Pesos elementos'!K85</f>
        <v>3.7128999999999999</v>
      </c>
      <c r="AH5" s="286">
        <f>'Pesos elementos'!L85</f>
        <v>36.382500000000007</v>
      </c>
      <c r="AI5" s="288">
        <f>'Pesos elementos'!M85</f>
        <v>7.4257999999999997</v>
      </c>
      <c r="AJ5" s="289">
        <f>'Pesos elementos'!N85</f>
        <v>43.80830000000001</v>
      </c>
    </row>
    <row r="6" spans="2:36" x14ac:dyDescent="0.3">
      <c r="B6" s="193">
        <v>1</v>
      </c>
      <c r="C6" s="282">
        <v>0.16</v>
      </c>
      <c r="D6" s="286">
        <f>'Pesos elementos'!J27</f>
        <v>177.54900000000001</v>
      </c>
      <c r="E6" s="286">
        <f>'Pesos elementos'!K27</f>
        <v>255.92599999999999</v>
      </c>
      <c r="F6" s="286">
        <f>'Pesos elementos'!L27</f>
        <v>173.39</v>
      </c>
      <c r="G6" s="286">
        <f>'Pesos elementos'!M27</f>
        <v>20.418135000000003</v>
      </c>
      <c r="H6" s="288">
        <f>'Pesos elementos'!P27</f>
        <v>40.868200000000002</v>
      </c>
      <c r="I6" s="289">
        <f>'Pesos elementos'!S27</f>
        <v>234.67633499999999</v>
      </c>
      <c r="K6" s="67">
        <v>3</v>
      </c>
      <c r="L6" s="297">
        <f>'Pesos elementos'!I55</f>
        <v>0.25</v>
      </c>
      <c r="M6" s="68">
        <f>'Pesos elementos'!J55</f>
        <v>0.25</v>
      </c>
      <c r="N6" s="303">
        <f>'Pesos elementos'!K55</f>
        <v>58.320000000000014</v>
      </c>
      <c r="O6" s="304">
        <f>'Pesos elementos'!L55</f>
        <v>58.86</v>
      </c>
      <c r="P6" s="303">
        <f>'Pesos elementos'!Q55</f>
        <v>29.295000000000002</v>
      </c>
      <c r="Q6" s="304">
        <f>'Pesos elementos'!R55</f>
        <v>5.8890000000000011</v>
      </c>
      <c r="R6" s="303">
        <f>'Pesos elementos'!T55</f>
        <v>168.44625000000002</v>
      </c>
      <c r="S6" s="147">
        <f>'Pesos elementos'!V55</f>
        <v>0.29445000000000005</v>
      </c>
      <c r="T6" s="289">
        <f>'Pesos elementos'!X55</f>
        <v>168.74070000000003</v>
      </c>
      <c r="V6" s="67">
        <v>2</v>
      </c>
      <c r="W6" s="300">
        <f>L7</f>
        <v>0.25</v>
      </c>
      <c r="X6" s="192">
        <f>M7</f>
        <v>0.3</v>
      </c>
      <c r="Y6" s="303">
        <f>'Pesos elementos'!O56</f>
        <v>36.07</v>
      </c>
      <c r="Z6" s="304">
        <f>'Pesos elementos'!P56</f>
        <v>38.700000000000017</v>
      </c>
      <c r="AA6" s="317">
        <f>'Pesos elementos'!S56</f>
        <v>20.627500000000005</v>
      </c>
      <c r="AB6" s="289">
        <f>'Pesos elementos'!U56</f>
        <v>2.0627500000000007</v>
      </c>
      <c r="AD6" s="67">
        <v>1</v>
      </c>
      <c r="AE6" s="322">
        <f>'Pesos elementos'!I86</f>
        <v>16.179212500000002</v>
      </c>
      <c r="AF6" s="288">
        <f>'Pesos elementos'!J86</f>
        <v>56.51720000000001</v>
      </c>
      <c r="AG6" s="323">
        <f>'Pesos elementos'!K86</f>
        <v>1.4129300000000002</v>
      </c>
      <c r="AH6" s="286">
        <f>'Pesos elementos'!L86</f>
        <v>40.448031250000007</v>
      </c>
      <c r="AI6" s="288">
        <f>'Pesos elementos'!M86</f>
        <v>2.8258600000000005</v>
      </c>
      <c r="AJ6" s="289">
        <f>'Pesos elementos'!N86</f>
        <v>43.273891250000005</v>
      </c>
    </row>
    <row r="7" spans="2:36" ht="15" thickBot="1" x14ac:dyDescent="0.35">
      <c r="B7" s="194">
        <v>-1</v>
      </c>
      <c r="C7" s="283">
        <v>0.17</v>
      </c>
      <c r="D7" s="287">
        <f>'Pesos elementos'!J28</f>
        <v>205.286</v>
      </c>
      <c r="E7" s="287">
        <f>'Pesos elementos'!K28</f>
        <v>514.17600000000004</v>
      </c>
      <c r="F7" s="287">
        <f>'Pesos elementos'!L28</f>
        <v>305.77135000000004</v>
      </c>
      <c r="G7" s="287">
        <f>'Pesos elementos'!M28</f>
        <v>23.607890000000005</v>
      </c>
      <c r="H7" s="290">
        <f>'Pesos elementos'!P28</f>
        <v>74.536300000000011</v>
      </c>
      <c r="I7" s="291">
        <f>'Pesos elementos'!S28</f>
        <v>403.91554000000008</v>
      </c>
      <c r="K7" s="67">
        <v>2</v>
      </c>
      <c r="L7" s="297">
        <f>'Pesos elementos'!I56</f>
        <v>0.25</v>
      </c>
      <c r="M7" s="68">
        <f>'Pesos elementos'!J56</f>
        <v>0.3</v>
      </c>
      <c r="N7" s="303">
        <f>'Pesos elementos'!K56</f>
        <v>65.349999999999994</v>
      </c>
      <c r="O7" s="304">
        <f>'Pesos elementos'!L56</f>
        <v>50.47999999999999</v>
      </c>
      <c r="P7" s="303">
        <f>'Pesos elementos'!Q56</f>
        <v>31.481499999999997</v>
      </c>
      <c r="Q7" s="304">
        <f>'Pesos elementos'!R56</f>
        <v>5.823999999999999</v>
      </c>
      <c r="R7" s="303">
        <f>'Pesos elementos'!T56</f>
        <v>181.01862499999996</v>
      </c>
      <c r="S7" s="147">
        <f>'Pesos elementos'!V56</f>
        <v>0.29119999999999996</v>
      </c>
      <c r="T7" s="289">
        <f>'Pesos elementos'!X56</f>
        <v>181.30982499999996</v>
      </c>
      <c r="V7" s="67">
        <v>1</v>
      </c>
      <c r="W7" s="300">
        <f>L8</f>
        <v>0.25</v>
      </c>
      <c r="X7" s="192">
        <f>M8</f>
        <v>0.3</v>
      </c>
      <c r="Y7" s="303">
        <f>'Pesos elementos'!O57</f>
        <v>38.11</v>
      </c>
      <c r="Z7" s="304">
        <f>'Pesos elementos'!P57</f>
        <v>31.640000000000004</v>
      </c>
      <c r="AA7" s="317">
        <f>'Pesos elementos'!S57</f>
        <v>19.019500000000001</v>
      </c>
      <c r="AB7" s="289">
        <f>'Pesos elementos'!U57</f>
        <v>1.9019500000000003</v>
      </c>
      <c r="AD7" s="69">
        <v>-1</v>
      </c>
      <c r="AE7" s="324">
        <f>'Pesos elementos'!I87</f>
        <v>19.7407</v>
      </c>
      <c r="AF7" s="290">
        <f>'Pesos elementos'!J87</f>
        <v>41.160499999999999</v>
      </c>
      <c r="AG7" s="295">
        <f>'Pesos elementos'!K87</f>
        <v>1.0290125000000001</v>
      </c>
      <c r="AH7" s="287">
        <f>'Pesos elementos'!L87</f>
        <v>49.351750000000003</v>
      </c>
      <c r="AI7" s="290">
        <f>'Pesos elementos'!M87</f>
        <v>2.0580250000000002</v>
      </c>
      <c r="AJ7" s="291">
        <f>'Pesos elementos'!N87</f>
        <v>51.409775000000003</v>
      </c>
    </row>
    <row r="8" spans="2:36" ht="15" thickBot="1" x14ac:dyDescent="0.35">
      <c r="B8" s="49"/>
      <c r="C8" s="49"/>
      <c r="D8" s="49"/>
      <c r="E8" s="295" t="s">
        <v>30</v>
      </c>
      <c r="F8" s="296">
        <f>'Pesos elementos'!L29</f>
        <v>4116.6265500000009</v>
      </c>
      <c r="G8" s="296">
        <f>'Pesos elementos'!M29</f>
        <v>1089.7972700000003</v>
      </c>
      <c r="H8" s="295">
        <f>'Pesos elementos'!P29</f>
        <v>570.08765000000017</v>
      </c>
      <c r="I8" s="291">
        <f>'Pesos elementos'!S29</f>
        <v>5776.5114699999986</v>
      </c>
      <c r="K8" s="67">
        <v>1</v>
      </c>
      <c r="L8" s="297">
        <f>'Pesos elementos'!I57</f>
        <v>0.25</v>
      </c>
      <c r="M8" s="68">
        <f>'Pesos elementos'!J57</f>
        <v>0.3</v>
      </c>
      <c r="N8" s="303">
        <f>'Pesos elementos'!K57</f>
        <v>69.97999999999999</v>
      </c>
      <c r="O8" s="304">
        <f>'Pesos elementos'!L57</f>
        <v>54.98</v>
      </c>
      <c r="P8" s="303">
        <f>'Pesos elementos'!Q57</f>
        <v>33.988999999999997</v>
      </c>
      <c r="Q8" s="304">
        <f>'Pesos elementos'!R57</f>
        <v>6.2804999999999991</v>
      </c>
      <c r="R8" s="303">
        <f>'Pesos elementos'!T57</f>
        <v>195.43674999999996</v>
      </c>
      <c r="S8" s="147">
        <f>'Pesos elementos'!V57</f>
        <v>0.314025</v>
      </c>
      <c r="T8" s="289">
        <f>'Pesos elementos'!X57</f>
        <v>195.75077499999995</v>
      </c>
      <c r="V8" s="69">
        <v>-1</v>
      </c>
      <c r="W8" s="301">
        <f>L9</f>
        <v>0.25</v>
      </c>
      <c r="X8" s="195">
        <f>M9</f>
        <v>0.3</v>
      </c>
      <c r="Y8" s="306">
        <f>'Pesos elementos'!O58</f>
        <v>22.62</v>
      </c>
      <c r="Z8" s="307">
        <f>'Pesos elementos'!P58</f>
        <v>16.899999999999995</v>
      </c>
      <c r="AA8" s="296">
        <f>'Pesos elementos'!S58</f>
        <v>10.724999999999998</v>
      </c>
      <c r="AB8" s="291">
        <f>'Pesos elementos'!U58</f>
        <v>1.0724999999999998</v>
      </c>
      <c r="AD8" s="49"/>
      <c r="AE8" s="308"/>
      <c r="AF8" s="308"/>
      <c r="AG8" s="309" t="s">
        <v>30</v>
      </c>
      <c r="AH8" s="309">
        <f>'Pesos elementos'!L88</f>
        <v>960.88728125000034</v>
      </c>
      <c r="AI8" s="312">
        <f>'Pesos elementos'!M88</f>
        <v>182.700085</v>
      </c>
      <c r="AJ8" s="311">
        <f>'Pesos elementos'!N88</f>
        <v>1143.5873662500003</v>
      </c>
    </row>
    <row r="9" spans="2:36" ht="15" thickBot="1" x14ac:dyDescent="0.35">
      <c r="I9" s="313">
        <f>I8/'Pesos elementos'!T29</f>
        <v>0.54237001616042391</v>
      </c>
      <c r="K9" s="69">
        <v>-1</v>
      </c>
      <c r="L9" s="301">
        <f>'Pesos elementos'!I58</f>
        <v>0.25</v>
      </c>
      <c r="M9" s="70">
        <f>'Pesos elementos'!J58</f>
        <v>0.3</v>
      </c>
      <c r="N9" s="306">
        <f>'Pesos elementos'!K58</f>
        <v>78.44</v>
      </c>
      <c r="O9" s="307">
        <f>'Pesos elementos'!L58</f>
        <v>61.529999999999987</v>
      </c>
      <c r="P9" s="306">
        <f>'Pesos elementos'!Q58</f>
        <v>38.068999999999996</v>
      </c>
      <c r="Q9" s="307">
        <f>'Pesos elementos'!R58</f>
        <v>7.0309999999999988</v>
      </c>
      <c r="R9" s="306">
        <f>'Pesos elementos'!T58</f>
        <v>218.89674999999997</v>
      </c>
      <c r="S9" s="131">
        <f>'Pesos elementos'!V58</f>
        <v>0.35154999999999997</v>
      </c>
      <c r="T9" s="291">
        <f>'Pesos elementos'!X58</f>
        <v>219.24829999999997</v>
      </c>
      <c r="V9" s="49"/>
      <c r="W9" s="49"/>
      <c r="X9" s="49"/>
      <c r="Y9" s="49"/>
      <c r="Z9" s="302" t="s">
        <v>152</v>
      </c>
      <c r="AA9" s="309">
        <f>'Pesos elementos'!U59</f>
        <v>52.711950000000002</v>
      </c>
      <c r="AB9" s="311">
        <v>48.763949999999994</v>
      </c>
    </row>
    <row r="10" spans="2:36" ht="15" thickBot="1" x14ac:dyDescent="0.35">
      <c r="K10" s="49"/>
      <c r="L10" s="49"/>
      <c r="M10" s="49"/>
      <c r="N10" s="308"/>
      <c r="O10" s="308"/>
      <c r="P10" s="308"/>
      <c r="Q10" s="309" t="s">
        <v>152</v>
      </c>
      <c r="R10" s="309">
        <f>'Pesos elementos'!T59</f>
        <v>3670.8057499999995</v>
      </c>
      <c r="S10" s="312">
        <f>'Pesos elementos'!V59</f>
        <v>6.8827500000000033</v>
      </c>
      <c r="T10" s="311">
        <f>'Pesos elementos'!X59</f>
        <v>3677.6884999999997</v>
      </c>
    </row>
  </sheetData>
  <pageMargins left="0.7" right="0.7" top="0.75" bottom="0.75" header="0.3" footer="0.3"/>
  <ignoredErrors>
    <ignoredError sqref="B4 K5 V5 AD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AA88"/>
  <sheetViews>
    <sheetView showGridLines="0" topLeftCell="D70" zoomScaleNormal="100" workbookViewId="0">
      <selection activeCell="O85" sqref="O85"/>
    </sheetView>
  </sheetViews>
  <sheetFormatPr baseColWidth="10" defaultColWidth="8.88671875" defaultRowHeight="14.4" x14ac:dyDescent="0.3"/>
  <cols>
    <col min="1" max="1" width="3.109375" style="49" customWidth="1"/>
    <col min="2" max="2" width="25.21875" style="49" bestFit="1" customWidth="1"/>
    <col min="3" max="3" width="18.33203125" style="49" bestFit="1" customWidth="1"/>
    <col min="4" max="4" width="4.33203125" style="49" customWidth="1"/>
    <col min="5" max="5" width="8.88671875" style="49"/>
    <col min="6" max="6" width="13.6640625" style="49" bestFit="1" customWidth="1"/>
    <col min="7" max="8" width="8.88671875" style="49"/>
    <col min="9" max="9" width="10.77734375" style="49" customWidth="1"/>
    <col min="10" max="10" width="19.6640625" style="49" customWidth="1"/>
    <col min="11" max="11" width="15.88671875" style="49" customWidth="1"/>
    <col min="12" max="12" width="14.6640625" style="49" bestFit="1" customWidth="1"/>
    <col min="13" max="13" width="18.21875" style="49" customWidth="1"/>
    <col min="14" max="14" width="12.44140625" style="49" bestFit="1" customWidth="1"/>
    <col min="15" max="15" width="17.88671875" style="49" bestFit="1" customWidth="1"/>
    <col min="16" max="16" width="11.77734375" style="49" bestFit="1" customWidth="1"/>
    <col min="17" max="17" width="14.109375" style="49" customWidth="1"/>
    <col min="18" max="18" width="11.33203125" style="49" customWidth="1"/>
    <col min="19" max="19" width="10.5546875" style="49" customWidth="1"/>
    <col min="20" max="20" width="9.77734375" style="49" customWidth="1"/>
    <col min="21" max="21" width="12.109375" style="49" customWidth="1"/>
    <col min="22" max="22" width="13" style="49" customWidth="1"/>
    <col min="23" max="23" width="14.44140625" style="49" customWidth="1"/>
    <col min="24" max="24" width="14.33203125" style="49" bestFit="1" customWidth="1"/>
    <col min="25" max="25" width="9.6640625" style="49" bestFit="1" customWidth="1"/>
    <col min="26" max="26" width="10" style="49" bestFit="1" customWidth="1"/>
    <col min="27" max="16384" width="8.88671875" style="49"/>
  </cols>
  <sheetData>
    <row r="2" spans="2:27" ht="15" thickBot="1" x14ac:dyDescent="0.35">
      <c r="B2" s="47" t="s">
        <v>64</v>
      </c>
      <c r="E2" s="48" t="s">
        <v>36</v>
      </c>
      <c r="H2" s="48" t="s">
        <v>37</v>
      </c>
      <c r="I2" s="48"/>
    </row>
    <row r="3" spans="2:27" ht="43.8" thickBot="1" x14ac:dyDescent="0.35">
      <c r="B3" s="50" t="s">
        <v>7</v>
      </c>
      <c r="C3" s="51" t="s">
        <v>4</v>
      </c>
      <c r="E3" s="107" t="s">
        <v>111</v>
      </c>
      <c r="F3" s="111" t="s">
        <v>35</v>
      </c>
      <c r="H3" s="216" t="s">
        <v>111</v>
      </c>
      <c r="I3" s="104" t="s">
        <v>38</v>
      </c>
      <c r="J3" s="263" t="s">
        <v>68</v>
      </c>
      <c r="K3" s="264" t="s">
        <v>67</v>
      </c>
      <c r="L3" s="119" t="s">
        <v>65</v>
      </c>
      <c r="M3" s="264" t="s">
        <v>66</v>
      </c>
      <c r="N3" s="264" t="s">
        <v>127</v>
      </c>
      <c r="O3" s="264" t="s">
        <v>128</v>
      </c>
      <c r="P3" s="264" t="s">
        <v>148</v>
      </c>
      <c r="Q3" s="264" t="s">
        <v>106</v>
      </c>
      <c r="R3" s="264" t="s">
        <v>107</v>
      </c>
      <c r="S3" s="264" t="s">
        <v>108</v>
      </c>
      <c r="T3" s="264" t="s">
        <v>109</v>
      </c>
      <c r="U3" s="264" t="s">
        <v>110</v>
      </c>
      <c r="X3" s="107" t="s">
        <v>140</v>
      </c>
      <c r="Y3" s="188" t="s">
        <v>141</v>
      </c>
      <c r="Z3" s="107" t="s">
        <v>142</v>
      </c>
      <c r="AA3" s="188" t="s">
        <v>143</v>
      </c>
    </row>
    <row r="4" spans="2:27" x14ac:dyDescent="0.3">
      <c r="B4" s="118" t="s">
        <v>3</v>
      </c>
      <c r="C4" s="123">
        <v>2.5</v>
      </c>
      <c r="E4" s="108">
        <v>24</v>
      </c>
      <c r="F4" s="99">
        <v>2.2999999999999998</v>
      </c>
      <c r="H4" s="257">
        <f>E4</f>
        <v>24</v>
      </c>
      <c r="I4" s="258">
        <f>C29</f>
        <v>0.16</v>
      </c>
      <c r="J4" s="265">
        <v>68.697999999999993</v>
      </c>
      <c r="K4" s="266">
        <v>0</v>
      </c>
      <c r="L4" s="267">
        <f>I4*J4*$C$4+K4*I4*$C$4</f>
        <v>27.479199999999999</v>
      </c>
      <c r="M4" s="266">
        <f>J4*($C$6*$C$20+$C$7*$C$21)</f>
        <v>7.9002700000000008</v>
      </c>
      <c r="N4" s="266">
        <f>J4*$C$12</f>
        <v>13.739599999999999</v>
      </c>
      <c r="O4" s="266">
        <f t="shared" ref="O4:O27" si="0">K4*$C$14</f>
        <v>0</v>
      </c>
      <c r="P4" s="266">
        <f>0.25*(N4+O4)</f>
        <v>3.4348999999999998</v>
      </c>
      <c r="Q4" s="266">
        <f>N63</f>
        <v>71.462699999999998</v>
      </c>
      <c r="R4" s="268">
        <f>0.5*(W34)</f>
        <v>25.844774999999995</v>
      </c>
      <c r="S4" s="266">
        <f>L4+M4+P4</f>
        <v>38.814369999999997</v>
      </c>
      <c r="T4" s="266">
        <f>SUM(Q4:S4)</f>
        <v>136.12184500000001</v>
      </c>
      <c r="U4" s="266">
        <f>T4/(K4+J4)</f>
        <v>1.9814528079420073</v>
      </c>
      <c r="V4" s="49">
        <f t="shared" ref="V4:V27" si="1">H4</f>
        <v>24</v>
      </c>
      <c r="X4" s="219">
        <f>M4+U34+V34+M63</f>
        <v>20.522020000000001</v>
      </c>
      <c r="Y4" s="192">
        <v>0</v>
      </c>
      <c r="Z4" s="219">
        <f>X4/J4</f>
        <v>0.29872805612972725</v>
      </c>
      <c r="AA4" s="68">
        <v>0</v>
      </c>
    </row>
    <row r="5" spans="2:27" x14ac:dyDescent="0.3">
      <c r="B5" s="55" t="s">
        <v>6</v>
      </c>
      <c r="C5" s="124">
        <v>2</v>
      </c>
      <c r="E5" s="109">
        <v>23</v>
      </c>
      <c r="F5" s="94">
        <v>2.2999999999999998</v>
      </c>
      <c r="H5" s="90">
        <f t="shared" ref="H5:H28" si="2">E5</f>
        <v>23</v>
      </c>
      <c r="I5" s="105">
        <f>$C$28</f>
        <v>0.16</v>
      </c>
      <c r="J5" s="269">
        <v>410.20299999999997</v>
      </c>
      <c r="K5" s="270">
        <v>0</v>
      </c>
      <c r="L5" s="271">
        <f>I5*J5*$C$4+K5*I5*$C$4</f>
        <v>164.0812</v>
      </c>
      <c r="M5" s="270">
        <f>J5*($C$6*$C$20+$C$7*$C$21)</f>
        <v>47.173345000000005</v>
      </c>
      <c r="N5" s="270">
        <f t="shared" ref="N5:N28" si="3">J5*$C$12</f>
        <v>82.040599999999998</v>
      </c>
      <c r="O5" s="270">
        <f t="shared" si="0"/>
        <v>0</v>
      </c>
      <c r="P5" s="270">
        <f t="shared" ref="P5:P28" si="4">0.25*(N5+O5)</f>
        <v>20.510149999999999</v>
      </c>
      <c r="Q5" s="270">
        <f>N64</f>
        <v>44.458700000000007</v>
      </c>
      <c r="R5" s="270">
        <f>0.5*(W34+W35)</f>
        <v>92.154075000000006</v>
      </c>
      <c r="S5" s="270">
        <f>L5+M5+P5</f>
        <v>231.76469500000002</v>
      </c>
      <c r="T5" s="270">
        <f>SUM(Q5:S5)</f>
        <v>368.37747000000002</v>
      </c>
      <c r="U5" s="272">
        <f>T5/(K5+J5)</f>
        <v>0.89803699631645806</v>
      </c>
      <c r="V5" s="49">
        <f t="shared" si="1"/>
        <v>23</v>
      </c>
      <c r="X5" s="219">
        <f>V35+U35+M5+M64</f>
        <v>56.987145000000005</v>
      </c>
      <c r="Y5" s="192">
        <v>0</v>
      </c>
      <c r="Z5" s="219">
        <f>X5/J5</f>
        <v>0.13892425213857532</v>
      </c>
      <c r="AA5" s="68">
        <v>0</v>
      </c>
    </row>
    <row r="6" spans="2:27" x14ac:dyDescent="0.3">
      <c r="B6" s="55" t="s">
        <v>47</v>
      </c>
      <c r="C6" s="124">
        <f>0.04/0.02</f>
        <v>2</v>
      </c>
      <c r="E6" s="109">
        <v>22</v>
      </c>
      <c r="F6" s="94">
        <v>2.2999999999999998</v>
      </c>
      <c r="H6" s="90">
        <f t="shared" si="2"/>
        <v>22</v>
      </c>
      <c r="I6" s="105">
        <f>$C$28</f>
        <v>0.16</v>
      </c>
      <c r="J6" s="269">
        <v>410.20299999999997</v>
      </c>
      <c r="K6" s="270">
        <v>0</v>
      </c>
      <c r="L6" s="271">
        <f>I6*J6*$C$4+K6*I6*$C$4</f>
        <v>164.0812</v>
      </c>
      <c r="M6" s="270">
        <f>J6*($C$6*$C$20+$C$7*$C$21)</f>
        <v>47.173345000000005</v>
      </c>
      <c r="N6" s="270">
        <f t="shared" si="3"/>
        <v>82.040599999999998</v>
      </c>
      <c r="O6" s="270">
        <f t="shared" si="0"/>
        <v>0</v>
      </c>
      <c r="P6" s="270">
        <f t="shared" si="4"/>
        <v>20.510149999999999</v>
      </c>
      <c r="Q6" s="270">
        <f>N65</f>
        <v>44.458700000000007</v>
      </c>
      <c r="R6" s="270">
        <f>0.5*(W35+W36)</f>
        <v>132.61860000000001</v>
      </c>
      <c r="S6" s="270">
        <f>L6+M6+P6</f>
        <v>231.76469500000002</v>
      </c>
      <c r="T6" s="270">
        <f>SUM(Q6:S6)</f>
        <v>408.84199500000005</v>
      </c>
      <c r="U6" s="272">
        <f>T6/(K6+J6)</f>
        <v>0.99668211836578491</v>
      </c>
      <c r="V6" s="49">
        <f t="shared" si="1"/>
        <v>22</v>
      </c>
      <c r="X6" s="219">
        <f>V36+U36+M6+M65</f>
        <v>56.987145000000005</v>
      </c>
      <c r="Y6" s="192">
        <v>0</v>
      </c>
      <c r="Z6" s="219">
        <f>X6/J6</f>
        <v>0.13892425213857532</v>
      </c>
      <c r="AA6" s="68">
        <v>0</v>
      </c>
    </row>
    <row r="7" spans="2:27" ht="15" thickBot="1" x14ac:dyDescent="0.35">
      <c r="B7" s="61" t="s">
        <v>5</v>
      </c>
      <c r="C7" s="125">
        <v>1.5</v>
      </c>
      <c r="E7" s="109">
        <v>21</v>
      </c>
      <c r="F7" s="94">
        <v>2.2999999999999998</v>
      </c>
      <c r="H7" s="90">
        <f t="shared" si="2"/>
        <v>21</v>
      </c>
      <c r="I7" s="105">
        <f>$C$28</f>
        <v>0.16</v>
      </c>
      <c r="J7" s="269">
        <v>410.20299999999997</v>
      </c>
      <c r="K7" s="270">
        <v>0</v>
      </c>
      <c r="L7" s="271">
        <f>I7*J7*$C$4+K7*I7*$C$4</f>
        <v>164.0812</v>
      </c>
      <c r="M7" s="270">
        <f>J7*($C$6*$C$20+$C$7*$C$21)</f>
        <v>47.173345000000005</v>
      </c>
      <c r="N7" s="270">
        <f t="shared" si="3"/>
        <v>82.040599999999998</v>
      </c>
      <c r="O7" s="270">
        <f t="shared" si="0"/>
        <v>0</v>
      </c>
      <c r="P7" s="270">
        <f t="shared" si="4"/>
        <v>20.510149999999999</v>
      </c>
      <c r="Q7" s="270">
        <f>N66</f>
        <v>44.458700000000007</v>
      </c>
      <c r="R7" s="270">
        <f>0.5*(W36+W37)</f>
        <v>132.61860000000001</v>
      </c>
      <c r="S7" s="270">
        <f>L7+M7+P7</f>
        <v>231.76469500000002</v>
      </c>
      <c r="T7" s="270">
        <f>SUM(Q7:S7)</f>
        <v>408.84199500000005</v>
      </c>
      <c r="U7" s="270">
        <f>T7/(K7+J7)</f>
        <v>0.99668211836578491</v>
      </c>
      <c r="V7" s="49">
        <f t="shared" si="1"/>
        <v>21</v>
      </c>
      <c r="X7" s="219">
        <f>V37+U37+M7+M66</f>
        <v>56.987145000000005</v>
      </c>
      <c r="Y7" s="192">
        <v>0</v>
      </c>
      <c r="Z7" s="219">
        <f>X7/J7</f>
        <v>0.13892425213857532</v>
      </c>
      <c r="AA7" s="68">
        <v>0</v>
      </c>
    </row>
    <row r="8" spans="2:27" x14ac:dyDescent="0.3">
      <c r="E8" s="109">
        <v>20</v>
      </c>
      <c r="F8" s="94">
        <v>2.2999999999999998</v>
      </c>
      <c r="H8" s="90">
        <f t="shared" si="2"/>
        <v>20</v>
      </c>
      <c r="I8" s="105">
        <f>$C$28</f>
        <v>0.16</v>
      </c>
      <c r="J8" s="269">
        <v>410.20299999999997</v>
      </c>
      <c r="K8" s="270">
        <v>0</v>
      </c>
      <c r="L8" s="271">
        <f>I8*J8*$C$4+K8*I8*$C$4</f>
        <v>164.0812</v>
      </c>
      <c r="M8" s="270">
        <f>J8*($C$6*$C$20+$C$7*$C$21)</f>
        <v>47.173345000000005</v>
      </c>
      <c r="N8" s="270">
        <f t="shared" si="3"/>
        <v>82.040599999999998</v>
      </c>
      <c r="O8" s="270">
        <f t="shared" si="0"/>
        <v>0</v>
      </c>
      <c r="P8" s="270">
        <f t="shared" si="4"/>
        <v>20.510149999999999</v>
      </c>
      <c r="Q8" s="270">
        <f>N67</f>
        <v>44.458700000000007</v>
      </c>
      <c r="R8" s="270">
        <f>0.5*(W37+W38)</f>
        <v>132.61860000000001</v>
      </c>
      <c r="S8" s="270">
        <f>L8+M8+P8</f>
        <v>231.76469500000002</v>
      </c>
      <c r="T8" s="270">
        <f>SUM(Q8:S8)</f>
        <v>408.84199500000005</v>
      </c>
      <c r="U8" s="270">
        <f>T8/(K8+J8)</f>
        <v>0.99668211836578491</v>
      </c>
      <c r="V8" s="49">
        <f t="shared" si="1"/>
        <v>20</v>
      </c>
      <c r="X8" s="219">
        <f>V38+U38+M8+M67</f>
        <v>56.987145000000005</v>
      </c>
      <c r="Y8" s="192">
        <v>0</v>
      </c>
      <c r="Z8" s="219">
        <f>X8/J8</f>
        <v>0.13892425213857532</v>
      </c>
      <c r="AA8" s="68">
        <v>0</v>
      </c>
    </row>
    <row r="9" spans="2:27" ht="15" thickBot="1" x14ac:dyDescent="0.35">
      <c r="B9" s="48" t="s">
        <v>125</v>
      </c>
      <c r="E9" s="109">
        <v>19</v>
      </c>
      <c r="F9" s="94">
        <v>2.2999999999999998</v>
      </c>
      <c r="H9" s="90">
        <f t="shared" si="2"/>
        <v>19</v>
      </c>
      <c r="I9" s="105">
        <f>$C$28</f>
        <v>0.16</v>
      </c>
      <c r="J9" s="269">
        <v>410.20299999999997</v>
      </c>
      <c r="K9" s="270">
        <v>0</v>
      </c>
      <c r="L9" s="271">
        <f>I9*J9*$C$4+K9*I9*$C$4</f>
        <v>164.0812</v>
      </c>
      <c r="M9" s="270">
        <f>J9*($C$6*$C$20+$C$7*$C$21)</f>
        <v>47.173345000000005</v>
      </c>
      <c r="N9" s="270">
        <f t="shared" si="3"/>
        <v>82.040599999999998</v>
      </c>
      <c r="O9" s="270">
        <f t="shared" si="0"/>
        <v>0</v>
      </c>
      <c r="P9" s="270">
        <f t="shared" si="4"/>
        <v>20.510149999999999</v>
      </c>
      <c r="Q9" s="270">
        <f>N68</f>
        <v>44.458700000000007</v>
      </c>
      <c r="R9" s="270">
        <f>0.5*(W38+W39)</f>
        <v>132.61860000000001</v>
      </c>
      <c r="S9" s="270">
        <f>L9+M9+P9</f>
        <v>231.76469500000002</v>
      </c>
      <c r="T9" s="270">
        <f>SUM(Q9:S9)</f>
        <v>408.84199500000005</v>
      </c>
      <c r="U9" s="270">
        <f>T9/(K9+J9)</f>
        <v>0.99668211836578491</v>
      </c>
      <c r="V9" s="49">
        <f t="shared" si="1"/>
        <v>19</v>
      </c>
      <c r="X9" s="219">
        <f>V39+U39+M9+M68</f>
        <v>56.987145000000005</v>
      </c>
      <c r="Y9" s="192">
        <v>0</v>
      </c>
      <c r="Z9" s="219">
        <f>X9/J9</f>
        <v>0.13892425213857532</v>
      </c>
      <c r="AA9" s="68">
        <v>0</v>
      </c>
    </row>
    <row r="10" spans="2:27" ht="15" thickBot="1" x14ac:dyDescent="0.35">
      <c r="B10" s="196" t="s">
        <v>7</v>
      </c>
      <c r="C10" s="197" t="s">
        <v>63</v>
      </c>
      <c r="E10" s="109">
        <v>18</v>
      </c>
      <c r="F10" s="94">
        <v>2.2999999999999998</v>
      </c>
      <c r="H10" s="90">
        <f t="shared" si="2"/>
        <v>18</v>
      </c>
      <c r="I10" s="105">
        <f>$C$28</f>
        <v>0.16</v>
      </c>
      <c r="J10" s="269">
        <v>410.20299999999997</v>
      </c>
      <c r="K10" s="270">
        <v>0</v>
      </c>
      <c r="L10" s="271">
        <f>I10*J10*$C$4+K10*I10*$C$4</f>
        <v>164.0812</v>
      </c>
      <c r="M10" s="270">
        <f>J10*($C$6*$C$20+$C$7*$C$21)</f>
        <v>47.173345000000005</v>
      </c>
      <c r="N10" s="270">
        <f t="shared" si="3"/>
        <v>82.040599999999998</v>
      </c>
      <c r="O10" s="270">
        <f t="shared" si="0"/>
        <v>0</v>
      </c>
      <c r="P10" s="270">
        <f t="shared" si="4"/>
        <v>20.510149999999999</v>
      </c>
      <c r="Q10" s="270">
        <f>N69</f>
        <v>44.458700000000007</v>
      </c>
      <c r="R10" s="270">
        <f>0.5*(W39+W40)</f>
        <v>132.61860000000001</v>
      </c>
      <c r="S10" s="270">
        <f>L10+M10+P10</f>
        <v>231.76469500000002</v>
      </c>
      <c r="T10" s="270">
        <f>SUM(Q10:S10)</f>
        <v>408.84199500000005</v>
      </c>
      <c r="U10" s="270">
        <f>T10/(K10+J10)</f>
        <v>0.99668211836578491</v>
      </c>
      <c r="V10" s="49">
        <f t="shared" si="1"/>
        <v>18</v>
      </c>
      <c r="X10" s="219">
        <f>V40+U40+M10+M69</f>
        <v>56.987145000000005</v>
      </c>
      <c r="Y10" s="192">
        <v>0</v>
      </c>
      <c r="Z10" s="219">
        <f>X10/J10</f>
        <v>0.13892425213857532</v>
      </c>
      <c r="AA10" s="68">
        <v>0</v>
      </c>
    </row>
    <row r="11" spans="2:27" x14ac:dyDescent="0.3">
      <c r="B11" s="118" t="s">
        <v>126</v>
      </c>
      <c r="C11" s="198">
        <v>0.1</v>
      </c>
      <c r="E11" s="109">
        <v>17</v>
      </c>
      <c r="F11" s="94">
        <v>2.2999999999999998</v>
      </c>
      <c r="H11" s="90">
        <f t="shared" si="2"/>
        <v>17</v>
      </c>
      <c r="I11" s="105">
        <f>$C$28</f>
        <v>0.16</v>
      </c>
      <c r="J11" s="269">
        <v>410.20299999999997</v>
      </c>
      <c r="K11" s="270">
        <v>0</v>
      </c>
      <c r="L11" s="271">
        <f>I11*J11*$C$4+K11*I11*$C$4</f>
        <v>164.0812</v>
      </c>
      <c r="M11" s="270">
        <f>J11*($C$6*$C$20+$C$7*$C$21)</f>
        <v>47.173345000000005</v>
      </c>
      <c r="N11" s="270">
        <f t="shared" si="3"/>
        <v>82.040599999999998</v>
      </c>
      <c r="O11" s="270">
        <f t="shared" si="0"/>
        <v>0</v>
      </c>
      <c r="P11" s="270">
        <f t="shared" si="4"/>
        <v>20.510149999999999</v>
      </c>
      <c r="Q11" s="270">
        <f>N70</f>
        <v>44.458700000000007</v>
      </c>
      <c r="R11" s="270">
        <f>0.5*(W40+W41)</f>
        <v>132.61860000000001</v>
      </c>
      <c r="S11" s="270">
        <f>L11+M11+P11</f>
        <v>231.76469500000002</v>
      </c>
      <c r="T11" s="270">
        <f>SUM(Q11:S11)</f>
        <v>408.84199500000005</v>
      </c>
      <c r="U11" s="270">
        <f>T11/(K11+J11)</f>
        <v>0.99668211836578491</v>
      </c>
      <c r="V11" s="49">
        <f t="shared" si="1"/>
        <v>17</v>
      </c>
      <c r="X11" s="219">
        <f>V41+U41+M11+M70</f>
        <v>56.987145000000005</v>
      </c>
      <c r="Y11" s="192">
        <v>0</v>
      </c>
      <c r="Z11" s="219">
        <f>X11/J11</f>
        <v>0.13892425213857532</v>
      </c>
      <c r="AA11" s="68">
        <v>0</v>
      </c>
    </row>
    <row r="12" spans="2:27" x14ac:dyDescent="0.3">
      <c r="B12" s="55" t="s">
        <v>122</v>
      </c>
      <c r="C12" s="199">
        <v>0.2</v>
      </c>
      <c r="E12" s="109">
        <v>16</v>
      </c>
      <c r="F12" s="94">
        <v>2.2999999999999998</v>
      </c>
      <c r="H12" s="90">
        <f t="shared" si="2"/>
        <v>16</v>
      </c>
      <c r="I12" s="105">
        <f>$C$28</f>
        <v>0.16</v>
      </c>
      <c r="J12" s="269">
        <v>410.20299999999997</v>
      </c>
      <c r="K12" s="270">
        <v>0</v>
      </c>
      <c r="L12" s="271">
        <f>I12*J12*$C$4+K12*I12*$C$4</f>
        <v>164.0812</v>
      </c>
      <c r="M12" s="270">
        <f>J12*($C$6*$C$20+$C$7*$C$21)</f>
        <v>47.173345000000005</v>
      </c>
      <c r="N12" s="270">
        <f t="shared" si="3"/>
        <v>82.040599999999998</v>
      </c>
      <c r="O12" s="270">
        <f t="shared" si="0"/>
        <v>0</v>
      </c>
      <c r="P12" s="270">
        <f t="shared" si="4"/>
        <v>20.510149999999999</v>
      </c>
      <c r="Q12" s="270">
        <f>N71</f>
        <v>44.458700000000007</v>
      </c>
      <c r="R12" s="270">
        <f>0.5*(W41+W42)</f>
        <v>132.61860000000001</v>
      </c>
      <c r="S12" s="270">
        <f>L12+M12+P12</f>
        <v>231.76469500000002</v>
      </c>
      <c r="T12" s="270">
        <f>SUM(Q12:S12)</f>
        <v>408.84199500000005</v>
      </c>
      <c r="U12" s="270">
        <f>T12/(K12+J12)</f>
        <v>0.99668211836578491</v>
      </c>
      <c r="V12" s="49">
        <f t="shared" si="1"/>
        <v>16</v>
      </c>
      <c r="X12" s="219">
        <f>V42+U42+M12+M71</f>
        <v>56.987145000000005</v>
      </c>
      <c r="Y12" s="192">
        <v>0</v>
      </c>
      <c r="Z12" s="219">
        <f>X12/J12</f>
        <v>0.13892425213857532</v>
      </c>
      <c r="AA12" s="68">
        <v>0</v>
      </c>
    </row>
    <row r="13" spans="2:27" x14ac:dyDescent="0.3">
      <c r="B13" s="55" t="s">
        <v>124</v>
      </c>
      <c r="C13" s="199">
        <v>0.4</v>
      </c>
      <c r="E13" s="109">
        <v>15</v>
      </c>
      <c r="F13" s="94">
        <v>2.2999999999999998</v>
      </c>
      <c r="H13" s="90">
        <f t="shared" si="2"/>
        <v>15</v>
      </c>
      <c r="I13" s="105">
        <f>$C$28</f>
        <v>0.16</v>
      </c>
      <c r="J13" s="269">
        <v>410.20299999999997</v>
      </c>
      <c r="K13" s="270">
        <v>0</v>
      </c>
      <c r="L13" s="271">
        <f>I13*J13*$C$4+K13*I13*$C$4</f>
        <v>164.0812</v>
      </c>
      <c r="M13" s="270">
        <f>J13*($C$6*$C$20+$C$7*$C$21)</f>
        <v>47.173345000000005</v>
      </c>
      <c r="N13" s="270">
        <f t="shared" si="3"/>
        <v>82.040599999999998</v>
      </c>
      <c r="O13" s="270">
        <f t="shared" si="0"/>
        <v>0</v>
      </c>
      <c r="P13" s="270">
        <f t="shared" si="4"/>
        <v>20.510149999999999</v>
      </c>
      <c r="Q13" s="270">
        <f>N72</f>
        <v>44.458700000000007</v>
      </c>
      <c r="R13" s="270">
        <f>0.5*(W42+W43)</f>
        <v>132.61860000000001</v>
      </c>
      <c r="S13" s="270">
        <f>L13+M13+P13</f>
        <v>231.76469500000002</v>
      </c>
      <c r="T13" s="270">
        <f>SUM(Q13:S13)</f>
        <v>408.84199500000005</v>
      </c>
      <c r="U13" s="270">
        <f>T13/(K13+J13)</f>
        <v>0.99668211836578491</v>
      </c>
      <c r="V13" s="49">
        <f t="shared" si="1"/>
        <v>15</v>
      </c>
      <c r="X13" s="219">
        <f>V43+U43+M13+M72</f>
        <v>56.987145000000005</v>
      </c>
      <c r="Y13" s="192">
        <v>0</v>
      </c>
      <c r="Z13" s="219">
        <f>X13/J13</f>
        <v>0.13892425213857532</v>
      </c>
      <c r="AA13" s="68">
        <v>0</v>
      </c>
    </row>
    <row r="14" spans="2:27" ht="15" thickBot="1" x14ac:dyDescent="0.35">
      <c r="B14" s="61" t="s">
        <v>123</v>
      </c>
      <c r="C14" s="200">
        <v>0.5</v>
      </c>
      <c r="E14" s="109">
        <v>14</v>
      </c>
      <c r="F14" s="94">
        <v>2.2999999999999998</v>
      </c>
      <c r="H14" s="90">
        <f t="shared" si="2"/>
        <v>14</v>
      </c>
      <c r="I14" s="105">
        <f>$C$28</f>
        <v>0.16</v>
      </c>
      <c r="J14" s="269">
        <v>410.20299999999997</v>
      </c>
      <c r="K14" s="270">
        <v>0</v>
      </c>
      <c r="L14" s="271">
        <f>I14*J14*$C$4+K14*I14*$C$4</f>
        <v>164.0812</v>
      </c>
      <c r="M14" s="270">
        <f>J14*($C$6*$C$20+$C$7*$C$21)</f>
        <v>47.173345000000005</v>
      </c>
      <c r="N14" s="270">
        <f t="shared" si="3"/>
        <v>82.040599999999998</v>
      </c>
      <c r="O14" s="270">
        <f t="shared" si="0"/>
        <v>0</v>
      </c>
      <c r="P14" s="270">
        <f t="shared" si="4"/>
        <v>20.510149999999999</v>
      </c>
      <c r="Q14" s="270">
        <f>N73</f>
        <v>44.458700000000007</v>
      </c>
      <c r="R14" s="270">
        <f>0.5*(W43+W44)</f>
        <v>149.16047500000002</v>
      </c>
      <c r="S14" s="270">
        <f>L14+M14+P14</f>
        <v>231.76469500000002</v>
      </c>
      <c r="T14" s="270">
        <f>SUM(Q14:S14)</f>
        <v>425.38387000000006</v>
      </c>
      <c r="U14" s="270">
        <f>T14/(K14+J14)</f>
        <v>1.0370081886285574</v>
      </c>
      <c r="V14" s="49">
        <f t="shared" si="1"/>
        <v>14</v>
      </c>
      <c r="X14" s="219">
        <f>V44+U44+M14+M73</f>
        <v>57.485645000000005</v>
      </c>
      <c r="Y14" s="192">
        <v>0</v>
      </c>
      <c r="Z14" s="219">
        <f>X14/J14</f>
        <v>0.14013950409918993</v>
      </c>
      <c r="AA14" s="68">
        <v>0</v>
      </c>
    </row>
    <row r="15" spans="2:27" x14ac:dyDescent="0.3">
      <c r="E15" s="109">
        <v>13</v>
      </c>
      <c r="F15" s="94">
        <v>2.2999999999999998</v>
      </c>
      <c r="H15" s="90">
        <f t="shared" si="2"/>
        <v>13</v>
      </c>
      <c r="I15" s="105">
        <f>$C$28</f>
        <v>0.16</v>
      </c>
      <c r="J15" s="269">
        <v>410.20299999999997</v>
      </c>
      <c r="K15" s="270">
        <v>0</v>
      </c>
      <c r="L15" s="271">
        <f>I15*J15*$C$4+K15*I15*$C$4</f>
        <v>164.0812</v>
      </c>
      <c r="M15" s="270">
        <f>J15*($C$6*$C$20+$C$7*$C$21)</f>
        <v>47.173345000000005</v>
      </c>
      <c r="N15" s="270">
        <f t="shared" si="3"/>
        <v>82.040599999999998</v>
      </c>
      <c r="O15" s="270">
        <f t="shared" si="0"/>
        <v>0</v>
      </c>
      <c r="P15" s="270">
        <f t="shared" si="4"/>
        <v>20.510149999999999</v>
      </c>
      <c r="Q15" s="270">
        <f>N74</f>
        <v>44.458700000000007</v>
      </c>
      <c r="R15" s="270">
        <f>0.5*(W44+W45)</f>
        <v>165.70235</v>
      </c>
      <c r="S15" s="270">
        <f>L15+M15+P15</f>
        <v>231.76469500000002</v>
      </c>
      <c r="T15" s="270">
        <f>SUM(Q15:S15)</f>
        <v>441.92574500000001</v>
      </c>
      <c r="U15" s="270">
        <f>T15/(K15+J15)</f>
        <v>1.0773342588913295</v>
      </c>
      <c r="V15" s="49">
        <f t="shared" si="1"/>
        <v>13</v>
      </c>
      <c r="X15" s="219">
        <f>V45+U45+M15+M74</f>
        <v>57.485645000000005</v>
      </c>
      <c r="Y15" s="192">
        <v>0</v>
      </c>
      <c r="Z15" s="219">
        <f>X15/J15</f>
        <v>0.14013950409918993</v>
      </c>
      <c r="AA15" s="68">
        <v>0</v>
      </c>
    </row>
    <row r="16" spans="2:27" x14ac:dyDescent="0.3">
      <c r="E16" s="109">
        <v>12</v>
      </c>
      <c r="F16" s="94">
        <v>2.2999999999999998</v>
      </c>
      <c r="H16" s="90">
        <f t="shared" si="2"/>
        <v>12</v>
      </c>
      <c r="I16" s="105">
        <f>$C$28</f>
        <v>0.16</v>
      </c>
      <c r="J16" s="269">
        <v>410.20299999999997</v>
      </c>
      <c r="K16" s="270">
        <v>0</v>
      </c>
      <c r="L16" s="271">
        <f>I16*J16*$C$4+K16*I16*$C$4</f>
        <v>164.0812</v>
      </c>
      <c r="M16" s="270">
        <f>J16*($C$6*$C$20+$C$7*$C$21)</f>
        <v>47.173345000000005</v>
      </c>
      <c r="N16" s="270">
        <f t="shared" si="3"/>
        <v>82.040599999999998</v>
      </c>
      <c r="O16" s="270">
        <f t="shared" si="0"/>
        <v>0</v>
      </c>
      <c r="P16" s="270">
        <f t="shared" si="4"/>
        <v>20.510149999999999</v>
      </c>
      <c r="Q16" s="270">
        <f>N75</f>
        <v>44.458700000000007</v>
      </c>
      <c r="R16" s="270">
        <f>0.5*(W45+W46)</f>
        <v>165.70235</v>
      </c>
      <c r="S16" s="270">
        <f>L16+M16+P16</f>
        <v>231.76469500000002</v>
      </c>
      <c r="T16" s="270">
        <f>SUM(Q16:S16)</f>
        <v>441.92574500000001</v>
      </c>
      <c r="U16" s="270">
        <f>T16/(K16+J16)</f>
        <v>1.0773342588913295</v>
      </c>
      <c r="V16" s="49">
        <f t="shared" si="1"/>
        <v>12</v>
      </c>
      <c r="X16" s="219">
        <f>V46+U46+M16+M75</f>
        <v>57.485645000000005</v>
      </c>
      <c r="Y16" s="192">
        <v>0</v>
      </c>
      <c r="Z16" s="219">
        <f>X16/J16</f>
        <v>0.14013950409918993</v>
      </c>
      <c r="AA16" s="68">
        <v>0</v>
      </c>
    </row>
    <row r="17" spans="2:27" ht="15" thickBot="1" x14ac:dyDescent="0.35">
      <c r="B17" s="63" t="s">
        <v>31</v>
      </c>
      <c r="E17" s="109">
        <v>11</v>
      </c>
      <c r="F17" s="94">
        <v>2.2999999999999998</v>
      </c>
      <c r="H17" s="90">
        <f t="shared" si="2"/>
        <v>11</v>
      </c>
      <c r="I17" s="105">
        <f>$C$28</f>
        <v>0.16</v>
      </c>
      <c r="J17" s="269">
        <v>410.20299999999997</v>
      </c>
      <c r="K17" s="270">
        <v>0</v>
      </c>
      <c r="L17" s="271">
        <f>I17*J17*$C$4+K17*I17*$C$4</f>
        <v>164.0812</v>
      </c>
      <c r="M17" s="270">
        <f>J17*($C$6*$C$20+$C$7*$C$21)</f>
        <v>47.173345000000005</v>
      </c>
      <c r="N17" s="270">
        <f t="shared" si="3"/>
        <v>82.040599999999998</v>
      </c>
      <c r="O17" s="270">
        <f t="shared" si="0"/>
        <v>0</v>
      </c>
      <c r="P17" s="270">
        <f t="shared" si="4"/>
        <v>20.510149999999999</v>
      </c>
      <c r="Q17" s="270">
        <f>N76</f>
        <v>44.458700000000007</v>
      </c>
      <c r="R17" s="270">
        <f>0.5*(W46+W47)</f>
        <v>165.70235</v>
      </c>
      <c r="S17" s="270">
        <f>L17+M17+P17</f>
        <v>231.76469500000002</v>
      </c>
      <c r="T17" s="270">
        <f>SUM(Q17:S17)</f>
        <v>441.92574500000001</v>
      </c>
      <c r="U17" s="270">
        <f>T17/(K17+J17)</f>
        <v>1.0773342588913295</v>
      </c>
      <c r="V17" s="49">
        <f t="shared" si="1"/>
        <v>11</v>
      </c>
      <c r="X17" s="219">
        <f>V47+U47+M17+M76</f>
        <v>57.485645000000005</v>
      </c>
      <c r="Y17" s="192">
        <v>0</v>
      </c>
      <c r="Z17" s="219">
        <f>X17/J17</f>
        <v>0.14013950409918993</v>
      </c>
      <c r="AA17" s="68">
        <v>0</v>
      </c>
    </row>
    <row r="18" spans="2:27" ht="15" thickBot="1" x14ac:dyDescent="0.35">
      <c r="B18" s="58" t="s">
        <v>7</v>
      </c>
      <c r="C18" s="51" t="s">
        <v>38</v>
      </c>
      <c r="E18" s="109">
        <v>10</v>
      </c>
      <c r="F18" s="94">
        <v>2.2999999999999998</v>
      </c>
      <c r="H18" s="90">
        <f t="shared" si="2"/>
        <v>10</v>
      </c>
      <c r="I18" s="105">
        <f>$C$28</f>
        <v>0.16</v>
      </c>
      <c r="J18" s="269">
        <v>410.20299999999997</v>
      </c>
      <c r="K18" s="270">
        <v>0</v>
      </c>
      <c r="L18" s="271">
        <f>I18*J18*$C$4+K18*I18*$C$4</f>
        <v>164.0812</v>
      </c>
      <c r="M18" s="270">
        <f>J18*($C$6*$C$20+$C$7*$C$21)</f>
        <v>47.173345000000005</v>
      </c>
      <c r="N18" s="270">
        <f t="shared" si="3"/>
        <v>82.040599999999998</v>
      </c>
      <c r="O18" s="270">
        <f t="shared" si="0"/>
        <v>0</v>
      </c>
      <c r="P18" s="270">
        <f t="shared" si="4"/>
        <v>20.510149999999999</v>
      </c>
      <c r="Q18" s="270">
        <f>N77</f>
        <v>44.458700000000007</v>
      </c>
      <c r="R18" s="270">
        <f>0.5*(W47+W48)</f>
        <v>165.70235</v>
      </c>
      <c r="S18" s="270">
        <f>L18+M18+P18</f>
        <v>231.76469500000002</v>
      </c>
      <c r="T18" s="270">
        <f>SUM(Q18:S18)</f>
        <v>441.92574500000001</v>
      </c>
      <c r="U18" s="270">
        <f>T18/(K18+J18)</f>
        <v>1.0773342588913295</v>
      </c>
      <c r="V18" s="49">
        <f t="shared" si="1"/>
        <v>10</v>
      </c>
      <c r="X18" s="219">
        <f>V48+U48+M18+M77</f>
        <v>57.485645000000005</v>
      </c>
      <c r="Y18" s="192">
        <v>0</v>
      </c>
      <c r="Z18" s="219">
        <f>X18/J18</f>
        <v>0.14013950409918993</v>
      </c>
      <c r="AA18" s="68">
        <v>0</v>
      </c>
    </row>
    <row r="19" spans="2:27" x14ac:dyDescent="0.3">
      <c r="B19" s="59" t="s">
        <v>1</v>
      </c>
      <c r="C19" s="52">
        <f>2.5/100</f>
        <v>2.5000000000000001E-2</v>
      </c>
      <c r="E19" s="109">
        <v>9</v>
      </c>
      <c r="F19" s="94">
        <v>2.2999999999999998</v>
      </c>
      <c r="H19" s="90">
        <f t="shared" si="2"/>
        <v>9</v>
      </c>
      <c r="I19" s="105">
        <f>$C$28</f>
        <v>0.16</v>
      </c>
      <c r="J19" s="269">
        <v>410.20299999999997</v>
      </c>
      <c r="K19" s="270">
        <v>0</v>
      </c>
      <c r="L19" s="271">
        <f>I19*J19*$C$4+K19*I19*$C$4</f>
        <v>164.0812</v>
      </c>
      <c r="M19" s="270">
        <f>J19*($C$6*$C$20+$C$7*$C$21)</f>
        <v>47.173345000000005</v>
      </c>
      <c r="N19" s="270">
        <f t="shared" si="3"/>
        <v>82.040599999999998</v>
      </c>
      <c r="O19" s="270">
        <f t="shared" si="0"/>
        <v>0</v>
      </c>
      <c r="P19" s="270">
        <f t="shared" si="4"/>
        <v>20.510149999999999</v>
      </c>
      <c r="Q19" s="270">
        <f>N78</f>
        <v>44.458700000000007</v>
      </c>
      <c r="R19" s="270">
        <f>0.5*(W48+W49)</f>
        <v>165.70235</v>
      </c>
      <c r="S19" s="270">
        <f>L19+M19+P19</f>
        <v>231.76469500000002</v>
      </c>
      <c r="T19" s="270">
        <f>SUM(Q19:S19)</f>
        <v>441.92574500000001</v>
      </c>
      <c r="U19" s="270">
        <f>T19/(K19+J19)</f>
        <v>1.0773342588913295</v>
      </c>
      <c r="V19" s="49">
        <f t="shared" si="1"/>
        <v>9</v>
      </c>
      <c r="X19" s="219">
        <f>V49+U49+M19+M78</f>
        <v>57.485645000000005</v>
      </c>
      <c r="Y19" s="192">
        <v>0</v>
      </c>
      <c r="Z19" s="219">
        <f>X19/J19</f>
        <v>0.14013950409918993</v>
      </c>
      <c r="AA19" s="68">
        <v>0</v>
      </c>
    </row>
    <row r="20" spans="2:27" x14ac:dyDescent="0.3">
      <c r="B20" s="60" t="s">
        <v>32</v>
      </c>
      <c r="C20" s="54">
        <v>0.02</v>
      </c>
      <c r="E20" s="109">
        <v>8</v>
      </c>
      <c r="F20" s="94">
        <v>2.2999999999999998</v>
      </c>
      <c r="H20" s="90">
        <f t="shared" si="2"/>
        <v>8</v>
      </c>
      <c r="I20" s="105">
        <f>$C$28</f>
        <v>0.16</v>
      </c>
      <c r="J20" s="269">
        <v>410.20299999999997</v>
      </c>
      <c r="K20" s="270">
        <v>0</v>
      </c>
      <c r="L20" s="271">
        <f>I20*J20*$C$4+K20*I20*$C$4</f>
        <v>164.0812</v>
      </c>
      <c r="M20" s="270">
        <f>J20*($C$6*$C$20+$C$7*$C$21)</f>
        <v>47.173345000000005</v>
      </c>
      <c r="N20" s="270">
        <f t="shared" si="3"/>
        <v>82.040599999999998</v>
      </c>
      <c r="O20" s="270">
        <f t="shared" si="0"/>
        <v>0</v>
      </c>
      <c r="P20" s="270">
        <f t="shared" si="4"/>
        <v>20.510149999999999</v>
      </c>
      <c r="Q20" s="270">
        <f>N79</f>
        <v>44.458700000000007</v>
      </c>
      <c r="R20" s="270">
        <f>0.5*(W49+W50)</f>
        <v>165.70235</v>
      </c>
      <c r="S20" s="270">
        <f>L20+M20+P20</f>
        <v>231.76469500000002</v>
      </c>
      <c r="T20" s="270">
        <f>SUM(Q20:S20)</f>
        <v>441.92574500000001</v>
      </c>
      <c r="U20" s="270">
        <f>T20/(K20+J20)</f>
        <v>1.0773342588913295</v>
      </c>
      <c r="V20" s="49">
        <f t="shared" si="1"/>
        <v>8</v>
      </c>
      <c r="X20" s="219">
        <f>V50+U50+M20+M79</f>
        <v>57.485645000000005</v>
      </c>
      <c r="Y20" s="192">
        <v>0</v>
      </c>
      <c r="Z20" s="219">
        <f>X20/J20</f>
        <v>0.14013950409918993</v>
      </c>
      <c r="AA20" s="68">
        <v>0</v>
      </c>
    </row>
    <row r="21" spans="2:27" ht="15" thickBot="1" x14ac:dyDescent="0.35">
      <c r="B21" s="61" t="s">
        <v>2</v>
      </c>
      <c r="C21" s="57">
        <v>0.05</v>
      </c>
      <c r="E21" s="109">
        <v>7</v>
      </c>
      <c r="F21" s="94">
        <v>2.2999999999999998</v>
      </c>
      <c r="H21" s="90">
        <f t="shared" si="2"/>
        <v>7</v>
      </c>
      <c r="I21" s="105">
        <f>$C$28</f>
        <v>0.16</v>
      </c>
      <c r="J21" s="269">
        <v>410.20299999999997</v>
      </c>
      <c r="K21" s="270">
        <v>0</v>
      </c>
      <c r="L21" s="271">
        <f>I21*J21*$C$4+K21*I21*$C$4</f>
        <v>164.0812</v>
      </c>
      <c r="M21" s="270">
        <f>J21*($C$6*$C$20+$C$7*$C$21)</f>
        <v>47.173345000000005</v>
      </c>
      <c r="N21" s="270">
        <f t="shared" si="3"/>
        <v>82.040599999999998</v>
      </c>
      <c r="O21" s="270">
        <f t="shared" si="0"/>
        <v>0</v>
      </c>
      <c r="P21" s="270">
        <f t="shared" si="4"/>
        <v>20.510149999999999</v>
      </c>
      <c r="Q21" s="270">
        <f>N80</f>
        <v>44.458700000000007</v>
      </c>
      <c r="R21" s="270">
        <f>0.5*(W50+W51)</f>
        <v>165.70235</v>
      </c>
      <c r="S21" s="270">
        <f>L21+M21+P21</f>
        <v>231.76469500000002</v>
      </c>
      <c r="T21" s="270">
        <f>SUM(Q21:S21)</f>
        <v>441.92574500000001</v>
      </c>
      <c r="U21" s="270">
        <f>T21/(K21+J21)</f>
        <v>1.0773342588913295</v>
      </c>
      <c r="V21" s="49">
        <f t="shared" si="1"/>
        <v>7</v>
      </c>
      <c r="X21" s="219">
        <f>V51+U51+M21+M80</f>
        <v>57.485645000000005</v>
      </c>
      <c r="Y21" s="192">
        <v>0</v>
      </c>
      <c r="Z21" s="219">
        <f>X21/J21</f>
        <v>0.14013950409918993</v>
      </c>
      <c r="AA21" s="68">
        <v>0</v>
      </c>
    </row>
    <row r="22" spans="2:27" x14ac:dyDescent="0.3">
      <c r="E22" s="109">
        <v>6</v>
      </c>
      <c r="F22" s="94">
        <v>2.2999999999999998</v>
      </c>
      <c r="H22" s="90">
        <f t="shared" si="2"/>
        <v>6</v>
      </c>
      <c r="I22" s="105">
        <f>$C$28</f>
        <v>0.16</v>
      </c>
      <c r="J22" s="269">
        <v>410.20299999999997</v>
      </c>
      <c r="K22" s="270">
        <v>0</v>
      </c>
      <c r="L22" s="271">
        <f>I22*J22*$C$4+K22*I22*$C$4</f>
        <v>164.0812</v>
      </c>
      <c r="M22" s="270">
        <f>J22*($C$6*$C$20+$C$7*$C$21)</f>
        <v>47.173345000000005</v>
      </c>
      <c r="N22" s="270">
        <f t="shared" si="3"/>
        <v>82.040599999999998</v>
      </c>
      <c r="O22" s="270">
        <f t="shared" si="0"/>
        <v>0</v>
      </c>
      <c r="P22" s="270">
        <f t="shared" si="4"/>
        <v>20.510149999999999</v>
      </c>
      <c r="Q22" s="270">
        <f>N81</f>
        <v>44.458700000000007</v>
      </c>
      <c r="R22" s="270">
        <f>0.5*(W51+W52)</f>
        <v>165.70235</v>
      </c>
      <c r="S22" s="270">
        <f>L22+M22+P22</f>
        <v>231.76469500000002</v>
      </c>
      <c r="T22" s="270">
        <f>SUM(Q22:S22)</f>
        <v>441.92574500000001</v>
      </c>
      <c r="U22" s="270">
        <f>T22/(K22+J22)</f>
        <v>1.0773342588913295</v>
      </c>
      <c r="V22" s="49">
        <f t="shared" si="1"/>
        <v>6</v>
      </c>
      <c r="X22" s="219">
        <f>V52+U52+M22+M81</f>
        <v>57.485645000000005</v>
      </c>
      <c r="Y22" s="192">
        <v>0</v>
      </c>
      <c r="Z22" s="219">
        <f>X22/J22</f>
        <v>0.14013950409918993</v>
      </c>
      <c r="AA22" s="68">
        <v>0</v>
      </c>
    </row>
    <row r="23" spans="2:27" ht="15" thickBot="1" x14ac:dyDescent="0.35">
      <c r="E23" s="109">
        <v>5</v>
      </c>
      <c r="F23" s="94">
        <v>2.2999999999999998</v>
      </c>
      <c r="H23" s="90">
        <f t="shared" si="2"/>
        <v>5</v>
      </c>
      <c r="I23" s="105">
        <f>$C$28</f>
        <v>0.16</v>
      </c>
      <c r="J23" s="269">
        <v>410.20299999999997</v>
      </c>
      <c r="K23" s="270">
        <v>0</v>
      </c>
      <c r="L23" s="271">
        <f>I23*J23*$C$4+K23*I23*$C$4</f>
        <v>164.0812</v>
      </c>
      <c r="M23" s="270">
        <f>J23*($C$6*$C$20+$C$7*$C$21)</f>
        <v>47.173345000000005</v>
      </c>
      <c r="N23" s="270">
        <f t="shared" si="3"/>
        <v>82.040599999999998</v>
      </c>
      <c r="O23" s="270">
        <f t="shared" si="0"/>
        <v>0</v>
      </c>
      <c r="P23" s="270">
        <f t="shared" si="4"/>
        <v>20.510149999999999</v>
      </c>
      <c r="Q23" s="270">
        <f>N82</f>
        <v>44.458700000000007</v>
      </c>
      <c r="R23" s="270">
        <f>0.5*(W52+W53)</f>
        <v>165.70235</v>
      </c>
      <c r="S23" s="270">
        <f>L23+M23+P23</f>
        <v>231.76469500000002</v>
      </c>
      <c r="T23" s="270">
        <f>SUM(Q23:S23)</f>
        <v>441.92574500000001</v>
      </c>
      <c r="U23" s="270">
        <f>T23/(K23+J23)</f>
        <v>1.0773342588913295</v>
      </c>
      <c r="V23" s="49">
        <f t="shared" si="1"/>
        <v>5</v>
      </c>
      <c r="X23" s="219">
        <f>V53+U53+M23+M82</f>
        <v>57.485645000000005</v>
      </c>
      <c r="Y23" s="192">
        <v>0</v>
      </c>
      <c r="Z23" s="219">
        <f>X23/J23</f>
        <v>0.14013950409918993</v>
      </c>
      <c r="AA23" s="68">
        <v>0</v>
      </c>
    </row>
    <row r="24" spans="2:27" ht="15" thickBot="1" x14ac:dyDescent="0.35">
      <c r="B24" s="48" t="s">
        <v>46</v>
      </c>
      <c r="C24" s="120" t="s">
        <v>39</v>
      </c>
      <c r="E24" s="109">
        <v>4</v>
      </c>
      <c r="F24" s="94">
        <v>2.2999999999999998</v>
      </c>
      <c r="H24" s="90">
        <f t="shared" si="2"/>
        <v>4</v>
      </c>
      <c r="I24" s="105">
        <f>$C$28</f>
        <v>0.16</v>
      </c>
      <c r="J24" s="269">
        <v>410.20299999999997</v>
      </c>
      <c r="K24" s="270">
        <v>0</v>
      </c>
      <c r="L24" s="271">
        <f>I24*J24*$C$4+K24*I24*$C$4</f>
        <v>164.0812</v>
      </c>
      <c r="M24" s="270">
        <f>J24*($C$6*$C$20+$C$7*$C$21)</f>
        <v>47.173345000000005</v>
      </c>
      <c r="N24" s="270">
        <f t="shared" si="3"/>
        <v>82.040599999999998</v>
      </c>
      <c r="O24" s="270">
        <f t="shared" si="0"/>
        <v>0</v>
      </c>
      <c r="P24" s="270">
        <f t="shared" si="4"/>
        <v>20.510149999999999</v>
      </c>
      <c r="Q24" s="270">
        <f>N83</f>
        <v>44.458700000000007</v>
      </c>
      <c r="R24" s="270">
        <f>0.5*(W53+W54)</f>
        <v>165.70235</v>
      </c>
      <c r="S24" s="270">
        <f>L24+M24+P24</f>
        <v>231.76469500000002</v>
      </c>
      <c r="T24" s="270">
        <f>SUM(Q24:S24)</f>
        <v>441.92574500000001</v>
      </c>
      <c r="U24" s="270">
        <f>T24/(K24+J24)</f>
        <v>1.0773342588913295</v>
      </c>
      <c r="V24" s="49">
        <f t="shared" si="1"/>
        <v>4</v>
      </c>
      <c r="X24" s="219">
        <f>V54+U54+M24+M83</f>
        <v>57.485645000000005</v>
      </c>
      <c r="Y24" s="192">
        <v>0</v>
      </c>
      <c r="Z24" s="219">
        <f>X24/J24</f>
        <v>0.14013950409918993</v>
      </c>
      <c r="AA24" s="68">
        <v>0</v>
      </c>
    </row>
    <row r="25" spans="2:27" x14ac:dyDescent="0.3">
      <c r="B25" s="65" t="s">
        <v>40</v>
      </c>
      <c r="C25" s="66">
        <f>17/100</f>
        <v>0.17</v>
      </c>
      <c r="E25" s="109">
        <v>3</v>
      </c>
      <c r="F25" s="94">
        <v>2.2999999999999998</v>
      </c>
      <c r="H25" s="90">
        <f t="shared" si="2"/>
        <v>3</v>
      </c>
      <c r="I25" s="105">
        <f>$C$28</f>
        <v>0.16</v>
      </c>
      <c r="J25" s="269">
        <v>410.20299999999997</v>
      </c>
      <c r="K25" s="270">
        <v>0</v>
      </c>
      <c r="L25" s="271">
        <f>I25*J25*$C$4+K25*I25*$C$4</f>
        <v>164.0812</v>
      </c>
      <c r="M25" s="270">
        <f>J25*($C$6*$C$20+$C$7*$C$21)</f>
        <v>47.173345000000005</v>
      </c>
      <c r="N25" s="270">
        <f t="shared" si="3"/>
        <v>82.040599999999998</v>
      </c>
      <c r="O25" s="270">
        <f t="shared" si="0"/>
        <v>0</v>
      </c>
      <c r="P25" s="270">
        <f t="shared" si="4"/>
        <v>20.510149999999999</v>
      </c>
      <c r="Q25" s="270">
        <f>N84</f>
        <v>44.458700000000007</v>
      </c>
      <c r="R25" s="270">
        <f>0.5*(W54+W55)</f>
        <v>168.46715</v>
      </c>
      <c r="S25" s="270">
        <f>L25+M25+P25</f>
        <v>231.76469500000002</v>
      </c>
      <c r="T25" s="270">
        <f>SUM(Q25:S25)</f>
        <v>444.69054500000004</v>
      </c>
      <c r="U25" s="270">
        <f>T25/(K25+J25)</f>
        <v>1.0840743363651657</v>
      </c>
      <c r="V25" s="49">
        <f t="shared" si="1"/>
        <v>3</v>
      </c>
      <c r="X25" s="219">
        <f>V55+U55+M25+M84</f>
        <v>57.495245000000004</v>
      </c>
      <c r="Y25" s="192">
        <v>0</v>
      </c>
      <c r="Z25" s="219">
        <f>X25/J25</f>
        <v>0.1401629071459741</v>
      </c>
      <c r="AA25" s="68">
        <v>0</v>
      </c>
    </row>
    <row r="26" spans="2:27" x14ac:dyDescent="0.3">
      <c r="B26" s="67" t="s">
        <v>41</v>
      </c>
      <c r="C26" s="68">
        <v>0.16</v>
      </c>
      <c r="E26" s="109">
        <v>2</v>
      </c>
      <c r="F26" s="94">
        <v>2.2999999999999998</v>
      </c>
      <c r="H26" s="259">
        <f t="shared" si="2"/>
        <v>2</v>
      </c>
      <c r="I26" s="260">
        <f>C27</f>
        <v>0.16</v>
      </c>
      <c r="J26" s="273">
        <v>410.702</v>
      </c>
      <c r="K26" s="268">
        <v>0</v>
      </c>
      <c r="L26" s="274">
        <f>I26*J26*$C$4+K26*I26*$C$4</f>
        <v>164.2808</v>
      </c>
      <c r="M26" s="268">
        <f>J26*($C$6*$C$20+$C$7*$C$21)</f>
        <v>47.230730000000008</v>
      </c>
      <c r="N26" s="268">
        <f t="shared" si="3"/>
        <v>82.1404</v>
      </c>
      <c r="O26" s="268">
        <f t="shared" si="0"/>
        <v>0</v>
      </c>
      <c r="P26" s="268">
        <f t="shared" si="4"/>
        <v>20.5351</v>
      </c>
      <c r="Q26" s="268">
        <f>N85</f>
        <v>43.80830000000001</v>
      </c>
      <c r="R26" s="268">
        <f>0.5*(W55+W56)</f>
        <v>177.30226249999998</v>
      </c>
      <c r="S26" s="268">
        <f>L26+M26+P26</f>
        <v>232.04662999999999</v>
      </c>
      <c r="T26" s="268">
        <f>SUM(Q26:S26)</f>
        <v>453.15719249999995</v>
      </c>
      <c r="U26" s="268">
        <f>T26/(K26+J26)</f>
        <v>1.10337225652663</v>
      </c>
      <c r="V26" s="49">
        <f t="shared" si="1"/>
        <v>2</v>
      </c>
      <c r="X26" s="219">
        <f>V56+U56+M26+M85</f>
        <v>57.010480000000008</v>
      </c>
      <c r="Y26" s="192">
        <v>0</v>
      </c>
      <c r="Z26" s="219">
        <f>X26/J26</f>
        <v>0.13881227751508396</v>
      </c>
      <c r="AA26" s="68">
        <v>0</v>
      </c>
    </row>
    <row r="27" spans="2:27" ht="15" thickBot="1" x14ac:dyDescent="0.35">
      <c r="B27" s="67" t="s">
        <v>42</v>
      </c>
      <c r="C27" s="68">
        <v>0.16</v>
      </c>
      <c r="E27" s="110">
        <v>1</v>
      </c>
      <c r="F27" s="95">
        <v>2.2999999999999998</v>
      </c>
      <c r="H27" s="259">
        <f t="shared" si="2"/>
        <v>1</v>
      </c>
      <c r="I27" s="260">
        <f>C26</f>
        <v>0.16</v>
      </c>
      <c r="J27" s="273">
        <v>177.54900000000001</v>
      </c>
      <c r="K27" s="268">
        <v>255.92599999999999</v>
      </c>
      <c r="L27" s="274">
        <f>I27*J27*$C$4+K27*I27*$C$4</f>
        <v>173.39</v>
      </c>
      <c r="M27" s="268">
        <f>J27*($C$6*$C$20+$C$7*$C$21)</f>
        <v>20.418135000000003</v>
      </c>
      <c r="N27" s="268">
        <f t="shared" si="3"/>
        <v>35.509800000000006</v>
      </c>
      <c r="O27" s="268">
        <f t="shared" si="0"/>
        <v>127.96299999999999</v>
      </c>
      <c r="P27" s="268">
        <f t="shared" si="4"/>
        <v>40.868200000000002</v>
      </c>
      <c r="Q27" s="268">
        <f>N86</f>
        <v>43.273891250000005</v>
      </c>
      <c r="R27" s="268">
        <f>0.5*(W56+W57)</f>
        <v>190.51264999999995</v>
      </c>
      <c r="S27" s="268">
        <f>L27+M27+P27</f>
        <v>234.67633499999999</v>
      </c>
      <c r="T27" s="268">
        <f>SUM(Q27:S27)</f>
        <v>468.46287624999997</v>
      </c>
      <c r="U27" s="268">
        <f>T27/(K27+J27)</f>
        <v>1.0807148653324874</v>
      </c>
      <c r="V27" s="49">
        <f t="shared" si="1"/>
        <v>1</v>
      </c>
      <c r="X27" s="219">
        <f>V57+U57+M27+M86</f>
        <v>25.459970000000006</v>
      </c>
      <c r="Y27" s="192">
        <v>0</v>
      </c>
      <c r="Z27" s="219">
        <f>X27/J27</f>
        <v>0.14339686509076371</v>
      </c>
      <c r="AA27" s="68">
        <f>Y27/K27</f>
        <v>0</v>
      </c>
    </row>
    <row r="28" spans="2:27" ht="15" thickBot="1" x14ac:dyDescent="0.35">
      <c r="B28" s="67" t="s">
        <v>43</v>
      </c>
      <c r="C28" s="68">
        <v>0.16</v>
      </c>
      <c r="E28" s="194">
        <v>-1</v>
      </c>
      <c r="F28" s="201">
        <v>2.2999999999999998</v>
      </c>
      <c r="H28" s="261">
        <f t="shared" si="2"/>
        <v>-1</v>
      </c>
      <c r="I28" s="262">
        <f>C25</f>
        <v>0.17</v>
      </c>
      <c r="J28" s="275">
        <v>205.286</v>
      </c>
      <c r="K28" s="276">
        <v>514.17600000000004</v>
      </c>
      <c r="L28" s="277">
        <f>I28*J28*$C$4+K28*I28*$C$4</f>
        <v>305.77135000000004</v>
      </c>
      <c r="M28" s="276">
        <f>J28*($C$6*$C$20+$C$7*$C$21)</f>
        <v>23.607890000000005</v>
      </c>
      <c r="N28" s="276">
        <f t="shared" si="3"/>
        <v>41.057200000000002</v>
      </c>
      <c r="O28" s="276">
        <f>K28*$C$14</f>
        <v>257.08800000000002</v>
      </c>
      <c r="P28" s="276">
        <f t="shared" si="4"/>
        <v>74.536300000000011</v>
      </c>
      <c r="Q28" s="276">
        <f>N87</f>
        <v>51.409775000000003</v>
      </c>
      <c r="R28" s="276">
        <f>0.5*(W57+W58)</f>
        <v>208.98676249999994</v>
      </c>
      <c r="S28" s="276">
        <f>L28+M28+P28</f>
        <v>403.91554000000008</v>
      </c>
      <c r="T28" s="276">
        <f>SUM(Q28:S28)</f>
        <v>664.31207749999999</v>
      </c>
      <c r="U28" s="276">
        <f>T28/(K28+J28)</f>
        <v>0.92334560755119799</v>
      </c>
      <c r="V28" s="49">
        <f>H28</f>
        <v>-1</v>
      </c>
      <c r="X28" s="220">
        <f>V58+U58+M28+M87</f>
        <v>27.089965000000007</v>
      </c>
      <c r="Y28" s="195">
        <v>0</v>
      </c>
      <c r="Z28" s="220">
        <f>X28/J28</f>
        <v>0.13196206755453371</v>
      </c>
      <c r="AA28" s="70">
        <f>Y28/K28</f>
        <v>0</v>
      </c>
    </row>
    <row r="29" spans="2:27" ht="15" thickBot="1" x14ac:dyDescent="0.35">
      <c r="B29" s="69" t="s">
        <v>45</v>
      </c>
      <c r="C29" s="70">
        <v>0.16</v>
      </c>
      <c r="K29" s="49" t="s">
        <v>30</v>
      </c>
      <c r="L29" s="181">
        <f>SUM(L4:L28)</f>
        <v>4116.6265500000009</v>
      </c>
      <c r="M29" s="181">
        <f>SUM(M4:M28)</f>
        <v>1089.7972700000003</v>
      </c>
      <c r="N29" s="181">
        <f>SUM(N4:N28)</f>
        <v>1895.2996000000005</v>
      </c>
      <c r="O29" s="181">
        <f>SUM(O4:O28)</f>
        <v>385.05100000000004</v>
      </c>
      <c r="P29" s="181">
        <f>SUM(P4:P28)</f>
        <v>570.08765000000017</v>
      </c>
      <c r="Q29" s="181">
        <f>SUM(Q4:Q28)</f>
        <v>1143.5873662500003</v>
      </c>
      <c r="R29" s="181">
        <f>SUM(R4:R28)</f>
        <v>3730.4004500000001</v>
      </c>
      <c r="S29" s="180">
        <f>SUM(S4:S28)</f>
        <v>5776.5114699999986</v>
      </c>
      <c r="T29" s="180">
        <f>SUM(T4:T28)</f>
        <v>10650.499286250006</v>
      </c>
    </row>
    <row r="30" spans="2:27" x14ac:dyDescent="0.3">
      <c r="N30" s="73"/>
    </row>
    <row r="31" spans="2:27" ht="15" thickBot="1" x14ac:dyDescent="0.35">
      <c r="H31" s="48" t="s">
        <v>58</v>
      </c>
      <c r="N31" s="73"/>
    </row>
    <row r="32" spans="2:27" ht="14.4" customHeight="1" x14ac:dyDescent="0.3">
      <c r="H32" s="235" t="s">
        <v>33</v>
      </c>
      <c r="I32" s="232" t="s">
        <v>57</v>
      </c>
      <c r="J32" s="233"/>
      <c r="K32" s="233"/>
      <c r="L32" s="234"/>
      <c r="M32" s="245" t="s">
        <v>56</v>
      </c>
      <c r="N32" s="246"/>
      <c r="O32" s="246"/>
      <c r="P32" s="247"/>
      <c r="Q32" s="241" t="s">
        <v>60</v>
      </c>
      <c r="R32" s="241" t="s">
        <v>70</v>
      </c>
      <c r="S32" s="241" t="s">
        <v>61</v>
      </c>
      <c r="T32" s="237" t="s">
        <v>59</v>
      </c>
      <c r="U32" s="239" t="s">
        <v>62</v>
      </c>
      <c r="V32" s="239" t="s">
        <v>69</v>
      </c>
      <c r="W32" s="243" t="s">
        <v>71</v>
      </c>
      <c r="X32" s="241" t="s">
        <v>117</v>
      </c>
    </row>
    <row r="33" spans="8:26" ht="15" thickBot="1" x14ac:dyDescent="0.35">
      <c r="H33" s="236"/>
      <c r="I33" s="100" t="s">
        <v>13</v>
      </c>
      <c r="J33" s="101" t="s">
        <v>14</v>
      </c>
      <c r="K33" s="101" t="s">
        <v>48</v>
      </c>
      <c r="L33" s="102" t="s">
        <v>49</v>
      </c>
      <c r="M33" s="100" t="s">
        <v>13</v>
      </c>
      <c r="N33" s="101" t="s">
        <v>14</v>
      </c>
      <c r="O33" s="101" t="s">
        <v>48</v>
      </c>
      <c r="P33" s="103" t="s">
        <v>49</v>
      </c>
      <c r="Q33" s="248"/>
      <c r="R33" s="248"/>
      <c r="S33" s="248"/>
      <c r="T33" s="238"/>
      <c r="U33" s="240"/>
      <c r="V33" s="240"/>
      <c r="W33" s="244"/>
      <c r="X33" s="242"/>
    </row>
    <row r="34" spans="8:26" x14ac:dyDescent="0.3">
      <c r="H34" s="96">
        <f>E4</f>
        <v>24</v>
      </c>
      <c r="I34" s="97">
        <f>I35</f>
        <v>0.2</v>
      </c>
      <c r="J34" s="83">
        <f>J35</f>
        <v>0.2</v>
      </c>
      <c r="K34" s="83">
        <f>'Distancias muros'!M4</f>
        <v>26.919999999999995</v>
      </c>
      <c r="L34" s="53">
        <f>'Distancias muros'!L4</f>
        <v>17.600000000000001</v>
      </c>
      <c r="M34" s="97">
        <v>0.2</v>
      </c>
      <c r="N34" s="83">
        <v>0.2</v>
      </c>
      <c r="O34" s="83">
        <f>'Distancias tabiques'!M4</f>
        <v>10.25</v>
      </c>
      <c r="P34" s="98">
        <f>'Distancias tabiques'!L4</f>
        <v>8.7000000000000028</v>
      </c>
      <c r="Q34" s="99">
        <f t="shared" ref="Q34:Q58" si="5">J34*L34+I34*K34</f>
        <v>8.9039999999999999</v>
      </c>
      <c r="R34" s="99">
        <f>2*(L34+2*$C$19+J34)*$C$19+2*(K34+2*$C$19+I34)*$C$19</f>
        <v>2.2509999999999999</v>
      </c>
      <c r="S34" s="99">
        <f t="shared" ref="S34:S58" si="6">M34*O34+N34*P34</f>
        <v>3.7900000000000009</v>
      </c>
      <c r="T34" s="113">
        <f t="shared" ref="T34:T58" si="7">Q34*F4*$C$4</f>
        <v>51.197999999999993</v>
      </c>
      <c r="U34" s="121">
        <f>S34*$C$11</f>
        <v>0.37900000000000011</v>
      </c>
      <c r="V34" s="121">
        <f>R34*$C$19*$C$5</f>
        <v>0.11255</v>
      </c>
      <c r="W34" s="182">
        <f>T34+U34+V34</f>
        <v>51.68954999999999</v>
      </c>
      <c r="X34" s="186">
        <f>T34+V34</f>
        <v>51.310549999999992</v>
      </c>
      <c r="Y34" s="49">
        <f t="shared" ref="Y34:Y57" si="8">H34</f>
        <v>24</v>
      </c>
      <c r="Z34" s="72"/>
    </row>
    <row r="35" spans="8:26" x14ac:dyDescent="0.3">
      <c r="H35" s="90">
        <f t="shared" ref="H35:H58" si="9">E5</f>
        <v>23</v>
      </c>
      <c r="I35" s="85">
        <f>'Verificación corte muros'!K4</f>
        <v>0.2</v>
      </c>
      <c r="J35" s="71">
        <f>'Verificación corte muros'!L4</f>
        <v>0.2</v>
      </c>
      <c r="K35" s="71">
        <f>'Distancias muros'!$C$4</f>
        <v>54.480000000000011</v>
      </c>
      <c r="L35" s="86">
        <f>'Distancias muros'!$B$4</f>
        <v>58.86</v>
      </c>
      <c r="M35" s="85">
        <v>0.2</v>
      </c>
      <c r="N35" s="71">
        <v>0.2</v>
      </c>
      <c r="O35" s="71">
        <f>'Distancias tabiques'!$C$4</f>
        <v>60.46</v>
      </c>
      <c r="P35" s="106">
        <f>'Distancias tabiques'!$B$4</f>
        <v>39.19</v>
      </c>
      <c r="Q35" s="117">
        <f t="shared" si="5"/>
        <v>22.668000000000003</v>
      </c>
      <c r="R35" s="117">
        <f>2*(L35+2*$C$19+J35)*$C$19+2*(K35+2*$C$19+I35)*$C$19</f>
        <v>5.6920000000000011</v>
      </c>
      <c r="S35" s="117">
        <f t="shared" si="6"/>
        <v>19.93</v>
      </c>
      <c r="T35" s="114">
        <f t="shared" si="7"/>
        <v>130.34100000000001</v>
      </c>
      <c r="U35" s="126">
        <f t="shared" ref="U35:U58" si="10">S35*$C$11</f>
        <v>1.9930000000000001</v>
      </c>
      <c r="V35" s="126">
        <f>R35*$C$19*$C$5</f>
        <v>0.28460000000000008</v>
      </c>
      <c r="W35" s="183">
        <f t="shared" ref="W35:W58" si="11">T35+U35+V35</f>
        <v>132.61860000000001</v>
      </c>
      <c r="X35" s="94">
        <f t="shared" ref="X35:X58" si="12">T35+V35</f>
        <v>130.62560000000002</v>
      </c>
      <c r="Y35" s="49">
        <f t="shared" si="8"/>
        <v>23</v>
      </c>
      <c r="Z35" s="72"/>
    </row>
    <row r="36" spans="8:26" x14ac:dyDescent="0.3">
      <c r="H36" s="90">
        <f t="shared" si="9"/>
        <v>22</v>
      </c>
      <c r="I36" s="85">
        <f>'Verificación corte muros'!K5</f>
        <v>0.2</v>
      </c>
      <c r="J36" s="71">
        <f>'Verificación corte muros'!L5</f>
        <v>0.2</v>
      </c>
      <c r="K36" s="71">
        <f>'Distancias muros'!$C$4</f>
        <v>54.480000000000011</v>
      </c>
      <c r="L36" s="86">
        <f>'Distancias muros'!$B$4</f>
        <v>58.86</v>
      </c>
      <c r="M36" s="85">
        <v>0.2</v>
      </c>
      <c r="N36" s="71">
        <v>0.2</v>
      </c>
      <c r="O36" s="71">
        <f>'Distancias tabiques'!$C$4</f>
        <v>60.46</v>
      </c>
      <c r="P36" s="106">
        <f>'Distancias tabiques'!$B$4</f>
        <v>39.19</v>
      </c>
      <c r="Q36" s="117">
        <f t="shared" si="5"/>
        <v>22.668000000000003</v>
      </c>
      <c r="R36" s="117">
        <f>2*(L36+2*$C$19+J36)*$C$19+2*(K36+2*$C$19+I36)*$C$19</f>
        <v>5.6920000000000011</v>
      </c>
      <c r="S36" s="117">
        <f t="shared" si="6"/>
        <v>19.93</v>
      </c>
      <c r="T36" s="114">
        <f t="shared" si="7"/>
        <v>130.34100000000001</v>
      </c>
      <c r="U36" s="126">
        <f t="shared" si="10"/>
        <v>1.9930000000000001</v>
      </c>
      <c r="V36" s="126">
        <f>R36*$C$19*$C$5</f>
        <v>0.28460000000000008</v>
      </c>
      <c r="W36" s="183">
        <f t="shared" si="11"/>
        <v>132.61860000000001</v>
      </c>
      <c r="X36" s="94">
        <f t="shared" si="12"/>
        <v>130.62560000000002</v>
      </c>
      <c r="Y36" s="49">
        <f t="shared" si="8"/>
        <v>22</v>
      </c>
      <c r="Z36" s="72"/>
    </row>
    <row r="37" spans="8:26" x14ac:dyDescent="0.3">
      <c r="H37" s="90">
        <f t="shared" si="9"/>
        <v>21</v>
      </c>
      <c r="I37" s="85">
        <f>'Verificación corte muros'!K6</f>
        <v>0.2</v>
      </c>
      <c r="J37" s="71">
        <f>'Verificación corte muros'!L6</f>
        <v>0.2</v>
      </c>
      <c r="K37" s="71">
        <f>'Distancias muros'!$C$4</f>
        <v>54.480000000000011</v>
      </c>
      <c r="L37" s="86">
        <f>'Distancias muros'!$B$4</f>
        <v>58.86</v>
      </c>
      <c r="M37" s="85">
        <v>0.2</v>
      </c>
      <c r="N37" s="71">
        <v>0.2</v>
      </c>
      <c r="O37" s="71">
        <f>'Distancias tabiques'!$C$4</f>
        <v>60.46</v>
      </c>
      <c r="P37" s="106">
        <f>'Distancias tabiques'!$B$4</f>
        <v>39.19</v>
      </c>
      <c r="Q37" s="117">
        <f t="shared" si="5"/>
        <v>22.668000000000003</v>
      </c>
      <c r="R37" s="117">
        <f>2*(L37+2*$C$19+J37)*$C$19+2*(K37+2*$C$19+I37)*$C$19</f>
        <v>5.6920000000000011</v>
      </c>
      <c r="S37" s="117">
        <f t="shared" si="6"/>
        <v>19.93</v>
      </c>
      <c r="T37" s="114">
        <f t="shared" si="7"/>
        <v>130.34100000000001</v>
      </c>
      <c r="U37" s="126">
        <f t="shared" si="10"/>
        <v>1.9930000000000001</v>
      </c>
      <c r="V37" s="126">
        <f>R37*$C$19*$C$5</f>
        <v>0.28460000000000008</v>
      </c>
      <c r="W37" s="183">
        <f t="shared" si="11"/>
        <v>132.61860000000001</v>
      </c>
      <c r="X37" s="94">
        <f t="shared" si="12"/>
        <v>130.62560000000002</v>
      </c>
      <c r="Y37" s="49">
        <f t="shared" si="8"/>
        <v>21</v>
      </c>
      <c r="Z37" s="72"/>
    </row>
    <row r="38" spans="8:26" x14ac:dyDescent="0.3">
      <c r="H38" s="90">
        <f t="shared" si="9"/>
        <v>20</v>
      </c>
      <c r="I38" s="85">
        <f>'Verificación corte muros'!K7</f>
        <v>0.2</v>
      </c>
      <c r="J38" s="71">
        <f>'Verificación corte muros'!L7</f>
        <v>0.2</v>
      </c>
      <c r="K38" s="71">
        <f>'Distancias muros'!$C$4</f>
        <v>54.480000000000011</v>
      </c>
      <c r="L38" s="86">
        <f>'Distancias muros'!$B$4</f>
        <v>58.86</v>
      </c>
      <c r="M38" s="85">
        <v>0.2</v>
      </c>
      <c r="N38" s="71">
        <v>0.2</v>
      </c>
      <c r="O38" s="71">
        <f>'Distancias tabiques'!$C$4</f>
        <v>60.46</v>
      </c>
      <c r="P38" s="106">
        <f>'Distancias tabiques'!$B$4</f>
        <v>39.19</v>
      </c>
      <c r="Q38" s="117">
        <f t="shared" si="5"/>
        <v>22.668000000000003</v>
      </c>
      <c r="R38" s="117">
        <f>2*(L38+2*$C$19+J38)*$C$19+2*(K38+2*$C$19+I38)*$C$19</f>
        <v>5.6920000000000011</v>
      </c>
      <c r="S38" s="117">
        <f t="shared" si="6"/>
        <v>19.93</v>
      </c>
      <c r="T38" s="114">
        <f t="shared" si="7"/>
        <v>130.34100000000001</v>
      </c>
      <c r="U38" s="126">
        <f t="shared" si="10"/>
        <v>1.9930000000000001</v>
      </c>
      <c r="V38" s="126">
        <f>R38*$C$19*$C$5</f>
        <v>0.28460000000000008</v>
      </c>
      <c r="W38" s="183">
        <f t="shared" si="11"/>
        <v>132.61860000000001</v>
      </c>
      <c r="X38" s="94">
        <f t="shared" si="12"/>
        <v>130.62560000000002</v>
      </c>
      <c r="Y38" s="49">
        <f t="shared" si="8"/>
        <v>20</v>
      </c>
      <c r="Z38" s="72"/>
    </row>
    <row r="39" spans="8:26" x14ac:dyDescent="0.3">
      <c r="H39" s="90">
        <f t="shared" si="9"/>
        <v>19</v>
      </c>
      <c r="I39" s="85">
        <f>'Verificación corte muros'!K8</f>
        <v>0.2</v>
      </c>
      <c r="J39" s="71">
        <f>'Verificación corte muros'!L8</f>
        <v>0.2</v>
      </c>
      <c r="K39" s="71">
        <f>'Distancias muros'!$C$4</f>
        <v>54.480000000000011</v>
      </c>
      <c r="L39" s="86">
        <f>'Distancias muros'!$B$4</f>
        <v>58.86</v>
      </c>
      <c r="M39" s="85">
        <v>0.2</v>
      </c>
      <c r="N39" s="71">
        <v>0.2</v>
      </c>
      <c r="O39" s="71">
        <f>'Distancias tabiques'!$C$4</f>
        <v>60.46</v>
      </c>
      <c r="P39" s="106">
        <f>'Distancias tabiques'!$B$4</f>
        <v>39.19</v>
      </c>
      <c r="Q39" s="117">
        <f t="shared" si="5"/>
        <v>22.668000000000003</v>
      </c>
      <c r="R39" s="117">
        <f>2*(L39+2*$C$19+J39)*$C$19+2*(K39+2*$C$19+I39)*$C$19</f>
        <v>5.6920000000000011</v>
      </c>
      <c r="S39" s="117">
        <f t="shared" si="6"/>
        <v>19.93</v>
      </c>
      <c r="T39" s="114">
        <f t="shared" si="7"/>
        <v>130.34100000000001</v>
      </c>
      <c r="U39" s="126">
        <f>S39*$C$11</f>
        <v>1.9930000000000001</v>
      </c>
      <c r="V39" s="126">
        <f>R39*$C$19*$C$5</f>
        <v>0.28460000000000008</v>
      </c>
      <c r="W39" s="183">
        <f t="shared" si="11"/>
        <v>132.61860000000001</v>
      </c>
      <c r="X39" s="94">
        <f t="shared" si="12"/>
        <v>130.62560000000002</v>
      </c>
      <c r="Y39" s="49">
        <f t="shared" si="8"/>
        <v>19</v>
      </c>
      <c r="Z39" s="72"/>
    </row>
    <row r="40" spans="8:26" x14ac:dyDescent="0.3">
      <c r="H40" s="90">
        <f t="shared" si="9"/>
        <v>18</v>
      </c>
      <c r="I40" s="85">
        <f>'Verificación corte muros'!K9</f>
        <v>0.2</v>
      </c>
      <c r="J40" s="71">
        <f>'Verificación corte muros'!L9</f>
        <v>0.2</v>
      </c>
      <c r="K40" s="71">
        <f>'Distancias muros'!$C$4</f>
        <v>54.480000000000011</v>
      </c>
      <c r="L40" s="86">
        <f>'Distancias muros'!$B$4</f>
        <v>58.86</v>
      </c>
      <c r="M40" s="85">
        <v>0.2</v>
      </c>
      <c r="N40" s="71">
        <v>0.2</v>
      </c>
      <c r="O40" s="71">
        <f>'Distancias tabiques'!$C$4</f>
        <v>60.46</v>
      </c>
      <c r="P40" s="106">
        <f>'Distancias tabiques'!$B$4</f>
        <v>39.19</v>
      </c>
      <c r="Q40" s="117">
        <f t="shared" si="5"/>
        <v>22.668000000000003</v>
      </c>
      <c r="R40" s="117">
        <f>2*(L40+2*$C$19+J40)*$C$19+2*(K40+2*$C$19+I40)*$C$19</f>
        <v>5.6920000000000011</v>
      </c>
      <c r="S40" s="117">
        <f t="shared" si="6"/>
        <v>19.93</v>
      </c>
      <c r="T40" s="114">
        <f t="shared" si="7"/>
        <v>130.34100000000001</v>
      </c>
      <c r="U40" s="126">
        <f t="shared" si="10"/>
        <v>1.9930000000000001</v>
      </c>
      <c r="V40" s="126">
        <f>R40*$C$19*$C$5</f>
        <v>0.28460000000000008</v>
      </c>
      <c r="W40" s="183">
        <f t="shared" si="11"/>
        <v>132.61860000000001</v>
      </c>
      <c r="X40" s="94">
        <f t="shared" si="12"/>
        <v>130.62560000000002</v>
      </c>
      <c r="Y40" s="49">
        <f t="shared" si="8"/>
        <v>18</v>
      </c>
      <c r="Z40" s="72"/>
    </row>
    <row r="41" spans="8:26" x14ac:dyDescent="0.3">
      <c r="H41" s="90">
        <f t="shared" si="9"/>
        <v>17</v>
      </c>
      <c r="I41" s="85">
        <f>'Verificación corte muros'!K10</f>
        <v>0.2</v>
      </c>
      <c r="J41" s="71">
        <f>'Verificación corte muros'!L10</f>
        <v>0.2</v>
      </c>
      <c r="K41" s="71">
        <f>'Distancias muros'!$C$4</f>
        <v>54.480000000000011</v>
      </c>
      <c r="L41" s="86">
        <f>'Distancias muros'!$B$4</f>
        <v>58.86</v>
      </c>
      <c r="M41" s="85">
        <v>0.2</v>
      </c>
      <c r="N41" s="71">
        <v>0.2</v>
      </c>
      <c r="O41" s="71">
        <f>'Distancias tabiques'!$C$4</f>
        <v>60.46</v>
      </c>
      <c r="P41" s="106">
        <f>'Distancias tabiques'!$B$4</f>
        <v>39.19</v>
      </c>
      <c r="Q41" s="117">
        <f t="shared" si="5"/>
        <v>22.668000000000003</v>
      </c>
      <c r="R41" s="117">
        <f>2*(L41+2*$C$19+J41)*$C$19+2*(K41+2*$C$19+I41)*$C$19</f>
        <v>5.6920000000000011</v>
      </c>
      <c r="S41" s="117">
        <f t="shared" si="6"/>
        <v>19.93</v>
      </c>
      <c r="T41" s="114">
        <f t="shared" si="7"/>
        <v>130.34100000000001</v>
      </c>
      <c r="U41" s="126">
        <f t="shared" si="10"/>
        <v>1.9930000000000001</v>
      </c>
      <c r="V41" s="126">
        <f>R41*$C$19*$C$5</f>
        <v>0.28460000000000008</v>
      </c>
      <c r="W41" s="183">
        <f t="shared" si="11"/>
        <v>132.61860000000001</v>
      </c>
      <c r="X41" s="94">
        <f t="shared" si="12"/>
        <v>130.62560000000002</v>
      </c>
      <c r="Y41" s="49">
        <f t="shared" si="8"/>
        <v>17</v>
      </c>
      <c r="Z41" s="72"/>
    </row>
    <row r="42" spans="8:26" x14ac:dyDescent="0.3">
      <c r="H42" s="90">
        <f t="shared" si="9"/>
        <v>16</v>
      </c>
      <c r="I42" s="85">
        <f>'Verificación corte muros'!K11</f>
        <v>0.2</v>
      </c>
      <c r="J42" s="71">
        <f>'Verificación corte muros'!L11</f>
        <v>0.2</v>
      </c>
      <c r="K42" s="71">
        <f>'Distancias muros'!$C$4</f>
        <v>54.480000000000011</v>
      </c>
      <c r="L42" s="86">
        <f>'Distancias muros'!$B$4</f>
        <v>58.86</v>
      </c>
      <c r="M42" s="85">
        <v>0.2</v>
      </c>
      <c r="N42" s="71">
        <v>0.2</v>
      </c>
      <c r="O42" s="71">
        <f>'Distancias tabiques'!$C$4</f>
        <v>60.46</v>
      </c>
      <c r="P42" s="106">
        <f>'Distancias tabiques'!$B$4</f>
        <v>39.19</v>
      </c>
      <c r="Q42" s="117">
        <f t="shared" si="5"/>
        <v>22.668000000000003</v>
      </c>
      <c r="R42" s="117">
        <f>2*(L42+2*$C$19+J42)*$C$19+2*(K42+2*$C$19+I42)*$C$19</f>
        <v>5.6920000000000011</v>
      </c>
      <c r="S42" s="117">
        <f t="shared" si="6"/>
        <v>19.93</v>
      </c>
      <c r="T42" s="114">
        <f t="shared" si="7"/>
        <v>130.34100000000001</v>
      </c>
      <c r="U42" s="126">
        <f t="shared" si="10"/>
        <v>1.9930000000000001</v>
      </c>
      <c r="V42" s="126">
        <f>R42*$C$19*$C$5</f>
        <v>0.28460000000000008</v>
      </c>
      <c r="W42" s="183">
        <f t="shared" si="11"/>
        <v>132.61860000000001</v>
      </c>
      <c r="X42" s="94">
        <f t="shared" si="12"/>
        <v>130.62560000000002</v>
      </c>
      <c r="Y42" s="49">
        <f t="shared" si="8"/>
        <v>16</v>
      </c>
      <c r="Z42" s="72"/>
    </row>
    <row r="43" spans="8:26" x14ac:dyDescent="0.3">
      <c r="H43" s="90">
        <f t="shared" si="9"/>
        <v>15</v>
      </c>
      <c r="I43" s="85">
        <f>'Verificación corte muros'!K12</f>
        <v>0.2</v>
      </c>
      <c r="J43" s="71">
        <f>'Verificación corte muros'!L12</f>
        <v>0.2</v>
      </c>
      <c r="K43" s="71">
        <f>'Distancias muros'!$C$4</f>
        <v>54.480000000000011</v>
      </c>
      <c r="L43" s="86">
        <f>'Distancias muros'!$B$4</f>
        <v>58.86</v>
      </c>
      <c r="M43" s="85">
        <v>0.2</v>
      </c>
      <c r="N43" s="71">
        <v>0.2</v>
      </c>
      <c r="O43" s="71">
        <f>'Distancias tabiques'!$C$4</f>
        <v>60.46</v>
      </c>
      <c r="P43" s="106">
        <f>'Distancias tabiques'!$B$4</f>
        <v>39.19</v>
      </c>
      <c r="Q43" s="117">
        <f t="shared" si="5"/>
        <v>22.668000000000003</v>
      </c>
      <c r="R43" s="117">
        <f>2*(L43+2*$C$19+J43)*$C$19+2*(K43+2*$C$19+I43)*$C$19</f>
        <v>5.6920000000000011</v>
      </c>
      <c r="S43" s="117">
        <f t="shared" si="6"/>
        <v>19.93</v>
      </c>
      <c r="T43" s="114">
        <f t="shared" si="7"/>
        <v>130.34100000000001</v>
      </c>
      <c r="U43" s="126">
        <f t="shared" si="10"/>
        <v>1.9930000000000001</v>
      </c>
      <c r="V43" s="126">
        <f>R43*$C$19*$C$5</f>
        <v>0.28460000000000008</v>
      </c>
      <c r="W43" s="183">
        <f t="shared" si="11"/>
        <v>132.61860000000001</v>
      </c>
      <c r="X43" s="94">
        <f t="shared" si="12"/>
        <v>130.62560000000002</v>
      </c>
      <c r="Y43" s="49">
        <f t="shared" si="8"/>
        <v>15</v>
      </c>
      <c r="Z43" s="72"/>
    </row>
    <row r="44" spans="8:26" x14ac:dyDescent="0.3">
      <c r="H44" s="90">
        <f t="shared" si="9"/>
        <v>14</v>
      </c>
      <c r="I44" s="85">
        <f>'Verificación corte muros'!K13</f>
        <v>0.25</v>
      </c>
      <c r="J44" s="71">
        <f>'Verificación corte muros'!L13</f>
        <v>0.25</v>
      </c>
      <c r="K44" s="71">
        <f>'Distancias muros'!$C$4</f>
        <v>54.480000000000011</v>
      </c>
      <c r="L44" s="86">
        <f>'Distancias muros'!$B$4</f>
        <v>58.86</v>
      </c>
      <c r="M44" s="85">
        <v>0.25</v>
      </c>
      <c r="N44" s="71">
        <v>0.25</v>
      </c>
      <c r="O44" s="71">
        <f>'Distancias tabiques'!$C$4</f>
        <v>60.46</v>
      </c>
      <c r="P44" s="106">
        <f>'Distancias tabiques'!$B$4</f>
        <v>39.19</v>
      </c>
      <c r="Q44" s="117">
        <f t="shared" si="5"/>
        <v>28.335000000000001</v>
      </c>
      <c r="R44" s="117">
        <f>2*(L44+2*$C$19+J44)*$C$19+2*(K44+2*$C$19+I44)*$C$19</f>
        <v>5.697000000000001</v>
      </c>
      <c r="S44" s="117">
        <f t="shared" si="6"/>
        <v>24.912500000000001</v>
      </c>
      <c r="T44" s="114">
        <f t="shared" si="7"/>
        <v>162.92624999999998</v>
      </c>
      <c r="U44" s="126">
        <f t="shared" si="10"/>
        <v>2.4912500000000004</v>
      </c>
      <c r="V44" s="126">
        <f>R44*$C$19*$C$5</f>
        <v>0.28485000000000005</v>
      </c>
      <c r="W44" s="183">
        <f t="shared" si="11"/>
        <v>165.70235</v>
      </c>
      <c r="X44" s="94">
        <f t="shared" si="12"/>
        <v>163.21109999999999</v>
      </c>
      <c r="Y44" s="49">
        <f t="shared" si="8"/>
        <v>14</v>
      </c>
      <c r="Z44" s="72"/>
    </row>
    <row r="45" spans="8:26" x14ac:dyDescent="0.3">
      <c r="H45" s="90">
        <f t="shared" si="9"/>
        <v>13</v>
      </c>
      <c r="I45" s="85">
        <f>'Verificación corte muros'!K14</f>
        <v>0.25</v>
      </c>
      <c r="J45" s="71">
        <f>'Verificación corte muros'!L14</f>
        <v>0.25</v>
      </c>
      <c r="K45" s="71">
        <f>'Distancias muros'!$C$4</f>
        <v>54.480000000000011</v>
      </c>
      <c r="L45" s="86">
        <f>'Distancias muros'!$B$4</f>
        <v>58.86</v>
      </c>
      <c r="M45" s="85">
        <v>0.25</v>
      </c>
      <c r="N45" s="71">
        <v>0.25</v>
      </c>
      <c r="O45" s="71">
        <f>'Distancias tabiques'!$C$4</f>
        <v>60.46</v>
      </c>
      <c r="P45" s="106">
        <f>'Distancias tabiques'!$B$4</f>
        <v>39.19</v>
      </c>
      <c r="Q45" s="117">
        <f t="shared" si="5"/>
        <v>28.335000000000001</v>
      </c>
      <c r="R45" s="117">
        <f>2*(L45+2*$C$19+J45)*$C$19+2*(K45+2*$C$19+I45)*$C$19</f>
        <v>5.697000000000001</v>
      </c>
      <c r="S45" s="117">
        <f t="shared" si="6"/>
        <v>24.912500000000001</v>
      </c>
      <c r="T45" s="114">
        <f t="shared" si="7"/>
        <v>162.92624999999998</v>
      </c>
      <c r="U45" s="126">
        <f t="shared" si="10"/>
        <v>2.4912500000000004</v>
      </c>
      <c r="V45" s="126">
        <f>R45*$C$19*$C$5</f>
        <v>0.28485000000000005</v>
      </c>
      <c r="W45" s="183">
        <f t="shared" si="11"/>
        <v>165.70235</v>
      </c>
      <c r="X45" s="94">
        <f t="shared" si="12"/>
        <v>163.21109999999999</v>
      </c>
      <c r="Y45" s="49">
        <f t="shared" si="8"/>
        <v>13</v>
      </c>
      <c r="Z45" s="72"/>
    </row>
    <row r="46" spans="8:26" x14ac:dyDescent="0.3">
      <c r="H46" s="90">
        <f t="shared" si="9"/>
        <v>12</v>
      </c>
      <c r="I46" s="85">
        <f>'Verificación corte muros'!K15</f>
        <v>0.25</v>
      </c>
      <c r="J46" s="71">
        <f>'Verificación corte muros'!L15</f>
        <v>0.25</v>
      </c>
      <c r="K46" s="71">
        <f>'Distancias muros'!$C$4</f>
        <v>54.480000000000011</v>
      </c>
      <c r="L46" s="86">
        <f>'Distancias muros'!$B$4</f>
        <v>58.86</v>
      </c>
      <c r="M46" s="85">
        <v>0.25</v>
      </c>
      <c r="N46" s="71">
        <v>0.25</v>
      </c>
      <c r="O46" s="71">
        <f>'Distancias tabiques'!$C$4</f>
        <v>60.46</v>
      </c>
      <c r="P46" s="106">
        <f>'Distancias tabiques'!$B$4</f>
        <v>39.19</v>
      </c>
      <c r="Q46" s="117">
        <f t="shared" si="5"/>
        <v>28.335000000000001</v>
      </c>
      <c r="R46" s="117">
        <f>2*(L46+2*$C$19+J46)*$C$19+2*(K46+2*$C$19+I46)*$C$19</f>
        <v>5.697000000000001</v>
      </c>
      <c r="S46" s="117">
        <f t="shared" si="6"/>
        <v>24.912500000000001</v>
      </c>
      <c r="T46" s="114">
        <f t="shared" si="7"/>
        <v>162.92624999999998</v>
      </c>
      <c r="U46" s="126">
        <f t="shared" si="10"/>
        <v>2.4912500000000004</v>
      </c>
      <c r="V46" s="126">
        <f>R46*$C$19*$C$5</f>
        <v>0.28485000000000005</v>
      </c>
      <c r="W46" s="183">
        <f t="shared" si="11"/>
        <v>165.70235</v>
      </c>
      <c r="X46" s="94">
        <f t="shared" si="12"/>
        <v>163.21109999999999</v>
      </c>
      <c r="Y46" s="49">
        <f t="shared" si="8"/>
        <v>12</v>
      </c>
      <c r="Z46" s="72"/>
    </row>
    <row r="47" spans="8:26" x14ac:dyDescent="0.3">
      <c r="H47" s="90">
        <f t="shared" si="9"/>
        <v>11</v>
      </c>
      <c r="I47" s="85">
        <f>'Verificación corte muros'!K16</f>
        <v>0.25</v>
      </c>
      <c r="J47" s="71">
        <f>'Verificación corte muros'!L16</f>
        <v>0.25</v>
      </c>
      <c r="K47" s="71">
        <f>'Distancias muros'!$C$4</f>
        <v>54.480000000000011</v>
      </c>
      <c r="L47" s="86">
        <f>'Distancias muros'!$B$4</f>
        <v>58.86</v>
      </c>
      <c r="M47" s="85">
        <v>0.25</v>
      </c>
      <c r="N47" s="71">
        <v>0.25</v>
      </c>
      <c r="O47" s="71">
        <f>'Distancias tabiques'!$C$4</f>
        <v>60.46</v>
      </c>
      <c r="P47" s="106">
        <f>'Distancias tabiques'!$B$4</f>
        <v>39.19</v>
      </c>
      <c r="Q47" s="117">
        <f t="shared" si="5"/>
        <v>28.335000000000001</v>
      </c>
      <c r="R47" s="117">
        <f>2*(L47+2*$C$19+J47)*$C$19+2*(K47+2*$C$19+I47)*$C$19</f>
        <v>5.697000000000001</v>
      </c>
      <c r="S47" s="117">
        <f t="shared" si="6"/>
        <v>24.912500000000001</v>
      </c>
      <c r="T47" s="114">
        <f t="shared" si="7"/>
        <v>162.92624999999998</v>
      </c>
      <c r="U47" s="126">
        <f t="shared" si="10"/>
        <v>2.4912500000000004</v>
      </c>
      <c r="V47" s="126">
        <f>R47*$C$19*$C$5</f>
        <v>0.28485000000000005</v>
      </c>
      <c r="W47" s="183">
        <f t="shared" si="11"/>
        <v>165.70235</v>
      </c>
      <c r="X47" s="94">
        <f t="shared" si="12"/>
        <v>163.21109999999999</v>
      </c>
      <c r="Y47" s="49">
        <f t="shared" si="8"/>
        <v>11</v>
      </c>
      <c r="Z47" s="218"/>
    </row>
    <row r="48" spans="8:26" x14ac:dyDescent="0.3">
      <c r="H48" s="90">
        <f t="shared" si="9"/>
        <v>10</v>
      </c>
      <c r="I48" s="85">
        <f>'Verificación corte muros'!K17</f>
        <v>0.25</v>
      </c>
      <c r="J48" s="71">
        <f>'Verificación corte muros'!L17</f>
        <v>0.25</v>
      </c>
      <c r="K48" s="71">
        <f>'Distancias muros'!$C$4</f>
        <v>54.480000000000011</v>
      </c>
      <c r="L48" s="86">
        <f>'Distancias muros'!$B$4</f>
        <v>58.86</v>
      </c>
      <c r="M48" s="85">
        <v>0.25</v>
      </c>
      <c r="N48" s="71">
        <v>0.25</v>
      </c>
      <c r="O48" s="71">
        <f>'Distancias tabiques'!$C$4</f>
        <v>60.46</v>
      </c>
      <c r="P48" s="106">
        <f>'Distancias tabiques'!$B$4</f>
        <v>39.19</v>
      </c>
      <c r="Q48" s="117">
        <f t="shared" si="5"/>
        <v>28.335000000000001</v>
      </c>
      <c r="R48" s="117">
        <f>2*(L48+2*$C$19+J48)*$C$19+2*(K48+2*$C$19+I48)*$C$19</f>
        <v>5.697000000000001</v>
      </c>
      <c r="S48" s="117">
        <f t="shared" si="6"/>
        <v>24.912500000000001</v>
      </c>
      <c r="T48" s="114">
        <f t="shared" si="7"/>
        <v>162.92624999999998</v>
      </c>
      <c r="U48" s="126">
        <f t="shared" si="10"/>
        <v>2.4912500000000004</v>
      </c>
      <c r="V48" s="126">
        <f>R48*$C$19*$C$5</f>
        <v>0.28485000000000005</v>
      </c>
      <c r="W48" s="183">
        <f t="shared" si="11"/>
        <v>165.70235</v>
      </c>
      <c r="X48" s="94">
        <f t="shared" si="12"/>
        <v>163.21109999999999</v>
      </c>
      <c r="Y48" s="49">
        <f t="shared" si="8"/>
        <v>10</v>
      </c>
      <c r="Z48" s="218"/>
    </row>
    <row r="49" spans="8:26" x14ac:dyDescent="0.3">
      <c r="H49" s="90">
        <f t="shared" si="9"/>
        <v>9</v>
      </c>
      <c r="I49" s="85">
        <f>'Verificación corte muros'!K18</f>
        <v>0.25</v>
      </c>
      <c r="J49" s="71">
        <f>'Verificación corte muros'!L18</f>
        <v>0.25</v>
      </c>
      <c r="K49" s="71">
        <f>'Distancias muros'!$C$4</f>
        <v>54.480000000000011</v>
      </c>
      <c r="L49" s="86">
        <f>'Distancias muros'!$B$4</f>
        <v>58.86</v>
      </c>
      <c r="M49" s="85">
        <v>0.25</v>
      </c>
      <c r="N49" s="71">
        <v>0.25</v>
      </c>
      <c r="O49" s="71">
        <f>'Distancias tabiques'!$C$4</f>
        <v>60.46</v>
      </c>
      <c r="P49" s="106">
        <f>'Distancias tabiques'!$B$4</f>
        <v>39.19</v>
      </c>
      <c r="Q49" s="117">
        <f t="shared" si="5"/>
        <v>28.335000000000001</v>
      </c>
      <c r="R49" s="117">
        <f>2*(L49+2*$C$19+J49)*$C$19+2*(K49+2*$C$19+I49)*$C$19</f>
        <v>5.697000000000001</v>
      </c>
      <c r="S49" s="117">
        <f t="shared" si="6"/>
        <v>24.912500000000001</v>
      </c>
      <c r="T49" s="114">
        <f t="shared" si="7"/>
        <v>162.92624999999998</v>
      </c>
      <c r="U49" s="126">
        <f t="shared" si="10"/>
        <v>2.4912500000000004</v>
      </c>
      <c r="V49" s="126">
        <f>R49*$C$19*$C$5</f>
        <v>0.28485000000000005</v>
      </c>
      <c r="W49" s="183">
        <f t="shared" si="11"/>
        <v>165.70235</v>
      </c>
      <c r="X49" s="94">
        <f t="shared" si="12"/>
        <v>163.21109999999999</v>
      </c>
      <c r="Y49" s="49">
        <f t="shared" si="8"/>
        <v>9</v>
      </c>
      <c r="Z49" s="218"/>
    </row>
    <row r="50" spans="8:26" x14ac:dyDescent="0.3">
      <c r="H50" s="90">
        <f t="shared" si="9"/>
        <v>8</v>
      </c>
      <c r="I50" s="85">
        <f>'Verificación corte muros'!K19</f>
        <v>0.25</v>
      </c>
      <c r="J50" s="71">
        <f>'Verificación corte muros'!L19</f>
        <v>0.25</v>
      </c>
      <c r="K50" s="71">
        <f>'Distancias muros'!$C$4</f>
        <v>54.480000000000011</v>
      </c>
      <c r="L50" s="86">
        <f>'Distancias muros'!$B$4</f>
        <v>58.86</v>
      </c>
      <c r="M50" s="85">
        <v>0.25</v>
      </c>
      <c r="N50" s="71">
        <v>0.25</v>
      </c>
      <c r="O50" s="71">
        <f>'Distancias tabiques'!$C$4</f>
        <v>60.46</v>
      </c>
      <c r="P50" s="106">
        <f>'Distancias tabiques'!$B$4</f>
        <v>39.19</v>
      </c>
      <c r="Q50" s="117">
        <f t="shared" si="5"/>
        <v>28.335000000000001</v>
      </c>
      <c r="R50" s="117">
        <f>2*(L50+2*$C$19+J50)*$C$19+2*(K50+2*$C$19+I50)*$C$19</f>
        <v>5.697000000000001</v>
      </c>
      <c r="S50" s="117">
        <f t="shared" si="6"/>
        <v>24.912500000000001</v>
      </c>
      <c r="T50" s="114">
        <f t="shared" si="7"/>
        <v>162.92624999999998</v>
      </c>
      <c r="U50" s="126">
        <f t="shared" si="10"/>
        <v>2.4912500000000004</v>
      </c>
      <c r="V50" s="126">
        <f>R50*$C$19*$C$5</f>
        <v>0.28485000000000005</v>
      </c>
      <c r="W50" s="183">
        <f t="shared" si="11"/>
        <v>165.70235</v>
      </c>
      <c r="X50" s="94">
        <f t="shared" si="12"/>
        <v>163.21109999999999</v>
      </c>
      <c r="Y50" s="49">
        <f t="shared" si="8"/>
        <v>8</v>
      </c>
      <c r="Z50" s="218"/>
    </row>
    <row r="51" spans="8:26" x14ac:dyDescent="0.3">
      <c r="H51" s="90">
        <f t="shared" si="9"/>
        <v>7</v>
      </c>
      <c r="I51" s="85">
        <f>'Verificación corte muros'!K20</f>
        <v>0.25</v>
      </c>
      <c r="J51" s="71">
        <f>'Verificación corte muros'!L20</f>
        <v>0.25</v>
      </c>
      <c r="K51" s="71">
        <f>'Distancias muros'!$C$4</f>
        <v>54.480000000000011</v>
      </c>
      <c r="L51" s="86">
        <f>'Distancias muros'!$B$4</f>
        <v>58.86</v>
      </c>
      <c r="M51" s="85">
        <v>0.25</v>
      </c>
      <c r="N51" s="71">
        <v>0.25</v>
      </c>
      <c r="O51" s="71">
        <f>'Distancias tabiques'!$C$4</f>
        <v>60.46</v>
      </c>
      <c r="P51" s="106">
        <f>'Distancias tabiques'!$B$4</f>
        <v>39.19</v>
      </c>
      <c r="Q51" s="117">
        <f t="shared" si="5"/>
        <v>28.335000000000001</v>
      </c>
      <c r="R51" s="117">
        <f>2*(L51+2*$C$19+J51)*$C$19+2*(K51+2*$C$19+I51)*$C$19</f>
        <v>5.697000000000001</v>
      </c>
      <c r="S51" s="117">
        <f t="shared" si="6"/>
        <v>24.912500000000001</v>
      </c>
      <c r="T51" s="114">
        <f t="shared" si="7"/>
        <v>162.92624999999998</v>
      </c>
      <c r="U51" s="126">
        <f t="shared" si="10"/>
        <v>2.4912500000000004</v>
      </c>
      <c r="V51" s="126">
        <f>R51*$C$19*$C$5</f>
        <v>0.28485000000000005</v>
      </c>
      <c r="W51" s="183">
        <f t="shared" si="11"/>
        <v>165.70235</v>
      </c>
      <c r="X51" s="94">
        <f t="shared" si="12"/>
        <v>163.21109999999999</v>
      </c>
      <c r="Y51" s="49">
        <f t="shared" si="8"/>
        <v>7</v>
      </c>
      <c r="Z51" s="218"/>
    </row>
    <row r="52" spans="8:26" x14ac:dyDescent="0.3">
      <c r="H52" s="90">
        <f t="shared" si="9"/>
        <v>6</v>
      </c>
      <c r="I52" s="85">
        <f>'Verificación corte muros'!K21</f>
        <v>0.25</v>
      </c>
      <c r="J52" s="71">
        <f>'Verificación corte muros'!L21</f>
        <v>0.25</v>
      </c>
      <c r="K52" s="71">
        <f>'Distancias muros'!$C$4</f>
        <v>54.480000000000011</v>
      </c>
      <c r="L52" s="86">
        <f>'Distancias muros'!$B$4</f>
        <v>58.86</v>
      </c>
      <c r="M52" s="85">
        <v>0.25</v>
      </c>
      <c r="N52" s="71">
        <v>0.25</v>
      </c>
      <c r="O52" s="71">
        <f>'Distancias tabiques'!$C$4</f>
        <v>60.46</v>
      </c>
      <c r="P52" s="106">
        <f>'Distancias tabiques'!$B$4</f>
        <v>39.19</v>
      </c>
      <c r="Q52" s="117">
        <f t="shared" si="5"/>
        <v>28.335000000000001</v>
      </c>
      <c r="R52" s="117">
        <f>2*(L52+2*$C$19+J52)*$C$19+2*(K52+2*$C$19+I52)*$C$19</f>
        <v>5.697000000000001</v>
      </c>
      <c r="S52" s="117">
        <f t="shared" si="6"/>
        <v>24.912500000000001</v>
      </c>
      <c r="T52" s="114">
        <f t="shared" si="7"/>
        <v>162.92624999999998</v>
      </c>
      <c r="U52" s="126">
        <f t="shared" si="10"/>
        <v>2.4912500000000004</v>
      </c>
      <c r="V52" s="126">
        <f>R52*$C$19*$C$5</f>
        <v>0.28485000000000005</v>
      </c>
      <c r="W52" s="183">
        <f t="shared" si="11"/>
        <v>165.70235</v>
      </c>
      <c r="X52" s="94">
        <f t="shared" si="12"/>
        <v>163.21109999999999</v>
      </c>
      <c r="Y52" s="49">
        <f t="shared" si="8"/>
        <v>6</v>
      </c>
      <c r="Z52" s="218"/>
    </row>
    <row r="53" spans="8:26" x14ac:dyDescent="0.3">
      <c r="H53" s="90">
        <f t="shared" si="9"/>
        <v>5</v>
      </c>
      <c r="I53" s="85">
        <f>'Verificación corte muros'!K22</f>
        <v>0.25</v>
      </c>
      <c r="J53" s="71">
        <f>'Verificación corte muros'!L22</f>
        <v>0.25</v>
      </c>
      <c r="K53" s="71">
        <f>'Distancias muros'!$C$4</f>
        <v>54.480000000000011</v>
      </c>
      <c r="L53" s="86">
        <f>'Distancias muros'!$B$4</f>
        <v>58.86</v>
      </c>
      <c r="M53" s="85">
        <v>0.25</v>
      </c>
      <c r="N53" s="71">
        <v>0.25</v>
      </c>
      <c r="O53" s="71">
        <f>'Distancias tabiques'!$C$4</f>
        <v>60.46</v>
      </c>
      <c r="P53" s="106">
        <f>'Distancias tabiques'!$B$4</f>
        <v>39.19</v>
      </c>
      <c r="Q53" s="117">
        <f t="shared" si="5"/>
        <v>28.335000000000001</v>
      </c>
      <c r="R53" s="117">
        <f>2*(L53+2*$C$19+J53)*$C$19+2*(K53+2*$C$19+I53)*$C$19</f>
        <v>5.697000000000001</v>
      </c>
      <c r="S53" s="117">
        <f t="shared" si="6"/>
        <v>24.912500000000001</v>
      </c>
      <c r="T53" s="114">
        <f t="shared" si="7"/>
        <v>162.92624999999998</v>
      </c>
      <c r="U53" s="126">
        <f t="shared" si="10"/>
        <v>2.4912500000000004</v>
      </c>
      <c r="V53" s="126">
        <f>R53*$C$19*$C$5</f>
        <v>0.28485000000000005</v>
      </c>
      <c r="W53" s="183">
        <f t="shared" si="11"/>
        <v>165.70235</v>
      </c>
      <c r="X53" s="94">
        <f t="shared" si="12"/>
        <v>163.21109999999999</v>
      </c>
      <c r="Y53" s="49">
        <f t="shared" si="8"/>
        <v>5</v>
      </c>
      <c r="Z53" s="218"/>
    </row>
    <row r="54" spans="8:26" x14ac:dyDescent="0.3">
      <c r="H54" s="90">
        <f t="shared" si="9"/>
        <v>4</v>
      </c>
      <c r="I54" s="85">
        <f>'Verificación corte muros'!K23</f>
        <v>0.25</v>
      </c>
      <c r="J54" s="71">
        <f>'Verificación corte muros'!L23</f>
        <v>0.25</v>
      </c>
      <c r="K54" s="71">
        <f>'Distancias muros'!$C$4</f>
        <v>54.480000000000011</v>
      </c>
      <c r="L54" s="86">
        <f>'Distancias muros'!$B$4</f>
        <v>58.86</v>
      </c>
      <c r="M54" s="85">
        <v>0.25</v>
      </c>
      <c r="N54" s="71">
        <v>0.25</v>
      </c>
      <c r="O54" s="71">
        <f>'Distancias tabiques'!$C$4</f>
        <v>60.46</v>
      </c>
      <c r="P54" s="106">
        <f>'Distancias tabiques'!$B$4</f>
        <v>39.19</v>
      </c>
      <c r="Q54" s="117">
        <f t="shared" si="5"/>
        <v>28.335000000000001</v>
      </c>
      <c r="R54" s="117">
        <f>2*(L54+2*$C$19+J54)*$C$19+2*(K54+2*$C$19+I54)*$C$19</f>
        <v>5.697000000000001</v>
      </c>
      <c r="S54" s="117">
        <f t="shared" si="6"/>
        <v>24.912500000000001</v>
      </c>
      <c r="T54" s="114">
        <f t="shared" si="7"/>
        <v>162.92624999999998</v>
      </c>
      <c r="U54" s="126">
        <f t="shared" si="10"/>
        <v>2.4912500000000004</v>
      </c>
      <c r="V54" s="126">
        <f>R54*$C$19*$C$5</f>
        <v>0.28485000000000005</v>
      </c>
      <c r="W54" s="183">
        <f t="shared" si="11"/>
        <v>165.70235</v>
      </c>
      <c r="X54" s="94">
        <f t="shared" si="12"/>
        <v>163.21109999999999</v>
      </c>
      <c r="Y54" s="49">
        <f t="shared" si="8"/>
        <v>4</v>
      </c>
      <c r="Z54" s="218"/>
    </row>
    <row r="55" spans="8:26" x14ac:dyDescent="0.3">
      <c r="H55" s="89">
        <f t="shared" si="9"/>
        <v>3</v>
      </c>
      <c r="I55" s="84">
        <f>'Verificación corte muros'!K24</f>
        <v>0.25</v>
      </c>
      <c r="J55" s="64">
        <f>'Verificación corte muros'!L24</f>
        <v>0.25</v>
      </c>
      <c r="K55" s="64">
        <f>'Distancias muros'!E4</f>
        <v>58.320000000000014</v>
      </c>
      <c r="L55" s="56">
        <f>'Distancias muros'!D4</f>
        <v>58.86</v>
      </c>
      <c r="M55" s="84">
        <v>0.25</v>
      </c>
      <c r="N55" s="64">
        <v>0.25</v>
      </c>
      <c r="O55" s="64">
        <f>'Distancias tabiques'!E4</f>
        <v>60.46</v>
      </c>
      <c r="P55" s="92">
        <f>'Distancias tabiques'!D4</f>
        <v>39.19</v>
      </c>
      <c r="Q55" s="94">
        <f t="shared" si="5"/>
        <v>29.295000000000002</v>
      </c>
      <c r="R55" s="94">
        <f>2*(L55+2*$C$19+J55)*$C$19+2*(K55+2*$C$19+I55)*$C$19</f>
        <v>5.8890000000000011</v>
      </c>
      <c r="S55" s="94">
        <f t="shared" si="6"/>
        <v>24.912500000000001</v>
      </c>
      <c r="T55" s="115">
        <f t="shared" si="7"/>
        <v>168.44625000000002</v>
      </c>
      <c r="U55" s="113">
        <f t="shared" si="10"/>
        <v>2.4912500000000004</v>
      </c>
      <c r="V55" s="113">
        <f>R55*$C$19*$C$5</f>
        <v>0.29445000000000005</v>
      </c>
      <c r="W55" s="184">
        <f t="shared" si="11"/>
        <v>171.23195000000004</v>
      </c>
      <c r="X55" s="94">
        <f t="shared" si="12"/>
        <v>168.74070000000003</v>
      </c>
      <c r="Y55" s="49">
        <f t="shared" si="8"/>
        <v>3</v>
      </c>
      <c r="Z55" s="218"/>
    </row>
    <row r="56" spans="8:26" x14ac:dyDescent="0.3">
      <c r="H56" s="89">
        <f t="shared" si="9"/>
        <v>2</v>
      </c>
      <c r="I56" s="84">
        <f>'Verificación corte muros'!K25</f>
        <v>0.25</v>
      </c>
      <c r="J56" s="64">
        <f>'Verificación corte muros'!L25</f>
        <v>0.3</v>
      </c>
      <c r="K56" s="64">
        <f>'Distancias muros'!G4</f>
        <v>65.349999999999994</v>
      </c>
      <c r="L56" s="56">
        <f>'Distancias muros'!F4</f>
        <v>50.47999999999999</v>
      </c>
      <c r="M56" s="84">
        <v>0.25</v>
      </c>
      <c r="N56" s="64">
        <v>0.3</v>
      </c>
      <c r="O56" s="64">
        <f>'Distancias tabiques'!G4</f>
        <v>36.07</v>
      </c>
      <c r="P56" s="92">
        <f>'Distancias tabiques'!F4</f>
        <v>38.700000000000017</v>
      </c>
      <c r="Q56" s="94">
        <f t="shared" si="5"/>
        <v>31.481499999999997</v>
      </c>
      <c r="R56" s="94">
        <f>2*(L56+2*$C$19+J56)*$C$19+2*(K56+2*$C$19+I56)*$C$19</f>
        <v>5.823999999999999</v>
      </c>
      <c r="S56" s="94">
        <f t="shared" si="6"/>
        <v>20.627500000000005</v>
      </c>
      <c r="T56" s="115">
        <f t="shared" si="7"/>
        <v>181.01862499999996</v>
      </c>
      <c r="U56" s="113">
        <f t="shared" si="10"/>
        <v>2.0627500000000007</v>
      </c>
      <c r="V56" s="113">
        <f>R56*$C$19*$C$5</f>
        <v>0.29119999999999996</v>
      </c>
      <c r="W56" s="184">
        <f t="shared" si="11"/>
        <v>183.37257499999996</v>
      </c>
      <c r="X56" s="94">
        <f t="shared" si="12"/>
        <v>181.30982499999996</v>
      </c>
      <c r="Y56" s="49">
        <f t="shared" si="8"/>
        <v>2</v>
      </c>
      <c r="Z56" s="218"/>
    </row>
    <row r="57" spans="8:26" x14ac:dyDescent="0.3">
      <c r="H57" s="89">
        <f t="shared" si="9"/>
        <v>1</v>
      </c>
      <c r="I57" s="84">
        <f>'Verificación corte muros'!K26</f>
        <v>0.25</v>
      </c>
      <c r="J57" s="64">
        <f>'Verificación corte muros'!L26</f>
        <v>0.3</v>
      </c>
      <c r="K57" s="64">
        <f>'Distancias muros'!I4</f>
        <v>69.97999999999999</v>
      </c>
      <c r="L57" s="56">
        <f>'Distancias muros'!H4</f>
        <v>54.98</v>
      </c>
      <c r="M57" s="84">
        <v>0.25</v>
      </c>
      <c r="N57" s="64">
        <v>0.3</v>
      </c>
      <c r="O57" s="64">
        <f>'Distancias tabiques'!I4</f>
        <v>38.11</v>
      </c>
      <c r="P57" s="92">
        <f>'Distancias tabiques'!H4</f>
        <v>31.640000000000004</v>
      </c>
      <c r="Q57" s="94">
        <f t="shared" si="5"/>
        <v>33.988999999999997</v>
      </c>
      <c r="R57" s="94">
        <f>2*(L57+2*$C$19+J57)*$C$19+2*(K57+2*$C$19+I57)*$C$19</f>
        <v>6.2804999999999991</v>
      </c>
      <c r="S57" s="94">
        <f t="shared" si="6"/>
        <v>19.019500000000001</v>
      </c>
      <c r="T57" s="115">
        <f t="shared" si="7"/>
        <v>195.43674999999996</v>
      </c>
      <c r="U57" s="113">
        <f t="shared" si="10"/>
        <v>1.9019500000000003</v>
      </c>
      <c r="V57" s="113">
        <f>R57*$C$19*$C$5</f>
        <v>0.314025</v>
      </c>
      <c r="W57" s="184">
        <f t="shared" si="11"/>
        <v>197.65272499999995</v>
      </c>
      <c r="X57" s="94">
        <f t="shared" si="12"/>
        <v>195.75077499999995</v>
      </c>
      <c r="Y57" s="49">
        <f t="shared" si="8"/>
        <v>1</v>
      </c>
      <c r="Z57" s="218"/>
    </row>
    <row r="58" spans="8:26" ht="15" thickBot="1" x14ac:dyDescent="0.35">
      <c r="H58" s="91">
        <f t="shared" si="9"/>
        <v>-1</v>
      </c>
      <c r="I58" s="87">
        <f>'Verificación corte muros'!K26</f>
        <v>0.25</v>
      </c>
      <c r="J58" s="88">
        <f>'Verificación corte muros'!L26</f>
        <v>0.3</v>
      </c>
      <c r="K58" s="88">
        <f>'Distancias muros'!K4</f>
        <v>78.44</v>
      </c>
      <c r="L58" s="62">
        <f>'Distancias muros'!J4</f>
        <v>61.529999999999987</v>
      </c>
      <c r="M58" s="87">
        <v>0.25</v>
      </c>
      <c r="N58" s="88">
        <v>0.3</v>
      </c>
      <c r="O58" s="88">
        <f>'Distancias tabiques'!K4</f>
        <v>22.62</v>
      </c>
      <c r="P58" s="93">
        <f>'Distancias tabiques'!J4</f>
        <v>16.899999999999995</v>
      </c>
      <c r="Q58" s="95">
        <f t="shared" si="5"/>
        <v>38.068999999999996</v>
      </c>
      <c r="R58" s="95">
        <f>2*(L58+2*$C$19+J58)*$C$19+2*(K58+2*$C$19+I58)*$C$19</f>
        <v>7.0309999999999988</v>
      </c>
      <c r="S58" s="95">
        <f t="shared" si="6"/>
        <v>10.724999999999998</v>
      </c>
      <c r="T58" s="116">
        <f t="shared" si="7"/>
        <v>218.89674999999997</v>
      </c>
      <c r="U58" s="122">
        <f t="shared" si="10"/>
        <v>1.0724999999999998</v>
      </c>
      <c r="V58" s="122">
        <f>R58*$C$19*$C$5</f>
        <v>0.35154999999999997</v>
      </c>
      <c r="W58" s="185">
        <f>(T58+U58+V58)</f>
        <v>220.32079999999996</v>
      </c>
      <c r="X58" s="95">
        <f t="shared" si="12"/>
        <v>219.24829999999997</v>
      </c>
      <c r="Y58" s="49">
        <f>H58</f>
        <v>-1</v>
      </c>
      <c r="Z58" s="218"/>
    </row>
    <row r="59" spans="8:26" x14ac:dyDescent="0.3">
      <c r="S59" s="49" t="s">
        <v>30</v>
      </c>
      <c r="T59" s="72">
        <f>SUM(T34:T58)-0.5*T58</f>
        <v>3670.8057499999995</v>
      </c>
      <c r="U59" s="72">
        <f>SUM(U34:U58)-0.5*U58</f>
        <v>52.711950000000002</v>
      </c>
      <c r="V59" s="72">
        <f>SUM(V34:V58)-0.5*V58</f>
        <v>6.8827500000000033</v>
      </c>
      <c r="W59" s="180">
        <f>SUM(W34:W58)-W58*0.5</f>
        <v>3730.4004500000001</v>
      </c>
      <c r="X59" s="180">
        <f>SUM(X34:X58)-X58*0.5</f>
        <v>3677.6884999999997</v>
      </c>
    </row>
    <row r="60" spans="8:26" x14ac:dyDescent="0.3">
      <c r="H60" s="49" t="s">
        <v>90</v>
      </c>
      <c r="W60" s="314"/>
    </row>
    <row r="61" spans="8:26" ht="15" thickBot="1" x14ac:dyDescent="0.35"/>
    <row r="62" spans="8:26" ht="29.4" thickBot="1" x14ac:dyDescent="0.35">
      <c r="H62" s="119" t="s">
        <v>33</v>
      </c>
      <c r="I62" s="163" t="s">
        <v>100</v>
      </c>
      <c r="J62" s="164" t="s">
        <v>91</v>
      </c>
      <c r="K62" s="165" t="s">
        <v>101</v>
      </c>
      <c r="L62" s="166" t="s">
        <v>98</v>
      </c>
      <c r="M62" s="167" t="s">
        <v>99</v>
      </c>
      <c r="N62" s="168" t="s">
        <v>71</v>
      </c>
    </row>
    <row r="63" spans="8:26" x14ac:dyDescent="0.3">
      <c r="H63" s="108">
        <f>H34</f>
        <v>24</v>
      </c>
      <c r="I63" s="97">
        <f>'Distancias vigas'!B11</f>
        <v>23.733000000000001</v>
      </c>
      <c r="J63" s="98">
        <f>'Distancias vigas'!B10</f>
        <v>242.60399999999998</v>
      </c>
      <c r="K63" s="83">
        <f>J63*$C$19</f>
        <v>6.0651000000000002</v>
      </c>
      <c r="L63" s="169">
        <f>I63*$C$4</f>
        <v>59.332500000000003</v>
      </c>
      <c r="M63" s="170">
        <f>K63*$C$5</f>
        <v>12.1302</v>
      </c>
      <c r="N63" s="127">
        <f t="shared" ref="N63" si="13">L63+M63</f>
        <v>71.462699999999998</v>
      </c>
      <c r="O63" s="49">
        <f t="shared" ref="O63:O86" si="14">H63</f>
        <v>24</v>
      </c>
      <c r="S63" s="49" t="s">
        <v>134</v>
      </c>
      <c r="T63" s="72">
        <f>T29</f>
        <v>10650.499286250006</v>
      </c>
    </row>
    <row r="64" spans="8:26" x14ac:dyDescent="0.3">
      <c r="H64" s="162">
        <f t="shared" ref="H64:H87" si="15">H35</f>
        <v>23</v>
      </c>
      <c r="I64" s="85">
        <f>SUM('Distancias vigas'!$C$11:$E$11)</f>
        <v>14.769000000000002</v>
      </c>
      <c r="J64" s="106">
        <f>SUM('Distancias vigas'!$C$10:$E$10)</f>
        <v>150.72399999999999</v>
      </c>
      <c r="K64" s="71">
        <f>J64*$C$19</f>
        <v>3.7681</v>
      </c>
      <c r="L64" s="177">
        <f t="shared" ref="L64" si="16">I64*$C$4</f>
        <v>36.922500000000007</v>
      </c>
      <c r="M64" s="178">
        <f t="shared" ref="M64" si="17">K64*$C$5</f>
        <v>7.5362</v>
      </c>
      <c r="N64" s="179">
        <f t="shared" ref="N64:N87" si="18">L64+M64</f>
        <v>44.458700000000007</v>
      </c>
      <c r="O64" s="49">
        <f t="shared" si="14"/>
        <v>23</v>
      </c>
    </row>
    <row r="65" spans="8:20" x14ac:dyDescent="0.3">
      <c r="H65" s="162">
        <f t="shared" si="15"/>
        <v>22</v>
      </c>
      <c r="I65" s="85">
        <f>SUM('Distancias vigas'!$C$11:$E$11)</f>
        <v>14.769000000000002</v>
      </c>
      <c r="J65" s="106">
        <f>SUM('Distancias vigas'!$C$10:$E$10)</f>
        <v>150.72399999999999</v>
      </c>
      <c r="K65" s="71">
        <f>J65*$C$19</f>
        <v>3.7681</v>
      </c>
      <c r="L65" s="177">
        <f t="shared" ref="L65:L87" si="19">I65*$C$4</f>
        <v>36.922500000000007</v>
      </c>
      <c r="M65" s="178">
        <f t="shared" ref="M65:M87" si="20">K65*$C$5</f>
        <v>7.5362</v>
      </c>
      <c r="N65" s="179">
        <f t="shared" si="18"/>
        <v>44.458700000000007</v>
      </c>
      <c r="O65" s="49">
        <f t="shared" si="14"/>
        <v>22</v>
      </c>
      <c r="S65" s="49" t="s">
        <v>135</v>
      </c>
      <c r="T65" s="72">
        <f>S29</f>
        <v>5776.5114699999986</v>
      </c>
    </row>
    <row r="66" spans="8:20" x14ac:dyDescent="0.3">
      <c r="H66" s="162">
        <f t="shared" si="15"/>
        <v>21</v>
      </c>
      <c r="I66" s="85">
        <f>SUM('Distancias vigas'!$C$11:$E$11)</f>
        <v>14.769000000000002</v>
      </c>
      <c r="J66" s="106">
        <f>SUM('Distancias vigas'!$C$10:$E$10)</f>
        <v>150.72399999999999</v>
      </c>
      <c r="K66" s="71">
        <f>J66*$C$19</f>
        <v>3.7681</v>
      </c>
      <c r="L66" s="177">
        <f t="shared" si="19"/>
        <v>36.922500000000007</v>
      </c>
      <c r="M66" s="178">
        <f t="shared" si="20"/>
        <v>7.5362</v>
      </c>
      <c r="N66" s="179">
        <f t="shared" si="18"/>
        <v>44.458700000000007</v>
      </c>
      <c r="O66" s="49">
        <f t="shared" si="14"/>
        <v>21</v>
      </c>
      <c r="S66" s="49" t="s">
        <v>136</v>
      </c>
      <c r="T66" s="72">
        <f>W59</f>
        <v>3730.4004500000001</v>
      </c>
    </row>
    <row r="67" spans="8:20" ht="15" thickBot="1" x14ac:dyDescent="0.35">
      <c r="H67" s="162">
        <f t="shared" si="15"/>
        <v>20</v>
      </c>
      <c r="I67" s="85">
        <f>SUM('Distancias vigas'!$C$11:$E$11)</f>
        <v>14.769000000000002</v>
      </c>
      <c r="J67" s="106">
        <f>SUM('Distancias vigas'!$C$10:$E$10)</f>
        <v>150.72399999999999</v>
      </c>
      <c r="K67" s="71">
        <f>J67*$C$19</f>
        <v>3.7681</v>
      </c>
      <c r="L67" s="177">
        <f t="shared" si="19"/>
        <v>36.922500000000007</v>
      </c>
      <c r="M67" s="178">
        <f t="shared" si="20"/>
        <v>7.5362</v>
      </c>
      <c r="N67" s="179">
        <f t="shared" si="18"/>
        <v>44.458700000000007</v>
      </c>
      <c r="O67" s="49">
        <f t="shared" si="14"/>
        <v>20</v>
      </c>
      <c r="S67" s="128" t="s">
        <v>137</v>
      </c>
      <c r="T67" s="129">
        <f>N88</f>
        <v>1143.5873662500003</v>
      </c>
    </row>
    <row r="68" spans="8:20" x14ac:dyDescent="0.3">
      <c r="H68" s="162">
        <f t="shared" si="15"/>
        <v>19</v>
      </c>
      <c r="I68" s="85">
        <f>SUM('Distancias vigas'!$C$11:$E$11)</f>
        <v>14.769000000000002</v>
      </c>
      <c r="J68" s="106">
        <f>SUM('Distancias vigas'!$C$10:$E$10)</f>
        <v>150.72399999999999</v>
      </c>
      <c r="K68" s="71">
        <f>J68*$C$19</f>
        <v>3.7681</v>
      </c>
      <c r="L68" s="177">
        <f t="shared" si="19"/>
        <v>36.922500000000007</v>
      </c>
      <c r="M68" s="178">
        <f t="shared" si="20"/>
        <v>7.5362</v>
      </c>
      <c r="N68" s="179">
        <f t="shared" si="18"/>
        <v>44.458700000000007</v>
      </c>
      <c r="O68" s="49">
        <f t="shared" si="14"/>
        <v>19</v>
      </c>
      <c r="T68" s="72">
        <f>SUM(T65:T67)</f>
        <v>10650.499286249998</v>
      </c>
    </row>
    <row r="69" spans="8:20" x14ac:dyDescent="0.3">
      <c r="H69" s="162">
        <f t="shared" si="15"/>
        <v>18</v>
      </c>
      <c r="I69" s="85">
        <f>SUM('Distancias vigas'!$C$11:$E$11)</f>
        <v>14.769000000000002</v>
      </c>
      <c r="J69" s="106">
        <f>SUM('Distancias vigas'!$C$10:$E$10)</f>
        <v>150.72399999999999</v>
      </c>
      <c r="K69" s="71">
        <f>J69*$C$19</f>
        <v>3.7681</v>
      </c>
      <c r="L69" s="177">
        <f t="shared" si="19"/>
        <v>36.922500000000007</v>
      </c>
      <c r="M69" s="178">
        <f t="shared" si="20"/>
        <v>7.5362</v>
      </c>
      <c r="N69" s="179">
        <f t="shared" si="18"/>
        <v>44.458700000000007</v>
      </c>
      <c r="O69" s="49">
        <f t="shared" si="14"/>
        <v>18</v>
      </c>
    </row>
    <row r="70" spans="8:20" x14ac:dyDescent="0.3">
      <c r="H70" s="162">
        <f t="shared" si="15"/>
        <v>17</v>
      </c>
      <c r="I70" s="85">
        <f>SUM('Distancias vigas'!$C$11:$E$11)</f>
        <v>14.769000000000002</v>
      </c>
      <c r="J70" s="106">
        <f>SUM('Distancias vigas'!$C$10:$E$10)</f>
        <v>150.72399999999999</v>
      </c>
      <c r="K70" s="71">
        <f>J70*$C$19</f>
        <v>3.7681</v>
      </c>
      <c r="L70" s="177">
        <f t="shared" si="19"/>
        <v>36.922500000000007</v>
      </c>
      <c r="M70" s="178">
        <f t="shared" si="20"/>
        <v>7.5362</v>
      </c>
      <c r="N70" s="179">
        <f t="shared" si="18"/>
        <v>44.458700000000007</v>
      </c>
      <c r="O70" s="49">
        <f t="shared" si="14"/>
        <v>17</v>
      </c>
    </row>
    <row r="71" spans="8:20" x14ac:dyDescent="0.3">
      <c r="H71" s="162">
        <f t="shared" si="15"/>
        <v>16</v>
      </c>
      <c r="I71" s="85">
        <f>SUM('Distancias vigas'!$C$11:$E$11)</f>
        <v>14.769000000000002</v>
      </c>
      <c r="J71" s="106">
        <f>SUM('Distancias vigas'!$C$10:$E$10)</f>
        <v>150.72399999999999</v>
      </c>
      <c r="K71" s="71">
        <f>J71*$C$19</f>
        <v>3.7681</v>
      </c>
      <c r="L71" s="177">
        <f t="shared" si="19"/>
        <v>36.922500000000007</v>
      </c>
      <c r="M71" s="178">
        <f t="shared" si="20"/>
        <v>7.5362</v>
      </c>
      <c r="N71" s="179">
        <f t="shared" si="18"/>
        <v>44.458700000000007</v>
      </c>
      <c r="O71" s="49">
        <f t="shared" si="14"/>
        <v>16</v>
      </c>
    </row>
    <row r="72" spans="8:20" x14ac:dyDescent="0.3">
      <c r="H72" s="162">
        <f t="shared" si="15"/>
        <v>15</v>
      </c>
      <c r="I72" s="85">
        <f>SUM('Distancias vigas'!$C$11:$E$11)</f>
        <v>14.769000000000002</v>
      </c>
      <c r="J72" s="106">
        <f>SUM('Distancias vigas'!$C$10:$E$10)</f>
        <v>150.72399999999999</v>
      </c>
      <c r="K72" s="71">
        <f>J72*$C$19</f>
        <v>3.7681</v>
      </c>
      <c r="L72" s="177">
        <f t="shared" si="19"/>
        <v>36.922500000000007</v>
      </c>
      <c r="M72" s="178">
        <f t="shared" si="20"/>
        <v>7.5362</v>
      </c>
      <c r="N72" s="179">
        <f t="shared" si="18"/>
        <v>44.458700000000007</v>
      </c>
      <c r="O72" s="49">
        <f t="shared" si="14"/>
        <v>15</v>
      </c>
    </row>
    <row r="73" spans="8:20" x14ac:dyDescent="0.3">
      <c r="H73" s="162">
        <f t="shared" si="15"/>
        <v>14</v>
      </c>
      <c r="I73" s="85">
        <f>SUM('Distancias vigas'!$C$11:$E$11)</f>
        <v>14.769000000000002</v>
      </c>
      <c r="J73" s="106">
        <f>SUM('Distancias vigas'!$C$10:$E$10)</f>
        <v>150.72399999999999</v>
      </c>
      <c r="K73" s="71">
        <f>J73*$C$19</f>
        <v>3.7681</v>
      </c>
      <c r="L73" s="177">
        <f t="shared" si="19"/>
        <v>36.922500000000007</v>
      </c>
      <c r="M73" s="178">
        <f t="shared" si="20"/>
        <v>7.5362</v>
      </c>
      <c r="N73" s="179">
        <f t="shared" si="18"/>
        <v>44.458700000000007</v>
      </c>
      <c r="O73" s="49">
        <f t="shared" si="14"/>
        <v>14</v>
      </c>
    </row>
    <row r="74" spans="8:20" x14ac:dyDescent="0.3">
      <c r="H74" s="162">
        <f t="shared" si="15"/>
        <v>13</v>
      </c>
      <c r="I74" s="85">
        <f>SUM('Distancias vigas'!$C$11:$E$11)</f>
        <v>14.769000000000002</v>
      </c>
      <c r="J74" s="106">
        <f>SUM('Distancias vigas'!$C$10:$E$10)</f>
        <v>150.72399999999999</v>
      </c>
      <c r="K74" s="71">
        <f>J74*$C$19</f>
        <v>3.7681</v>
      </c>
      <c r="L74" s="177">
        <f t="shared" si="19"/>
        <v>36.922500000000007</v>
      </c>
      <c r="M74" s="178">
        <f t="shared" si="20"/>
        <v>7.5362</v>
      </c>
      <c r="N74" s="179">
        <f t="shared" si="18"/>
        <v>44.458700000000007</v>
      </c>
      <c r="O74" s="49">
        <f t="shared" si="14"/>
        <v>13</v>
      </c>
    </row>
    <row r="75" spans="8:20" x14ac:dyDescent="0.3">
      <c r="H75" s="162">
        <f t="shared" si="15"/>
        <v>12</v>
      </c>
      <c r="I75" s="85">
        <f>SUM('Distancias vigas'!$C$11:$E$11)</f>
        <v>14.769000000000002</v>
      </c>
      <c r="J75" s="106">
        <f>SUM('Distancias vigas'!$C$10:$E$10)</f>
        <v>150.72399999999999</v>
      </c>
      <c r="K75" s="71">
        <f>J75*$C$19</f>
        <v>3.7681</v>
      </c>
      <c r="L75" s="177">
        <f t="shared" si="19"/>
        <v>36.922500000000007</v>
      </c>
      <c r="M75" s="178">
        <f t="shared" si="20"/>
        <v>7.5362</v>
      </c>
      <c r="N75" s="179">
        <f t="shared" si="18"/>
        <v>44.458700000000007</v>
      </c>
      <c r="O75" s="49">
        <f t="shared" si="14"/>
        <v>12</v>
      </c>
    </row>
    <row r="76" spans="8:20" x14ac:dyDescent="0.3">
      <c r="H76" s="162">
        <f t="shared" si="15"/>
        <v>11</v>
      </c>
      <c r="I76" s="85">
        <f>SUM('Distancias vigas'!$C$11:$E$11)</f>
        <v>14.769000000000002</v>
      </c>
      <c r="J76" s="106">
        <f>SUM('Distancias vigas'!$C$10:$E$10)</f>
        <v>150.72399999999999</v>
      </c>
      <c r="K76" s="71">
        <f>J76*$C$19</f>
        <v>3.7681</v>
      </c>
      <c r="L76" s="177">
        <f t="shared" si="19"/>
        <v>36.922500000000007</v>
      </c>
      <c r="M76" s="178">
        <f t="shared" si="20"/>
        <v>7.5362</v>
      </c>
      <c r="N76" s="179">
        <f t="shared" si="18"/>
        <v>44.458700000000007</v>
      </c>
      <c r="O76" s="49">
        <f t="shared" si="14"/>
        <v>11</v>
      </c>
    </row>
    <row r="77" spans="8:20" x14ac:dyDescent="0.3">
      <c r="H77" s="162">
        <f t="shared" si="15"/>
        <v>10</v>
      </c>
      <c r="I77" s="85">
        <f>SUM('Distancias vigas'!$C$11:$E$11)</f>
        <v>14.769000000000002</v>
      </c>
      <c r="J77" s="106">
        <f>SUM('Distancias vigas'!$C$10:$E$10)</f>
        <v>150.72399999999999</v>
      </c>
      <c r="K77" s="71">
        <f>J77*$C$19</f>
        <v>3.7681</v>
      </c>
      <c r="L77" s="177">
        <f t="shared" si="19"/>
        <v>36.922500000000007</v>
      </c>
      <c r="M77" s="178">
        <f t="shared" si="20"/>
        <v>7.5362</v>
      </c>
      <c r="N77" s="179">
        <f t="shared" si="18"/>
        <v>44.458700000000007</v>
      </c>
      <c r="O77" s="49">
        <f t="shared" si="14"/>
        <v>10</v>
      </c>
    </row>
    <row r="78" spans="8:20" x14ac:dyDescent="0.3">
      <c r="H78" s="162">
        <f t="shared" si="15"/>
        <v>9</v>
      </c>
      <c r="I78" s="85">
        <f>SUM('Distancias vigas'!$C$11:$E$11)</f>
        <v>14.769000000000002</v>
      </c>
      <c r="J78" s="106">
        <f>SUM('Distancias vigas'!$C$10:$E$10)</f>
        <v>150.72399999999999</v>
      </c>
      <c r="K78" s="71">
        <f>J78*$C$19</f>
        <v>3.7681</v>
      </c>
      <c r="L78" s="177">
        <f t="shared" si="19"/>
        <v>36.922500000000007</v>
      </c>
      <c r="M78" s="178">
        <f t="shared" si="20"/>
        <v>7.5362</v>
      </c>
      <c r="N78" s="179">
        <f t="shared" si="18"/>
        <v>44.458700000000007</v>
      </c>
      <c r="O78" s="49">
        <f t="shared" si="14"/>
        <v>9</v>
      </c>
    </row>
    <row r="79" spans="8:20" x14ac:dyDescent="0.3">
      <c r="H79" s="162">
        <f t="shared" si="15"/>
        <v>8</v>
      </c>
      <c r="I79" s="85">
        <f>SUM('Distancias vigas'!$C$11:$E$11)</f>
        <v>14.769000000000002</v>
      </c>
      <c r="J79" s="106">
        <f>SUM('Distancias vigas'!$C$10:$E$10)</f>
        <v>150.72399999999999</v>
      </c>
      <c r="K79" s="71">
        <f>J79*$C$19</f>
        <v>3.7681</v>
      </c>
      <c r="L79" s="177">
        <f t="shared" si="19"/>
        <v>36.922500000000007</v>
      </c>
      <c r="M79" s="178">
        <f t="shared" si="20"/>
        <v>7.5362</v>
      </c>
      <c r="N79" s="179">
        <f t="shared" si="18"/>
        <v>44.458700000000007</v>
      </c>
      <c r="O79" s="49">
        <f t="shared" si="14"/>
        <v>8</v>
      </c>
    </row>
    <row r="80" spans="8:20" x14ac:dyDescent="0.3">
      <c r="H80" s="162">
        <f t="shared" si="15"/>
        <v>7</v>
      </c>
      <c r="I80" s="85">
        <f>SUM('Distancias vigas'!$C$11:$E$11)</f>
        <v>14.769000000000002</v>
      </c>
      <c r="J80" s="106">
        <f>SUM('Distancias vigas'!$C$10:$E$10)</f>
        <v>150.72399999999999</v>
      </c>
      <c r="K80" s="71">
        <f>J80*$C$19</f>
        <v>3.7681</v>
      </c>
      <c r="L80" s="177">
        <f t="shared" si="19"/>
        <v>36.922500000000007</v>
      </c>
      <c r="M80" s="178">
        <f t="shared" si="20"/>
        <v>7.5362</v>
      </c>
      <c r="N80" s="179">
        <f t="shared" si="18"/>
        <v>44.458700000000007</v>
      </c>
      <c r="O80" s="49">
        <f t="shared" si="14"/>
        <v>7</v>
      </c>
    </row>
    <row r="81" spans="8:15" x14ac:dyDescent="0.3">
      <c r="H81" s="162">
        <f t="shared" si="15"/>
        <v>6</v>
      </c>
      <c r="I81" s="85">
        <f>SUM('Distancias vigas'!$C$11:$E$11)</f>
        <v>14.769000000000002</v>
      </c>
      <c r="J81" s="106">
        <f>SUM('Distancias vigas'!$C$10:$E$10)</f>
        <v>150.72399999999999</v>
      </c>
      <c r="K81" s="71">
        <f>J81*$C$19</f>
        <v>3.7681</v>
      </c>
      <c r="L81" s="177">
        <f t="shared" si="19"/>
        <v>36.922500000000007</v>
      </c>
      <c r="M81" s="178">
        <f t="shared" si="20"/>
        <v>7.5362</v>
      </c>
      <c r="N81" s="179">
        <f t="shared" si="18"/>
        <v>44.458700000000007</v>
      </c>
      <c r="O81" s="49">
        <f t="shared" si="14"/>
        <v>6</v>
      </c>
    </row>
    <row r="82" spans="8:15" x14ac:dyDescent="0.3">
      <c r="H82" s="162">
        <f t="shared" si="15"/>
        <v>5</v>
      </c>
      <c r="I82" s="85">
        <f>SUM('Distancias vigas'!$C$11:$E$11)</f>
        <v>14.769000000000002</v>
      </c>
      <c r="J82" s="106">
        <f>SUM('Distancias vigas'!$C$10:$E$10)</f>
        <v>150.72399999999999</v>
      </c>
      <c r="K82" s="71">
        <f>J82*$C$19</f>
        <v>3.7681</v>
      </c>
      <c r="L82" s="177">
        <f t="shared" si="19"/>
        <v>36.922500000000007</v>
      </c>
      <c r="M82" s="178">
        <f t="shared" si="20"/>
        <v>7.5362</v>
      </c>
      <c r="N82" s="179">
        <f t="shared" si="18"/>
        <v>44.458700000000007</v>
      </c>
      <c r="O82" s="49">
        <f t="shared" si="14"/>
        <v>5</v>
      </c>
    </row>
    <row r="83" spans="8:15" x14ac:dyDescent="0.3">
      <c r="H83" s="162">
        <f t="shared" si="15"/>
        <v>4</v>
      </c>
      <c r="I83" s="85">
        <f>SUM('Distancias vigas'!$C$11:$E$11)</f>
        <v>14.769000000000002</v>
      </c>
      <c r="J83" s="106">
        <f>SUM('Distancias vigas'!$C$10:$E$10)</f>
        <v>150.72399999999999</v>
      </c>
      <c r="K83" s="71">
        <f>J83*$C$19</f>
        <v>3.7681</v>
      </c>
      <c r="L83" s="177">
        <f t="shared" si="19"/>
        <v>36.922500000000007</v>
      </c>
      <c r="M83" s="178">
        <f t="shared" si="20"/>
        <v>7.5362</v>
      </c>
      <c r="N83" s="179">
        <f t="shared" si="18"/>
        <v>44.458700000000007</v>
      </c>
      <c r="O83" s="49">
        <f t="shared" si="14"/>
        <v>4</v>
      </c>
    </row>
    <row r="84" spans="8:15" x14ac:dyDescent="0.3">
      <c r="H84" s="162">
        <f t="shared" si="15"/>
        <v>3</v>
      </c>
      <c r="I84" s="85">
        <f>SUM('Distancias vigas'!$C$11:$E$11)</f>
        <v>14.769000000000002</v>
      </c>
      <c r="J84" s="106">
        <f>SUM('Distancias vigas'!$C$10:$E$10)</f>
        <v>150.72399999999999</v>
      </c>
      <c r="K84" s="71">
        <f>J84*$C$19</f>
        <v>3.7681</v>
      </c>
      <c r="L84" s="177">
        <f t="shared" si="19"/>
        <v>36.922500000000007</v>
      </c>
      <c r="M84" s="178">
        <f t="shared" si="20"/>
        <v>7.5362</v>
      </c>
      <c r="N84" s="179">
        <f t="shared" si="18"/>
        <v>44.458700000000007</v>
      </c>
      <c r="O84" s="49">
        <f t="shared" si="14"/>
        <v>3</v>
      </c>
    </row>
    <row r="85" spans="8:15" x14ac:dyDescent="0.3">
      <c r="H85" s="109">
        <f t="shared" si="15"/>
        <v>2</v>
      </c>
      <c r="I85" s="84">
        <f>SUM('Distancias vigas'!F11:H11)</f>
        <v>14.553000000000003</v>
      </c>
      <c r="J85" s="92">
        <f>SUM('Distancias vigas'!F10:H10)</f>
        <v>148.51599999999999</v>
      </c>
      <c r="K85" s="64">
        <f>J85*$C$19</f>
        <v>3.7128999999999999</v>
      </c>
      <c r="L85" s="171">
        <f t="shared" si="19"/>
        <v>36.382500000000007</v>
      </c>
      <c r="M85" s="172">
        <f t="shared" si="20"/>
        <v>7.4257999999999997</v>
      </c>
      <c r="N85" s="173">
        <f t="shared" si="18"/>
        <v>43.80830000000001</v>
      </c>
      <c r="O85" s="49">
        <f t="shared" si="14"/>
        <v>2</v>
      </c>
    </row>
    <row r="86" spans="8:15" x14ac:dyDescent="0.3">
      <c r="H86" s="109">
        <f t="shared" si="15"/>
        <v>1</v>
      </c>
      <c r="I86" s="84">
        <f>SUM('Distancias vigas'!I11:R11)</f>
        <v>16.179212500000002</v>
      </c>
      <c r="J86" s="92">
        <f>SUM('Distancias vigas'!I10:R10)</f>
        <v>56.51720000000001</v>
      </c>
      <c r="K86" s="64">
        <f>J86*$C$19</f>
        <v>1.4129300000000002</v>
      </c>
      <c r="L86" s="171">
        <f t="shared" si="19"/>
        <v>40.448031250000007</v>
      </c>
      <c r="M86" s="172">
        <f t="shared" si="20"/>
        <v>2.8258600000000005</v>
      </c>
      <c r="N86" s="173">
        <f t="shared" si="18"/>
        <v>43.273891250000005</v>
      </c>
      <c r="O86" s="49">
        <f t="shared" si="14"/>
        <v>1</v>
      </c>
    </row>
    <row r="87" spans="8:15" ht="15" thickBot="1" x14ac:dyDescent="0.35">
      <c r="H87" s="110">
        <f t="shared" si="15"/>
        <v>-1</v>
      </c>
      <c r="I87" s="87">
        <f>SUM('Distancias vigas'!S11:Z11)</f>
        <v>19.7407</v>
      </c>
      <c r="J87" s="93">
        <f>SUM('Distancias vigas'!S10:Z10)</f>
        <v>41.160499999999999</v>
      </c>
      <c r="K87" s="88">
        <f>J87*$C$19</f>
        <v>1.0290125000000001</v>
      </c>
      <c r="L87" s="174">
        <f t="shared" si="19"/>
        <v>49.351750000000003</v>
      </c>
      <c r="M87" s="175">
        <f t="shared" si="20"/>
        <v>2.0580250000000002</v>
      </c>
      <c r="N87" s="176">
        <f t="shared" si="18"/>
        <v>51.409775000000003</v>
      </c>
      <c r="O87" s="49">
        <f>H87</f>
        <v>-1</v>
      </c>
    </row>
    <row r="88" spans="8:15" x14ac:dyDescent="0.3">
      <c r="K88" s="49" t="s">
        <v>30</v>
      </c>
      <c r="L88" s="72">
        <f>SUM(L63:L87)</f>
        <v>960.88728125000034</v>
      </c>
      <c r="M88" s="72">
        <f>SUM(M63:M87)</f>
        <v>182.700085</v>
      </c>
      <c r="N88" s="180">
        <f>SUM(N63:N87)</f>
        <v>1143.5873662500003</v>
      </c>
    </row>
  </sheetData>
  <mergeCells count="11">
    <mergeCell ref="X32:X33"/>
    <mergeCell ref="W32:W33"/>
    <mergeCell ref="M32:P32"/>
    <mergeCell ref="Q32:Q33"/>
    <mergeCell ref="R32:R33"/>
    <mergeCell ref="S32:S33"/>
    <mergeCell ref="I32:L32"/>
    <mergeCell ref="H32:H33"/>
    <mergeCell ref="T32:T33"/>
    <mergeCell ref="U32:U33"/>
    <mergeCell ref="V32:V33"/>
  </mergeCells>
  <pageMargins left="0.7" right="0.7" top="0.75" bottom="0.75" header="0.3" footer="0.3"/>
  <pageSetup orientation="portrait" horizontalDpi="1200" verticalDpi="1200" r:id="rId1"/>
  <ignoredErrors>
    <ignoredError sqref="V58 X58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AG52"/>
  <sheetViews>
    <sheetView showGridLines="0" zoomScaleNormal="100" workbookViewId="0">
      <selection activeCell="R2" sqref="R2:R15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8.88671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8" width="15.109375" bestFit="1" customWidth="1"/>
    <col min="19" max="19" width="3.109375" customWidth="1"/>
    <col min="20" max="20" width="6.109375" bestFit="1" customWidth="1"/>
    <col min="22" max="22" width="5.109375" customWidth="1"/>
    <col min="25" max="25" width="4.44140625" customWidth="1"/>
    <col min="26" max="26" width="6.88671875" bestFit="1" customWidth="1"/>
    <col min="27" max="27" width="6.5546875" bestFit="1" customWidth="1"/>
    <col min="28" max="28" width="10.109375" bestFit="1" customWidth="1"/>
    <col min="29" max="29" width="15.88671875" bestFit="1" customWidth="1"/>
    <col min="30" max="30" width="7.5546875" bestFit="1" customWidth="1"/>
  </cols>
  <sheetData>
    <row r="1" spans="1:33" ht="15" thickBot="1" x14ac:dyDescent="0.35">
      <c r="F1" s="1" t="s">
        <v>133</v>
      </c>
    </row>
    <row r="2" spans="1:33" ht="15" thickBot="1" x14ac:dyDescent="0.35">
      <c r="B2" s="3" t="s">
        <v>21</v>
      </c>
      <c r="C2" s="2" t="s">
        <v>22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5" t="s">
        <v>144</v>
      </c>
      <c r="R2" s="7" t="s">
        <v>145</v>
      </c>
      <c r="S2" s="217"/>
      <c r="T2" s="5" t="s">
        <v>139</v>
      </c>
      <c r="U2" s="7" t="s">
        <v>138</v>
      </c>
      <c r="W2" s="8" t="s">
        <v>19</v>
      </c>
      <c r="X2" s="9" t="s">
        <v>20</v>
      </c>
      <c r="Z2" s="5" t="s">
        <v>8</v>
      </c>
      <c r="AA2" s="208" t="s">
        <v>129</v>
      </c>
      <c r="AB2" s="209" t="s">
        <v>130</v>
      </c>
      <c r="AC2" s="211" t="s">
        <v>132</v>
      </c>
      <c r="AD2" s="210" t="s">
        <v>131</v>
      </c>
      <c r="AE2" s="210" t="s">
        <v>131</v>
      </c>
    </row>
    <row r="3" spans="1:33" x14ac:dyDescent="0.3">
      <c r="B3" s="3" t="s">
        <v>23</v>
      </c>
      <c r="C3" s="2" t="s">
        <v>24</v>
      </c>
      <c r="D3" s="2">
        <v>1</v>
      </c>
      <c r="E3" s="1"/>
      <c r="F3" s="10">
        <v>23</v>
      </c>
      <c r="G3" s="29">
        <f>('Pesos elementos'!T5+'Pesos elementos'!T4)*$D$4</f>
        <v>50.449931500000005</v>
      </c>
      <c r="H3" s="32">
        <f>G3</f>
        <v>50.449931500000005</v>
      </c>
      <c r="I3" s="12">
        <v>54.480000000000011</v>
      </c>
      <c r="J3" s="13">
        <v>58.86</v>
      </c>
      <c r="K3" s="203">
        <v>0.2</v>
      </c>
      <c r="L3" s="204">
        <v>0.2</v>
      </c>
      <c r="M3" s="14">
        <f t="shared" ref="M3:M26" si="0">I3*K3*$D$6*100*100</f>
        <v>762.72000000000025</v>
      </c>
      <c r="N3" s="12">
        <f t="shared" ref="N3:N26" si="1">J3*L3*$D$6*100*100</f>
        <v>824.04000000000008</v>
      </c>
      <c r="O3" s="15">
        <f t="shared" ref="O3:O26" si="2">H3/M3</f>
        <v>6.614476020033562E-2</v>
      </c>
      <c r="P3" s="16">
        <f t="shared" ref="P3:P26" si="3">H3/N3</f>
        <v>6.1222673049851947E-2</v>
      </c>
      <c r="Q3" s="223">
        <f>'Pesos elementos'!I35*'Pesos elementos'!K35/('Pesos elementos'!$J5+'Pesos elementos'!$K5)</f>
        <v>2.6562458100013904E-2</v>
      </c>
      <c r="R3" s="225">
        <f>'Pesos elementos'!J35*'Pesos elementos'!L35/('Pesos elementos'!$J5+'Pesos elementos'!$K5)</f>
        <v>2.8697986119067879E-2</v>
      </c>
      <c r="S3" s="26"/>
      <c r="T3" s="14">
        <f>'Pesos elementos'!F5</f>
        <v>2.2999999999999998</v>
      </c>
      <c r="U3" s="13">
        <f t="shared" ref="U3:U24" si="4">T3+U4</f>
        <v>55.199999999999974</v>
      </c>
      <c r="W3" s="18">
        <f t="shared" ref="W3:W26" si="5">M3-H3</f>
        <v>712.27006850000021</v>
      </c>
      <c r="X3" s="19">
        <f t="shared" ref="X3:X26" si="6">N3-H3</f>
        <v>773.59006850000003</v>
      </c>
      <c r="Z3" s="10">
        <v>23</v>
      </c>
      <c r="AA3" s="14">
        <f>'Pesos elementos'!T5+'Pesos elementos'!T4</f>
        <v>504.49931500000002</v>
      </c>
      <c r="AB3" s="12">
        <f>AA3</f>
        <v>504.49931500000002</v>
      </c>
      <c r="AC3" s="212">
        <v>20</v>
      </c>
      <c r="AD3" s="206">
        <f t="shared" ref="AD3:AD26" si="7">AC3*30*0.35*(I3*K3+J3*L3)</f>
        <v>4760.2800000000007</v>
      </c>
      <c r="AE3" s="221">
        <f t="shared" ref="AE3:AE26" si="8">AB3/AD3</f>
        <v>0.10598101687295704</v>
      </c>
      <c r="AG3" s="202">
        <f t="shared" ref="AG3:AG26" si="9">AD3-AB3</f>
        <v>4255.7806850000006</v>
      </c>
    </row>
    <row r="4" spans="1:33" x14ac:dyDescent="0.3">
      <c r="B4" s="3" t="s">
        <v>25</v>
      </c>
      <c r="C4" s="2" t="s">
        <v>26</v>
      </c>
      <c r="D4" s="46">
        <v>0.1</v>
      </c>
      <c r="E4" s="1"/>
      <c r="F4" s="10">
        <v>22</v>
      </c>
      <c r="G4" s="29">
        <f>('Pesos elementos'!T6)*$D$4</f>
        <v>40.884199500000008</v>
      </c>
      <c r="H4" s="32">
        <f>G4+H3</f>
        <v>91.334131000000014</v>
      </c>
      <c r="I4" s="12">
        <v>54.480000000000011</v>
      </c>
      <c r="J4" s="13">
        <v>58.86</v>
      </c>
      <c r="K4" s="203">
        <v>0.2</v>
      </c>
      <c r="L4" s="204">
        <v>0.2</v>
      </c>
      <c r="M4" s="14">
        <f t="shared" si="0"/>
        <v>762.72000000000025</v>
      </c>
      <c r="N4" s="12">
        <f t="shared" si="1"/>
        <v>824.04000000000008</v>
      </c>
      <c r="O4" s="15">
        <f t="shared" si="2"/>
        <v>0.11974791666666665</v>
      </c>
      <c r="P4" s="16">
        <f t="shared" si="3"/>
        <v>0.11083701155283725</v>
      </c>
      <c r="Q4" s="223">
        <f>'Pesos elementos'!I36*'Pesos elementos'!K36/('Pesos elementos'!$J6+'Pesos elementos'!$K6)</f>
        <v>2.6562458100013904E-2</v>
      </c>
      <c r="R4" s="225">
        <f>'Pesos elementos'!J36*'Pesos elementos'!L36/('Pesos elementos'!$J6+'Pesos elementos'!$K6)</f>
        <v>2.8697986119067879E-2</v>
      </c>
      <c r="S4" s="26"/>
      <c r="T4" s="14">
        <f>'Pesos elementos'!F6</f>
        <v>2.2999999999999998</v>
      </c>
      <c r="U4" s="13">
        <f t="shared" si="4"/>
        <v>52.899999999999977</v>
      </c>
      <c r="W4" s="18">
        <f t="shared" si="5"/>
        <v>671.38586900000018</v>
      </c>
      <c r="X4" s="19">
        <f t="shared" si="6"/>
        <v>732.70586900000012</v>
      </c>
      <c r="Z4" s="10">
        <v>22</v>
      </c>
      <c r="AA4" s="14">
        <f>'Pesos elementos'!T6</f>
        <v>408.84199500000005</v>
      </c>
      <c r="AB4" s="12">
        <f>AA4+AB3</f>
        <v>913.34131000000002</v>
      </c>
      <c r="AC4" s="212">
        <v>20</v>
      </c>
      <c r="AD4" s="206">
        <f t="shared" si="7"/>
        <v>4760.2800000000007</v>
      </c>
      <c r="AE4" s="221">
        <f t="shared" si="8"/>
        <v>0.19186714016822537</v>
      </c>
      <c r="AG4" s="202">
        <f t="shared" si="9"/>
        <v>3846.9386900000009</v>
      </c>
    </row>
    <row r="5" spans="1:33" x14ac:dyDescent="0.3">
      <c r="B5" s="3" t="s">
        <v>27</v>
      </c>
      <c r="C5" s="2" t="s">
        <v>28</v>
      </c>
      <c r="D5" s="2">
        <v>7</v>
      </c>
      <c r="E5" s="1"/>
      <c r="F5" s="10">
        <f>F4-1</f>
        <v>21</v>
      </c>
      <c r="G5" s="29">
        <f>('Pesos elementos'!T7)*$D$4</f>
        <v>40.884199500000008</v>
      </c>
      <c r="H5" s="11">
        <f t="shared" ref="H5:H26" si="10">G5+H4</f>
        <v>132.21833050000004</v>
      </c>
      <c r="I5" s="12">
        <v>54.480000000000011</v>
      </c>
      <c r="J5" s="13">
        <v>58.86</v>
      </c>
      <c r="K5" s="203">
        <v>0.2</v>
      </c>
      <c r="L5" s="204">
        <v>0.2</v>
      </c>
      <c r="M5" s="14">
        <f t="shared" si="0"/>
        <v>762.72000000000025</v>
      </c>
      <c r="N5" s="12">
        <f t="shared" si="1"/>
        <v>824.04000000000008</v>
      </c>
      <c r="O5" s="15">
        <f t="shared" si="2"/>
        <v>0.17335107313299769</v>
      </c>
      <c r="P5" s="16">
        <f t="shared" si="3"/>
        <v>0.16045135005582256</v>
      </c>
      <c r="Q5" s="223">
        <f>'Pesos elementos'!I37*'Pesos elementos'!K37/('Pesos elementos'!$J7+'Pesos elementos'!$K7)</f>
        <v>2.6562458100013904E-2</v>
      </c>
      <c r="R5" s="225">
        <f>'Pesos elementos'!J37*'Pesos elementos'!L37/('Pesos elementos'!$J7+'Pesos elementos'!$K7)</f>
        <v>2.8697986119067879E-2</v>
      </c>
      <c r="S5" s="26"/>
      <c r="T5" s="14">
        <f>'Pesos elementos'!F7</f>
        <v>2.2999999999999998</v>
      </c>
      <c r="U5" s="13">
        <f t="shared" si="4"/>
        <v>50.59999999999998</v>
      </c>
      <c r="W5" s="21">
        <f t="shared" si="5"/>
        <v>630.50166950000016</v>
      </c>
      <c r="X5" s="22">
        <f t="shared" si="6"/>
        <v>691.8216695000001</v>
      </c>
      <c r="Z5" s="10">
        <f>Z4-1</f>
        <v>21</v>
      </c>
      <c r="AA5" s="14">
        <f>'Pesos elementos'!T7</f>
        <v>408.84199500000005</v>
      </c>
      <c r="AB5" s="12">
        <f t="shared" ref="AB5:AB26" si="11">AA5+AB4</f>
        <v>1322.183305</v>
      </c>
      <c r="AC5" s="212">
        <v>20</v>
      </c>
      <c r="AD5" s="206">
        <f t="shared" si="7"/>
        <v>4760.2800000000007</v>
      </c>
      <c r="AE5" s="221">
        <f t="shared" si="8"/>
        <v>0.27775326346349372</v>
      </c>
      <c r="AG5" s="202">
        <f t="shared" si="9"/>
        <v>3438.0966950000006</v>
      </c>
    </row>
    <row r="6" spans="1:33" x14ac:dyDescent="0.3">
      <c r="B6" s="3" t="s">
        <v>27</v>
      </c>
      <c r="C6" s="2" t="s">
        <v>29</v>
      </c>
      <c r="D6" s="2">
        <f>D5/1000</f>
        <v>7.0000000000000001E-3</v>
      </c>
      <c r="E6" s="23"/>
      <c r="F6" s="10">
        <f t="shared" ref="F6:F25" si="12">F5-1</f>
        <v>20</v>
      </c>
      <c r="G6" s="29">
        <f>('Pesos elementos'!T8)*$D$4</f>
        <v>40.884199500000008</v>
      </c>
      <c r="H6" s="11">
        <f t="shared" si="10"/>
        <v>173.10253000000006</v>
      </c>
      <c r="I6" s="12">
        <v>54.480000000000011</v>
      </c>
      <c r="J6" s="13">
        <v>58.86</v>
      </c>
      <c r="K6" s="203">
        <v>0.2</v>
      </c>
      <c r="L6" s="204">
        <v>0.2</v>
      </c>
      <c r="M6" s="14">
        <f t="shared" si="0"/>
        <v>762.72000000000025</v>
      </c>
      <c r="N6" s="12">
        <f t="shared" si="1"/>
        <v>824.04000000000008</v>
      </c>
      <c r="O6" s="15">
        <f t="shared" si="2"/>
        <v>0.22695422959932873</v>
      </c>
      <c r="P6" s="16">
        <f t="shared" si="3"/>
        <v>0.21006568855880789</v>
      </c>
      <c r="Q6" s="223">
        <f>'Pesos elementos'!I38*'Pesos elementos'!K38/('Pesos elementos'!$J8+'Pesos elementos'!$K8)</f>
        <v>2.6562458100013904E-2</v>
      </c>
      <c r="R6" s="225">
        <f>'Pesos elementos'!J38*'Pesos elementos'!L38/('Pesos elementos'!$J8+'Pesos elementos'!$K8)</f>
        <v>2.8697986119067879E-2</v>
      </c>
      <c r="S6" s="26"/>
      <c r="T6" s="14">
        <f>'Pesos elementos'!F8</f>
        <v>2.2999999999999998</v>
      </c>
      <c r="U6" s="13">
        <f t="shared" si="4"/>
        <v>48.299999999999983</v>
      </c>
      <c r="W6" s="21">
        <f t="shared" si="5"/>
        <v>589.61747000000014</v>
      </c>
      <c r="X6" s="22">
        <f t="shared" si="6"/>
        <v>650.93747000000008</v>
      </c>
      <c r="Z6" s="10">
        <f t="shared" ref="Z6:Z25" si="13">Z5-1</f>
        <v>20</v>
      </c>
      <c r="AA6" s="14">
        <f>'Pesos elementos'!T8</f>
        <v>408.84199500000005</v>
      </c>
      <c r="AB6" s="12">
        <f t="shared" si="11"/>
        <v>1731.0253</v>
      </c>
      <c r="AC6" s="212">
        <v>20</v>
      </c>
      <c r="AD6" s="206">
        <f t="shared" si="7"/>
        <v>4760.2800000000007</v>
      </c>
      <c r="AE6" s="221">
        <f t="shared" si="8"/>
        <v>0.36363938675876206</v>
      </c>
      <c r="AG6" s="202">
        <f t="shared" si="9"/>
        <v>3029.2547000000004</v>
      </c>
    </row>
    <row r="7" spans="1:33" x14ac:dyDescent="0.3">
      <c r="F7" s="10">
        <f t="shared" si="12"/>
        <v>19</v>
      </c>
      <c r="G7" s="29">
        <f>('Pesos elementos'!T9)*$D$4</f>
        <v>40.884199500000008</v>
      </c>
      <c r="H7" s="11">
        <f t="shared" si="10"/>
        <v>213.98672950000008</v>
      </c>
      <c r="I7" s="12">
        <v>54.480000000000011</v>
      </c>
      <c r="J7" s="13">
        <v>58.86</v>
      </c>
      <c r="K7" s="203">
        <v>0.2</v>
      </c>
      <c r="L7" s="204">
        <v>0.2</v>
      </c>
      <c r="M7" s="14">
        <f t="shared" si="0"/>
        <v>762.72000000000025</v>
      </c>
      <c r="N7" s="12">
        <f t="shared" si="1"/>
        <v>824.04000000000008</v>
      </c>
      <c r="O7" s="15">
        <f t="shared" si="2"/>
        <v>0.28055738606565978</v>
      </c>
      <c r="P7" s="16">
        <f t="shared" si="3"/>
        <v>0.25968002706179322</v>
      </c>
      <c r="Q7" s="223">
        <f>'Pesos elementos'!I39*'Pesos elementos'!K39/('Pesos elementos'!$J9+'Pesos elementos'!$K9)</f>
        <v>2.6562458100013904E-2</v>
      </c>
      <c r="R7" s="225">
        <f>'Pesos elementos'!J39*'Pesos elementos'!L39/('Pesos elementos'!$J9+'Pesos elementos'!$K9)</f>
        <v>2.8697986119067879E-2</v>
      </c>
      <c r="S7" s="26"/>
      <c r="T7" s="14">
        <f>'Pesos elementos'!F9</f>
        <v>2.2999999999999998</v>
      </c>
      <c r="U7" s="13">
        <f t="shared" si="4"/>
        <v>45.999999999999986</v>
      </c>
      <c r="W7" s="21">
        <f t="shared" si="5"/>
        <v>548.73327050000012</v>
      </c>
      <c r="X7" s="22">
        <f t="shared" si="6"/>
        <v>610.05327050000005</v>
      </c>
      <c r="Z7" s="10">
        <f t="shared" si="13"/>
        <v>19</v>
      </c>
      <c r="AA7" s="14">
        <f>'Pesos elementos'!T9</f>
        <v>408.84199500000005</v>
      </c>
      <c r="AB7" s="12">
        <f t="shared" si="11"/>
        <v>2139.867295</v>
      </c>
      <c r="AC7" s="212">
        <v>20</v>
      </c>
      <c r="AD7" s="206">
        <f t="shared" si="7"/>
        <v>4760.2800000000007</v>
      </c>
      <c r="AE7" s="221">
        <f t="shared" si="8"/>
        <v>0.44952551005403035</v>
      </c>
      <c r="AG7" s="202">
        <f t="shared" si="9"/>
        <v>2620.4127050000006</v>
      </c>
    </row>
    <row r="8" spans="1:33" x14ac:dyDescent="0.3">
      <c r="A8" s="24"/>
      <c r="F8" s="10">
        <f t="shared" si="12"/>
        <v>18</v>
      </c>
      <c r="G8" s="29">
        <f>('Pesos elementos'!T10)*$D$4</f>
        <v>40.884199500000008</v>
      </c>
      <c r="H8" s="11">
        <f t="shared" si="10"/>
        <v>254.8709290000001</v>
      </c>
      <c r="I8" s="12">
        <v>54.480000000000011</v>
      </c>
      <c r="J8" s="13">
        <v>58.86</v>
      </c>
      <c r="K8" s="203">
        <v>0.2</v>
      </c>
      <c r="L8" s="204">
        <v>0.2</v>
      </c>
      <c r="M8" s="14">
        <f t="shared" si="0"/>
        <v>762.72000000000025</v>
      </c>
      <c r="N8" s="12">
        <f t="shared" si="1"/>
        <v>824.04000000000008</v>
      </c>
      <c r="O8" s="15">
        <f t="shared" si="2"/>
        <v>0.33416054253199079</v>
      </c>
      <c r="P8" s="16">
        <f t="shared" si="3"/>
        <v>0.30929436556477852</v>
      </c>
      <c r="Q8" s="223">
        <f>'Pesos elementos'!I40*'Pesos elementos'!K40/('Pesos elementos'!$J10+'Pesos elementos'!$K10)</f>
        <v>2.6562458100013904E-2</v>
      </c>
      <c r="R8" s="225">
        <f>'Pesos elementos'!J40*'Pesos elementos'!L40/('Pesos elementos'!$J10+'Pesos elementos'!$K10)</f>
        <v>2.8697986119067879E-2</v>
      </c>
      <c r="S8" s="26"/>
      <c r="T8" s="14">
        <f>'Pesos elementos'!F10</f>
        <v>2.2999999999999998</v>
      </c>
      <c r="U8" s="13">
        <f t="shared" si="4"/>
        <v>43.699999999999989</v>
      </c>
      <c r="W8" s="21">
        <f t="shared" si="5"/>
        <v>507.84907100000015</v>
      </c>
      <c r="X8" s="22">
        <f t="shared" si="6"/>
        <v>569.16907100000003</v>
      </c>
      <c r="Z8" s="10">
        <f t="shared" si="13"/>
        <v>18</v>
      </c>
      <c r="AA8" s="14">
        <f>'Pesos elementos'!T10</f>
        <v>408.84199500000005</v>
      </c>
      <c r="AB8" s="12">
        <f t="shared" si="11"/>
        <v>2548.7092900000002</v>
      </c>
      <c r="AC8" s="212">
        <v>20</v>
      </c>
      <c r="AD8" s="206">
        <f t="shared" si="7"/>
        <v>4760.2800000000007</v>
      </c>
      <c r="AE8" s="221">
        <f t="shared" si="8"/>
        <v>0.53541163334929875</v>
      </c>
      <c r="AG8" s="202">
        <f t="shared" si="9"/>
        <v>2211.5707100000004</v>
      </c>
    </row>
    <row r="9" spans="1:33" x14ac:dyDescent="0.3">
      <c r="A9" s="24"/>
      <c r="B9" s="25"/>
      <c r="C9" s="26"/>
      <c r="D9" s="24"/>
      <c r="F9" s="10">
        <f t="shared" si="12"/>
        <v>17</v>
      </c>
      <c r="G9" s="29">
        <f>('Pesos elementos'!T11)*$D$4</f>
        <v>40.884199500000008</v>
      </c>
      <c r="H9" s="11">
        <f t="shared" si="10"/>
        <v>295.75512850000013</v>
      </c>
      <c r="I9" s="12">
        <v>54.480000000000011</v>
      </c>
      <c r="J9" s="13">
        <v>58.86</v>
      </c>
      <c r="K9" s="203">
        <v>0.2</v>
      </c>
      <c r="L9" s="204">
        <v>0.2</v>
      </c>
      <c r="M9" s="14">
        <f t="shared" si="0"/>
        <v>762.72000000000025</v>
      </c>
      <c r="N9" s="12">
        <f t="shared" si="1"/>
        <v>824.04000000000008</v>
      </c>
      <c r="O9" s="15">
        <f t="shared" si="2"/>
        <v>0.3877636989983218</v>
      </c>
      <c r="P9" s="16">
        <f t="shared" si="3"/>
        <v>0.35890870406776382</v>
      </c>
      <c r="Q9" s="223">
        <f>'Pesos elementos'!I41*'Pesos elementos'!K41/('Pesos elementos'!$J11+'Pesos elementos'!$K11)</f>
        <v>2.6562458100013904E-2</v>
      </c>
      <c r="R9" s="225">
        <f>'Pesos elementos'!J41*'Pesos elementos'!L41/('Pesos elementos'!$J11+'Pesos elementos'!$K11)</f>
        <v>2.8697986119067879E-2</v>
      </c>
      <c r="S9" s="26"/>
      <c r="T9" s="14">
        <f>'Pesos elementos'!F11</f>
        <v>2.2999999999999998</v>
      </c>
      <c r="U9" s="13">
        <f t="shared" si="4"/>
        <v>41.399999999999991</v>
      </c>
      <c r="W9" s="21">
        <f t="shared" si="5"/>
        <v>466.96487150000013</v>
      </c>
      <c r="X9" s="22">
        <f t="shared" si="6"/>
        <v>528.28487150000001</v>
      </c>
      <c r="Z9" s="10">
        <f t="shared" si="13"/>
        <v>17</v>
      </c>
      <c r="AA9" s="14">
        <f>'Pesos elementos'!T11</f>
        <v>408.84199500000005</v>
      </c>
      <c r="AB9" s="12">
        <f t="shared" si="11"/>
        <v>2957.5512850000005</v>
      </c>
      <c r="AC9" s="212">
        <v>20</v>
      </c>
      <c r="AD9" s="206">
        <f t="shared" si="7"/>
        <v>4760.2800000000007</v>
      </c>
      <c r="AE9" s="221">
        <f t="shared" si="8"/>
        <v>0.6212977566445671</v>
      </c>
      <c r="AG9" s="202">
        <f t="shared" si="9"/>
        <v>1802.7287150000002</v>
      </c>
    </row>
    <row r="10" spans="1:33" x14ac:dyDescent="0.3">
      <c r="A10" s="24"/>
      <c r="B10" s="25"/>
      <c r="C10" s="26"/>
      <c r="D10" s="24"/>
      <c r="F10" s="10">
        <f t="shared" si="12"/>
        <v>16</v>
      </c>
      <c r="G10" s="29">
        <f>('Pesos elementos'!T12)*$D$4</f>
        <v>40.884199500000008</v>
      </c>
      <c r="H10" s="11">
        <f t="shared" si="10"/>
        <v>336.63932800000015</v>
      </c>
      <c r="I10" s="12">
        <v>54.480000000000011</v>
      </c>
      <c r="J10" s="13">
        <v>58.86</v>
      </c>
      <c r="K10" s="203">
        <v>0.2</v>
      </c>
      <c r="L10" s="204">
        <v>0.2</v>
      </c>
      <c r="M10" s="14">
        <f t="shared" si="0"/>
        <v>762.72000000000025</v>
      </c>
      <c r="N10" s="12">
        <f t="shared" si="1"/>
        <v>824.04000000000008</v>
      </c>
      <c r="O10" s="15">
        <f t="shared" si="2"/>
        <v>0.44136685546465287</v>
      </c>
      <c r="P10" s="16">
        <f t="shared" si="3"/>
        <v>0.40852304257074912</v>
      </c>
      <c r="Q10" s="223">
        <f>'Pesos elementos'!I42*'Pesos elementos'!K42/('Pesos elementos'!$J12+'Pesos elementos'!$K12)</f>
        <v>2.6562458100013904E-2</v>
      </c>
      <c r="R10" s="225">
        <f>'Pesos elementos'!J42*'Pesos elementos'!L42/('Pesos elementos'!$J12+'Pesos elementos'!$K12)</f>
        <v>2.8697986119067879E-2</v>
      </c>
      <c r="S10" s="26"/>
      <c r="T10" s="14">
        <f>'Pesos elementos'!F12</f>
        <v>2.2999999999999998</v>
      </c>
      <c r="U10" s="13">
        <f t="shared" si="4"/>
        <v>39.099999999999994</v>
      </c>
      <c r="W10" s="21">
        <f t="shared" si="5"/>
        <v>426.08067200000011</v>
      </c>
      <c r="X10" s="22">
        <f t="shared" si="6"/>
        <v>487.40067199999993</v>
      </c>
      <c r="Z10" s="10">
        <f t="shared" si="13"/>
        <v>16</v>
      </c>
      <c r="AA10" s="14">
        <f>'Pesos elementos'!T12</f>
        <v>408.84199500000005</v>
      </c>
      <c r="AB10" s="12">
        <f t="shared" si="11"/>
        <v>3366.3932800000007</v>
      </c>
      <c r="AC10" s="212">
        <v>20</v>
      </c>
      <c r="AD10" s="206">
        <f t="shared" si="7"/>
        <v>4760.2800000000007</v>
      </c>
      <c r="AE10" s="221">
        <f t="shared" si="8"/>
        <v>0.70718387993983556</v>
      </c>
      <c r="AG10" s="202">
        <f t="shared" si="9"/>
        <v>1393.88672</v>
      </c>
    </row>
    <row r="11" spans="1:33" x14ac:dyDescent="0.3">
      <c r="A11" s="24"/>
      <c r="B11" s="25"/>
      <c r="C11" s="26"/>
      <c r="D11" s="26"/>
      <c r="F11" s="10">
        <f t="shared" si="12"/>
        <v>15</v>
      </c>
      <c r="G11" s="29">
        <f>('Pesos elementos'!T13)*$D$4</f>
        <v>40.884199500000008</v>
      </c>
      <c r="H11" s="11">
        <f t="shared" si="10"/>
        <v>377.52352750000017</v>
      </c>
      <c r="I11" s="12">
        <v>54.480000000000011</v>
      </c>
      <c r="J11" s="13">
        <v>58.86</v>
      </c>
      <c r="K11" s="203">
        <v>0.2</v>
      </c>
      <c r="L11" s="204">
        <v>0.2</v>
      </c>
      <c r="M11" s="14">
        <f t="shared" si="0"/>
        <v>762.72000000000025</v>
      </c>
      <c r="N11" s="12">
        <f t="shared" si="1"/>
        <v>824.04000000000008</v>
      </c>
      <c r="O11" s="15">
        <f t="shared" si="2"/>
        <v>0.49497001193098389</v>
      </c>
      <c r="P11" s="16">
        <f t="shared" si="3"/>
        <v>0.45813738107373447</v>
      </c>
      <c r="Q11" s="223">
        <f>'Pesos elementos'!I43*'Pesos elementos'!K43/('Pesos elementos'!$J13+'Pesos elementos'!$K13)</f>
        <v>2.6562458100013904E-2</v>
      </c>
      <c r="R11" s="225">
        <f>'Pesos elementos'!J43*'Pesos elementos'!L43/('Pesos elementos'!$J13+'Pesos elementos'!$K13)</f>
        <v>2.8697986119067879E-2</v>
      </c>
      <c r="S11" s="26"/>
      <c r="T11" s="14">
        <f>'Pesos elementos'!F13</f>
        <v>2.2999999999999998</v>
      </c>
      <c r="U11" s="13">
        <f t="shared" si="4"/>
        <v>36.799999999999997</v>
      </c>
      <c r="W11" s="21">
        <f t="shared" si="5"/>
        <v>385.19647250000008</v>
      </c>
      <c r="X11" s="22">
        <f t="shared" si="6"/>
        <v>446.51647249999991</v>
      </c>
      <c r="Z11" s="10">
        <f t="shared" si="13"/>
        <v>15</v>
      </c>
      <c r="AA11" s="14">
        <f>'Pesos elementos'!T13</f>
        <v>408.84199500000005</v>
      </c>
      <c r="AB11" s="12">
        <f t="shared" si="11"/>
        <v>3775.2352750000009</v>
      </c>
      <c r="AC11" s="212">
        <v>20</v>
      </c>
      <c r="AD11" s="206">
        <f t="shared" si="7"/>
        <v>4760.2800000000007</v>
      </c>
      <c r="AE11" s="221">
        <f t="shared" si="8"/>
        <v>0.7930700032351039</v>
      </c>
      <c r="AG11" s="202">
        <f t="shared" si="9"/>
        <v>985.04472499999974</v>
      </c>
    </row>
    <row r="12" spans="1:33" x14ac:dyDescent="0.3">
      <c r="A12" s="24"/>
      <c r="B12" s="25"/>
      <c r="C12" s="26"/>
      <c r="D12" s="24"/>
      <c r="F12" s="10">
        <f t="shared" si="12"/>
        <v>14</v>
      </c>
      <c r="G12" s="29">
        <f>('Pesos elementos'!T14)*$D$4</f>
        <v>42.538387000000007</v>
      </c>
      <c r="H12" s="11">
        <f t="shared" si="10"/>
        <v>420.06191450000017</v>
      </c>
      <c r="I12" s="12">
        <v>54.480000000000011</v>
      </c>
      <c r="J12" s="13">
        <v>58.86</v>
      </c>
      <c r="K12" s="203">
        <v>0.2</v>
      </c>
      <c r="L12" s="204">
        <v>0.2</v>
      </c>
      <c r="M12" s="14">
        <f t="shared" si="0"/>
        <v>762.72000000000025</v>
      </c>
      <c r="N12" s="12">
        <f t="shared" si="1"/>
        <v>824.04000000000008</v>
      </c>
      <c r="O12" s="15">
        <f t="shared" si="2"/>
        <v>0.55074196887455429</v>
      </c>
      <c r="P12" s="16">
        <f t="shared" si="3"/>
        <v>0.50975913123149375</v>
      </c>
      <c r="Q12" s="223">
        <f>'Pesos elementos'!I44*'Pesos elementos'!K44/('Pesos elementos'!$J14+'Pesos elementos'!$K14)</f>
        <v>3.3203072625017378E-2</v>
      </c>
      <c r="R12" s="225">
        <f>'Pesos elementos'!J44*'Pesos elementos'!L44/('Pesos elementos'!$J14+'Pesos elementos'!$K14)</f>
        <v>3.5872482648834844E-2</v>
      </c>
      <c r="S12" s="26"/>
      <c r="T12" s="14">
        <f>'Pesos elementos'!F14</f>
        <v>2.2999999999999998</v>
      </c>
      <c r="U12" s="13">
        <f t="shared" si="4"/>
        <v>34.5</v>
      </c>
      <c r="W12" s="21">
        <f t="shared" si="5"/>
        <v>342.65808550000008</v>
      </c>
      <c r="X12" s="22">
        <f t="shared" si="6"/>
        <v>403.97808549999991</v>
      </c>
      <c r="Z12" s="10">
        <f t="shared" si="13"/>
        <v>14</v>
      </c>
      <c r="AA12" s="14">
        <f>'Pesos elementos'!T14</f>
        <v>425.38387000000006</v>
      </c>
      <c r="AB12" s="12">
        <f t="shared" si="11"/>
        <v>4200.6191450000006</v>
      </c>
      <c r="AC12" s="212">
        <v>20</v>
      </c>
      <c r="AD12" s="206">
        <f t="shared" si="7"/>
        <v>4760.2800000000007</v>
      </c>
      <c r="AE12" s="221">
        <f t="shared" si="8"/>
        <v>0.88243110594334784</v>
      </c>
      <c r="AG12" s="202">
        <f t="shared" si="9"/>
        <v>559.66085500000008</v>
      </c>
    </row>
    <row r="13" spans="1:33" x14ac:dyDescent="0.3">
      <c r="A13" s="24"/>
      <c r="B13" s="25"/>
      <c r="C13" s="26"/>
      <c r="D13" s="24"/>
      <c r="F13" s="10">
        <f t="shared" si="12"/>
        <v>13</v>
      </c>
      <c r="G13" s="29">
        <f>('Pesos elementos'!T15)*$D$4</f>
        <v>44.192574500000006</v>
      </c>
      <c r="H13" s="11">
        <f t="shared" si="10"/>
        <v>464.25448900000015</v>
      </c>
      <c r="I13" s="12">
        <v>54.480000000000011</v>
      </c>
      <c r="J13" s="13">
        <v>58.86</v>
      </c>
      <c r="K13" s="27">
        <v>0.25</v>
      </c>
      <c r="L13" s="205">
        <v>0.25</v>
      </c>
      <c r="M13" s="14">
        <f t="shared" si="0"/>
        <v>953.4000000000002</v>
      </c>
      <c r="N13" s="12">
        <f t="shared" si="1"/>
        <v>1030.05</v>
      </c>
      <c r="O13" s="15">
        <f t="shared" si="2"/>
        <v>0.48694618103629123</v>
      </c>
      <c r="P13" s="16">
        <f t="shared" si="3"/>
        <v>0.45071063443522175</v>
      </c>
      <c r="Q13" s="223">
        <f>'Pesos elementos'!I45*'Pesos elementos'!K45/('Pesos elementos'!$J15+'Pesos elementos'!$K15)</f>
        <v>3.3203072625017378E-2</v>
      </c>
      <c r="R13" s="225">
        <f>'Pesos elementos'!J45*'Pesos elementos'!L45/('Pesos elementos'!$J15+'Pesos elementos'!$K15)</f>
        <v>3.5872482648834844E-2</v>
      </c>
      <c r="S13" s="26"/>
      <c r="T13" s="14">
        <f>'Pesos elementos'!F15</f>
        <v>2.2999999999999998</v>
      </c>
      <c r="U13" s="13">
        <f t="shared" si="4"/>
        <v>32.200000000000003</v>
      </c>
      <c r="W13" s="21">
        <f t="shared" si="5"/>
        <v>489.14551100000006</v>
      </c>
      <c r="X13" s="22">
        <f t="shared" si="6"/>
        <v>565.79551099999981</v>
      </c>
      <c r="Z13" s="10">
        <f t="shared" si="13"/>
        <v>13</v>
      </c>
      <c r="AA13" s="14">
        <f>'Pesos elementos'!T15</f>
        <v>441.92574500000001</v>
      </c>
      <c r="AB13" s="12">
        <f t="shared" si="11"/>
        <v>4642.544890000001</v>
      </c>
      <c r="AC13" s="213">
        <v>30</v>
      </c>
      <c r="AD13" s="206">
        <f t="shared" si="7"/>
        <v>8925.5249999999996</v>
      </c>
      <c r="AE13" s="221">
        <f t="shared" si="8"/>
        <v>0.52014250030110287</v>
      </c>
      <c r="AG13" s="202">
        <f t="shared" si="9"/>
        <v>4282.9801099999986</v>
      </c>
    </row>
    <row r="14" spans="1:33" x14ac:dyDescent="0.3">
      <c r="A14" s="24"/>
      <c r="B14" s="25"/>
      <c r="C14" s="25"/>
      <c r="D14" s="24"/>
      <c r="F14" s="10">
        <f t="shared" si="12"/>
        <v>12</v>
      </c>
      <c r="G14" s="29">
        <f>('Pesos elementos'!T16)*$D$4</f>
        <v>44.192574500000006</v>
      </c>
      <c r="H14" s="11">
        <f t="shared" si="10"/>
        <v>508.44706350000013</v>
      </c>
      <c r="I14" s="12">
        <v>54.480000000000011</v>
      </c>
      <c r="J14" s="13">
        <v>58.86</v>
      </c>
      <c r="K14" s="27">
        <v>0.25</v>
      </c>
      <c r="L14" s="205">
        <v>0.25</v>
      </c>
      <c r="M14" s="14">
        <f t="shared" si="0"/>
        <v>953.4000000000002</v>
      </c>
      <c r="N14" s="12">
        <f t="shared" si="1"/>
        <v>1030.05</v>
      </c>
      <c r="O14" s="15">
        <f t="shared" si="2"/>
        <v>0.53329878697293898</v>
      </c>
      <c r="P14" s="16">
        <f t="shared" si="3"/>
        <v>0.49361396388524842</v>
      </c>
      <c r="Q14" s="223">
        <f>'Pesos elementos'!I46*'Pesos elementos'!K46/('Pesos elementos'!$J16+'Pesos elementos'!$K16)</f>
        <v>3.3203072625017378E-2</v>
      </c>
      <c r="R14" s="225">
        <f>'Pesos elementos'!J46*'Pesos elementos'!L46/('Pesos elementos'!$J16+'Pesos elementos'!$K16)</f>
        <v>3.5872482648834844E-2</v>
      </c>
      <c r="S14" s="26"/>
      <c r="T14" s="14">
        <f>'Pesos elementos'!F16</f>
        <v>2.2999999999999998</v>
      </c>
      <c r="U14" s="13">
        <f t="shared" si="4"/>
        <v>29.900000000000006</v>
      </c>
      <c r="W14" s="21">
        <f t="shared" si="5"/>
        <v>444.95293650000008</v>
      </c>
      <c r="X14" s="22">
        <f t="shared" si="6"/>
        <v>521.60293649999983</v>
      </c>
      <c r="Z14" s="10">
        <f t="shared" si="13"/>
        <v>12</v>
      </c>
      <c r="AA14" s="14">
        <f>'Pesos elementos'!T16</f>
        <v>441.92574500000001</v>
      </c>
      <c r="AB14" s="12">
        <f t="shared" si="11"/>
        <v>5084.4706350000015</v>
      </c>
      <c r="AC14" s="213">
        <v>30</v>
      </c>
      <c r="AD14" s="206">
        <f t="shared" si="7"/>
        <v>8925.5249999999996</v>
      </c>
      <c r="AE14" s="221">
        <f t="shared" si="8"/>
        <v>0.56965507743242016</v>
      </c>
      <c r="AG14" s="202">
        <f t="shared" si="9"/>
        <v>3841.0543649999981</v>
      </c>
    </row>
    <row r="15" spans="1:33" x14ac:dyDescent="0.3">
      <c r="A15" s="24"/>
      <c r="B15" s="25"/>
      <c r="C15" s="26"/>
      <c r="D15" s="24"/>
      <c r="F15" s="10">
        <f t="shared" si="12"/>
        <v>11</v>
      </c>
      <c r="G15" s="29">
        <f>('Pesos elementos'!T17)*$D$4</f>
        <v>44.192574500000006</v>
      </c>
      <c r="H15" s="11">
        <f t="shared" si="10"/>
        <v>552.6396380000001</v>
      </c>
      <c r="I15" s="12">
        <v>54.480000000000011</v>
      </c>
      <c r="J15" s="13">
        <v>58.86</v>
      </c>
      <c r="K15" s="27">
        <v>0.25</v>
      </c>
      <c r="L15" s="205">
        <v>0.25</v>
      </c>
      <c r="M15" s="14">
        <f t="shared" si="0"/>
        <v>953.4000000000002</v>
      </c>
      <c r="N15" s="12">
        <f t="shared" si="1"/>
        <v>1030.05</v>
      </c>
      <c r="O15" s="15">
        <f t="shared" si="2"/>
        <v>0.57965139290958678</v>
      </c>
      <c r="P15" s="16">
        <f t="shared" si="3"/>
        <v>0.53651729333527509</v>
      </c>
      <c r="Q15" s="223">
        <f>'Pesos elementos'!I47*'Pesos elementos'!K47/('Pesos elementos'!$J17+'Pesos elementos'!$K17)</f>
        <v>3.3203072625017378E-2</v>
      </c>
      <c r="R15" s="225">
        <f>'Pesos elementos'!J47*'Pesos elementos'!L47/('Pesos elementos'!$J17+'Pesos elementos'!$K17)</f>
        <v>3.5872482648834844E-2</v>
      </c>
      <c r="S15" s="26"/>
      <c r="T15" s="14">
        <f>'Pesos elementos'!F17</f>
        <v>2.2999999999999998</v>
      </c>
      <c r="U15" s="13">
        <f t="shared" si="4"/>
        <v>27.600000000000005</v>
      </c>
      <c r="W15" s="21">
        <f t="shared" si="5"/>
        <v>400.7603620000001</v>
      </c>
      <c r="X15" s="22">
        <f t="shared" si="6"/>
        <v>477.41036199999985</v>
      </c>
      <c r="Z15" s="10">
        <f t="shared" si="13"/>
        <v>11</v>
      </c>
      <c r="AA15" s="14">
        <f>'Pesos elementos'!T17</f>
        <v>441.92574500000001</v>
      </c>
      <c r="AB15" s="12">
        <f t="shared" si="11"/>
        <v>5526.396380000002</v>
      </c>
      <c r="AC15" s="213">
        <v>30</v>
      </c>
      <c r="AD15" s="206">
        <f t="shared" si="7"/>
        <v>8925.5249999999996</v>
      </c>
      <c r="AE15" s="221">
        <f t="shared" si="8"/>
        <v>0.61916765456373735</v>
      </c>
      <c r="AG15" s="202">
        <f t="shared" si="9"/>
        <v>3399.1286199999977</v>
      </c>
    </row>
    <row r="16" spans="1:33" x14ac:dyDescent="0.3">
      <c r="A16" s="24"/>
      <c r="B16" s="25"/>
      <c r="C16" s="26"/>
      <c r="D16" s="24"/>
      <c r="F16" s="10">
        <f t="shared" si="12"/>
        <v>10</v>
      </c>
      <c r="G16" s="29">
        <f>('Pesos elementos'!T18)*$D$4</f>
        <v>44.192574500000006</v>
      </c>
      <c r="H16" s="11">
        <f t="shared" si="10"/>
        <v>596.83221250000008</v>
      </c>
      <c r="I16" s="12">
        <v>54.480000000000011</v>
      </c>
      <c r="J16" s="13">
        <v>58.86</v>
      </c>
      <c r="K16" s="27">
        <v>0.25</v>
      </c>
      <c r="L16" s="205">
        <v>0.25</v>
      </c>
      <c r="M16" s="14">
        <f t="shared" si="0"/>
        <v>953.4000000000002</v>
      </c>
      <c r="N16" s="12">
        <f t="shared" si="1"/>
        <v>1030.05</v>
      </c>
      <c r="O16" s="15">
        <f t="shared" si="2"/>
        <v>0.62600399884623448</v>
      </c>
      <c r="P16" s="16">
        <f t="shared" si="3"/>
        <v>0.57942062278530182</v>
      </c>
      <c r="Q16" s="223">
        <f>'Pesos elementos'!I48*'Pesos elementos'!K48/('Pesos elementos'!$J18+'Pesos elementos'!$K18)</f>
        <v>3.3203072625017378E-2</v>
      </c>
      <c r="R16" s="225">
        <f>'Pesos elementos'!J48*'Pesos elementos'!L48/('Pesos elementos'!$J18+'Pesos elementos'!$K18)</f>
        <v>3.5872482648834844E-2</v>
      </c>
      <c r="S16" s="26"/>
      <c r="T16" s="14">
        <f>'Pesos elementos'!F18</f>
        <v>2.2999999999999998</v>
      </c>
      <c r="U16" s="13">
        <f t="shared" si="4"/>
        <v>25.300000000000004</v>
      </c>
      <c r="W16" s="21">
        <f t="shared" si="5"/>
        <v>356.56778750000012</v>
      </c>
      <c r="X16" s="22">
        <f t="shared" si="6"/>
        <v>433.21778749999987</v>
      </c>
      <c r="Z16" s="10">
        <f t="shared" si="13"/>
        <v>10</v>
      </c>
      <c r="AA16" s="14">
        <f>'Pesos elementos'!T18</f>
        <v>441.92574500000001</v>
      </c>
      <c r="AB16" s="12">
        <f t="shared" si="11"/>
        <v>5968.3221250000024</v>
      </c>
      <c r="AC16" s="213">
        <v>30</v>
      </c>
      <c r="AD16" s="206">
        <f t="shared" si="7"/>
        <v>8925.5249999999996</v>
      </c>
      <c r="AE16" s="221">
        <f t="shared" si="8"/>
        <v>0.66868023169505464</v>
      </c>
      <c r="AG16" s="202">
        <f t="shared" si="9"/>
        <v>2957.2028749999972</v>
      </c>
    </row>
    <row r="17" spans="1:33" x14ac:dyDescent="0.3">
      <c r="A17" s="24"/>
      <c r="B17" s="25"/>
      <c r="C17" s="26"/>
      <c r="D17" s="24"/>
      <c r="F17" s="10">
        <f t="shared" si="12"/>
        <v>9</v>
      </c>
      <c r="G17" s="29">
        <f>('Pesos elementos'!T19)*$D$4</f>
        <v>44.192574500000006</v>
      </c>
      <c r="H17" s="11">
        <f t="shared" si="10"/>
        <v>641.02478700000006</v>
      </c>
      <c r="I17" s="12">
        <v>54.480000000000011</v>
      </c>
      <c r="J17" s="13">
        <v>58.86</v>
      </c>
      <c r="K17" s="27">
        <v>0.25</v>
      </c>
      <c r="L17" s="205">
        <v>0.25</v>
      </c>
      <c r="M17" s="14">
        <f t="shared" si="0"/>
        <v>953.4000000000002</v>
      </c>
      <c r="N17" s="12">
        <f t="shared" si="1"/>
        <v>1030.05</v>
      </c>
      <c r="O17" s="15">
        <f t="shared" si="2"/>
        <v>0.67235660478288228</v>
      </c>
      <c r="P17" s="16">
        <f t="shared" si="3"/>
        <v>0.62232395223532844</v>
      </c>
      <c r="Q17" s="223">
        <f>'Pesos elementos'!I49*'Pesos elementos'!K49/('Pesos elementos'!$J19+'Pesos elementos'!$K19)</f>
        <v>3.3203072625017378E-2</v>
      </c>
      <c r="R17" s="225">
        <f>'Pesos elementos'!J49*'Pesos elementos'!L49/('Pesos elementos'!$J19+'Pesos elementos'!$K19)</f>
        <v>3.5872482648834844E-2</v>
      </c>
      <c r="S17" s="26"/>
      <c r="T17" s="14">
        <f>'Pesos elementos'!F19</f>
        <v>2.2999999999999998</v>
      </c>
      <c r="U17" s="13">
        <f t="shared" si="4"/>
        <v>23.000000000000004</v>
      </c>
      <c r="W17" s="21">
        <f t="shared" si="5"/>
        <v>312.37521300000014</v>
      </c>
      <c r="X17" s="22">
        <f t="shared" si="6"/>
        <v>389.02521299999989</v>
      </c>
      <c r="Z17" s="10">
        <f t="shared" si="13"/>
        <v>9</v>
      </c>
      <c r="AA17" s="14">
        <f>'Pesos elementos'!T19</f>
        <v>441.92574500000001</v>
      </c>
      <c r="AB17" s="12">
        <f t="shared" si="11"/>
        <v>6410.2478700000029</v>
      </c>
      <c r="AC17" s="213">
        <v>30</v>
      </c>
      <c r="AD17" s="206">
        <f t="shared" si="7"/>
        <v>8925.5249999999996</v>
      </c>
      <c r="AE17" s="221">
        <f t="shared" si="8"/>
        <v>0.71819280882637193</v>
      </c>
      <c r="AG17" s="202">
        <f t="shared" si="9"/>
        <v>2515.2771299999968</v>
      </c>
    </row>
    <row r="18" spans="1:33" x14ac:dyDescent="0.3">
      <c r="A18" s="24"/>
      <c r="B18" s="25"/>
      <c r="C18" s="26"/>
      <c r="D18" s="24"/>
      <c r="F18" s="10">
        <f t="shared" si="12"/>
        <v>8</v>
      </c>
      <c r="G18" s="29">
        <f>('Pesos elementos'!T20)*$D$4</f>
        <v>44.192574500000006</v>
      </c>
      <c r="H18" s="11">
        <f t="shared" si="10"/>
        <v>685.21736150000004</v>
      </c>
      <c r="I18" s="12">
        <v>54.480000000000011</v>
      </c>
      <c r="J18" s="13">
        <v>58.86</v>
      </c>
      <c r="K18" s="27">
        <v>0.25</v>
      </c>
      <c r="L18" s="205">
        <v>0.25</v>
      </c>
      <c r="M18" s="14">
        <f t="shared" si="0"/>
        <v>953.4000000000002</v>
      </c>
      <c r="N18" s="12">
        <f t="shared" si="1"/>
        <v>1030.05</v>
      </c>
      <c r="O18" s="15">
        <f t="shared" si="2"/>
        <v>0.71870921071952998</v>
      </c>
      <c r="P18" s="16">
        <f t="shared" si="3"/>
        <v>0.66522728168535517</v>
      </c>
      <c r="Q18" s="223">
        <f>'Pesos elementos'!I50*'Pesos elementos'!K50/('Pesos elementos'!$J20+'Pesos elementos'!$K20)</f>
        <v>3.3203072625017378E-2</v>
      </c>
      <c r="R18" s="225">
        <f>'Pesos elementos'!J50*'Pesos elementos'!L50/('Pesos elementos'!$J20+'Pesos elementos'!$K20)</f>
        <v>3.5872482648834844E-2</v>
      </c>
      <c r="S18" s="26"/>
      <c r="T18" s="14">
        <f>'Pesos elementos'!F20</f>
        <v>2.2999999999999998</v>
      </c>
      <c r="U18" s="13">
        <f t="shared" si="4"/>
        <v>20.700000000000003</v>
      </c>
      <c r="W18" s="21">
        <f t="shared" si="5"/>
        <v>268.18263850000017</v>
      </c>
      <c r="X18" s="22">
        <f t="shared" si="6"/>
        <v>344.83263849999992</v>
      </c>
      <c r="Z18" s="10">
        <f t="shared" si="13"/>
        <v>8</v>
      </c>
      <c r="AA18" s="14">
        <f>'Pesos elementos'!T20</f>
        <v>441.92574500000001</v>
      </c>
      <c r="AB18" s="12">
        <f t="shared" si="11"/>
        <v>6852.1736150000033</v>
      </c>
      <c r="AC18" s="213">
        <v>30</v>
      </c>
      <c r="AD18" s="206">
        <f t="shared" si="7"/>
        <v>8925.5249999999996</v>
      </c>
      <c r="AE18" s="221">
        <f t="shared" si="8"/>
        <v>0.76770538595768922</v>
      </c>
      <c r="AG18" s="202">
        <f t="shared" si="9"/>
        <v>2073.3513849999963</v>
      </c>
    </row>
    <row r="19" spans="1:33" x14ac:dyDescent="0.3">
      <c r="A19" s="24"/>
      <c r="B19" s="25"/>
      <c r="C19" s="26"/>
      <c r="D19" s="24"/>
      <c r="F19" s="10">
        <f t="shared" si="12"/>
        <v>7</v>
      </c>
      <c r="G19" s="29">
        <f>('Pesos elementos'!T21)*$D$4</f>
        <v>44.192574500000006</v>
      </c>
      <c r="H19" s="11">
        <f t="shared" si="10"/>
        <v>729.40993600000002</v>
      </c>
      <c r="I19" s="12">
        <v>54.480000000000011</v>
      </c>
      <c r="J19" s="13">
        <v>58.86</v>
      </c>
      <c r="K19" s="27">
        <v>0.25</v>
      </c>
      <c r="L19" s="205">
        <v>0.25</v>
      </c>
      <c r="M19" s="14">
        <f t="shared" si="0"/>
        <v>953.4000000000002</v>
      </c>
      <c r="N19" s="12">
        <f t="shared" si="1"/>
        <v>1030.05</v>
      </c>
      <c r="O19" s="15">
        <f t="shared" si="2"/>
        <v>0.76506181665617778</v>
      </c>
      <c r="P19" s="16">
        <f t="shared" si="3"/>
        <v>0.70813061113538178</v>
      </c>
      <c r="Q19" s="223">
        <f>'Pesos elementos'!I51*'Pesos elementos'!K51/('Pesos elementos'!$J21+'Pesos elementos'!$K21)</f>
        <v>3.3203072625017378E-2</v>
      </c>
      <c r="R19" s="225">
        <f>'Pesos elementos'!J51*'Pesos elementos'!L51/('Pesos elementos'!$J21+'Pesos elementos'!$K21)</f>
        <v>3.5872482648834844E-2</v>
      </c>
      <c r="S19" s="26"/>
      <c r="T19" s="14">
        <f>'Pesos elementos'!F21</f>
        <v>2.2999999999999998</v>
      </c>
      <c r="U19" s="13">
        <f t="shared" si="4"/>
        <v>18.400000000000002</v>
      </c>
      <c r="W19" s="21">
        <f t="shared" si="5"/>
        <v>223.99006400000019</v>
      </c>
      <c r="X19" s="22">
        <f t="shared" si="6"/>
        <v>300.64006399999994</v>
      </c>
      <c r="Z19" s="10">
        <f t="shared" si="13"/>
        <v>7</v>
      </c>
      <c r="AA19" s="14">
        <f>'Pesos elementos'!T21</f>
        <v>441.92574500000001</v>
      </c>
      <c r="AB19" s="12">
        <f t="shared" si="11"/>
        <v>7294.0993600000038</v>
      </c>
      <c r="AC19" s="214">
        <v>35</v>
      </c>
      <c r="AD19" s="206">
        <f t="shared" si="7"/>
        <v>10413.112500000001</v>
      </c>
      <c r="AE19" s="221">
        <f t="shared" si="8"/>
        <v>0.70047253979057689</v>
      </c>
      <c r="AG19" s="202">
        <f t="shared" si="9"/>
        <v>3119.0131399999973</v>
      </c>
    </row>
    <row r="20" spans="1:33" x14ac:dyDescent="0.3">
      <c r="A20" s="24"/>
      <c r="B20" s="25"/>
      <c r="D20" s="26"/>
      <c r="F20" s="10">
        <f t="shared" si="12"/>
        <v>6</v>
      </c>
      <c r="G20" s="29">
        <f>('Pesos elementos'!T22)*$D$4</f>
        <v>44.192574500000006</v>
      </c>
      <c r="H20" s="11">
        <f t="shared" si="10"/>
        <v>773.60251049999999</v>
      </c>
      <c r="I20" s="12">
        <v>54.480000000000011</v>
      </c>
      <c r="J20" s="13">
        <v>58.86</v>
      </c>
      <c r="K20" s="27">
        <v>0.25</v>
      </c>
      <c r="L20" s="205">
        <v>0.25</v>
      </c>
      <c r="M20" s="14">
        <f t="shared" si="0"/>
        <v>953.4000000000002</v>
      </c>
      <c r="N20" s="12">
        <f t="shared" si="1"/>
        <v>1030.05</v>
      </c>
      <c r="O20" s="15">
        <f t="shared" si="2"/>
        <v>0.81141442259282548</v>
      </c>
      <c r="P20" s="16">
        <f t="shared" si="3"/>
        <v>0.75103394058540851</v>
      </c>
      <c r="Q20" s="223">
        <f>'Pesos elementos'!I52*'Pesos elementos'!K52/('Pesos elementos'!$J22+'Pesos elementos'!$K22)</f>
        <v>3.3203072625017378E-2</v>
      </c>
      <c r="R20" s="225">
        <f>'Pesos elementos'!J52*'Pesos elementos'!L52/('Pesos elementos'!$J22+'Pesos elementos'!$K22)</f>
        <v>3.5872482648834844E-2</v>
      </c>
      <c r="S20" s="26"/>
      <c r="T20" s="14">
        <f>'Pesos elementos'!F22</f>
        <v>2.2999999999999998</v>
      </c>
      <c r="U20" s="13">
        <f t="shared" si="4"/>
        <v>16.100000000000001</v>
      </c>
      <c r="W20" s="21">
        <f t="shared" si="5"/>
        <v>179.79748950000021</v>
      </c>
      <c r="X20" s="22">
        <f t="shared" si="6"/>
        <v>256.44748949999996</v>
      </c>
      <c r="Z20" s="10">
        <f t="shared" si="13"/>
        <v>6</v>
      </c>
      <c r="AA20" s="14">
        <f>'Pesos elementos'!T22</f>
        <v>441.92574500000001</v>
      </c>
      <c r="AB20" s="12">
        <f t="shared" si="11"/>
        <v>7736.0251050000043</v>
      </c>
      <c r="AC20" s="214">
        <v>35</v>
      </c>
      <c r="AD20" s="206">
        <f t="shared" si="7"/>
        <v>10413.112500000001</v>
      </c>
      <c r="AE20" s="221">
        <f t="shared" si="8"/>
        <v>0.74291189161742022</v>
      </c>
      <c r="AG20" s="202">
        <f t="shared" si="9"/>
        <v>2677.0873949999968</v>
      </c>
    </row>
    <row r="21" spans="1:33" x14ac:dyDescent="0.3">
      <c r="A21" s="24"/>
      <c r="B21" s="25"/>
      <c r="C21" s="26"/>
      <c r="D21" s="24"/>
      <c r="F21" s="10">
        <f t="shared" si="12"/>
        <v>5</v>
      </c>
      <c r="G21" s="29">
        <f>('Pesos elementos'!T23)*$D$4</f>
        <v>44.192574500000006</v>
      </c>
      <c r="H21" s="11">
        <f t="shared" si="10"/>
        <v>817.79508499999997</v>
      </c>
      <c r="I21" s="12">
        <v>54.480000000000011</v>
      </c>
      <c r="J21" s="13">
        <v>58.86</v>
      </c>
      <c r="K21" s="27">
        <v>0.25</v>
      </c>
      <c r="L21" s="28">
        <v>0.25</v>
      </c>
      <c r="M21" s="14">
        <f t="shared" si="0"/>
        <v>953.4000000000002</v>
      </c>
      <c r="N21" s="12">
        <f t="shared" si="1"/>
        <v>1030.05</v>
      </c>
      <c r="O21" s="15">
        <f t="shared" si="2"/>
        <v>0.85776702852947329</v>
      </c>
      <c r="P21" s="16">
        <f t="shared" si="3"/>
        <v>0.79393727003543513</v>
      </c>
      <c r="Q21" s="223">
        <f>'Pesos elementos'!I53*'Pesos elementos'!K53/('Pesos elementos'!$J23+'Pesos elementos'!$K23)</f>
        <v>3.3203072625017378E-2</v>
      </c>
      <c r="R21" s="225">
        <f>'Pesos elementos'!J53*'Pesos elementos'!L53/('Pesos elementos'!$J23+'Pesos elementos'!$K23)</f>
        <v>3.5872482648834844E-2</v>
      </c>
      <c r="S21" s="26"/>
      <c r="T21" s="14">
        <f>'Pesos elementos'!F23</f>
        <v>2.2999999999999998</v>
      </c>
      <c r="U21" s="13">
        <f t="shared" si="4"/>
        <v>13.8</v>
      </c>
      <c r="W21" s="21">
        <f t="shared" si="5"/>
        <v>135.60491500000023</v>
      </c>
      <c r="X21" s="22">
        <f t="shared" si="6"/>
        <v>212.25491499999998</v>
      </c>
      <c r="Z21" s="10">
        <f t="shared" si="13"/>
        <v>5</v>
      </c>
      <c r="AA21" s="14">
        <f>'Pesos elementos'!T23</f>
        <v>441.92574500000001</v>
      </c>
      <c r="AB21" s="12">
        <f t="shared" si="11"/>
        <v>8177.9508500000047</v>
      </c>
      <c r="AC21" s="214">
        <v>35</v>
      </c>
      <c r="AD21" s="206">
        <f t="shared" si="7"/>
        <v>10413.112500000001</v>
      </c>
      <c r="AE21" s="221">
        <f t="shared" si="8"/>
        <v>0.78535124344426355</v>
      </c>
      <c r="AG21" s="202">
        <f t="shared" si="9"/>
        <v>2235.1616499999964</v>
      </c>
    </row>
    <row r="22" spans="1:33" x14ac:dyDescent="0.3">
      <c r="F22" s="10">
        <f t="shared" si="12"/>
        <v>4</v>
      </c>
      <c r="G22" s="29">
        <f>('Pesos elementos'!T24)*$D$4</f>
        <v>44.192574500000006</v>
      </c>
      <c r="H22" s="11">
        <f t="shared" si="10"/>
        <v>861.98765949999995</v>
      </c>
      <c r="I22" s="12">
        <v>54.480000000000011</v>
      </c>
      <c r="J22" s="13">
        <v>58.86</v>
      </c>
      <c r="K22" s="27">
        <v>0.25</v>
      </c>
      <c r="L22" s="28">
        <v>0.25</v>
      </c>
      <c r="M22" s="14">
        <f t="shared" si="0"/>
        <v>953.4000000000002</v>
      </c>
      <c r="N22" s="12">
        <f t="shared" si="1"/>
        <v>1030.05</v>
      </c>
      <c r="O22" s="15">
        <f t="shared" si="2"/>
        <v>0.90411963446612098</v>
      </c>
      <c r="P22" s="16">
        <f t="shared" si="3"/>
        <v>0.83684059948546186</v>
      </c>
      <c r="Q22" s="223">
        <f>'Pesos elementos'!I54*'Pesos elementos'!K54/('Pesos elementos'!$J24+'Pesos elementos'!$K24)</f>
        <v>3.3203072625017378E-2</v>
      </c>
      <c r="R22" s="225">
        <f>'Pesos elementos'!J54*'Pesos elementos'!L54/('Pesos elementos'!$J24+'Pesos elementos'!$K24)</f>
        <v>3.5872482648834844E-2</v>
      </c>
      <c r="S22" s="26"/>
      <c r="T22" s="14">
        <f>'Pesos elementos'!F24</f>
        <v>2.2999999999999998</v>
      </c>
      <c r="U22" s="13">
        <f t="shared" si="4"/>
        <v>11.5</v>
      </c>
      <c r="W22" s="21">
        <f t="shared" si="5"/>
        <v>91.412340500000255</v>
      </c>
      <c r="X22" s="22">
        <f t="shared" si="6"/>
        <v>168.0623405</v>
      </c>
      <c r="Z22" s="10">
        <f t="shared" si="13"/>
        <v>4</v>
      </c>
      <c r="AA22" s="14">
        <f>'Pesos elementos'!T24</f>
        <v>441.92574500000001</v>
      </c>
      <c r="AB22" s="12">
        <f t="shared" si="11"/>
        <v>8619.8765950000052</v>
      </c>
      <c r="AC22" s="214">
        <v>35</v>
      </c>
      <c r="AD22" s="206">
        <f t="shared" si="7"/>
        <v>10413.112500000001</v>
      </c>
      <c r="AE22" s="221">
        <f t="shared" si="8"/>
        <v>0.82779059527110688</v>
      </c>
      <c r="AG22" s="202">
        <f t="shared" si="9"/>
        <v>1793.2359049999959</v>
      </c>
    </row>
    <row r="23" spans="1:33" x14ac:dyDescent="0.3">
      <c r="F23" s="10">
        <f t="shared" si="12"/>
        <v>3</v>
      </c>
      <c r="G23" s="29">
        <f>('Pesos elementos'!T25)*$D$4</f>
        <v>44.469054500000006</v>
      </c>
      <c r="H23" s="11">
        <f t="shared" si="10"/>
        <v>906.45671399999992</v>
      </c>
      <c r="I23" s="12">
        <v>54.480000000000011</v>
      </c>
      <c r="J23" s="13">
        <v>58.86</v>
      </c>
      <c r="K23" s="27">
        <v>0.25</v>
      </c>
      <c r="L23" s="28">
        <v>0.25</v>
      </c>
      <c r="M23" s="14">
        <f t="shared" si="0"/>
        <v>953.4000000000002</v>
      </c>
      <c r="N23" s="12">
        <f t="shared" si="1"/>
        <v>1030.05</v>
      </c>
      <c r="O23" s="15">
        <f t="shared" si="2"/>
        <v>0.95076223410950256</v>
      </c>
      <c r="P23" s="16">
        <f t="shared" si="3"/>
        <v>0.8800123430901412</v>
      </c>
      <c r="Q23" s="223">
        <f>'Pesos elementos'!I55*'Pesos elementos'!K55/('Pesos elementos'!$J25+'Pesos elementos'!$K25)</f>
        <v>3.5543377303432704E-2</v>
      </c>
      <c r="R23" s="225">
        <f>'Pesos elementos'!J55*'Pesos elementos'!L55/('Pesos elementos'!$J25+'Pesos elementos'!$K25)</f>
        <v>3.5872482648834844E-2</v>
      </c>
      <c r="S23" s="26"/>
      <c r="T23" s="14">
        <f>'Pesos elementos'!F25</f>
        <v>2.2999999999999998</v>
      </c>
      <c r="U23" s="13">
        <f t="shared" si="4"/>
        <v>9.1999999999999993</v>
      </c>
      <c r="W23" s="21">
        <f t="shared" si="5"/>
        <v>46.943286000000285</v>
      </c>
      <c r="X23" s="22">
        <f t="shared" si="6"/>
        <v>123.59328600000003</v>
      </c>
      <c r="Z23" s="10">
        <f t="shared" si="13"/>
        <v>3</v>
      </c>
      <c r="AA23" s="14">
        <f>'Pesos elementos'!T25</f>
        <v>444.69054500000004</v>
      </c>
      <c r="AB23" s="12">
        <f t="shared" si="11"/>
        <v>9064.5671400000047</v>
      </c>
      <c r="AC23" s="214">
        <v>35</v>
      </c>
      <c r="AD23" s="206">
        <f t="shared" si="7"/>
        <v>10413.112500000001</v>
      </c>
      <c r="AE23" s="221">
        <f t="shared" si="8"/>
        <v>0.8704954584904373</v>
      </c>
      <c r="AG23" s="202">
        <f t="shared" si="9"/>
        <v>1348.5453599999964</v>
      </c>
    </row>
    <row r="24" spans="1:33" x14ac:dyDescent="0.3">
      <c r="C24" s="4"/>
      <c r="F24" s="10">
        <f t="shared" si="12"/>
        <v>2</v>
      </c>
      <c r="G24" s="29">
        <f>('Pesos elementos'!T26)*$D$4</f>
        <v>45.315719250000001</v>
      </c>
      <c r="H24" s="11">
        <f t="shared" si="10"/>
        <v>951.77243324999995</v>
      </c>
      <c r="I24" s="12">
        <v>58.320000000000014</v>
      </c>
      <c r="J24" s="13">
        <v>58.86</v>
      </c>
      <c r="K24" s="27">
        <v>0.25</v>
      </c>
      <c r="L24" s="28">
        <v>0.25</v>
      </c>
      <c r="M24" s="14">
        <f t="shared" si="0"/>
        <v>1020.6000000000004</v>
      </c>
      <c r="N24" s="12">
        <f t="shared" si="1"/>
        <v>1030.05</v>
      </c>
      <c r="O24" s="15">
        <f t="shared" si="2"/>
        <v>0.9325616629923571</v>
      </c>
      <c r="P24" s="16">
        <f t="shared" si="3"/>
        <v>0.92400605140527159</v>
      </c>
      <c r="Q24" s="223">
        <f>'Pesos elementos'!I56*'Pesos elementos'!K56/('Pesos elementos'!$J26+'Pesos elementos'!$K26)</f>
        <v>3.9779450794006355E-2</v>
      </c>
      <c r="R24" s="225">
        <f>'Pesos elementos'!J56*'Pesos elementos'!L56/('Pesos elementos'!$J26+'Pesos elementos'!$K26)</f>
        <v>3.6873450823224616E-2</v>
      </c>
      <c r="S24" s="26"/>
      <c r="T24" s="14">
        <f>'Pesos elementos'!F26</f>
        <v>2.2999999999999998</v>
      </c>
      <c r="U24" s="13">
        <f t="shared" si="4"/>
        <v>6.8999999999999995</v>
      </c>
      <c r="W24" s="21">
        <f t="shared" si="5"/>
        <v>68.827566750000415</v>
      </c>
      <c r="X24" s="22">
        <f t="shared" si="6"/>
        <v>78.277566750000005</v>
      </c>
      <c r="Z24" s="10">
        <f t="shared" si="13"/>
        <v>2</v>
      </c>
      <c r="AA24" s="14">
        <f>'Pesos elementos'!T26</f>
        <v>453.15719249999995</v>
      </c>
      <c r="AB24" s="12">
        <f t="shared" si="11"/>
        <v>9517.7243325000054</v>
      </c>
      <c r="AC24" s="214">
        <v>35</v>
      </c>
      <c r="AD24" s="206">
        <f t="shared" si="7"/>
        <v>10765.9125</v>
      </c>
      <c r="AE24" s="221">
        <f t="shared" si="8"/>
        <v>0.8840610893410108</v>
      </c>
      <c r="AG24" s="202">
        <f t="shared" si="9"/>
        <v>1248.188167499995</v>
      </c>
    </row>
    <row r="25" spans="1:33" x14ac:dyDescent="0.3">
      <c r="F25" s="10">
        <f t="shared" si="12"/>
        <v>1</v>
      </c>
      <c r="G25" s="29">
        <f>('Pesos elementos'!T27)*$D$4</f>
        <v>46.846287625000002</v>
      </c>
      <c r="H25" s="11">
        <f t="shared" si="10"/>
        <v>998.61872087500001</v>
      </c>
      <c r="I25" s="12">
        <v>65.349999999999994</v>
      </c>
      <c r="J25" s="13">
        <v>50.47999999999999</v>
      </c>
      <c r="K25" s="30">
        <v>0.25</v>
      </c>
      <c r="L25" s="31">
        <v>0.3</v>
      </c>
      <c r="M25" s="14">
        <f t="shared" si="0"/>
        <v>1143.625</v>
      </c>
      <c r="N25" s="12">
        <f t="shared" si="1"/>
        <v>1060.0799999999997</v>
      </c>
      <c r="O25" s="15">
        <f t="shared" si="2"/>
        <v>0.87320469636025799</v>
      </c>
      <c r="P25" s="16">
        <f t="shared" si="3"/>
        <v>0.94202203689815889</v>
      </c>
      <c r="Q25" s="223">
        <f>'Pesos elementos'!I57*'Pesos elementos'!K57/('Pesos elementos'!$J27+'Pesos elementos'!$K27)</f>
        <v>4.0359882346156055E-2</v>
      </c>
      <c r="R25" s="225">
        <f>'Pesos elementos'!J57*'Pesos elementos'!L57/('Pesos elementos'!$J27+'Pesos elementos'!$K27)</f>
        <v>3.805063729165465E-2</v>
      </c>
      <c r="S25" s="26"/>
      <c r="T25" s="14">
        <f>'Pesos elementos'!F27</f>
        <v>2.2999999999999998</v>
      </c>
      <c r="U25" s="13">
        <f>T25+U26</f>
        <v>4.5999999999999996</v>
      </c>
      <c r="W25" s="21">
        <f t="shared" si="5"/>
        <v>145.00627912499999</v>
      </c>
      <c r="X25" s="22">
        <f t="shared" si="6"/>
        <v>61.461279124999692</v>
      </c>
      <c r="Z25" s="10">
        <f t="shared" si="13"/>
        <v>1</v>
      </c>
      <c r="AA25" s="14">
        <f>'Pesos elementos'!T27</f>
        <v>468.46287624999997</v>
      </c>
      <c r="AB25" s="12">
        <f t="shared" si="11"/>
        <v>9986.1872087500051</v>
      </c>
      <c r="AC25" s="214">
        <v>35</v>
      </c>
      <c r="AD25" s="206">
        <f t="shared" si="7"/>
        <v>11569.451249999998</v>
      </c>
      <c r="AE25" s="221">
        <f t="shared" si="8"/>
        <v>0.86315132783415349</v>
      </c>
      <c r="AG25" s="202">
        <f t="shared" si="9"/>
        <v>1583.2640412499932</v>
      </c>
    </row>
    <row r="26" spans="1:33" ht="15" thickBot="1" x14ac:dyDescent="0.35">
      <c r="F26" s="33">
        <v>-1</v>
      </c>
      <c r="G26" s="34">
        <f>('Pesos elementos'!T28)*$D$4</f>
        <v>66.431207749999999</v>
      </c>
      <c r="H26" s="35">
        <f t="shared" si="10"/>
        <v>1065.0499286250001</v>
      </c>
      <c r="I26" s="36">
        <v>69.97999999999999</v>
      </c>
      <c r="J26" s="37">
        <v>54.98</v>
      </c>
      <c r="K26" s="38">
        <v>0.25</v>
      </c>
      <c r="L26" s="39">
        <v>0.3</v>
      </c>
      <c r="M26" s="40">
        <f t="shared" si="0"/>
        <v>1224.6499999999999</v>
      </c>
      <c r="N26" s="36">
        <f t="shared" si="1"/>
        <v>1154.58</v>
      </c>
      <c r="O26" s="41">
        <f t="shared" si="2"/>
        <v>0.86967699230392381</v>
      </c>
      <c r="P26" s="42">
        <f t="shared" si="3"/>
        <v>0.92245658908434247</v>
      </c>
      <c r="Q26" s="224">
        <f>'Pesos elementos'!I58*'Pesos elementos'!K58/('Pesos elementos'!$J28+'Pesos elementos'!$K28)</f>
        <v>2.7256477756990641E-2</v>
      </c>
      <c r="R26" s="226">
        <f>'Pesos elementos'!J58*'Pesos elementos'!L58/('Pesos elementos'!$J28+'Pesos elementos'!$K28)</f>
        <v>2.5656671234894957E-2</v>
      </c>
      <c r="S26" s="26"/>
      <c r="T26" s="40">
        <f>'Pesos elementos'!F28</f>
        <v>2.2999999999999998</v>
      </c>
      <c r="U26" s="37">
        <f>T26</f>
        <v>2.2999999999999998</v>
      </c>
      <c r="W26" s="44">
        <f t="shared" si="5"/>
        <v>159.60007137499974</v>
      </c>
      <c r="X26" s="45">
        <f t="shared" si="6"/>
        <v>89.530071374999807</v>
      </c>
      <c r="Z26" s="33">
        <v>-1</v>
      </c>
      <c r="AA26" s="40">
        <f>'Pesos elementos'!T28</f>
        <v>664.31207749999999</v>
      </c>
      <c r="AB26" s="36">
        <f t="shared" si="11"/>
        <v>10650.499286250006</v>
      </c>
      <c r="AC26" s="215">
        <v>35</v>
      </c>
      <c r="AD26" s="207">
        <f t="shared" si="7"/>
        <v>12490.957499999999</v>
      </c>
      <c r="AE26" s="222">
        <f t="shared" si="8"/>
        <v>0.85265675479642034</v>
      </c>
      <c r="AG26" s="202">
        <f t="shared" si="9"/>
        <v>1840.4582137499929</v>
      </c>
    </row>
    <row r="28" spans="1:33" x14ac:dyDescent="0.3">
      <c r="F28" s="228" t="s">
        <v>8</v>
      </c>
      <c r="G28" s="228" t="s">
        <v>146</v>
      </c>
      <c r="H28" s="228" t="s">
        <v>147</v>
      </c>
      <c r="I28" s="228" t="str">
        <f t="shared" ref="I28:I52" si="14">Q2</f>
        <v>Densidad muro x</v>
      </c>
      <c r="J28" s="228" t="str">
        <f t="shared" ref="J28:J52" si="15">R2</f>
        <v>Densidad muro y</v>
      </c>
    </row>
    <row r="29" spans="1:33" x14ac:dyDescent="0.3">
      <c r="F29" s="227">
        <v>23</v>
      </c>
      <c r="G29" s="227">
        <v>0.2</v>
      </c>
      <c r="H29" s="227">
        <v>0.2</v>
      </c>
      <c r="I29" s="230">
        <f t="shared" si="14"/>
        <v>2.6562458100013904E-2</v>
      </c>
      <c r="J29" s="230">
        <f t="shared" si="15"/>
        <v>2.8697986119067879E-2</v>
      </c>
    </row>
    <row r="30" spans="1:33" x14ac:dyDescent="0.3">
      <c r="F30" s="227">
        <v>22</v>
      </c>
      <c r="G30" s="227">
        <v>0.2</v>
      </c>
      <c r="H30" s="227">
        <v>0.2</v>
      </c>
      <c r="I30" s="230">
        <f t="shared" si="14"/>
        <v>2.6562458100013904E-2</v>
      </c>
      <c r="J30" s="230">
        <f t="shared" si="15"/>
        <v>2.8697986119067879E-2</v>
      </c>
    </row>
    <row r="31" spans="1:33" x14ac:dyDescent="0.3">
      <c r="F31" s="227">
        <f>F30-1</f>
        <v>21</v>
      </c>
      <c r="G31" s="227">
        <v>0.2</v>
      </c>
      <c r="H31" s="227">
        <v>0.2</v>
      </c>
      <c r="I31" s="230">
        <f t="shared" si="14"/>
        <v>2.6562458100013904E-2</v>
      </c>
      <c r="J31" s="230">
        <f t="shared" si="15"/>
        <v>2.8697986119067879E-2</v>
      </c>
    </row>
    <row r="32" spans="1:33" x14ac:dyDescent="0.3">
      <c r="F32" s="227">
        <f t="shared" ref="F32:F51" si="16">F31-1</f>
        <v>20</v>
      </c>
      <c r="G32" s="227">
        <v>0.2</v>
      </c>
      <c r="H32" s="227">
        <v>0.2</v>
      </c>
      <c r="I32" s="230">
        <f t="shared" si="14"/>
        <v>2.6562458100013904E-2</v>
      </c>
      <c r="J32" s="230">
        <f t="shared" si="15"/>
        <v>2.8697986119067879E-2</v>
      </c>
    </row>
    <row r="33" spans="6:10" x14ac:dyDescent="0.3">
      <c r="F33" s="227">
        <f t="shared" si="16"/>
        <v>19</v>
      </c>
      <c r="G33" s="227">
        <v>0.2</v>
      </c>
      <c r="H33" s="227">
        <v>0.2</v>
      </c>
      <c r="I33" s="230">
        <f t="shared" si="14"/>
        <v>2.6562458100013904E-2</v>
      </c>
      <c r="J33" s="230">
        <f t="shared" si="15"/>
        <v>2.8697986119067879E-2</v>
      </c>
    </row>
    <row r="34" spans="6:10" x14ac:dyDescent="0.3">
      <c r="F34" s="227">
        <f t="shared" si="16"/>
        <v>18</v>
      </c>
      <c r="G34" s="227">
        <v>0.2</v>
      </c>
      <c r="H34" s="227">
        <v>0.2</v>
      </c>
      <c r="I34" s="230">
        <f t="shared" si="14"/>
        <v>2.6562458100013904E-2</v>
      </c>
      <c r="J34" s="230">
        <f t="shared" si="15"/>
        <v>2.8697986119067879E-2</v>
      </c>
    </row>
    <row r="35" spans="6:10" x14ac:dyDescent="0.3">
      <c r="F35" s="227">
        <f t="shared" si="16"/>
        <v>17</v>
      </c>
      <c r="G35" s="227">
        <v>0.2</v>
      </c>
      <c r="H35" s="227">
        <v>0.2</v>
      </c>
      <c r="I35" s="230">
        <f t="shared" si="14"/>
        <v>2.6562458100013904E-2</v>
      </c>
      <c r="J35" s="230">
        <f t="shared" si="15"/>
        <v>2.8697986119067879E-2</v>
      </c>
    </row>
    <row r="36" spans="6:10" x14ac:dyDescent="0.3">
      <c r="F36" s="227">
        <f t="shared" si="16"/>
        <v>16</v>
      </c>
      <c r="G36" s="227">
        <v>0.2</v>
      </c>
      <c r="H36" s="227">
        <v>0.2</v>
      </c>
      <c r="I36" s="230">
        <f t="shared" si="14"/>
        <v>2.6562458100013904E-2</v>
      </c>
      <c r="J36" s="230">
        <f t="shared" si="15"/>
        <v>2.8697986119067879E-2</v>
      </c>
    </row>
    <row r="37" spans="6:10" x14ac:dyDescent="0.3">
      <c r="F37" s="227">
        <f t="shared" si="16"/>
        <v>15</v>
      </c>
      <c r="G37" s="227">
        <v>0.2</v>
      </c>
      <c r="H37" s="227">
        <v>0.2</v>
      </c>
      <c r="I37" s="230">
        <f t="shared" si="14"/>
        <v>2.6562458100013904E-2</v>
      </c>
      <c r="J37" s="230">
        <f t="shared" si="15"/>
        <v>2.8697986119067879E-2</v>
      </c>
    </row>
    <row r="38" spans="6:10" x14ac:dyDescent="0.3">
      <c r="F38" s="227">
        <f t="shared" si="16"/>
        <v>14</v>
      </c>
      <c r="G38" s="227">
        <v>0.2</v>
      </c>
      <c r="H38" s="227">
        <v>0.2</v>
      </c>
      <c r="I38" s="230">
        <f t="shared" si="14"/>
        <v>3.3203072625017378E-2</v>
      </c>
      <c r="J38" s="230">
        <f t="shared" si="15"/>
        <v>3.5872482648834844E-2</v>
      </c>
    </row>
    <row r="39" spans="6:10" x14ac:dyDescent="0.3">
      <c r="F39" s="227">
        <f t="shared" si="16"/>
        <v>13</v>
      </c>
      <c r="G39" s="227">
        <v>0.25</v>
      </c>
      <c r="H39" s="227">
        <v>0.25</v>
      </c>
      <c r="I39" s="230">
        <f t="shared" si="14"/>
        <v>3.3203072625017378E-2</v>
      </c>
      <c r="J39" s="230">
        <f t="shared" si="15"/>
        <v>3.5872482648834844E-2</v>
      </c>
    </row>
    <row r="40" spans="6:10" x14ac:dyDescent="0.3">
      <c r="F40" s="227">
        <f t="shared" si="16"/>
        <v>12</v>
      </c>
      <c r="G40" s="227">
        <v>0.25</v>
      </c>
      <c r="H40" s="227">
        <v>0.25</v>
      </c>
      <c r="I40" s="230">
        <f t="shared" si="14"/>
        <v>3.3203072625017378E-2</v>
      </c>
      <c r="J40" s="230">
        <f t="shared" si="15"/>
        <v>3.5872482648834844E-2</v>
      </c>
    </row>
    <row r="41" spans="6:10" x14ac:dyDescent="0.3">
      <c r="F41" s="227">
        <f t="shared" si="16"/>
        <v>11</v>
      </c>
      <c r="G41" s="227">
        <v>0.25</v>
      </c>
      <c r="H41" s="227">
        <v>0.25</v>
      </c>
      <c r="I41" s="230">
        <f t="shared" si="14"/>
        <v>3.3203072625017378E-2</v>
      </c>
      <c r="J41" s="230">
        <f t="shared" si="15"/>
        <v>3.5872482648834844E-2</v>
      </c>
    </row>
    <row r="42" spans="6:10" x14ac:dyDescent="0.3">
      <c r="F42" s="227">
        <f t="shared" si="16"/>
        <v>10</v>
      </c>
      <c r="G42" s="227">
        <v>0.25</v>
      </c>
      <c r="H42" s="227">
        <v>0.25</v>
      </c>
      <c r="I42" s="230">
        <f t="shared" si="14"/>
        <v>3.3203072625017378E-2</v>
      </c>
      <c r="J42" s="230">
        <f t="shared" si="15"/>
        <v>3.5872482648834844E-2</v>
      </c>
    </row>
    <row r="43" spans="6:10" x14ac:dyDescent="0.3">
      <c r="F43" s="227">
        <f t="shared" si="16"/>
        <v>9</v>
      </c>
      <c r="G43" s="227">
        <v>0.25</v>
      </c>
      <c r="H43" s="227">
        <v>0.25</v>
      </c>
      <c r="I43" s="230">
        <f t="shared" si="14"/>
        <v>3.3203072625017378E-2</v>
      </c>
      <c r="J43" s="230">
        <f t="shared" si="15"/>
        <v>3.5872482648834844E-2</v>
      </c>
    </row>
    <row r="44" spans="6:10" x14ac:dyDescent="0.3">
      <c r="F44" s="227">
        <f t="shared" si="16"/>
        <v>8</v>
      </c>
      <c r="G44" s="227">
        <v>0.25</v>
      </c>
      <c r="H44" s="227">
        <v>0.25</v>
      </c>
      <c r="I44" s="230">
        <f t="shared" si="14"/>
        <v>3.3203072625017378E-2</v>
      </c>
      <c r="J44" s="230">
        <f t="shared" si="15"/>
        <v>3.5872482648834844E-2</v>
      </c>
    </row>
    <row r="45" spans="6:10" x14ac:dyDescent="0.3">
      <c r="F45" s="227">
        <f t="shared" si="16"/>
        <v>7</v>
      </c>
      <c r="G45" s="227">
        <v>0.25</v>
      </c>
      <c r="H45" s="227">
        <v>0.25</v>
      </c>
      <c r="I45" s="230">
        <f t="shared" si="14"/>
        <v>3.3203072625017378E-2</v>
      </c>
      <c r="J45" s="230">
        <f t="shared" si="15"/>
        <v>3.5872482648834844E-2</v>
      </c>
    </row>
    <row r="46" spans="6:10" x14ac:dyDescent="0.3">
      <c r="F46" s="227">
        <f t="shared" si="16"/>
        <v>6</v>
      </c>
      <c r="G46" s="227">
        <v>0.25</v>
      </c>
      <c r="H46" s="227">
        <v>0.25</v>
      </c>
      <c r="I46" s="230">
        <f t="shared" si="14"/>
        <v>3.3203072625017378E-2</v>
      </c>
      <c r="J46" s="230">
        <f t="shared" si="15"/>
        <v>3.5872482648834844E-2</v>
      </c>
    </row>
    <row r="47" spans="6:10" x14ac:dyDescent="0.3">
      <c r="F47" s="227">
        <f t="shared" si="16"/>
        <v>5</v>
      </c>
      <c r="G47" s="227">
        <v>0.25</v>
      </c>
      <c r="H47" s="227">
        <v>0.25</v>
      </c>
      <c r="I47" s="230">
        <f t="shared" si="14"/>
        <v>3.3203072625017378E-2</v>
      </c>
      <c r="J47" s="230">
        <f t="shared" si="15"/>
        <v>3.5872482648834844E-2</v>
      </c>
    </row>
    <row r="48" spans="6:10" x14ac:dyDescent="0.3">
      <c r="F48" s="227">
        <f t="shared" si="16"/>
        <v>4</v>
      </c>
      <c r="G48" s="227">
        <v>0.25</v>
      </c>
      <c r="H48" s="227">
        <v>0.25</v>
      </c>
      <c r="I48" s="230">
        <f t="shared" si="14"/>
        <v>3.3203072625017378E-2</v>
      </c>
      <c r="J48" s="230">
        <f t="shared" si="15"/>
        <v>3.5872482648834844E-2</v>
      </c>
    </row>
    <row r="49" spans="6:10" x14ac:dyDescent="0.3">
      <c r="F49" s="227">
        <f t="shared" si="16"/>
        <v>3</v>
      </c>
      <c r="G49" s="227">
        <v>0.25</v>
      </c>
      <c r="H49" s="227">
        <v>0.25</v>
      </c>
      <c r="I49" s="230">
        <f t="shared" si="14"/>
        <v>3.5543377303432704E-2</v>
      </c>
      <c r="J49" s="230">
        <f t="shared" si="15"/>
        <v>3.5872482648834844E-2</v>
      </c>
    </row>
    <row r="50" spans="6:10" x14ac:dyDescent="0.3">
      <c r="F50" s="227">
        <f t="shared" si="16"/>
        <v>2</v>
      </c>
      <c r="G50" s="227">
        <v>0.25</v>
      </c>
      <c r="H50" s="227">
        <v>0.25</v>
      </c>
      <c r="I50" s="230">
        <f t="shared" si="14"/>
        <v>3.9779450794006355E-2</v>
      </c>
      <c r="J50" s="230">
        <f t="shared" si="15"/>
        <v>3.6873450823224616E-2</v>
      </c>
    </row>
    <row r="51" spans="6:10" x14ac:dyDescent="0.3">
      <c r="F51" s="227">
        <f t="shared" si="16"/>
        <v>1</v>
      </c>
      <c r="G51" s="227">
        <v>0.25</v>
      </c>
      <c r="H51" s="227">
        <v>0.3</v>
      </c>
      <c r="I51" s="230">
        <f t="shared" si="14"/>
        <v>4.0359882346156055E-2</v>
      </c>
      <c r="J51" s="230">
        <f t="shared" si="15"/>
        <v>3.805063729165465E-2</v>
      </c>
    </row>
    <row r="52" spans="6:10" ht="15" thickBot="1" x14ac:dyDescent="0.35">
      <c r="F52" s="229">
        <v>-1</v>
      </c>
      <c r="G52" s="229">
        <v>0.25</v>
      </c>
      <c r="H52" s="229">
        <v>0.3</v>
      </c>
      <c r="I52" s="231">
        <f t="shared" si="14"/>
        <v>2.7256477756990641E-2</v>
      </c>
      <c r="J52" s="231">
        <f t="shared" si="15"/>
        <v>2.5656671234894957E-2</v>
      </c>
    </row>
  </sheetData>
  <conditionalFormatting sqref="W4:X26">
    <cfRule type="cellIs" dxfId="3" priority="4" operator="lessThan">
      <formula>0</formula>
    </cfRule>
  </conditionalFormatting>
  <conditionalFormatting sqref="AG4:AG26">
    <cfRule type="cellIs" dxfId="2" priority="3" operator="lessThan">
      <formula>0</formula>
    </cfRule>
  </conditionalFormatting>
  <conditionalFormatting sqref="W3:X3">
    <cfRule type="cellIs" dxfId="1" priority="2" operator="lessThan">
      <formula>0</formula>
    </cfRule>
  </conditionalFormatting>
  <conditionalFormatting sqref="A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/>
    </sheetView>
  </sheetViews>
  <sheetFormatPr baseColWidth="10" defaultColWidth="11.5546875" defaultRowHeight="14.4" x14ac:dyDescent="0.3"/>
  <cols>
    <col min="1" max="1" width="20.33203125" style="49" bestFit="1" customWidth="1"/>
    <col min="2" max="2" width="11.5546875" style="132"/>
    <col min="3" max="3" width="11.5546875" style="130"/>
    <col min="4" max="5" width="11.5546875" style="49"/>
    <col min="6" max="6" width="11.5546875" style="132"/>
    <col min="7" max="8" width="11.5546875" style="139"/>
    <col min="9" max="9" width="11.5546875" style="130"/>
    <col min="10" max="11" width="11.5546875" style="49"/>
    <col min="12" max="12" width="11.5546875" style="63"/>
    <col min="13" max="18" width="11.5546875" style="151"/>
    <col min="19" max="19" width="11.5546875" style="132"/>
    <col min="20" max="20" width="11.5546875" style="139"/>
    <col min="21" max="21" width="11.5546875" style="149"/>
    <col min="22" max="26" width="11.5546875" style="139"/>
    <col min="27" max="27" width="11.5546875" style="130"/>
    <col min="28" max="16384" width="11.5546875" style="49"/>
  </cols>
  <sheetData>
    <row r="1" spans="1:27" s="136" customFormat="1" ht="15" thickBot="1" x14ac:dyDescent="0.35">
      <c r="B1" s="137" t="s">
        <v>44</v>
      </c>
      <c r="C1" s="249" t="s">
        <v>50</v>
      </c>
      <c r="D1" s="250"/>
      <c r="E1" s="250"/>
      <c r="F1" s="251" t="s">
        <v>54</v>
      </c>
      <c r="G1" s="252"/>
      <c r="H1" s="252"/>
      <c r="I1" s="249" t="s">
        <v>40</v>
      </c>
      <c r="J1" s="250"/>
      <c r="K1" s="250"/>
      <c r="L1" s="250"/>
      <c r="M1" s="250"/>
      <c r="N1" s="250"/>
      <c r="O1" s="250"/>
      <c r="P1" s="250"/>
      <c r="Q1" s="250"/>
      <c r="S1" s="251" t="s">
        <v>55</v>
      </c>
      <c r="T1" s="252"/>
      <c r="U1" s="252"/>
      <c r="V1" s="252"/>
      <c r="W1" s="252"/>
      <c r="X1" s="252"/>
      <c r="Y1" s="252"/>
      <c r="Z1" s="252"/>
      <c r="AA1" s="141"/>
    </row>
    <row r="2" spans="1:27" s="128" customFormat="1" ht="15" thickBot="1" x14ac:dyDescent="0.35">
      <c r="A2" s="128" t="s">
        <v>73</v>
      </c>
      <c r="B2" s="159" t="s">
        <v>72</v>
      </c>
      <c r="C2" s="160" t="s">
        <v>72</v>
      </c>
      <c r="D2" s="128" t="s">
        <v>75</v>
      </c>
      <c r="E2" s="128" t="s">
        <v>76</v>
      </c>
      <c r="F2" s="135" t="s">
        <v>72</v>
      </c>
      <c r="G2" s="140" t="s">
        <v>75</v>
      </c>
      <c r="H2" s="140" t="s">
        <v>76</v>
      </c>
      <c r="I2" s="160" t="s">
        <v>77</v>
      </c>
      <c r="J2" s="128" t="s">
        <v>78</v>
      </c>
      <c r="K2" s="128" t="s">
        <v>79</v>
      </c>
      <c r="L2" s="161" t="s">
        <v>81</v>
      </c>
      <c r="M2" s="161" t="s">
        <v>82</v>
      </c>
      <c r="N2" s="161" t="s">
        <v>83</v>
      </c>
      <c r="O2" s="161" t="s">
        <v>86</v>
      </c>
      <c r="P2" s="161" t="s">
        <v>84</v>
      </c>
      <c r="Q2" s="161" t="s">
        <v>85</v>
      </c>
      <c r="R2" s="161" t="s">
        <v>88</v>
      </c>
      <c r="S2" s="135" t="s">
        <v>80</v>
      </c>
      <c r="T2" s="140" t="s">
        <v>87</v>
      </c>
      <c r="U2" s="140" t="s">
        <v>82</v>
      </c>
      <c r="V2" s="140" t="s">
        <v>83</v>
      </c>
      <c r="W2" s="140" t="s">
        <v>86</v>
      </c>
      <c r="X2" s="140" t="s">
        <v>85</v>
      </c>
      <c r="Y2" s="140" t="s">
        <v>89</v>
      </c>
      <c r="Z2" s="140" t="s">
        <v>81</v>
      </c>
      <c r="AA2" s="160"/>
    </row>
    <row r="3" spans="1:27" s="128" customFormat="1" ht="15" thickBot="1" x14ac:dyDescent="0.35">
      <c r="A3" s="128" t="s">
        <v>96</v>
      </c>
      <c r="B3" s="159">
        <v>1</v>
      </c>
      <c r="C3" s="160">
        <v>1</v>
      </c>
      <c r="D3" s="128">
        <v>1</v>
      </c>
      <c r="E3" s="128">
        <v>1</v>
      </c>
      <c r="F3" s="135">
        <v>1</v>
      </c>
      <c r="G3" s="140">
        <v>1</v>
      </c>
      <c r="H3" s="140">
        <v>1</v>
      </c>
      <c r="I3" s="160">
        <v>1</v>
      </c>
      <c r="J3" s="128">
        <v>1</v>
      </c>
      <c r="K3" s="128">
        <v>1</v>
      </c>
      <c r="L3" s="161">
        <v>0</v>
      </c>
      <c r="M3" s="161">
        <v>0</v>
      </c>
      <c r="N3" s="161">
        <v>0</v>
      </c>
      <c r="O3" s="161">
        <v>0</v>
      </c>
      <c r="P3" s="161">
        <v>0</v>
      </c>
      <c r="Q3" s="161">
        <v>0</v>
      </c>
      <c r="R3" s="161">
        <v>0</v>
      </c>
      <c r="S3" s="135">
        <v>1</v>
      </c>
      <c r="T3" s="140">
        <v>1</v>
      </c>
      <c r="U3" s="140">
        <v>0</v>
      </c>
      <c r="V3" s="140">
        <v>0</v>
      </c>
      <c r="W3" s="140">
        <v>0</v>
      </c>
      <c r="X3" s="140">
        <v>0</v>
      </c>
      <c r="Y3" s="140">
        <v>0</v>
      </c>
      <c r="Z3" s="140">
        <v>0</v>
      </c>
      <c r="AA3" s="160"/>
    </row>
    <row r="4" spans="1:27" s="128" customFormat="1" ht="15" thickBot="1" x14ac:dyDescent="0.35">
      <c r="A4" s="128" t="s">
        <v>118</v>
      </c>
      <c r="B4" s="159">
        <v>0.16</v>
      </c>
      <c r="C4" s="159">
        <v>0.16</v>
      </c>
      <c r="D4" s="159">
        <v>0.16</v>
      </c>
      <c r="E4" s="159">
        <v>0.16</v>
      </c>
      <c r="F4" s="159">
        <v>0.16</v>
      </c>
      <c r="G4" s="159">
        <v>0.16</v>
      </c>
      <c r="H4" s="159">
        <v>0.16</v>
      </c>
      <c r="I4" s="159">
        <v>0.16</v>
      </c>
      <c r="J4" s="159">
        <v>0.16</v>
      </c>
      <c r="K4" s="159">
        <v>0.16</v>
      </c>
      <c r="L4" s="159">
        <v>0.16</v>
      </c>
      <c r="M4" s="159">
        <v>0.16</v>
      </c>
      <c r="N4" s="159">
        <v>0.16</v>
      </c>
      <c r="O4" s="159">
        <v>0.16</v>
      </c>
      <c r="P4" s="159">
        <v>0.16</v>
      </c>
      <c r="Q4" s="159">
        <v>0.16</v>
      </c>
      <c r="R4" s="159">
        <v>0.16</v>
      </c>
      <c r="S4" s="135">
        <v>0.17</v>
      </c>
      <c r="T4" s="135">
        <v>0.17</v>
      </c>
      <c r="U4" s="135">
        <v>0.17</v>
      </c>
      <c r="V4" s="135">
        <v>0.17</v>
      </c>
      <c r="W4" s="135">
        <v>0.17</v>
      </c>
      <c r="X4" s="135">
        <v>0.17</v>
      </c>
      <c r="Y4" s="135">
        <v>0.17</v>
      </c>
      <c r="Z4" s="135">
        <v>0.17</v>
      </c>
      <c r="AA4" s="160"/>
    </row>
    <row r="5" spans="1:27" s="136" customFormat="1" ht="15" thickBot="1" x14ac:dyDescent="0.35">
      <c r="A5" s="136" t="s">
        <v>74</v>
      </c>
      <c r="B5" s="158">
        <f>SUM(B12:B76)</f>
        <v>131.85</v>
      </c>
      <c r="C5" s="143">
        <f t="shared" ref="C5:T5" si="0">SUM(C12:C76)</f>
        <v>69.05</v>
      </c>
      <c r="D5" s="144">
        <f t="shared" si="0"/>
        <v>3.5999999999999996</v>
      </c>
      <c r="E5" s="144">
        <f t="shared" si="0"/>
        <v>3.2</v>
      </c>
      <c r="F5" s="142">
        <f t="shared" ref="F5:H5" si="1">SUM(F12:F76)</f>
        <v>67.849999999999994</v>
      </c>
      <c r="G5" s="145">
        <f t="shared" si="1"/>
        <v>3.5999999999999996</v>
      </c>
      <c r="H5" s="145">
        <f t="shared" si="1"/>
        <v>3.2</v>
      </c>
      <c r="I5" s="143">
        <f t="shared" si="0"/>
        <v>22.92</v>
      </c>
      <c r="J5" s="144">
        <f t="shared" si="0"/>
        <v>3.76</v>
      </c>
      <c r="K5" s="144">
        <f t="shared" si="0"/>
        <v>1.6</v>
      </c>
      <c r="L5" s="154">
        <f t="shared" si="0"/>
        <v>5</v>
      </c>
      <c r="M5" s="154">
        <f t="shared" si="0"/>
        <v>38.44</v>
      </c>
      <c r="N5" s="154">
        <f t="shared" si="0"/>
        <v>0</v>
      </c>
      <c r="O5" s="154">
        <f t="shared" si="0"/>
        <v>14.5</v>
      </c>
      <c r="P5" s="154">
        <f t="shared" si="0"/>
        <v>7</v>
      </c>
      <c r="Q5" s="154">
        <f t="shared" si="0"/>
        <v>5.46</v>
      </c>
      <c r="R5" s="154">
        <f t="shared" si="0"/>
        <v>5.1749999999999998</v>
      </c>
      <c r="S5" s="142">
        <f t="shared" si="0"/>
        <v>8.75</v>
      </c>
      <c r="T5" s="145">
        <f t="shared" si="0"/>
        <v>10.899999999999999</v>
      </c>
      <c r="U5" s="145">
        <f t="shared" ref="U5:Z5" si="2">SUM(U12:U76)</f>
        <v>27.68</v>
      </c>
      <c r="V5" s="145">
        <f t="shared" si="2"/>
        <v>0</v>
      </c>
      <c r="W5" s="145">
        <f t="shared" si="2"/>
        <v>56.010000000000005</v>
      </c>
      <c r="X5" s="145">
        <f t="shared" si="2"/>
        <v>12.44</v>
      </c>
      <c r="Y5" s="145">
        <f t="shared" si="2"/>
        <v>2.35</v>
      </c>
      <c r="Z5" s="145">
        <f t="shared" si="2"/>
        <v>28.299999999999997</v>
      </c>
      <c r="AA5" s="143"/>
    </row>
    <row r="6" spans="1:27" s="128" customFormat="1" ht="15" thickBot="1" x14ac:dyDescent="0.35">
      <c r="A6" s="128" t="s">
        <v>92</v>
      </c>
      <c r="B6" s="157">
        <v>0.2</v>
      </c>
      <c r="C6" s="131">
        <v>0.2</v>
      </c>
      <c r="D6" s="129">
        <v>0.2</v>
      </c>
      <c r="E6" s="129">
        <v>0.2</v>
      </c>
      <c r="F6" s="133">
        <v>0.2</v>
      </c>
      <c r="G6" s="138">
        <v>0.2</v>
      </c>
      <c r="H6" s="138">
        <v>0.2</v>
      </c>
      <c r="I6" s="131">
        <v>0.25</v>
      </c>
      <c r="J6" s="129">
        <v>0.3</v>
      </c>
      <c r="K6" s="129">
        <v>0.25</v>
      </c>
      <c r="L6" s="152">
        <v>0.25</v>
      </c>
      <c r="M6" s="152">
        <v>0.25</v>
      </c>
      <c r="N6" s="152">
        <v>0.25</v>
      </c>
      <c r="O6" s="152">
        <v>0.25</v>
      </c>
      <c r="P6" s="152">
        <v>0.3</v>
      </c>
      <c r="Q6" s="152">
        <v>0.3</v>
      </c>
      <c r="R6" s="152">
        <v>0.25</v>
      </c>
      <c r="S6" s="133">
        <v>0.3</v>
      </c>
      <c r="T6" s="138">
        <v>0.3</v>
      </c>
      <c r="U6" s="138">
        <v>0.25</v>
      </c>
      <c r="V6" s="138">
        <v>0.25</v>
      </c>
      <c r="W6" s="138">
        <v>0.25</v>
      </c>
      <c r="X6" s="138">
        <v>0.3</v>
      </c>
      <c r="Y6" s="138">
        <v>0.3</v>
      </c>
      <c r="Z6" s="138">
        <v>0.25</v>
      </c>
      <c r="AA6" s="131"/>
    </row>
    <row r="7" spans="1:27" s="128" customFormat="1" ht="15" thickBot="1" x14ac:dyDescent="0.35">
      <c r="A7" s="128" t="s">
        <v>93</v>
      </c>
      <c r="B7" s="157">
        <v>0.9</v>
      </c>
      <c r="C7" s="131">
        <v>0.9</v>
      </c>
      <c r="D7" s="129">
        <v>1.65</v>
      </c>
      <c r="E7" s="129">
        <v>1.8</v>
      </c>
      <c r="F7" s="133">
        <v>0.9</v>
      </c>
      <c r="G7" s="138">
        <v>1.65</v>
      </c>
      <c r="H7" s="138">
        <v>1.8</v>
      </c>
      <c r="I7" s="131">
        <v>0.9</v>
      </c>
      <c r="J7" s="129">
        <v>0.9</v>
      </c>
      <c r="K7" s="129">
        <v>1.8</v>
      </c>
      <c r="L7" s="152">
        <v>0.35</v>
      </c>
      <c r="M7" s="152">
        <v>0.4</v>
      </c>
      <c r="N7" s="152">
        <v>0.25</v>
      </c>
      <c r="O7" s="152">
        <v>0.5</v>
      </c>
      <c r="P7" s="152">
        <v>0.5</v>
      </c>
      <c r="Q7" s="152">
        <v>0.4</v>
      </c>
      <c r="R7" s="152">
        <v>1.1499999999999999</v>
      </c>
      <c r="S7" s="133">
        <v>1.06</v>
      </c>
      <c r="T7" s="138">
        <v>0.92</v>
      </c>
      <c r="U7" s="138">
        <v>0.4</v>
      </c>
      <c r="V7" s="138">
        <v>0.25</v>
      </c>
      <c r="W7" s="138">
        <v>0.5</v>
      </c>
      <c r="X7" s="138">
        <v>0.4</v>
      </c>
      <c r="Y7" s="138">
        <v>0.3</v>
      </c>
      <c r="Z7" s="138">
        <v>0.35</v>
      </c>
      <c r="AA7" s="131"/>
    </row>
    <row r="8" spans="1:27" s="128" customFormat="1" ht="15" thickBot="1" x14ac:dyDescent="0.35">
      <c r="A8" s="128" t="s">
        <v>103</v>
      </c>
      <c r="B8" s="157">
        <f>B5*B6</f>
        <v>26.37</v>
      </c>
      <c r="C8" s="131">
        <f t="shared" ref="C8:Z8" si="3">C5*C6</f>
        <v>13.81</v>
      </c>
      <c r="D8" s="129">
        <f t="shared" si="3"/>
        <v>0.72</v>
      </c>
      <c r="E8" s="129">
        <f t="shared" si="3"/>
        <v>0.64000000000000012</v>
      </c>
      <c r="F8" s="133">
        <f t="shared" si="3"/>
        <v>13.57</v>
      </c>
      <c r="G8" s="138">
        <f t="shared" si="3"/>
        <v>0.72</v>
      </c>
      <c r="H8" s="138">
        <f t="shared" si="3"/>
        <v>0.64000000000000012</v>
      </c>
      <c r="I8" s="131">
        <f t="shared" si="3"/>
        <v>5.73</v>
      </c>
      <c r="J8" s="129">
        <f t="shared" si="3"/>
        <v>1.1279999999999999</v>
      </c>
      <c r="K8" s="129">
        <f t="shared" si="3"/>
        <v>0.4</v>
      </c>
      <c r="L8" s="152">
        <f t="shared" si="3"/>
        <v>1.25</v>
      </c>
      <c r="M8" s="152">
        <f t="shared" si="3"/>
        <v>9.61</v>
      </c>
      <c r="N8" s="152">
        <f t="shared" si="3"/>
        <v>0</v>
      </c>
      <c r="O8" s="152">
        <f t="shared" si="3"/>
        <v>3.625</v>
      </c>
      <c r="P8" s="152">
        <f t="shared" si="3"/>
        <v>2.1</v>
      </c>
      <c r="Q8" s="152">
        <f t="shared" si="3"/>
        <v>1.6379999999999999</v>
      </c>
      <c r="R8" s="152">
        <f t="shared" si="3"/>
        <v>1.29375</v>
      </c>
      <c r="S8" s="133">
        <f>S5*S6</f>
        <v>2.625</v>
      </c>
      <c r="T8" s="138">
        <f t="shared" si="3"/>
        <v>3.2699999999999996</v>
      </c>
      <c r="U8" s="138">
        <f t="shared" si="3"/>
        <v>6.92</v>
      </c>
      <c r="V8" s="138">
        <f t="shared" si="3"/>
        <v>0</v>
      </c>
      <c r="W8" s="138">
        <f t="shared" si="3"/>
        <v>14.002500000000001</v>
      </c>
      <c r="X8" s="138">
        <f t="shared" si="3"/>
        <v>3.7319999999999998</v>
      </c>
      <c r="Y8" s="138">
        <f t="shared" si="3"/>
        <v>0.70499999999999996</v>
      </c>
      <c r="Z8" s="138">
        <f t="shared" si="3"/>
        <v>7.0749999999999993</v>
      </c>
      <c r="AA8" s="131"/>
    </row>
    <row r="9" spans="1:27" s="128" customFormat="1" ht="15" thickBot="1" x14ac:dyDescent="0.35">
      <c r="A9" s="128" t="s">
        <v>95</v>
      </c>
      <c r="B9" s="157">
        <f>2*B7*B5</f>
        <v>237.32999999999998</v>
      </c>
      <c r="C9" s="131">
        <f t="shared" ref="C9:Z9" si="4">2*C7*C5</f>
        <v>124.28999999999999</v>
      </c>
      <c r="D9" s="129">
        <f t="shared" si="4"/>
        <v>11.879999999999999</v>
      </c>
      <c r="E9" s="129">
        <f t="shared" si="4"/>
        <v>11.520000000000001</v>
      </c>
      <c r="F9" s="133">
        <f t="shared" si="4"/>
        <v>122.13</v>
      </c>
      <c r="G9" s="138">
        <f t="shared" si="4"/>
        <v>11.879999999999999</v>
      </c>
      <c r="H9" s="138">
        <f t="shared" si="4"/>
        <v>11.520000000000001</v>
      </c>
      <c r="I9" s="131">
        <f t="shared" si="4"/>
        <v>41.256000000000007</v>
      </c>
      <c r="J9" s="129">
        <f t="shared" si="4"/>
        <v>6.7679999999999998</v>
      </c>
      <c r="K9" s="129">
        <f t="shared" si="4"/>
        <v>5.7600000000000007</v>
      </c>
      <c r="L9" s="152">
        <f t="shared" si="4"/>
        <v>3.5</v>
      </c>
      <c r="M9" s="152">
        <f t="shared" si="4"/>
        <v>30.751999999999999</v>
      </c>
      <c r="N9" s="152">
        <f t="shared" si="4"/>
        <v>0</v>
      </c>
      <c r="O9" s="152">
        <f>2*O7*O5</f>
        <v>14.5</v>
      </c>
      <c r="P9" s="152">
        <f t="shared" si="4"/>
        <v>7</v>
      </c>
      <c r="Q9" s="152">
        <f t="shared" si="4"/>
        <v>4.3680000000000003</v>
      </c>
      <c r="R9" s="152">
        <f t="shared" si="4"/>
        <v>11.902499999999998</v>
      </c>
      <c r="S9" s="133">
        <f>2*S7*S5</f>
        <v>18.55</v>
      </c>
      <c r="T9" s="138">
        <f t="shared" si="4"/>
        <v>20.055999999999997</v>
      </c>
      <c r="U9" s="138">
        <f t="shared" si="4"/>
        <v>22.144000000000002</v>
      </c>
      <c r="V9" s="138">
        <f t="shared" si="4"/>
        <v>0</v>
      </c>
      <c r="W9" s="138">
        <f t="shared" si="4"/>
        <v>56.010000000000005</v>
      </c>
      <c r="X9" s="138">
        <f t="shared" si="4"/>
        <v>9.952</v>
      </c>
      <c r="Y9" s="138">
        <f t="shared" si="4"/>
        <v>1.41</v>
      </c>
      <c r="Z9" s="138">
        <f t="shared" si="4"/>
        <v>19.809999999999995</v>
      </c>
      <c r="AA9" s="131"/>
    </row>
    <row r="10" spans="1:27" s="128" customFormat="1" ht="15" thickBot="1" x14ac:dyDescent="0.35">
      <c r="A10" s="128" t="s">
        <v>97</v>
      </c>
      <c r="B10" s="157">
        <f>B3*(B9+B5*B6-B4*B5)</f>
        <v>242.60399999999998</v>
      </c>
      <c r="C10" s="157">
        <f t="shared" ref="C10:Z10" si="5">C3*(C9+C5*C6-C4*C5)</f>
        <v>127.05199999999999</v>
      </c>
      <c r="D10" s="157">
        <f t="shared" si="5"/>
        <v>12.023999999999999</v>
      </c>
      <c r="E10" s="157">
        <f t="shared" si="5"/>
        <v>11.648000000000001</v>
      </c>
      <c r="F10" s="157">
        <f t="shared" si="5"/>
        <v>124.84399999999999</v>
      </c>
      <c r="G10" s="157">
        <f t="shared" si="5"/>
        <v>12.023999999999999</v>
      </c>
      <c r="H10" s="157">
        <f t="shared" si="5"/>
        <v>11.648000000000001</v>
      </c>
      <c r="I10" s="157">
        <f t="shared" si="5"/>
        <v>43.318800000000003</v>
      </c>
      <c r="J10" s="157">
        <f t="shared" si="5"/>
        <v>7.2943999999999996</v>
      </c>
      <c r="K10" s="157">
        <f t="shared" si="5"/>
        <v>5.9040000000000008</v>
      </c>
      <c r="L10" s="157">
        <f t="shared" si="5"/>
        <v>0</v>
      </c>
      <c r="M10" s="157">
        <f t="shared" si="5"/>
        <v>0</v>
      </c>
      <c r="N10" s="157">
        <f t="shared" si="5"/>
        <v>0</v>
      </c>
      <c r="O10" s="157">
        <f t="shared" si="5"/>
        <v>0</v>
      </c>
      <c r="P10" s="157">
        <f t="shared" si="5"/>
        <v>0</v>
      </c>
      <c r="Q10" s="157">
        <f t="shared" si="5"/>
        <v>0</v>
      </c>
      <c r="R10" s="157">
        <f t="shared" si="5"/>
        <v>0</v>
      </c>
      <c r="S10" s="157">
        <f t="shared" si="5"/>
        <v>19.6875</v>
      </c>
      <c r="T10" s="157">
        <f t="shared" si="5"/>
        <v>21.472999999999995</v>
      </c>
      <c r="U10" s="157">
        <f t="shared" si="5"/>
        <v>0</v>
      </c>
      <c r="V10" s="157">
        <f t="shared" si="5"/>
        <v>0</v>
      </c>
      <c r="W10" s="157">
        <f t="shared" si="5"/>
        <v>0</v>
      </c>
      <c r="X10" s="157">
        <f t="shared" si="5"/>
        <v>0</v>
      </c>
      <c r="Y10" s="157">
        <f t="shared" si="5"/>
        <v>0</v>
      </c>
      <c r="Z10" s="157">
        <f t="shared" si="5"/>
        <v>0</v>
      </c>
      <c r="AA10" s="131"/>
    </row>
    <row r="11" spans="1:27" s="136" customFormat="1" ht="15" thickBot="1" x14ac:dyDescent="0.35">
      <c r="A11" s="136" t="s">
        <v>94</v>
      </c>
      <c r="B11" s="158">
        <f t="shared" ref="B11:Z11" si="6">B5*B6*B7</f>
        <v>23.733000000000001</v>
      </c>
      <c r="C11" s="143">
        <f t="shared" si="6"/>
        <v>12.429</v>
      </c>
      <c r="D11" s="144">
        <f t="shared" si="6"/>
        <v>1.1879999999999999</v>
      </c>
      <c r="E11" s="144">
        <f t="shared" si="6"/>
        <v>1.1520000000000004</v>
      </c>
      <c r="F11" s="142">
        <f t="shared" si="6"/>
        <v>12.213000000000001</v>
      </c>
      <c r="G11" s="145">
        <f t="shared" si="6"/>
        <v>1.1879999999999999</v>
      </c>
      <c r="H11" s="145">
        <f t="shared" si="6"/>
        <v>1.1520000000000004</v>
      </c>
      <c r="I11" s="143">
        <f t="shared" si="6"/>
        <v>5.1570000000000009</v>
      </c>
      <c r="J11" s="144">
        <f t="shared" si="6"/>
        <v>1.0151999999999999</v>
      </c>
      <c r="K11" s="144">
        <f t="shared" si="6"/>
        <v>0.72000000000000008</v>
      </c>
      <c r="L11" s="153">
        <f t="shared" si="6"/>
        <v>0.4375</v>
      </c>
      <c r="M11" s="154">
        <f t="shared" si="6"/>
        <v>3.8439999999999999</v>
      </c>
      <c r="N11" s="154">
        <f t="shared" si="6"/>
        <v>0</v>
      </c>
      <c r="O11" s="154">
        <f t="shared" si="6"/>
        <v>1.8125</v>
      </c>
      <c r="P11" s="154">
        <f t="shared" si="6"/>
        <v>1.05</v>
      </c>
      <c r="Q11" s="154">
        <f t="shared" si="6"/>
        <v>0.6552</v>
      </c>
      <c r="R11" s="154">
        <f t="shared" si="6"/>
        <v>1.4878124999999998</v>
      </c>
      <c r="S11" s="142">
        <f>S5*S6*S7</f>
        <v>2.7825000000000002</v>
      </c>
      <c r="T11" s="145">
        <f t="shared" si="6"/>
        <v>3.0083999999999995</v>
      </c>
      <c r="U11" s="150">
        <f t="shared" si="6"/>
        <v>2.7680000000000002</v>
      </c>
      <c r="V11" s="145">
        <f t="shared" si="6"/>
        <v>0</v>
      </c>
      <c r="W11" s="145">
        <f t="shared" si="6"/>
        <v>7.0012500000000006</v>
      </c>
      <c r="X11" s="145">
        <f t="shared" si="6"/>
        <v>1.4927999999999999</v>
      </c>
      <c r="Y11" s="145">
        <f t="shared" si="6"/>
        <v>0.21149999999999999</v>
      </c>
      <c r="Z11" s="145">
        <f t="shared" si="6"/>
        <v>2.4762499999999994</v>
      </c>
      <c r="AA11" s="141"/>
    </row>
    <row r="12" spans="1:27" x14ac:dyDescent="0.3">
      <c r="B12" s="146">
        <v>13.9</v>
      </c>
      <c r="C12" s="147">
        <v>1.1499999999999999</v>
      </c>
      <c r="D12" s="72">
        <v>0.5</v>
      </c>
      <c r="E12" s="72">
        <v>1.6</v>
      </c>
      <c r="F12" s="146">
        <v>1.1499999999999999</v>
      </c>
      <c r="G12" s="148">
        <v>0.5</v>
      </c>
      <c r="H12" s="148">
        <v>1.6</v>
      </c>
      <c r="I12" s="147">
        <v>0.8</v>
      </c>
      <c r="J12" s="72">
        <v>1.4</v>
      </c>
      <c r="K12" s="72">
        <v>1.6</v>
      </c>
      <c r="L12" s="155">
        <v>5</v>
      </c>
      <c r="M12" s="156">
        <v>5.6</v>
      </c>
      <c r="N12" s="156">
        <f>3.17*0</f>
        <v>0</v>
      </c>
      <c r="O12" s="156">
        <v>14.5</v>
      </c>
      <c r="P12" s="156">
        <v>7</v>
      </c>
      <c r="Q12" s="156">
        <v>5.46</v>
      </c>
      <c r="R12" s="156">
        <f>10.35*0.5</f>
        <v>5.1749999999999998</v>
      </c>
      <c r="S12" s="146">
        <v>8.75</v>
      </c>
      <c r="T12" s="148">
        <v>5.3</v>
      </c>
      <c r="U12" s="134">
        <v>5.67</v>
      </c>
      <c r="V12" s="148">
        <f>3.17*0</f>
        <v>0</v>
      </c>
      <c r="W12" s="148">
        <v>6.67</v>
      </c>
      <c r="X12" s="148">
        <v>12.44</v>
      </c>
      <c r="Y12" s="148">
        <v>2.35</v>
      </c>
      <c r="Z12" s="148">
        <v>10.35</v>
      </c>
    </row>
    <row r="13" spans="1:27" x14ac:dyDescent="0.3">
      <c r="B13" s="146">
        <v>5.8</v>
      </c>
      <c r="C13" s="147">
        <v>3</v>
      </c>
      <c r="D13" s="72">
        <v>0.5</v>
      </c>
      <c r="E13" s="72">
        <v>1.6</v>
      </c>
      <c r="F13" s="146">
        <v>3</v>
      </c>
      <c r="G13" s="148">
        <v>0.5</v>
      </c>
      <c r="H13" s="148">
        <v>1.6</v>
      </c>
      <c r="I13" s="147">
        <v>1</v>
      </c>
      <c r="J13" s="72">
        <v>2.36</v>
      </c>
      <c r="K13" s="72"/>
      <c r="L13" s="155"/>
      <c r="M13" s="156">
        <v>5.6</v>
      </c>
      <c r="N13" s="156">
        <f t="shared" ref="N13:N15" si="7">3.17*0</f>
        <v>0</v>
      </c>
      <c r="O13" s="156"/>
      <c r="P13" s="156"/>
      <c r="Q13" s="156"/>
      <c r="R13" s="156"/>
      <c r="S13" s="146"/>
      <c r="T13" s="148">
        <v>5.6</v>
      </c>
      <c r="U13" s="134">
        <v>5.55</v>
      </c>
      <c r="V13" s="148">
        <f t="shared" ref="V13:V16" si="8">3.17*0</f>
        <v>0</v>
      </c>
      <c r="W13" s="148">
        <v>7.86</v>
      </c>
      <c r="X13" s="148"/>
      <c r="Y13" s="148"/>
      <c r="Z13" s="139">
        <v>8.6</v>
      </c>
    </row>
    <row r="14" spans="1:27" x14ac:dyDescent="0.3">
      <c r="B14" s="146">
        <v>6.15</v>
      </c>
      <c r="C14" s="147">
        <v>0.8</v>
      </c>
      <c r="D14" s="72">
        <v>0.5</v>
      </c>
      <c r="E14" s="72"/>
      <c r="F14" s="146">
        <v>0.8</v>
      </c>
      <c r="G14" s="148">
        <v>0.5</v>
      </c>
      <c r="H14" s="148"/>
      <c r="I14" s="147">
        <v>6.6</v>
      </c>
      <c r="J14" s="72"/>
      <c r="K14" s="72"/>
      <c r="L14" s="155"/>
      <c r="M14" s="156">
        <v>5.47</v>
      </c>
      <c r="N14" s="156">
        <f t="shared" si="7"/>
        <v>0</v>
      </c>
      <c r="O14" s="156"/>
      <c r="P14" s="156"/>
      <c r="Q14" s="156"/>
      <c r="R14" s="156"/>
      <c r="S14" s="146"/>
      <c r="T14" s="148"/>
      <c r="U14" s="134">
        <v>5.73</v>
      </c>
      <c r="V14" s="148">
        <f t="shared" si="8"/>
        <v>0</v>
      </c>
      <c r="W14" s="148">
        <v>7</v>
      </c>
      <c r="X14" s="148"/>
      <c r="Y14" s="148"/>
      <c r="Z14" s="148">
        <v>5</v>
      </c>
    </row>
    <row r="15" spans="1:27" x14ac:dyDescent="0.3">
      <c r="B15" s="146">
        <v>3</v>
      </c>
      <c r="C15" s="147">
        <v>0.8</v>
      </c>
      <c r="D15" s="72">
        <v>0.5</v>
      </c>
      <c r="E15" s="72"/>
      <c r="F15" s="146">
        <v>0.8</v>
      </c>
      <c r="G15" s="148">
        <v>0.5</v>
      </c>
      <c r="H15" s="148"/>
      <c r="I15" s="147">
        <v>1.4</v>
      </c>
      <c r="J15" s="72"/>
      <c r="K15" s="72"/>
      <c r="L15" s="155"/>
      <c r="M15" s="156">
        <v>5</v>
      </c>
      <c r="N15" s="156">
        <f t="shared" si="7"/>
        <v>0</v>
      </c>
      <c r="O15" s="156"/>
      <c r="P15" s="156"/>
      <c r="Q15" s="156"/>
      <c r="R15" s="156"/>
      <c r="S15" s="146"/>
      <c r="T15" s="148"/>
      <c r="U15" s="134">
        <v>5.63</v>
      </c>
      <c r="V15" s="148">
        <f t="shared" si="8"/>
        <v>0</v>
      </c>
      <c r="W15" s="148">
        <v>21.86</v>
      </c>
      <c r="X15" s="148"/>
      <c r="Y15" s="148"/>
      <c r="Z15" s="148">
        <v>4.3499999999999996</v>
      </c>
    </row>
    <row r="16" spans="1:27" x14ac:dyDescent="0.3">
      <c r="B16" s="146">
        <v>9</v>
      </c>
      <c r="C16" s="147">
        <v>3</v>
      </c>
      <c r="D16" s="72">
        <v>0.8</v>
      </c>
      <c r="E16" s="72"/>
      <c r="F16" s="146">
        <v>3</v>
      </c>
      <c r="G16" s="148">
        <v>0.8</v>
      </c>
      <c r="H16" s="148"/>
      <c r="I16" s="147">
        <v>5.6</v>
      </c>
      <c r="J16" s="72"/>
      <c r="K16" s="72"/>
      <c r="L16" s="155"/>
      <c r="M16" s="156">
        <v>5.17</v>
      </c>
      <c r="N16" s="156"/>
      <c r="O16" s="156"/>
      <c r="P16" s="156"/>
      <c r="Q16" s="156"/>
      <c r="R16" s="156"/>
      <c r="T16" s="148"/>
      <c r="U16" s="148">
        <v>5.0999999999999996</v>
      </c>
      <c r="V16" s="148">
        <f t="shared" si="8"/>
        <v>0</v>
      </c>
      <c r="W16" s="148">
        <v>5.42</v>
      </c>
      <c r="X16" s="148"/>
      <c r="Y16" s="148"/>
      <c r="Z16" s="148"/>
    </row>
    <row r="17" spans="2:26" x14ac:dyDescent="0.3">
      <c r="B17" s="146">
        <v>1.47</v>
      </c>
      <c r="C17" s="147">
        <v>1.1499999999999999</v>
      </c>
      <c r="D17" s="72">
        <v>0.8</v>
      </c>
      <c r="E17" s="72"/>
      <c r="F17" s="146">
        <v>1.1499999999999999</v>
      </c>
      <c r="G17" s="148">
        <v>0.8</v>
      </c>
      <c r="H17" s="148"/>
      <c r="I17" s="147">
        <v>5.12</v>
      </c>
      <c r="J17" s="72"/>
      <c r="K17" s="72"/>
      <c r="L17" s="155"/>
      <c r="M17" s="156">
        <v>7.6</v>
      </c>
      <c r="N17" s="156"/>
      <c r="O17" s="156"/>
      <c r="P17" s="156"/>
      <c r="Q17" s="156"/>
      <c r="R17" s="156"/>
      <c r="T17" s="148"/>
      <c r="U17" s="134"/>
      <c r="V17" s="148"/>
      <c r="W17" s="148">
        <v>7.2</v>
      </c>
      <c r="X17" s="148"/>
      <c r="Y17" s="148"/>
      <c r="Z17" s="148"/>
    </row>
    <row r="18" spans="2:26" x14ac:dyDescent="0.3">
      <c r="B18" s="146">
        <v>1.25</v>
      </c>
      <c r="C18" s="147">
        <v>0.6</v>
      </c>
      <c r="D18" s="72"/>
      <c r="E18" s="72"/>
      <c r="F18" s="146">
        <v>0.6</v>
      </c>
      <c r="G18" s="148"/>
      <c r="H18" s="148"/>
      <c r="I18" s="147">
        <v>1.8</v>
      </c>
      <c r="J18" s="72"/>
      <c r="K18" s="72"/>
      <c r="L18" s="155"/>
      <c r="M18" s="156">
        <v>4</v>
      </c>
      <c r="N18" s="156"/>
      <c r="O18" s="156"/>
      <c r="P18" s="156"/>
      <c r="Q18" s="156"/>
      <c r="R18" s="156"/>
      <c r="T18" s="148"/>
      <c r="U18" s="134"/>
      <c r="V18" s="148"/>
      <c r="W18" s="148"/>
      <c r="X18" s="148"/>
      <c r="Y18" s="148"/>
      <c r="Z18" s="148"/>
    </row>
    <row r="19" spans="2:26" x14ac:dyDescent="0.3">
      <c r="B19" s="146">
        <v>3.2</v>
      </c>
      <c r="C19" s="147">
        <v>1</v>
      </c>
      <c r="D19" s="72"/>
      <c r="E19" s="72"/>
      <c r="F19" s="146">
        <v>1</v>
      </c>
      <c r="G19" s="148"/>
      <c r="H19" s="148"/>
      <c r="I19" s="147">
        <v>0.6</v>
      </c>
      <c r="J19" s="72"/>
      <c r="K19" s="72"/>
      <c r="L19" s="155"/>
      <c r="M19" s="156"/>
      <c r="N19" s="156"/>
      <c r="O19" s="156"/>
      <c r="P19" s="156"/>
      <c r="Q19" s="156"/>
      <c r="R19" s="156"/>
      <c r="S19" s="146"/>
      <c r="T19" s="148"/>
      <c r="U19" s="134"/>
      <c r="V19" s="148"/>
      <c r="W19" s="148"/>
      <c r="X19" s="148"/>
      <c r="Y19" s="148"/>
      <c r="Z19" s="148"/>
    </row>
    <row r="20" spans="2:26" x14ac:dyDescent="0.3">
      <c r="B20" s="146">
        <v>4</v>
      </c>
      <c r="C20" s="147">
        <v>8</v>
      </c>
      <c r="D20" s="72"/>
      <c r="E20" s="72"/>
      <c r="F20" s="146">
        <v>8</v>
      </c>
      <c r="G20" s="148"/>
      <c r="H20" s="148"/>
      <c r="I20" s="147"/>
      <c r="J20" s="72"/>
      <c r="K20" s="72"/>
      <c r="L20" s="155"/>
      <c r="M20" s="156"/>
      <c r="N20" s="156"/>
      <c r="O20" s="156"/>
      <c r="P20" s="156"/>
      <c r="Q20" s="156"/>
      <c r="R20" s="156"/>
      <c r="S20" s="146"/>
      <c r="T20" s="148"/>
      <c r="U20" s="134"/>
      <c r="V20" s="148"/>
      <c r="W20" s="148"/>
      <c r="X20" s="148"/>
      <c r="Y20" s="148"/>
      <c r="Z20" s="148"/>
    </row>
    <row r="21" spans="2:26" x14ac:dyDescent="0.3">
      <c r="B21" s="146">
        <v>11.2</v>
      </c>
      <c r="C21" s="147">
        <v>1</v>
      </c>
      <c r="D21" s="72"/>
      <c r="E21" s="72"/>
      <c r="F21" s="146">
        <v>1</v>
      </c>
      <c r="G21" s="148"/>
      <c r="H21" s="148"/>
      <c r="I21" s="147"/>
      <c r="J21" s="72"/>
      <c r="K21" s="72"/>
      <c r="L21" s="155"/>
      <c r="M21" s="156"/>
      <c r="N21" s="156"/>
      <c r="O21" s="156"/>
      <c r="P21" s="156"/>
      <c r="Q21" s="156"/>
      <c r="R21" s="156"/>
      <c r="S21" s="146"/>
      <c r="T21" s="148"/>
      <c r="U21" s="134"/>
      <c r="V21" s="148"/>
      <c r="W21" s="148"/>
      <c r="X21" s="148"/>
      <c r="Y21" s="148"/>
      <c r="Z21" s="148"/>
    </row>
    <row r="22" spans="2:26" x14ac:dyDescent="0.3">
      <c r="B22" s="146">
        <v>2.1</v>
      </c>
      <c r="C22" s="147">
        <v>10.6</v>
      </c>
      <c r="D22" s="72"/>
      <c r="E22" s="72"/>
      <c r="F22" s="146">
        <v>10.6</v>
      </c>
      <c r="G22" s="148"/>
      <c r="H22" s="148"/>
      <c r="I22" s="147"/>
      <c r="J22" s="72"/>
      <c r="K22" s="72"/>
      <c r="L22" s="155"/>
      <c r="M22" s="156"/>
      <c r="N22" s="156"/>
      <c r="O22" s="156"/>
      <c r="P22" s="156"/>
      <c r="Q22" s="156"/>
      <c r="R22" s="156"/>
      <c r="S22" s="146"/>
      <c r="T22" s="148"/>
      <c r="U22" s="134"/>
      <c r="V22" s="148"/>
      <c r="W22" s="148"/>
      <c r="X22" s="148"/>
      <c r="Y22" s="148"/>
      <c r="Z22" s="148"/>
    </row>
    <row r="23" spans="2:26" x14ac:dyDescent="0.3">
      <c r="B23" s="146">
        <v>1.4</v>
      </c>
      <c r="C23" s="147">
        <v>1</v>
      </c>
      <c r="D23" s="72"/>
      <c r="E23" s="72"/>
      <c r="F23" s="146">
        <v>1</v>
      </c>
      <c r="G23" s="148"/>
      <c r="H23" s="148"/>
      <c r="I23" s="147"/>
      <c r="J23" s="72"/>
      <c r="K23" s="72"/>
      <c r="L23" s="155"/>
      <c r="M23" s="156"/>
      <c r="N23" s="156"/>
      <c r="O23" s="156"/>
      <c r="P23" s="156"/>
      <c r="Q23" s="156"/>
      <c r="R23" s="156"/>
      <c r="S23" s="146"/>
      <c r="T23" s="148"/>
      <c r="U23" s="134"/>
      <c r="V23" s="148"/>
      <c r="W23" s="148"/>
      <c r="X23" s="148"/>
      <c r="Y23" s="148"/>
      <c r="Z23" s="148"/>
    </row>
    <row r="24" spans="2:26" x14ac:dyDescent="0.3">
      <c r="B24" s="146">
        <v>1.36</v>
      </c>
      <c r="C24" s="147">
        <v>1</v>
      </c>
      <c r="D24" s="72"/>
      <c r="E24" s="72"/>
      <c r="F24" s="146">
        <v>1</v>
      </c>
      <c r="G24" s="148"/>
      <c r="H24" s="148"/>
      <c r="I24" s="147"/>
      <c r="J24" s="72"/>
      <c r="K24" s="72"/>
      <c r="L24" s="155"/>
      <c r="M24" s="156"/>
      <c r="N24" s="156"/>
      <c r="O24" s="156"/>
      <c r="P24" s="156"/>
      <c r="Q24" s="156"/>
      <c r="R24" s="156"/>
      <c r="S24" s="146"/>
      <c r="T24" s="148"/>
      <c r="U24" s="134"/>
      <c r="V24" s="148"/>
      <c r="W24" s="148"/>
      <c r="X24" s="148"/>
      <c r="Y24" s="148"/>
      <c r="Z24" s="148"/>
    </row>
    <row r="25" spans="2:26" x14ac:dyDescent="0.3">
      <c r="B25" s="146">
        <v>1.6</v>
      </c>
      <c r="C25" s="147">
        <v>0.6</v>
      </c>
      <c r="D25" s="72"/>
      <c r="E25" s="72"/>
      <c r="F25" s="146">
        <v>0.6</v>
      </c>
      <c r="G25" s="148"/>
      <c r="H25" s="148"/>
      <c r="I25" s="147"/>
      <c r="J25" s="72"/>
      <c r="K25" s="72"/>
      <c r="L25" s="155"/>
      <c r="M25" s="156"/>
      <c r="N25" s="156"/>
      <c r="O25" s="156"/>
      <c r="P25" s="156"/>
      <c r="Q25" s="156"/>
      <c r="R25" s="156"/>
      <c r="S25" s="146"/>
      <c r="T25" s="148"/>
      <c r="U25" s="134"/>
      <c r="V25" s="148"/>
      <c r="W25" s="148"/>
      <c r="X25" s="148"/>
      <c r="Y25" s="148"/>
      <c r="Z25" s="148"/>
    </row>
    <row r="26" spans="2:26" x14ac:dyDescent="0.3">
      <c r="B26" s="146">
        <v>1.63</v>
      </c>
      <c r="C26" s="147">
        <v>0.6</v>
      </c>
      <c r="D26" s="72"/>
      <c r="E26" s="72"/>
      <c r="F26" s="146">
        <v>0.6</v>
      </c>
      <c r="G26" s="148"/>
      <c r="H26" s="148"/>
      <c r="I26" s="147"/>
      <c r="J26" s="72"/>
      <c r="K26" s="72"/>
      <c r="L26" s="155"/>
      <c r="M26" s="156"/>
      <c r="N26" s="156"/>
      <c r="O26" s="156"/>
      <c r="P26" s="156"/>
      <c r="Q26" s="156"/>
      <c r="R26" s="156"/>
      <c r="S26" s="146"/>
      <c r="T26" s="148"/>
      <c r="U26" s="134"/>
      <c r="V26" s="148"/>
      <c r="W26" s="148"/>
      <c r="X26" s="148"/>
      <c r="Y26" s="148"/>
      <c r="Z26" s="148"/>
    </row>
    <row r="27" spans="2:26" x14ac:dyDescent="0.3">
      <c r="B27" s="146">
        <v>15.2</v>
      </c>
      <c r="C27" s="147">
        <v>3</v>
      </c>
      <c r="D27" s="72"/>
      <c r="E27" s="72"/>
      <c r="F27" s="146">
        <v>3</v>
      </c>
      <c r="G27" s="148"/>
      <c r="H27" s="148"/>
      <c r="I27" s="147"/>
      <c r="J27" s="72"/>
      <c r="K27" s="72"/>
      <c r="L27" s="155"/>
      <c r="M27" s="156"/>
      <c r="N27" s="156"/>
      <c r="O27" s="156"/>
      <c r="P27" s="156"/>
      <c r="Q27" s="156"/>
      <c r="R27" s="156"/>
      <c r="S27" s="146"/>
      <c r="T27" s="148"/>
      <c r="U27" s="134"/>
      <c r="V27" s="148"/>
      <c r="W27" s="148"/>
      <c r="X27" s="148"/>
      <c r="Y27" s="148"/>
      <c r="Z27" s="148"/>
    </row>
    <row r="28" spans="2:26" x14ac:dyDescent="0.3">
      <c r="B28" s="146">
        <v>9.0500000000000007</v>
      </c>
      <c r="C28" s="147">
        <v>1</v>
      </c>
      <c r="D28" s="72"/>
      <c r="E28" s="72"/>
      <c r="F28" s="146">
        <v>0.6</v>
      </c>
      <c r="G28" s="148"/>
      <c r="H28" s="148"/>
      <c r="I28" s="147"/>
      <c r="J28" s="72"/>
      <c r="K28" s="72"/>
      <c r="L28" s="155"/>
      <c r="M28" s="156"/>
      <c r="N28" s="156"/>
      <c r="O28" s="156"/>
      <c r="P28" s="156"/>
      <c r="Q28" s="156"/>
      <c r="R28" s="156"/>
      <c r="S28" s="146"/>
      <c r="T28" s="148"/>
      <c r="U28" s="134"/>
      <c r="V28" s="148"/>
      <c r="W28" s="148"/>
      <c r="X28" s="148"/>
      <c r="Y28" s="148"/>
      <c r="Z28" s="148"/>
    </row>
    <row r="29" spans="2:26" x14ac:dyDescent="0.3">
      <c r="B29" s="146">
        <v>6.15</v>
      </c>
      <c r="C29" s="147">
        <v>0.6</v>
      </c>
      <c r="D29" s="72"/>
      <c r="E29" s="72"/>
      <c r="F29" s="146">
        <v>1.4</v>
      </c>
      <c r="G29" s="148"/>
      <c r="H29" s="148"/>
      <c r="I29" s="147"/>
      <c r="J29" s="72"/>
      <c r="K29" s="72"/>
      <c r="L29" s="155"/>
      <c r="M29" s="156"/>
      <c r="N29" s="156"/>
      <c r="O29" s="156"/>
      <c r="P29" s="156"/>
      <c r="Q29" s="156"/>
      <c r="R29" s="156"/>
      <c r="S29" s="146"/>
      <c r="T29" s="148"/>
      <c r="U29" s="134"/>
      <c r="V29" s="148"/>
      <c r="W29" s="148"/>
      <c r="X29" s="148"/>
      <c r="Y29" s="148"/>
      <c r="Z29" s="148"/>
    </row>
    <row r="30" spans="2:26" x14ac:dyDescent="0.3">
      <c r="B30" s="146">
        <v>1.53</v>
      </c>
      <c r="C30" s="147">
        <v>3</v>
      </c>
      <c r="D30" s="72"/>
      <c r="E30" s="72"/>
      <c r="F30" s="146">
        <v>3</v>
      </c>
      <c r="G30" s="148"/>
      <c r="H30" s="148"/>
      <c r="I30" s="147"/>
      <c r="J30" s="72"/>
      <c r="K30" s="72"/>
      <c r="L30" s="155"/>
      <c r="M30" s="156"/>
      <c r="N30" s="156"/>
      <c r="O30" s="156"/>
      <c r="P30" s="156"/>
      <c r="Q30" s="156"/>
      <c r="R30" s="156"/>
      <c r="S30" s="146"/>
      <c r="T30" s="148"/>
      <c r="U30" s="134"/>
      <c r="V30" s="148"/>
      <c r="W30" s="148"/>
      <c r="X30" s="148"/>
      <c r="Y30" s="148"/>
      <c r="Z30" s="148"/>
    </row>
    <row r="31" spans="2:26" x14ac:dyDescent="0.3">
      <c r="B31" s="146">
        <v>3.3</v>
      </c>
      <c r="C31" s="147">
        <v>1</v>
      </c>
      <c r="D31" s="72"/>
      <c r="E31" s="72"/>
      <c r="F31" s="146">
        <v>1</v>
      </c>
      <c r="G31" s="148"/>
      <c r="H31" s="148"/>
      <c r="I31" s="147"/>
      <c r="J31" s="72"/>
      <c r="K31" s="72"/>
      <c r="L31" s="155"/>
      <c r="M31" s="156"/>
      <c r="N31" s="156"/>
      <c r="O31" s="156"/>
      <c r="P31" s="156"/>
      <c r="Q31" s="156"/>
      <c r="R31" s="156"/>
      <c r="S31" s="146"/>
      <c r="T31" s="148"/>
      <c r="U31" s="134"/>
      <c r="V31" s="148"/>
      <c r="W31" s="148"/>
      <c r="X31" s="148"/>
      <c r="Y31" s="148"/>
      <c r="Z31" s="148"/>
    </row>
    <row r="32" spans="2:26" x14ac:dyDescent="0.3">
      <c r="B32" s="146">
        <v>0.8</v>
      </c>
      <c r="C32" s="147">
        <v>0.8</v>
      </c>
      <c r="D32" s="72"/>
      <c r="E32" s="72"/>
      <c r="F32" s="146">
        <v>0.8</v>
      </c>
      <c r="G32" s="148"/>
      <c r="H32" s="148"/>
      <c r="I32" s="147"/>
      <c r="J32" s="72"/>
      <c r="K32" s="72"/>
      <c r="L32" s="155"/>
      <c r="M32" s="156"/>
      <c r="N32" s="156"/>
      <c r="O32" s="156"/>
      <c r="P32" s="156"/>
      <c r="Q32" s="156"/>
      <c r="R32" s="156"/>
      <c r="S32" s="146"/>
      <c r="T32" s="148"/>
      <c r="U32" s="134"/>
      <c r="V32" s="148"/>
      <c r="W32" s="148"/>
      <c r="X32" s="148"/>
      <c r="Y32" s="148"/>
      <c r="Z32" s="148"/>
    </row>
    <row r="33" spans="2:26" x14ac:dyDescent="0.3">
      <c r="B33" s="146">
        <v>1.1000000000000001</v>
      </c>
      <c r="C33" s="147">
        <v>0.9</v>
      </c>
      <c r="D33" s="72"/>
      <c r="E33" s="72"/>
      <c r="F33" s="146">
        <v>0.9</v>
      </c>
      <c r="G33" s="148"/>
      <c r="H33" s="148"/>
      <c r="I33" s="147"/>
      <c r="J33" s="72"/>
      <c r="K33" s="72"/>
      <c r="L33" s="155"/>
      <c r="M33" s="156"/>
      <c r="N33" s="156"/>
      <c r="O33" s="156"/>
      <c r="P33" s="156"/>
      <c r="Q33" s="156"/>
      <c r="R33" s="156"/>
      <c r="S33" s="146"/>
      <c r="T33" s="148"/>
      <c r="U33" s="134"/>
      <c r="V33" s="148"/>
      <c r="W33" s="148"/>
      <c r="X33" s="148"/>
      <c r="Y33" s="148"/>
      <c r="Z33" s="148"/>
    </row>
    <row r="34" spans="2:26" x14ac:dyDescent="0.3">
      <c r="B34" s="146">
        <v>3.46</v>
      </c>
      <c r="C34" s="147">
        <v>4.5999999999999996</v>
      </c>
      <c r="D34" s="72"/>
      <c r="E34" s="72"/>
      <c r="F34" s="146">
        <v>4.5999999999999996</v>
      </c>
      <c r="G34" s="148"/>
      <c r="H34" s="148"/>
      <c r="I34" s="147"/>
      <c r="J34" s="72"/>
      <c r="K34" s="72"/>
      <c r="L34" s="155"/>
      <c r="M34" s="156"/>
      <c r="N34" s="156"/>
      <c r="O34" s="156"/>
      <c r="P34" s="156"/>
      <c r="Q34" s="156"/>
      <c r="R34" s="156"/>
      <c r="S34" s="146"/>
      <c r="T34" s="148"/>
      <c r="U34" s="134"/>
      <c r="V34" s="148"/>
      <c r="W34" s="148"/>
      <c r="X34" s="148"/>
      <c r="Y34" s="148"/>
      <c r="Z34" s="148"/>
    </row>
    <row r="35" spans="2:26" x14ac:dyDescent="0.3">
      <c r="B35" s="146">
        <v>1.6</v>
      </c>
      <c r="C35" s="147">
        <v>1.4</v>
      </c>
      <c r="D35" s="72"/>
      <c r="E35" s="72"/>
      <c r="F35" s="146">
        <v>1.4</v>
      </c>
      <c r="G35" s="148"/>
      <c r="H35" s="148"/>
      <c r="I35" s="147"/>
      <c r="J35" s="72"/>
      <c r="K35" s="72"/>
      <c r="L35" s="155"/>
      <c r="M35" s="156"/>
      <c r="N35" s="156"/>
      <c r="O35" s="156"/>
      <c r="P35" s="156"/>
      <c r="Q35" s="156"/>
      <c r="R35" s="156"/>
      <c r="S35" s="146"/>
      <c r="T35" s="148"/>
      <c r="U35" s="134"/>
      <c r="V35" s="148"/>
      <c r="W35" s="148"/>
      <c r="X35" s="148"/>
      <c r="Y35" s="148"/>
      <c r="Z35" s="148"/>
    </row>
    <row r="36" spans="2:26" x14ac:dyDescent="0.3">
      <c r="B36" s="146">
        <v>5</v>
      </c>
      <c r="C36" s="147">
        <v>11.05</v>
      </c>
      <c r="D36" s="72"/>
      <c r="E36" s="72"/>
      <c r="F36" s="146">
        <v>11.05</v>
      </c>
      <c r="G36" s="148"/>
      <c r="H36" s="148"/>
      <c r="I36" s="147"/>
      <c r="J36" s="72"/>
      <c r="K36" s="72"/>
      <c r="L36" s="155"/>
      <c r="M36" s="156"/>
      <c r="N36" s="156"/>
      <c r="O36" s="156"/>
      <c r="P36" s="156"/>
      <c r="Q36" s="156"/>
      <c r="R36" s="156"/>
      <c r="S36" s="146"/>
      <c r="T36" s="148"/>
      <c r="U36" s="134"/>
      <c r="V36" s="148"/>
      <c r="W36" s="148"/>
      <c r="X36" s="148"/>
      <c r="Y36" s="148"/>
      <c r="Z36" s="148"/>
    </row>
    <row r="37" spans="2:26" x14ac:dyDescent="0.3">
      <c r="B37" s="146">
        <v>5.4</v>
      </c>
      <c r="C37" s="147">
        <v>1.4</v>
      </c>
      <c r="D37" s="72"/>
      <c r="E37" s="72"/>
      <c r="F37" s="146">
        <v>1.4</v>
      </c>
      <c r="G37" s="148"/>
      <c r="H37" s="148"/>
      <c r="I37" s="147"/>
      <c r="J37" s="72"/>
      <c r="K37" s="72"/>
      <c r="L37" s="155"/>
      <c r="M37" s="156"/>
      <c r="N37" s="156"/>
      <c r="O37" s="156"/>
      <c r="P37" s="156"/>
      <c r="Q37" s="156"/>
      <c r="R37" s="156"/>
      <c r="S37" s="146"/>
      <c r="T37" s="148"/>
      <c r="U37" s="134"/>
      <c r="V37" s="148"/>
      <c r="W37" s="148"/>
      <c r="X37" s="148"/>
      <c r="Y37" s="148"/>
      <c r="Z37" s="148"/>
    </row>
    <row r="38" spans="2:26" x14ac:dyDescent="0.3">
      <c r="B38" s="146">
        <v>5.6</v>
      </c>
      <c r="C38" s="147">
        <v>4.4000000000000004</v>
      </c>
      <c r="D38" s="72"/>
      <c r="E38" s="72"/>
      <c r="F38" s="146">
        <v>4.4000000000000004</v>
      </c>
      <c r="G38" s="148"/>
      <c r="H38" s="148"/>
      <c r="I38" s="147"/>
      <c r="J38" s="72"/>
      <c r="K38" s="72"/>
      <c r="L38" s="155"/>
      <c r="M38" s="156"/>
      <c r="N38" s="156"/>
      <c r="O38" s="156"/>
      <c r="P38" s="156"/>
      <c r="Q38" s="156"/>
      <c r="R38" s="156"/>
      <c r="S38" s="146"/>
      <c r="T38" s="148"/>
      <c r="U38" s="134"/>
      <c r="V38" s="148"/>
      <c r="W38" s="148"/>
      <c r="X38" s="148"/>
      <c r="Y38" s="148"/>
      <c r="Z38" s="148"/>
    </row>
    <row r="39" spans="2:26" x14ac:dyDescent="0.3">
      <c r="B39" s="146">
        <v>1.2</v>
      </c>
      <c r="C39" s="147">
        <v>1</v>
      </c>
      <c r="D39" s="72"/>
      <c r="E39" s="72"/>
      <c r="F39" s="146"/>
      <c r="G39" s="148"/>
      <c r="H39" s="148"/>
      <c r="I39" s="147"/>
      <c r="J39" s="72"/>
      <c r="K39" s="72"/>
      <c r="L39" s="155"/>
      <c r="M39" s="156"/>
      <c r="N39" s="156"/>
      <c r="O39" s="156"/>
      <c r="P39" s="156"/>
      <c r="Q39" s="156"/>
      <c r="R39" s="156"/>
      <c r="S39" s="146"/>
      <c r="T39" s="148"/>
      <c r="U39" s="134"/>
      <c r="V39" s="148"/>
      <c r="W39" s="148"/>
      <c r="X39" s="148"/>
      <c r="Y39" s="148"/>
      <c r="Z39" s="148"/>
    </row>
    <row r="40" spans="2:26" x14ac:dyDescent="0.3">
      <c r="B40" s="146">
        <v>1.2</v>
      </c>
      <c r="C40" s="147">
        <v>0.6</v>
      </c>
      <c r="D40" s="72"/>
      <c r="E40" s="72"/>
      <c r="F40" s="146"/>
      <c r="G40" s="148"/>
      <c r="H40" s="148"/>
      <c r="I40" s="147"/>
      <c r="J40" s="72"/>
      <c r="K40" s="72"/>
      <c r="L40" s="155"/>
      <c r="M40" s="156"/>
      <c r="N40" s="156"/>
      <c r="O40" s="156"/>
      <c r="P40" s="156"/>
      <c r="Q40" s="156"/>
      <c r="R40" s="156"/>
      <c r="S40" s="146"/>
      <c r="T40" s="148"/>
      <c r="U40" s="134"/>
      <c r="V40" s="148"/>
      <c r="W40" s="148"/>
      <c r="X40" s="148"/>
      <c r="Y40" s="148"/>
      <c r="Z40" s="148"/>
    </row>
    <row r="41" spans="2:26" x14ac:dyDescent="0.3">
      <c r="B41" s="146">
        <v>2.8</v>
      </c>
      <c r="C41" s="147"/>
      <c r="D41" s="72"/>
      <c r="E41" s="72"/>
      <c r="F41" s="146"/>
      <c r="G41" s="148"/>
      <c r="H41" s="148"/>
      <c r="I41" s="147"/>
      <c r="J41" s="72"/>
      <c r="K41" s="72"/>
      <c r="L41" s="155"/>
      <c r="M41" s="156"/>
      <c r="N41" s="156"/>
      <c r="O41" s="156"/>
      <c r="P41" s="156"/>
      <c r="Q41" s="156"/>
      <c r="R41" s="156"/>
      <c r="S41" s="146"/>
      <c r="T41" s="148"/>
      <c r="U41" s="134"/>
      <c r="V41" s="148"/>
      <c r="W41" s="148"/>
      <c r="X41" s="148"/>
      <c r="Y41" s="148"/>
      <c r="Z41" s="148"/>
    </row>
    <row r="42" spans="2:26" x14ac:dyDescent="0.3">
      <c r="B42" s="146">
        <v>1.4</v>
      </c>
      <c r="C42" s="147"/>
      <c r="D42" s="72"/>
      <c r="E42" s="72"/>
      <c r="F42" s="146"/>
      <c r="G42" s="148"/>
      <c r="H42" s="148"/>
      <c r="I42" s="147"/>
      <c r="J42" s="72"/>
      <c r="K42" s="72"/>
      <c r="L42" s="155"/>
      <c r="M42" s="156"/>
      <c r="N42" s="156"/>
      <c r="O42" s="156"/>
      <c r="P42" s="156"/>
      <c r="Q42" s="156"/>
      <c r="R42" s="156"/>
      <c r="S42" s="146"/>
      <c r="T42" s="148"/>
      <c r="U42" s="134"/>
      <c r="V42" s="148"/>
      <c r="W42" s="148"/>
      <c r="X42" s="148"/>
      <c r="Y42" s="148"/>
      <c r="Z42" s="148"/>
    </row>
    <row r="43" spans="2:26" x14ac:dyDescent="0.3">
      <c r="B43" s="146"/>
      <c r="C43" s="147"/>
      <c r="D43" s="72"/>
      <c r="E43" s="72"/>
      <c r="F43" s="146"/>
      <c r="G43" s="148"/>
      <c r="H43" s="148"/>
      <c r="I43" s="147"/>
      <c r="J43" s="72"/>
      <c r="K43" s="72"/>
      <c r="L43" s="155"/>
      <c r="M43" s="156"/>
      <c r="N43" s="156"/>
      <c r="O43" s="156"/>
      <c r="P43" s="156"/>
      <c r="Q43" s="156"/>
      <c r="R43" s="156"/>
      <c r="S43" s="146"/>
      <c r="T43" s="148"/>
      <c r="U43" s="134"/>
      <c r="V43" s="148"/>
      <c r="W43" s="148"/>
      <c r="X43" s="148"/>
      <c r="Y43" s="148"/>
      <c r="Z43" s="148"/>
    </row>
    <row r="44" spans="2:26" x14ac:dyDescent="0.3">
      <c r="B44" s="146"/>
      <c r="C44" s="147"/>
      <c r="D44" s="72"/>
      <c r="E44" s="72"/>
      <c r="F44" s="146"/>
      <c r="G44" s="148"/>
      <c r="H44" s="148"/>
      <c r="I44" s="147"/>
      <c r="J44" s="72"/>
      <c r="K44" s="72"/>
      <c r="L44" s="155"/>
      <c r="M44" s="156"/>
      <c r="N44" s="156"/>
      <c r="O44" s="156"/>
      <c r="P44" s="156"/>
      <c r="Q44" s="156"/>
      <c r="R44" s="156"/>
      <c r="S44" s="146"/>
      <c r="T44" s="148"/>
      <c r="U44" s="134"/>
      <c r="V44" s="148"/>
      <c r="W44" s="148"/>
      <c r="X44" s="148"/>
      <c r="Y44" s="148"/>
      <c r="Z44" s="148"/>
    </row>
    <row r="45" spans="2:26" x14ac:dyDescent="0.3">
      <c r="B45" s="146"/>
      <c r="C45" s="147"/>
      <c r="D45" s="72"/>
      <c r="E45" s="72"/>
      <c r="F45" s="146"/>
      <c r="G45" s="148"/>
      <c r="H45" s="148"/>
      <c r="I45" s="147"/>
      <c r="J45" s="72"/>
      <c r="K45" s="72"/>
      <c r="L45" s="155"/>
      <c r="M45" s="156"/>
      <c r="N45" s="156"/>
      <c r="O45" s="156"/>
      <c r="P45" s="156"/>
      <c r="Q45" s="156"/>
      <c r="R45" s="156"/>
      <c r="S45" s="146"/>
      <c r="T45" s="148"/>
      <c r="U45" s="134"/>
      <c r="V45" s="148"/>
      <c r="W45" s="148"/>
      <c r="X45" s="148"/>
      <c r="Y45" s="148"/>
      <c r="Z45" s="148"/>
    </row>
    <row r="46" spans="2:26" x14ac:dyDescent="0.3">
      <c r="B46" s="146"/>
      <c r="C46" s="147"/>
      <c r="D46" s="72"/>
      <c r="E46" s="72"/>
      <c r="F46" s="146"/>
      <c r="G46" s="148"/>
      <c r="H46" s="148"/>
      <c r="I46" s="147"/>
      <c r="J46" s="72"/>
      <c r="K46" s="72"/>
      <c r="L46" s="155"/>
      <c r="M46" s="156"/>
      <c r="N46" s="156"/>
      <c r="O46" s="156"/>
      <c r="P46" s="156"/>
      <c r="Q46" s="156"/>
      <c r="R46" s="156"/>
      <c r="S46" s="146"/>
      <c r="T46" s="148"/>
      <c r="U46" s="134"/>
      <c r="V46" s="148"/>
      <c r="W46" s="148"/>
      <c r="X46" s="148"/>
      <c r="Y46" s="148"/>
      <c r="Z46" s="148"/>
    </row>
    <row r="47" spans="2:26" x14ac:dyDescent="0.3">
      <c r="B47" s="146"/>
      <c r="C47" s="147"/>
      <c r="D47" s="72"/>
      <c r="E47" s="72"/>
      <c r="F47" s="146"/>
      <c r="G47" s="148"/>
      <c r="H47" s="148"/>
      <c r="I47" s="147"/>
      <c r="J47" s="72"/>
      <c r="K47" s="72"/>
      <c r="L47" s="155"/>
      <c r="M47" s="156"/>
      <c r="N47" s="156"/>
      <c r="O47" s="156"/>
      <c r="P47" s="156"/>
      <c r="Q47" s="156"/>
      <c r="R47" s="156"/>
      <c r="S47" s="146"/>
      <c r="T47" s="148"/>
      <c r="U47" s="134"/>
      <c r="V47" s="148"/>
      <c r="W47" s="148"/>
      <c r="X47" s="148"/>
      <c r="Y47" s="148"/>
      <c r="Z47" s="148"/>
    </row>
    <row r="48" spans="2:26" x14ac:dyDescent="0.3">
      <c r="B48" s="146"/>
      <c r="C48" s="147"/>
      <c r="D48" s="72"/>
      <c r="E48" s="72"/>
      <c r="F48" s="146"/>
      <c r="G48" s="148"/>
      <c r="H48" s="148"/>
      <c r="I48" s="147"/>
      <c r="J48" s="72"/>
      <c r="K48" s="72"/>
      <c r="L48" s="155"/>
      <c r="M48" s="156"/>
      <c r="N48" s="156"/>
      <c r="O48" s="156"/>
      <c r="P48" s="156"/>
      <c r="Q48" s="156"/>
      <c r="R48" s="156"/>
      <c r="S48" s="146"/>
      <c r="T48" s="148"/>
      <c r="U48" s="134"/>
      <c r="V48" s="148"/>
      <c r="W48" s="148"/>
      <c r="X48" s="148"/>
      <c r="Y48" s="148"/>
      <c r="Z48" s="148"/>
    </row>
    <row r="49" spans="2:26" x14ac:dyDescent="0.3">
      <c r="B49" s="146"/>
      <c r="C49" s="147"/>
      <c r="D49" s="72"/>
      <c r="E49" s="72"/>
      <c r="F49" s="146"/>
      <c r="G49" s="148"/>
      <c r="H49" s="148"/>
      <c r="I49" s="147"/>
      <c r="J49" s="72"/>
      <c r="K49" s="72"/>
      <c r="L49" s="155"/>
      <c r="M49" s="156"/>
      <c r="N49" s="156"/>
      <c r="O49" s="156"/>
      <c r="P49" s="156"/>
      <c r="Q49" s="156"/>
      <c r="R49" s="156"/>
      <c r="S49" s="146"/>
      <c r="T49" s="148"/>
      <c r="U49" s="134"/>
      <c r="V49" s="148"/>
      <c r="W49" s="148"/>
      <c r="X49" s="148"/>
      <c r="Y49" s="148"/>
      <c r="Z49" s="148"/>
    </row>
    <row r="50" spans="2:26" x14ac:dyDescent="0.3">
      <c r="B50" s="146"/>
      <c r="C50" s="147"/>
      <c r="D50" s="72"/>
      <c r="E50" s="72"/>
      <c r="F50" s="146"/>
      <c r="G50" s="148"/>
      <c r="H50" s="148"/>
      <c r="I50" s="147"/>
      <c r="J50" s="72"/>
      <c r="K50" s="72"/>
      <c r="L50" s="155"/>
      <c r="M50" s="156"/>
      <c r="N50" s="156"/>
      <c r="O50" s="156"/>
      <c r="P50" s="156"/>
      <c r="Q50" s="156"/>
      <c r="R50" s="156"/>
      <c r="S50" s="146"/>
      <c r="T50" s="148"/>
      <c r="U50" s="134"/>
      <c r="V50" s="148"/>
      <c r="W50" s="148"/>
      <c r="X50" s="148"/>
      <c r="Y50" s="148"/>
      <c r="Z50" s="148"/>
    </row>
    <row r="51" spans="2:26" x14ac:dyDescent="0.3">
      <c r="B51" s="146"/>
      <c r="C51" s="147"/>
      <c r="D51" s="72"/>
      <c r="E51" s="72"/>
      <c r="F51" s="146"/>
      <c r="G51" s="148"/>
      <c r="H51" s="148"/>
      <c r="I51" s="147"/>
      <c r="J51" s="72"/>
      <c r="K51" s="72"/>
      <c r="L51" s="155"/>
      <c r="M51" s="156"/>
      <c r="N51" s="156"/>
      <c r="O51" s="156"/>
      <c r="P51" s="156"/>
      <c r="Q51" s="156"/>
      <c r="R51" s="156"/>
      <c r="S51" s="146"/>
      <c r="T51" s="148"/>
      <c r="U51" s="134"/>
      <c r="V51" s="148"/>
      <c r="W51" s="148"/>
      <c r="X51" s="148"/>
      <c r="Y51" s="148"/>
      <c r="Z51" s="148"/>
    </row>
    <row r="52" spans="2:26" x14ac:dyDescent="0.3">
      <c r="B52" s="146"/>
      <c r="C52" s="147"/>
      <c r="D52" s="72"/>
      <c r="E52" s="72"/>
      <c r="F52" s="146"/>
      <c r="G52" s="148"/>
      <c r="H52" s="148"/>
      <c r="I52" s="147"/>
      <c r="J52" s="72"/>
      <c r="K52" s="72"/>
      <c r="L52" s="155"/>
      <c r="M52" s="156"/>
      <c r="N52" s="156"/>
      <c r="O52" s="156"/>
      <c r="P52" s="156"/>
      <c r="Q52" s="156"/>
      <c r="R52" s="156"/>
      <c r="S52" s="146"/>
      <c r="T52" s="148"/>
      <c r="U52" s="134"/>
      <c r="V52" s="148"/>
      <c r="W52" s="148"/>
      <c r="X52" s="148"/>
      <c r="Y52" s="148"/>
      <c r="Z52" s="148"/>
    </row>
    <row r="53" spans="2:26" x14ac:dyDescent="0.3">
      <c r="B53" s="146"/>
      <c r="C53" s="147"/>
      <c r="D53" s="72"/>
      <c r="E53" s="72"/>
      <c r="F53" s="146"/>
      <c r="G53" s="148"/>
      <c r="H53" s="148"/>
      <c r="I53" s="147"/>
      <c r="J53" s="72"/>
      <c r="K53" s="72"/>
      <c r="L53" s="155"/>
      <c r="M53" s="156"/>
      <c r="N53" s="156"/>
      <c r="O53" s="156"/>
      <c r="P53" s="156"/>
      <c r="Q53" s="156"/>
      <c r="R53" s="156"/>
      <c r="S53" s="146"/>
      <c r="T53" s="148"/>
      <c r="U53" s="134"/>
      <c r="V53" s="148"/>
      <c r="W53" s="148"/>
      <c r="X53" s="148"/>
      <c r="Y53" s="148"/>
      <c r="Z53" s="148"/>
    </row>
    <row r="54" spans="2:26" x14ac:dyDescent="0.3">
      <c r="B54" s="146"/>
      <c r="C54" s="147"/>
      <c r="D54" s="72"/>
      <c r="E54" s="72"/>
      <c r="F54" s="146"/>
      <c r="G54" s="148"/>
      <c r="H54" s="148"/>
      <c r="I54" s="147"/>
      <c r="J54" s="72"/>
      <c r="K54" s="72"/>
      <c r="L54" s="155"/>
      <c r="M54" s="156"/>
      <c r="N54" s="156"/>
      <c r="O54" s="156"/>
      <c r="P54" s="156"/>
      <c r="Q54" s="156"/>
      <c r="R54" s="156"/>
      <c r="S54" s="146"/>
      <c r="T54" s="148"/>
      <c r="U54" s="134"/>
      <c r="V54" s="148"/>
      <c r="W54" s="148"/>
      <c r="X54" s="148"/>
      <c r="Y54" s="148"/>
      <c r="Z54" s="148"/>
    </row>
    <row r="55" spans="2:26" x14ac:dyDescent="0.3">
      <c r="B55" s="146"/>
      <c r="C55" s="147"/>
      <c r="D55" s="72"/>
      <c r="E55" s="72"/>
      <c r="F55" s="146"/>
      <c r="G55" s="148"/>
      <c r="H55" s="148"/>
      <c r="I55" s="147"/>
      <c r="J55" s="72"/>
      <c r="K55" s="72"/>
      <c r="L55" s="155"/>
      <c r="M55" s="156"/>
      <c r="N55" s="156"/>
      <c r="O55" s="156"/>
      <c r="P55" s="156"/>
      <c r="Q55" s="156"/>
      <c r="R55" s="156"/>
      <c r="S55" s="146"/>
      <c r="T55" s="148"/>
      <c r="U55" s="134"/>
      <c r="V55" s="148"/>
      <c r="W55" s="148"/>
      <c r="X55" s="148"/>
      <c r="Y55" s="148"/>
      <c r="Z55" s="148"/>
    </row>
    <row r="56" spans="2:26" x14ac:dyDescent="0.3">
      <c r="B56" s="146"/>
      <c r="C56" s="147"/>
      <c r="D56" s="72"/>
      <c r="E56" s="72"/>
      <c r="F56" s="146"/>
      <c r="G56" s="148"/>
      <c r="H56" s="148"/>
      <c r="I56" s="147"/>
      <c r="J56" s="72"/>
      <c r="K56" s="72"/>
      <c r="L56" s="155"/>
      <c r="M56" s="156"/>
      <c r="N56" s="156"/>
      <c r="O56" s="156"/>
      <c r="P56" s="156"/>
      <c r="Q56" s="156"/>
      <c r="R56" s="156"/>
      <c r="S56" s="146"/>
      <c r="T56" s="148"/>
      <c r="U56" s="134"/>
      <c r="V56" s="148"/>
      <c r="W56" s="148"/>
      <c r="X56" s="148"/>
      <c r="Y56" s="148"/>
      <c r="Z56" s="148"/>
    </row>
    <row r="57" spans="2:26" x14ac:dyDescent="0.3">
      <c r="B57" s="146"/>
      <c r="C57" s="147"/>
      <c r="D57" s="72"/>
      <c r="E57" s="72"/>
      <c r="F57" s="146"/>
      <c r="G57" s="148"/>
      <c r="H57" s="148"/>
      <c r="I57" s="147"/>
      <c r="J57" s="72"/>
      <c r="K57" s="72"/>
      <c r="L57" s="155"/>
      <c r="M57" s="156"/>
      <c r="N57" s="156"/>
      <c r="O57" s="156"/>
      <c r="P57" s="156"/>
      <c r="Q57" s="156"/>
      <c r="R57" s="156"/>
      <c r="S57" s="146"/>
      <c r="T57" s="148"/>
      <c r="U57" s="134"/>
      <c r="V57" s="148"/>
      <c r="W57" s="148"/>
      <c r="X57" s="148"/>
      <c r="Y57" s="148"/>
      <c r="Z57" s="148"/>
    </row>
    <row r="58" spans="2:26" x14ac:dyDescent="0.3">
      <c r="B58" s="146"/>
      <c r="C58" s="147"/>
      <c r="D58" s="72"/>
      <c r="E58" s="72"/>
      <c r="F58" s="146"/>
      <c r="G58" s="148"/>
      <c r="H58" s="148"/>
      <c r="I58" s="147"/>
      <c r="J58" s="72"/>
      <c r="K58" s="72"/>
      <c r="L58" s="155"/>
      <c r="M58" s="156"/>
      <c r="N58" s="156"/>
      <c r="O58" s="156"/>
      <c r="P58" s="156"/>
      <c r="Q58" s="156"/>
      <c r="R58" s="156"/>
      <c r="S58" s="146"/>
      <c r="T58" s="148"/>
      <c r="U58" s="134"/>
      <c r="V58" s="148"/>
      <c r="W58" s="148"/>
      <c r="X58" s="148"/>
      <c r="Y58" s="148"/>
      <c r="Z58" s="148"/>
    </row>
    <row r="59" spans="2:26" x14ac:dyDescent="0.3">
      <c r="B59" s="146"/>
      <c r="C59" s="147"/>
      <c r="D59" s="72"/>
      <c r="E59" s="72"/>
      <c r="F59" s="146"/>
      <c r="G59" s="148"/>
      <c r="H59" s="148"/>
      <c r="I59" s="147"/>
      <c r="J59" s="72"/>
      <c r="K59" s="72"/>
      <c r="L59" s="155"/>
      <c r="M59" s="156"/>
      <c r="N59" s="156"/>
      <c r="O59" s="156"/>
      <c r="P59" s="156"/>
      <c r="Q59" s="156"/>
      <c r="R59" s="156"/>
      <c r="S59" s="146"/>
      <c r="T59" s="148"/>
      <c r="U59" s="134"/>
      <c r="V59" s="148"/>
      <c r="W59" s="148"/>
      <c r="X59" s="148"/>
      <c r="Y59" s="148"/>
      <c r="Z59" s="148"/>
    </row>
    <row r="60" spans="2:26" x14ac:dyDescent="0.3">
      <c r="B60" s="146"/>
      <c r="C60" s="147"/>
      <c r="D60" s="72"/>
      <c r="E60" s="72"/>
      <c r="F60" s="146"/>
      <c r="G60" s="148"/>
      <c r="H60" s="148"/>
      <c r="I60" s="147"/>
      <c r="J60" s="72"/>
      <c r="K60" s="72"/>
      <c r="L60" s="155"/>
      <c r="M60" s="156"/>
      <c r="N60" s="156"/>
      <c r="O60" s="156"/>
      <c r="P60" s="156"/>
      <c r="Q60" s="156"/>
      <c r="R60" s="156"/>
      <c r="S60" s="146"/>
      <c r="T60" s="148"/>
      <c r="U60" s="134"/>
      <c r="V60" s="148"/>
      <c r="W60" s="148"/>
      <c r="X60" s="148"/>
      <c r="Y60" s="148"/>
      <c r="Z60" s="148"/>
    </row>
    <row r="61" spans="2:26" x14ac:dyDescent="0.3">
      <c r="B61" s="146"/>
      <c r="C61" s="147"/>
      <c r="D61" s="72"/>
      <c r="E61" s="72"/>
      <c r="F61" s="146"/>
      <c r="G61" s="148"/>
      <c r="H61" s="148"/>
      <c r="I61" s="147"/>
      <c r="J61" s="72"/>
      <c r="K61" s="72"/>
      <c r="L61" s="155"/>
      <c r="M61" s="156"/>
      <c r="N61" s="156"/>
      <c r="O61" s="156"/>
      <c r="P61" s="156"/>
      <c r="Q61" s="156"/>
      <c r="R61" s="156"/>
      <c r="S61" s="146"/>
      <c r="T61" s="148"/>
      <c r="U61" s="134"/>
      <c r="V61" s="148"/>
      <c r="W61" s="148"/>
      <c r="X61" s="148"/>
      <c r="Y61" s="148"/>
      <c r="Z61" s="148"/>
    </row>
    <row r="62" spans="2:26" x14ac:dyDescent="0.3">
      <c r="B62" s="146"/>
      <c r="C62" s="147"/>
      <c r="D62" s="72"/>
      <c r="E62" s="72"/>
      <c r="F62" s="146"/>
      <c r="G62" s="148"/>
      <c r="H62" s="148"/>
      <c r="I62" s="147"/>
      <c r="J62" s="72"/>
      <c r="K62" s="72"/>
      <c r="L62" s="155"/>
      <c r="M62" s="156"/>
      <c r="N62" s="156"/>
      <c r="O62" s="156"/>
      <c r="P62" s="156"/>
      <c r="Q62" s="156"/>
      <c r="R62" s="156"/>
      <c r="S62" s="146"/>
      <c r="T62" s="148"/>
      <c r="U62" s="134"/>
      <c r="V62" s="148"/>
      <c r="W62" s="148"/>
      <c r="X62" s="148"/>
      <c r="Y62" s="148"/>
      <c r="Z62" s="148"/>
    </row>
    <row r="63" spans="2:26" x14ac:dyDescent="0.3">
      <c r="B63" s="146"/>
      <c r="C63" s="147"/>
      <c r="D63" s="72"/>
      <c r="E63" s="72"/>
      <c r="F63" s="146"/>
      <c r="G63" s="148"/>
      <c r="H63" s="148"/>
      <c r="I63" s="147"/>
      <c r="J63" s="72"/>
      <c r="K63" s="72"/>
      <c r="L63" s="155"/>
      <c r="M63" s="156"/>
      <c r="N63" s="156"/>
      <c r="O63" s="156"/>
      <c r="P63" s="156"/>
      <c r="Q63" s="156"/>
      <c r="R63" s="156"/>
      <c r="S63" s="146"/>
      <c r="T63" s="148"/>
      <c r="U63" s="134"/>
      <c r="V63" s="148"/>
      <c r="W63" s="148"/>
      <c r="X63" s="148"/>
      <c r="Y63" s="148"/>
      <c r="Z63" s="148"/>
    </row>
    <row r="64" spans="2:26" x14ac:dyDescent="0.3">
      <c r="B64" s="146"/>
      <c r="C64" s="147"/>
      <c r="D64" s="72"/>
      <c r="E64" s="72"/>
      <c r="F64" s="146"/>
      <c r="G64" s="148"/>
      <c r="H64" s="148"/>
      <c r="I64" s="147"/>
      <c r="J64" s="72"/>
      <c r="K64" s="72"/>
      <c r="L64" s="155"/>
      <c r="M64" s="156"/>
      <c r="N64" s="156"/>
      <c r="O64" s="156"/>
      <c r="P64" s="156"/>
      <c r="Q64" s="156"/>
      <c r="R64" s="156"/>
      <c r="S64" s="146"/>
      <c r="T64" s="148"/>
      <c r="U64" s="134"/>
      <c r="V64" s="148"/>
      <c r="W64" s="148"/>
      <c r="X64" s="148"/>
      <c r="Y64" s="148"/>
      <c r="Z64" s="148"/>
    </row>
    <row r="65" spans="2:26" x14ac:dyDescent="0.3">
      <c r="B65" s="146"/>
      <c r="C65" s="147"/>
      <c r="D65" s="72"/>
      <c r="E65" s="72"/>
      <c r="F65" s="146"/>
      <c r="G65" s="148"/>
      <c r="H65" s="148"/>
      <c r="I65" s="147"/>
      <c r="J65" s="72"/>
      <c r="K65" s="72"/>
      <c r="L65" s="155"/>
      <c r="M65" s="156"/>
      <c r="N65" s="156"/>
      <c r="O65" s="156"/>
      <c r="P65" s="156"/>
      <c r="Q65" s="156"/>
      <c r="R65" s="156"/>
      <c r="S65" s="146"/>
      <c r="T65" s="148"/>
      <c r="U65" s="134"/>
      <c r="V65" s="148"/>
      <c r="W65" s="148"/>
      <c r="X65" s="148"/>
      <c r="Y65" s="148"/>
      <c r="Z65" s="148"/>
    </row>
    <row r="66" spans="2:26" x14ac:dyDescent="0.3">
      <c r="B66" s="146"/>
      <c r="C66" s="147"/>
      <c r="D66" s="72"/>
      <c r="E66" s="72"/>
      <c r="F66" s="146"/>
      <c r="G66" s="148"/>
      <c r="H66" s="148"/>
      <c r="I66" s="147"/>
      <c r="J66" s="72"/>
      <c r="K66" s="72"/>
      <c r="L66" s="155"/>
      <c r="M66" s="156"/>
      <c r="N66" s="156"/>
      <c r="O66" s="156"/>
      <c r="P66" s="156"/>
      <c r="Q66" s="156"/>
      <c r="R66" s="156"/>
      <c r="S66" s="146"/>
      <c r="T66" s="148"/>
      <c r="U66" s="134"/>
      <c r="V66" s="148"/>
      <c r="W66" s="148"/>
      <c r="X66" s="148"/>
      <c r="Y66" s="148"/>
      <c r="Z66" s="148"/>
    </row>
    <row r="67" spans="2:26" x14ac:dyDescent="0.3">
      <c r="B67" s="146"/>
      <c r="C67" s="147"/>
      <c r="D67" s="72"/>
      <c r="E67" s="72"/>
      <c r="F67" s="146"/>
      <c r="G67" s="148"/>
      <c r="H67" s="148"/>
      <c r="I67" s="147"/>
      <c r="J67" s="72"/>
      <c r="K67" s="72"/>
      <c r="L67" s="155"/>
      <c r="M67" s="156"/>
      <c r="N67" s="156"/>
      <c r="O67" s="156"/>
      <c r="P67" s="156"/>
      <c r="Q67" s="156"/>
      <c r="R67" s="156"/>
      <c r="S67" s="146"/>
      <c r="T67" s="148"/>
      <c r="U67" s="134"/>
      <c r="V67" s="148"/>
      <c r="W67" s="148"/>
      <c r="X67" s="148"/>
      <c r="Y67" s="148"/>
      <c r="Z67" s="148"/>
    </row>
    <row r="68" spans="2:26" x14ac:dyDescent="0.3">
      <c r="B68" s="146"/>
      <c r="C68" s="147"/>
      <c r="D68" s="72"/>
      <c r="E68" s="72"/>
      <c r="F68" s="146"/>
      <c r="G68" s="148"/>
      <c r="H68" s="148"/>
      <c r="I68" s="147"/>
      <c r="J68" s="72"/>
      <c r="K68" s="72"/>
      <c r="L68" s="155"/>
      <c r="M68" s="156"/>
      <c r="N68" s="156"/>
      <c r="O68" s="156"/>
      <c r="P68" s="156"/>
      <c r="Q68" s="156"/>
      <c r="R68" s="156"/>
      <c r="S68" s="146"/>
      <c r="T68" s="148"/>
      <c r="U68" s="134"/>
      <c r="V68" s="148"/>
      <c r="W68" s="148"/>
      <c r="X68" s="148"/>
      <c r="Y68" s="148"/>
      <c r="Z68" s="148"/>
    </row>
    <row r="69" spans="2:26" x14ac:dyDescent="0.3">
      <c r="B69" s="146"/>
      <c r="C69" s="147"/>
      <c r="D69" s="72"/>
      <c r="E69" s="72"/>
      <c r="F69" s="146"/>
      <c r="G69" s="148"/>
      <c r="H69" s="148"/>
      <c r="I69" s="147"/>
      <c r="J69" s="72"/>
      <c r="K69" s="72"/>
      <c r="L69" s="155"/>
      <c r="M69" s="156"/>
      <c r="N69" s="156"/>
      <c r="O69" s="156"/>
      <c r="P69" s="156"/>
      <c r="Q69" s="156"/>
      <c r="R69" s="156"/>
      <c r="S69" s="146"/>
      <c r="T69" s="148"/>
      <c r="U69" s="134"/>
      <c r="V69" s="148"/>
      <c r="W69" s="148"/>
      <c r="X69" s="148"/>
      <c r="Y69" s="148"/>
      <c r="Z69" s="148"/>
    </row>
    <row r="70" spans="2:26" x14ac:dyDescent="0.3">
      <c r="B70" s="146"/>
      <c r="C70" s="147"/>
      <c r="D70" s="72"/>
      <c r="E70" s="72"/>
      <c r="F70" s="146"/>
      <c r="G70" s="148"/>
      <c r="H70" s="148"/>
      <c r="I70" s="147"/>
      <c r="J70" s="72"/>
      <c r="K70" s="72"/>
      <c r="L70" s="155"/>
      <c r="M70" s="156"/>
      <c r="N70" s="156"/>
      <c r="O70" s="156"/>
      <c r="P70" s="156"/>
      <c r="Q70" s="156"/>
      <c r="R70" s="156"/>
      <c r="S70" s="146"/>
      <c r="T70" s="148"/>
      <c r="U70" s="134"/>
      <c r="V70" s="148"/>
      <c r="W70" s="148"/>
      <c r="X70" s="148"/>
      <c r="Y70" s="148"/>
      <c r="Z70" s="148"/>
    </row>
    <row r="71" spans="2:26" x14ac:dyDescent="0.3">
      <c r="B71" s="146"/>
      <c r="C71" s="147"/>
      <c r="D71" s="72"/>
      <c r="E71" s="72"/>
      <c r="F71" s="146"/>
      <c r="G71" s="148"/>
      <c r="H71" s="148"/>
      <c r="I71" s="147"/>
      <c r="J71" s="72"/>
      <c r="K71" s="72"/>
      <c r="L71" s="155"/>
      <c r="M71" s="156"/>
      <c r="N71" s="156"/>
      <c r="O71" s="156"/>
      <c r="P71" s="156"/>
      <c r="Q71" s="156"/>
      <c r="R71" s="156"/>
      <c r="S71" s="146"/>
      <c r="T71" s="148"/>
      <c r="U71" s="134"/>
      <c r="V71" s="148"/>
      <c r="W71" s="148"/>
      <c r="X71" s="148"/>
      <c r="Y71" s="148"/>
      <c r="Z71" s="148"/>
    </row>
    <row r="72" spans="2:26" x14ac:dyDescent="0.3">
      <c r="B72" s="146"/>
      <c r="C72" s="147"/>
      <c r="D72" s="72"/>
      <c r="E72" s="72"/>
      <c r="F72" s="146"/>
      <c r="G72" s="148"/>
      <c r="H72" s="148"/>
      <c r="I72" s="147"/>
      <c r="J72" s="72"/>
      <c r="K72" s="72"/>
      <c r="L72" s="155"/>
      <c r="M72" s="156"/>
      <c r="N72" s="156"/>
      <c r="O72" s="156"/>
      <c r="P72" s="156"/>
      <c r="Q72" s="156"/>
      <c r="R72" s="156"/>
      <c r="S72" s="146"/>
      <c r="T72" s="148"/>
      <c r="U72" s="134"/>
      <c r="V72" s="148"/>
      <c r="W72" s="148"/>
      <c r="X72" s="148"/>
      <c r="Y72" s="148"/>
      <c r="Z72" s="148"/>
    </row>
    <row r="73" spans="2:26" x14ac:dyDescent="0.3">
      <c r="B73" s="146"/>
      <c r="C73" s="147"/>
      <c r="D73" s="72"/>
      <c r="E73" s="72"/>
      <c r="F73" s="146"/>
      <c r="G73" s="148"/>
      <c r="H73" s="148"/>
      <c r="I73" s="147"/>
      <c r="J73" s="72"/>
      <c r="K73" s="72"/>
      <c r="L73" s="155"/>
      <c r="M73" s="156"/>
      <c r="N73" s="156"/>
      <c r="O73" s="156"/>
      <c r="P73" s="156"/>
      <c r="Q73" s="156"/>
      <c r="R73" s="156"/>
      <c r="S73" s="146"/>
      <c r="T73" s="148"/>
      <c r="U73" s="134"/>
      <c r="V73" s="148"/>
      <c r="W73" s="148"/>
      <c r="X73" s="148"/>
      <c r="Y73" s="148"/>
      <c r="Z73" s="148"/>
    </row>
    <row r="74" spans="2:26" x14ac:dyDescent="0.3">
      <c r="B74" s="146"/>
      <c r="C74" s="147"/>
      <c r="D74" s="72"/>
      <c r="E74" s="72"/>
      <c r="F74" s="146"/>
      <c r="G74" s="148"/>
      <c r="H74" s="148"/>
      <c r="I74" s="147"/>
      <c r="J74" s="72"/>
      <c r="K74" s="72"/>
      <c r="L74" s="155"/>
      <c r="M74" s="156"/>
      <c r="N74" s="156"/>
      <c r="O74" s="156"/>
      <c r="P74" s="156"/>
      <c r="Q74" s="156"/>
      <c r="R74" s="156"/>
      <c r="S74" s="146"/>
      <c r="T74" s="148"/>
      <c r="U74" s="134"/>
      <c r="V74" s="148"/>
      <c r="W74" s="148"/>
      <c r="X74" s="148"/>
      <c r="Y74" s="148"/>
      <c r="Z74" s="148"/>
    </row>
    <row r="75" spans="2:26" x14ac:dyDescent="0.3">
      <c r="B75" s="146"/>
      <c r="C75" s="147"/>
      <c r="D75" s="72"/>
      <c r="E75" s="72"/>
      <c r="F75" s="146"/>
      <c r="G75" s="148"/>
      <c r="H75" s="148"/>
      <c r="I75" s="147"/>
      <c r="J75" s="72"/>
      <c r="K75" s="72"/>
      <c r="L75" s="155"/>
      <c r="M75" s="156"/>
      <c r="N75" s="156"/>
      <c r="O75" s="156"/>
      <c r="P75" s="156"/>
      <c r="Q75" s="156"/>
      <c r="R75" s="156"/>
      <c r="S75" s="146"/>
      <c r="T75" s="148"/>
      <c r="U75" s="134"/>
      <c r="V75" s="148"/>
      <c r="W75" s="148"/>
      <c r="X75" s="148"/>
      <c r="Y75" s="148"/>
      <c r="Z75" s="148"/>
    </row>
    <row r="76" spans="2:26" x14ac:dyDescent="0.3">
      <c r="B76" s="146"/>
      <c r="C76" s="147"/>
      <c r="D76" s="72"/>
      <c r="E76" s="72"/>
      <c r="F76" s="146"/>
      <c r="G76" s="148"/>
      <c r="H76" s="148"/>
      <c r="I76" s="147"/>
      <c r="J76" s="72"/>
      <c r="K76" s="72"/>
      <c r="L76" s="155"/>
      <c r="M76" s="156"/>
      <c r="N76" s="156"/>
      <c r="O76" s="156"/>
      <c r="P76" s="156"/>
      <c r="Q76" s="156"/>
      <c r="R76" s="156"/>
      <c r="S76" s="146"/>
      <c r="T76" s="148"/>
      <c r="U76" s="134"/>
      <c r="V76" s="148"/>
      <c r="W76" s="148"/>
      <c r="X76" s="148"/>
      <c r="Y76" s="148"/>
      <c r="Z76" s="148"/>
    </row>
    <row r="77" spans="2:26" x14ac:dyDescent="0.3">
      <c r="B77" s="146"/>
      <c r="C77" s="147"/>
      <c r="D77" s="72"/>
      <c r="E77" s="72"/>
      <c r="F77" s="146"/>
      <c r="G77" s="148"/>
      <c r="H77" s="148"/>
      <c r="I77" s="147"/>
      <c r="J77" s="72"/>
      <c r="K77" s="72"/>
      <c r="L77" s="155"/>
      <c r="M77" s="156"/>
      <c r="N77" s="156"/>
      <c r="O77" s="156"/>
      <c r="P77" s="156"/>
      <c r="Q77" s="156"/>
      <c r="R77" s="156"/>
      <c r="S77" s="146"/>
      <c r="T77" s="148"/>
      <c r="U77" s="134"/>
      <c r="V77" s="148"/>
      <c r="W77" s="148"/>
      <c r="X77" s="148"/>
      <c r="Y77" s="148"/>
      <c r="Z77" s="148"/>
    </row>
    <row r="78" spans="2:26" x14ac:dyDescent="0.3">
      <c r="B78" s="146"/>
      <c r="C78" s="147"/>
      <c r="D78" s="72"/>
      <c r="E78" s="72"/>
      <c r="F78" s="146"/>
      <c r="G78" s="148"/>
      <c r="H78" s="148"/>
      <c r="I78" s="147"/>
      <c r="J78" s="72"/>
      <c r="K78" s="72"/>
      <c r="L78" s="155"/>
      <c r="M78" s="156"/>
      <c r="N78" s="156"/>
      <c r="O78" s="156"/>
      <c r="P78" s="156"/>
      <c r="Q78" s="156"/>
      <c r="R78" s="156"/>
      <c r="S78" s="146"/>
      <c r="T78" s="148"/>
      <c r="U78" s="134"/>
      <c r="V78" s="148"/>
      <c r="W78" s="148"/>
      <c r="X78" s="148"/>
      <c r="Y78" s="148"/>
      <c r="Z78" s="148"/>
    </row>
    <row r="79" spans="2:26" x14ac:dyDescent="0.3">
      <c r="B79" s="146"/>
      <c r="C79" s="147"/>
      <c r="D79" s="72"/>
      <c r="E79" s="72"/>
      <c r="F79" s="146"/>
      <c r="G79" s="148"/>
      <c r="H79" s="148"/>
      <c r="I79" s="147"/>
      <c r="J79" s="72"/>
      <c r="K79" s="72"/>
      <c r="L79" s="155"/>
      <c r="M79" s="156"/>
      <c r="N79" s="156"/>
      <c r="O79" s="156"/>
      <c r="P79" s="156"/>
      <c r="Q79" s="156"/>
      <c r="R79" s="156"/>
      <c r="S79" s="146"/>
      <c r="T79" s="148"/>
      <c r="U79" s="134"/>
      <c r="V79" s="148"/>
      <c r="W79" s="148"/>
      <c r="X79" s="148"/>
      <c r="Y79" s="148"/>
      <c r="Z79" s="148"/>
    </row>
    <row r="80" spans="2:26" x14ac:dyDescent="0.3">
      <c r="B80" s="146"/>
      <c r="C80" s="147"/>
      <c r="D80" s="72"/>
      <c r="E80" s="72"/>
      <c r="F80" s="146"/>
      <c r="G80" s="148"/>
      <c r="H80" s="148"/>
      <c r="I80" s="147"/>
      <c r="J80" s="72"/>
      <c r="K80" s="72"/>
      <c r="L80" s="155"/>
      <c r="M80" s="156"/>
      <c r="N80" s="156"/>
      <c r="O80" s="156"/>
      <c r="P80" s="156"/>
      <c r="Q80" s="156"/>
      <c r="R80" s="156"/>
      <c r="S80" s="146"/>
      <c r="T80" s="148"/>
      <c r="U80" s="134"/>
      <c r="V80" s="148"/>
      <c r="W80" s="148"/>
      <c r="X80" s="148"/>
      <c r="Y80" s="148"/>
      <c r="Z80" s="148"/>
    </row>
    <row r="81" spans="2:26" x14ac:dyDescent="0.3">
      <c r="B81" s="146"/>
      <c r="C81" s="147"/>
      <c r="D81" s="72"/>
      <c r="E81" s="72"/>
      <c r="F81" s="146"/>
      <c r="G81" s="148"/>
      <c r="H81" s="148"/>
      <c r="I81" s="147"/>
      <c r="J81" s="72"/>
      <c r="K81" s="72"/>
      <c r="L81" s="155"/>
      <c r="M81" s="156"/>
      <c r="N81" s="156"/>
      <c r="O81" s="156"/>
      <c r="P81" s="156"/>
      <c r="Q81" s="156"/>
      <c r="R81" s="156"/>
      <c r="S81" s="146"/>
      <c r="T81" s="148"/>
      <c r="U81" s="134"/>
      <c r="V81" s="148"/>
      <c r="W81" s="148"/>
      <c r="X81" s="148"/>
      <c r="Y81" s="148"/>
      <c r="Z81" s="148"/>
    </row>
    <row r="82" spans="2:26" x14ac:dyDescent="0.3">
      <c r="B82" s="146"/>
      <c r="C82" s="147"/>
      <c r="D82" s="72"/>
      <c r="E82" s="72"/>
      <c r="F82" s="146"/>
      <c r="G82" s="148"/>
      <c r="H82" s="148"/>
      <c r="I82" s="147"/>
      <c r="J82" s="72"/>
      <c r="K82" s="72"/>
      <c r="L82" s="155"/>
      <c r="M82" s="156"/>
      <c r="N82" s="156"/>
      <c r="O82" s="156"/>
      <c r="P82" s="156"/>
      <c r="Q82" s="156"/>
      <c r="R82" s="156"/>
      <c r="S82" s="146"/>
      <c r="T82" s="148"/>
      <c r="U82" s="134"/>
      <c r="V82" s="148"/>
      <c r="W82" s="148"/>
      <c r="X82" s="148"/>
      <c r="Y82" s="148"/>
      <c r="Z82" s="148"/>
    </row>
    <row r="83" spans="2:26" x14ac:dyDescent="0.3">
      <c r="B83" s="146"/>
      <c r="C83" s="147"/>
      <c r="D83" s="72"/>
      <c r="E83" s="72"/>
      <c r="F83" s="146"/>
      <c r="G83" s="148"/>
      <c r="H83" s="148"/>
      <c r="I83" s="147"/>
      <c r="J83" s="72"/>
      <c r="K83" s="72"/>
      <c r="L83" s="155"/>
      <c r="M83" s="156"/>
      <c r="N83" s="156"/>
      <c r="O83" s="156"/>
      <c r="P83" s="156"/>
      <c r="Q83" s="156"/>
      <c r="R83" s="156"/>
      <c r="S83" s="146"/>
      <c r="T83" s="148"/>
      <c r="U83" s="134"/>
      <c r="V83" s="148"/>
      <c r="W83" s="148"/>
      <c r="X83" s="148"/>
      <c r="Y83" s="148"/>
      <c r="Z83" s="148"/>
    </row>
    <row r="84" spans="2:26" x14ac:dyDescent="0.3">
      <c r="B84" s="146"/>
      <c r="C84" s="147"/>
      <c r="D84" s="72"/>
      <c r="E84" s="72"/>
      <c r="F84" s="146"/>
      <c r="G84" s="148"/>
      <c r="H84" s="148"/>
      <c r="I84" s="147"/>
      <c r="J84" s="72"/>
      <c r="K84" s="72"/>
      <c r="L84" s="155"/>
      <c r="M84" s="156"/>
      <c r="N84" s="156"/>
      <c r="O84" s="156"/>
      <c r="P84" s="156"/>
      <c r="Q84" s="156"/>
      <c r="R84" s="156"/>
      <c r="S84" s="146"/>
      <c r="T84" s="148"/>
      <c r="U84" s="134"/>
      <c r="V84" s="148"/>
      <c r="W84" s="148"/>
      <c r="X84" s="148"/>
      <c r="Y84" s="148"/>
      <c r="Z84" s="148"/>
    </row>
    <row r="85" spans="2:26" x14ac:dyDescent="0.3">
      <c r="B85" s="146"/>
      <c r="C85" s="147"/>
      <c r="D85" s="72"/>
      <c r="E85" s="72"/>
      <c r="F85" s="146"/>
      <c r="G85" s="148"/>
      <c r="H85" s="148"/>
      <c r="I85" s="147"/>
      <c r="J85" s="72"/>
      <c r="K85" s="72"/>
      <c r="L85" s="155"/>
      <c r="M85" s="156"/>
      <c r="N85" s="156"/>
      <c r="O85" s="156"/>
      <c r="P85" s="156"/>
      <c r="Q85" s="156"/>
      <c r="R85" s="156"/>
      <c r="S85" s="146"/>
      <c r="T85" s="148"/>
      <c r="U85" s="134"/>
      <c r="V85" s="148"/>
      <c r="W85" s="148"/>
      <c r="X85" s="148"/>
      <c r="Y85" s="148"/>
      <c r="Z85" s="148"/>
    </row>
    <row r="86" spans="2:26" x14ac:dyDescent="0.3">
      <c r="B86" s="146"/>
      <c r="C86" s="147"/>
      <c r="D86" s="72"/>
      <c r="E86" s="72"/>
      <c r="F86" s="146"/>
      <c r="G86" s="148"/>
      <c r="H86" s="148"/>
      <c r="I86" s="147"/>
      <c r="J86" s="72"/>
      <c r="K86" s="72"/>
      <c r="L86" s="155"/>
      <c r="M86" s="156"/>
      <c r="N86" s="156"/>
      <c r="O86" s="156"/>
      <c r="P86" s="156"/>
      <c r="Q86" s="156"/>
      <c r="R86" s="156"/>
      <c r="S86" s="146"/>
      <c r="T86" s="148"/>
      <c r="U86" s="134"/>
      <c r="V86" s="148"/>
      <c r="W86" s="148"/>
      <c r="X86" s="148"/>
      <c r="Y86" s="148"/>
      <c r="Z86" s="148"/>
    </row>
    <row r="87" spans="2:26" x14ac:dyDescent="0.3">
      <c r="B87" s="146"/>
      <c r="C87" s="147"/>
      <c r="D87" s="72"/>
      <c r="E87" s="72"/>
      <c r="F87" s="146"/>
      <c r="G87" s="148"/>
      <c r="H87" s="148"/>
      <c r="I87" s="147"/>
      <c r="J87" s="72"/>
      <c r="K87" s="72"/>
      <c r="L87" s="155"/>
      <c r="M87" s="156"/>
      <c r="N87" s="156"/>
      <c r="O87" s="156"/>
      <c r="P87" s="156"/>
      <c r="Q87" s="156"/>
      <c r="R87" s="156"/>
      <c r="S87" s="146"/>
      <c r="T87" s="148"/>
      <c r="U87" s="134"/>
      <c r="V87" s="148"/>
      <c r="W87" s="148"/>
      <c r="X87" s="148"/>
      <c r="Y87" s="148"/>
      <c r="Z87" s="148"/>
    </row>
    <row r="88" spans="2:26" x14ac:dyDescent="0.3">
      <c r="B88" s="146"/>
      <c r="C88" s="147"/>
      <c r="D88" s="72"/>
      <c r="E88" s="72"/>
      <c r="F88" s="146"/>
      <c r="G88" s="148"/>
      <c r="H88" s="148"/>
      <c r="I88" s="147"/>
      <c r="J88" s="72"/>
      <c r="K88" s="72"/>
      <c r="L88" s="155"/>
      <c r="M88" s="156"/>
      <c r="N88" s="156"/>
      <c r="O88" s="156"/>
      <c r="P88" s="156"/>
      <c r="Q88" s="156"/>
      <c r="R88" s="156"/>
      <c r="S88" s="146"/>
      <c r="T88" s="148"/>
      <c r="U88" s="134"/>
      <c r="V88" s="148"/>
      <c r="W88" s="148"/>
      <c r="X88" s="148"/>
      <c r="Y88" s="148"/>
      <c r="Z88" s="148"/>
    </row>
    <row r="89" spans="2:26" x14ac:dyDescent="0.3">
      <c r="B89" s="146"/>
      <c r="C89" s="147"/>
      <c r="D89" s="72"/>
      <c r="E89" s="72"/>
      <c r="F89" s="146"/>
      <c r="G89" s="148"/>
      <c r="H89" s="148"/>
      <c r="I89" s="147"/>
      <c r="J89" s="72"/>
      <c r="K89" s="72"/>
      <c r="L89" s="155"/>
      <c r="M89" s="156"/>
      <c r="N89" s="156"/>
      <c r="O89" s="156"/>
      <c r="P89" s="156"/>
      <c r="Q89" s="156"/>
      <c r="R89" s="156"/>
      <c r="S89" s="146"/>
      <c r="T89" s="148"/>
      <c r="U89" s="134"/>
      <c r="V89" s="148"/>
      <c r="W89" s="148"/>
      <c r="X89" s="148"/>
      <c r="Y89" s="148"/>
      <c r="Z89" s="148"/>
    </row>
    <row r="90" spans="2:26" x14ac:dyDescent="0.3">
      <c r="B90" s="146"/>
      <c r="C90" s="147"/>
      <c r="D90" s="72"/>
      <c r="E90" s="72"/>
      <c r="F90" s="146"/>
      <c r="G90" s="148"/>
      <c r="H90" s="148"/>
      <c r="I90" s="147"/>
      <c r="J90" s="72"/>
      <c r="K90" s="72"/>
      <c r="L90" s="155"/>
      <c r="M90" s="156"/>
      <c r="N90" s="156"/>
      <c r="O90" s="156"/>
      <c r="P90" s="156"/>
      <c r="Q90" s="156"/>
      <c r="R90" s="156"/>
      <c r="S90" s="146"/>
      <c r="T90" s="148"/>
      <c r="U90" s="134"/>
      <c r="V90" s="148"/>
      <c r="W90" s="148"/>
      <c r="X90" s="148"/>
      <c r="Y90" s="148"/>
      <c r="Z90" s="148"/>
    </row>
    <row r="91" spans="2:26" x14ac:dyDescent="0.3">
      <c r="B91" s="146"/>
      <c r="C91" s="147"/>
      <c r="D91" s="72"/>
      <c r="E91" s="72"/>
      <c r="F91" s="146"/>
      <c r="G91" s="148"/>
      <c r="H91" s="148"/>
      <c r="I91" s="147"/>
      <c r="J91" s="72"/>
      <c r="K91" s="72"/>
      <c r="L91" s="155"/>
      <c r="M91" s="156"/>
      <c r="N91" s="156"/>
      <c r="O91" s="156"/>
      <c r="P91" s="156"/>
      <c r="Q91" s="156"/>
      <c r="R91" s="156"/>
      <c r="S91" s="146"/>
      <c r="T91" s="148"/>
      <c r="U91" s="134"/>
      <c r="V91" s="148"/>
      <c r="W91" s="148"/>
      <c r="X91" s="148"/>
      <c r="Y91" s="148"/>
      <c r="Z91" s="148"/>
    </row>
    <row r="92" spans="2:26" x14ac:dyDescent="0.3">
      <c r="B92" s="146"/>
      <c r="C92" s="147"/>
      <c r="D92" s="72"/>
      <c r="E92" s="72"/>
      <c r="F92" s="146"/>
      <c r="G92" s="148"/>
      <c r="H92" s="148"/>
      <c r="I92" s="147"/>
      <c r="J92" s="72"/>
      <c r="K92" s="72"/>
      <c r="L92" s="155"/>
      <c r="M92" s="156"/>
      <c r="N92" s="156"/>
      <c r="O92" s="156"/>
      <c r="P92" s="156"/>
      <c r="Q92" s="156"/>
      <c r="R92" s="156"/>
      <c r="S92" s="146"/>
      <c r="T92" s="148"/>
      <c r="U92" s="134"/>
      <c r="V92" s="148"/>
      <c r="W92" s="148"/>
      <c r="X92" s="148"/>
      <c r="Y92" s="148"/>
      <c r="Z92" s="148"/>
    </row>
    <row r="93" spans="2:26" x14ac:dyDescent="0.3">
      <c r="B93" s="146"/>
      <c r="C93" s="147"/>
      <c r="D93" s="72"/>
      <c r="E93" s="72"/>
      <c r="F93" s="146"/>
      <c r="G93" s="148"/>
      <c r="H93" s="148"/>
      <c r="I93" s="147"/>
      <c r="J93" s="72"/>
      <c r="K93" s="72"/>
      <c r="L93" s="155"/>
      <c r="M93" s="156"/>
      <c r="N93" s="156"/>
      <c r="O93" s="156"/>
      <c r="P93" s="156"/>
      <c r="Q93" s="156"/>
      <c r="R93" s="156"/>
      <c r="S93" s="146"/>
      <c r="T93" s="148"/>
      <c r="U93" s="134"/>
      <c r="V93" s="148"/>
      <c r="W93" s="148"/>
      <c r="X93" s="148"/>
      <c r="Y93" s="148"/>
      <c r="Z93" s="148"/>
    </row>
    <row r="94" spans="2:26" x14ac:dyDescent="0.3">
      <c r="B94" s="146"/>
      <c r="C94" s="147"/>
      <c r="D94" s="72"/>
      <c r="E94" s="72"/>
      <c r="F94" s="146"/>
      <c r="G94" s="148"/>
      <c r="H94" s="148"/>
      <c r="I94" s="147"/>
      <c r="J94" s="72"/>
      <c r="K94" s="72"/>
      <c r="L94" s="155"/>
      <c r="M94" s="156"/>
      <c r="N94" s="156"/>
      <c r="O94" s="156"/>
      <c r="P94" s="156"/>
      <c r="Q94" s="156"/>
      <c r="R94" s="156"/>
      <c r="S94" s="146"/>
      <c r="T94" s="148"/>
      <c r="U94" s="134"/>
      <c r="V94" s="148"/>
      <c r="W94" s="148"/>
      <c r="X94" s="148"/>
      <c r="Y94" s="148"/>
      <c r="Z94" s="148"/>
    </row>
    <row r="95" spans="2:26" x14ac:dyDescent="0.3">
      <c r="B95" s="146"/>
      <c r="C95" s="147"/>
      <c r="D95" s="72"/>
      <c r="E95" s="72"/>
      <c r="F95" s="146"/>
      <c r="G95" s="148"/>
      <c r="H95" s="148"/>
      <c r="I95" s="147"/>
      <c r="J95" s="72"/>
      <c r="K95" s="72"/>
      <c r="L95" s="155"/>
      <c r="M95" s="156"/>
      <c r="N95" s="156"/>
      <c r="O95" s="156"/>
      <c r="P95" s="156"/>
      <c r="Q95" s="156"/>
      <c r="R95" s="156"/>
      <c r="S95" s="146"/>
      <c r="T95" s="148"/>
      <c r="U95" s="134"/>
      <c r="V95" s="148"/>
      <c r="W95" s="148"/>
      <c r="X95" s="148"/>
      <c r="Y95" s="148"/>
      <c r="Z95" s="148"/>
    </row>
    <row r="96" spans="2:26" x14ac:dyDescent="0.3">
      <c r="B96" s="146"/>
      <c r="C96" s="147"/>
      <c r="D96" s="72"/>
      <c r="E96" s="72"/>
      <c r="F96" s="146"/>
      <c r="G96" s="148"/>
      <c r="H96" s="148"/>
      <c r="I96" s="147"/>
      <c r="J96" s="72"/>
      <c r="K96" s="72"/>
      <c r="L96" s="155"/>
      <c r="M96" s="156"/>
      <c r="N96" s="156"/>
      <c r="O96" s="156"/>
      <c r="P96" s="156"/>
      <c r="Q96" s="156"/>
      <c r="R96" s="156"/>
      <c r="S96" s="146"/>
      <c r="T96" s="148"/>
      <c r="U96" s="134"/>
      <c r="V96" s="148"/>
      <c r="W96" s="148"/>
      <c r="X96" s="148"/>
      <c r="Y96" s="148"/>
      <c r="Z96" s="148"/>
    </row>
    <row r="97" spans="2:26" x14ac:dyDescent="0.3">
      <c r="B97" s="146"/>
      <c r="C97" s="147"/>
      <c r="D97" s="72"/>
      <c r="E97" s="72"/>
      <c r="F97" s="146"/>
      <c r="G97" s="148"/>
      <c r="H97" s="148"/>
      <c r="I97" s="147"/>
      <c r="J97" s="72"/>
      <c r="K97" s="72"/>
      <c r="L97" s="155"/>
      <c r="M97" s="156"/>
      <c r="N97" s="156"/>
      <c r="O97" s="156"/>
      <c r="P97" s="156"/>
      <c r="Q97" s="156"/>
      <c r="R97" s="156"/>
      <c r="S97" s="146"/>
      <c r="T97" s="148"/>
      <c r="U97" s="134"/>
      <c r="V97" s="148"/>
      <c r="W97" s="148"/>
      <c r="X97" s="148"/>
      <c r="Y97" s="148"/>
      <c r="Z97" s="148"/>
    </row>
    <row r="98" spans="2:26" x14ac:dyDescent="0.3">
      <c r="B98" s="146"/>
      <c r="C98" s="147"/>
      <c r="D98" s="72"/>
      <c r="E98" s="72"/>
      <c r="F98" s="146"/>
      <c r="G98" s="148"/>
      <c r="H98" s="148"/>
      <c r="I98" s="147"/>
      <c r="J98" s="72"/>
      <c r="K98" s="72"/>
      <c r="L98" s="155"/>
      <c r="M98" s="156"/>
      <c r="N98" s="156"/>
      <c r="O98" s="156"/>
      <c r="P98" s="156"/>
      <c r="Q98" s="156"/>
      <c r="R98" s="156"/>
      <c r="S98" s="146"/>
      <c r="T98" s="148"/>
      <c r="U98" s="134"/>
      <c r="V98" s="148"/>
      <c r="W98" s="148"/>
      <c r="X98" s="148"/>
      <c r="Y98" s="148"/>
      <c r="Z98" s="148"/>
    </row>
    <row r="99" spans="2:26" x14ac:dyDescent="0.3">
      <c r="B99" s="146"/>
      <c r="C99" s="147"/>
      <c r="D99" s="72"/>
      <c r="E99" s="72"/>
      <c r="F99" s="146"/>
      <c r="G99" s="148"/>
      <c r="H99" s="148"/>
      <c r="I99" s="147"/>
      <c r="J99" s="72"/>
      <c r="K99" s="72"/>
      <c r="L99" s="155"/>
      <c r="M99" s="156"/>
      <c r="N99" s="156"/>
      <c r="O99" s="156"/>
      <c r="P99" s="156"/>
      <c r="Q99" s="156"/>
      <c r="R99" s="156"/>
      <c r="S99" s="146"/>
      <c r="T99" s="148"/>
      <c r="U99" s="134"/>
      <c r="V99" s="148"/>
      <c r="W99" s="148"/>
      <c r="X99" s="148"/>
      <c r="Y99" s="148"/>
      <c r="Z99" s="148"/>
    </row>
    <row r="100" spans="2:26" x14ac:dyDescent="0.3">
      <c r="B100" s="146"/>
      <c r="C100" s="147"/>
      <c r="D100" s="72"/>
      <c r="E100" s="72"/>
      <c r="F100" s="146"/>
      <c r="G100" s="148"/>
      <c r="H100" s="148"/>
      <c r="I100" s="147"/>
      <c r="J100" s="72"/>
      <c r="K100" s="72"/>
      <c r="L100" s="155"/>
      <c r="M100" s="156"/>
      <c r="N100" s="156"/>
      <c r="O100" s="156"/>
      <c r="P100" s="156"/>
      <c r="Q100" s="156"/>
      <c r="R100" s="156"/>
      <c r="S100" s="146"/>
      <c r="T100" s="148"/>
      <c r="U100" s="134"/>
      <c r="V100" s="148"/>
      <c r="W100" s="148"/>
      <c r="X100" s="148"/>
      <c r="Y100" s="148"/>
      <c r="Z100" s="148"/>
    </row>
    <row r="101" spans="2:26" x14ac:dyDescent="0.3">
      <c r="B101" s="146"/>
      <c r="C101" s="147"/>
      <c r="D101" s="72"/>
      <c r="E101" s="72"/>
      <c r="F101" s="146"/>
      <c r="G101" s="148"/>
      <c r="H101" s="148"/>
      <c r="I101" s="147"/>
      <c r="J101" s="72"/>
      <c r="K101" s="72"/>
      <c r="L101" s="155"/>
      <c r="M101" s="156"/>
      <c r="N101" s="156"/>
      <c r="O101" s="156"/>
      <c r="P101" s="156"/>
      <c r="Q101" s="156"/>
      <c r="R101" s="156"/>
      <c r="S101" s="146"/>
      <c r="T101" s="148"/>
      <c r="U101" s="134"/>
      <c r="V101" s="148"/>
      <c r="W101" s="148"/>
      <c r="X101" s="148"/>
      <c r="Y101" s="148"/>
      <c r="Z101" s="148"/>
    </row>
    <row r="102" spans="2:26" x14ac:dyDescent="0.3">
      <c r="B102" s="146"/>
      <c r="C102" s="147"/>
      <c r="D102" s="72"/>
      <c r="E102" s="72"/>
      <c r="F102" s="146"/>
      <c r="G102" s="148"/>
      <c r="H102" s="148"/>
      <c r="I102" s="147"/>
      <c r="J102" s="72"/>
      <c r="K102" s="72"/>
      <c r="L102" s="155"/>
      <c r="M102" s="156"/>
      <c r="N102" s="156"/>
      <c r="O102" s="156"/>
      <c r="P102" s="156"/>
      <c r="Q102" s="156"/>
      <c r="R102" s="156"/>
      <c r="S102" s="146"/>
      <c r="T102" s="148"/>
      <c r="U102" s="134"/>
      <c r="V102" s="148"/>
      <c r="W102" s="148"/>
      <c r="X102" s="148"/>
      <c r="Y102" s="148"/>
      <c r="Z102" s="148"/>
    </row>
    <row r="103" spans="2:26" x14ac:dyDescent="0.3">
      <c r="B103" s="146"/>
      <c r="C103" s="147"/>
      <c r="D103" s="72"/>
      <c r="E103" s="72"/>
      <c r="F103" s="146"/>
      <c r="G103" s="148"/>
      <c r="H103" s="148"/>
      <c r="I103" s="147"/>
      <c r="J103" s="72"/>
      <c r="K103" s="72"/>
      <c r="L103" s="155"/>
      <c r="M103" s="156"/>
      <c r="N103" s="156"/>
      <c r="O103" s="156"/>
      <c r="P103" s="156"/>
      <c r="Q103" s="156"/>
      <c r="R103" s="156"/>
      <c r="S103" s="146"/>
      <c r="T103" s="148"/>
      <c r="U103" s="134"/>
      <c r="V103" s="148"/>
      <c r="W103" s="148"/>
      <c r="X103" s="148"/>
      <c r="Y103" s="148"/>
      <c r="Z103" s="148"/>
    </row>
    <row r="104" spans="2:26" x14ac:dyDescent="0.3">
      <c r="B104" s="146"/>
      <c r="C104" s="147"/>
      <c r="D104" s="72"/>
      <c r="E104" s="72"/>
      <c r="F104" s="146"/>
      <c r="G104" s="148"/>
      <c r="H104" s="148"/>
      <c r="I104" s="147"/>
      <c r="J104" s="72"/>
      <c r="K104" s="72"/>
      <c r="L104" s="155"/>
      <c r="M104" s="156"/>
      <c r="N104" s="156"/>
      <c r="O104" s="156"/>
      <c r="P104" s="156"/>
      <c r="Q104" s="156"/>
      <c r="R104" s="156"/>
      <c r="S104" s="146"/>
      <c r="T104" s="148"/>
      <c r="U104" s="134"/>
      <c r="V104" s="148"/>
      <c r="W104" s="148"/>
      <c r="X104" s="148"/>
      <c r="Y104" s="148"/>
      <c r="Z104" s="148"/>
    </row>
    <row r="105" spans="2:26" x14ac:dyDescent="0.3">
      <c r="B105" s="146"/>
      <c r="C105" s="147"/>
      <c r="D105" s="72"/>
      <c r="E105" s="72"/>
      <c r="F105" s="146"/>
      <c r="G105" s="148"/>
      <c r="H105" s="148"/>
      <c r="I105" s="147"/>
      <c r="J105" s="72"/>
      <c r="K105" s="72"/>
      <c r="L105" s="155"/>
      <c r="M105" s="156"/>
      <c r="N105" s="156"/>
      <c r="O105" s="156"/>
      <c r="P105" s="156"/>
      <c r="Q105" s="156"/>
      <c r="R105" s="156"/>
      <c r="S105" s="146"/>
      <c r="T105" s="148"/>
      <c r="U105" s="134"/>
      <c r="V105" s="148"/>
      <c r="W105" s="148"/>
      <c r="X105" s="148"/>
      <c r="Y105" s="148"/>
      <c r="Z105" s="148"/>
    </row>
    <row r="106" spans="2:26" x14ac:dyDescent="0.3">
      <c r="B106" s="146"/>
      <c r="C106" s="147"/>
      <c r="D106" s="72"/>
      <c r="E106" s="72"/>
      <c r="F106" s="146"/>
      <c r="G106" s="148"/>
      <c r="H106" s="148"/>
      <c r="I106" s="147"/>
      <c r="J106" s="72"/>
      <c r="K106" s="72"/>
      <c r="L106" s="155"/>
      <c r="M106" s="156"/>
      <c r="N106" s="156"/>
      <c r="O106" s="156"/>
      <c r="P106" s="156"/>
      <c r="Q106" s="156"/>
      <c r="R106" s="156"/>
      <c r="S106" s="146"/>
      <c r="T106" s="148"/>
      <c r="U106" s="134"/>
      <c r="V106" s="148"/>
      <c r="W106" s="148"/>
      <c r="X106" s="148"/>
      <c r="Y106" s="148"/>
      <c r="Z106" s="148"/>
    </row>
    <row r="107" spans="2:26" x14ac:dyDescent="0.3">
      <c r="B107" s="146"/>
      <c r="C107" s="147"/>
      <c r="D107" s="72"/>
      <c r="E107" s="72"/>
      <c r="F107" s="146"/>
      <c r="G107" s="148"/>
      <c r="H107" s="148"/>
      <c r="I107" s="147"/>
      <c r="J107" s="72"/>
      <c r="K107" s="72"/>
      <c r="L107" s="155"/>
      <c r="M107" s="156"/>
      <c r="N107" s="156"/>
      <c r="O107" s="156"/>
      <c r="P107" s="156"/>
      <c r="Q107" s="156"/>
      <c r="R107" s="156"/>
      <c r="S107" s="146"/>
      <c r="T107" s="148"/>
      <c r="U107" s="134"/>
      <c r="V107" s="148"/>
      <c r="W107" s="148"/>
      <c r="X107" s="148"/>
      <c r="Y107" s="148"/>
      <c r="Z107" s="148"/>
    </row>
    <row r="108" spans="2:26" x14ac:dyDescent="0.3">
      <c r="B108" s="146"/>
      <c r="C108" s="147"/>
      <c r="D108" s="72"/>
      <c r="E108" s="72"/>
      <c r="F108" s="146"/>
      <c r="G108" s="148"/>
      <c r="H108" s="148"/>
      <c r="I108" s="147"/>
      <c r="J108" s="72"/>
      <c r="K108" s="72"/>
      <c r="L108" s="155"/>
      <c r="M108" s="156"/>
      <c r="N108" s="156"/>
      <c r="O108" s="156"/>
      <c r="P108" s="156"/>
      <c r="Q108" s="156"/>
      <c r="R108" s="156"/>
      <c r="S108" s="146"/>
      <c r="T108" s="148"/>
      <c r="U108" s="134"/>
      <c r="V108" s="148"/>
      <c r="W108" s="148"/>
      <c r="X108" s="148"/>
      <c r="Y108" s="148"/>
      <c r="Z108" s="148"/>
    </row>
    <row r="109" spans="2:26" x14ac:dyDescent="0.3">
      <c r="B109" s="146"/>
      <c r="C109" s="147"/>
      <c r="D109" s="72"/>
      <c r="E109" s="72"/>
      <c r="F109" s="146"/>
      <c r="G109" s="148"/>
      <c r="H109" s="148"/>
      <c r="I109" s="147"/>
      <c r="J109" s="72"/>
      <c r="K109" s="72"/>
      <c r="L109" s="155"/>
      <c r="M109" s="156"/>
      <c r="N109" s="156"/>
      <c r="O109" s="156"/>
      <c r="P109" s="156"/>
      <c r="Q109" s="156"/>
      <c r="R109" s="156"/>
      <c r="S109" s="146"/>
      <c r="T109" s="148"/>
      <c r="U109" s="134"/>
      <c r="V109" s="148"/>
      <c r="W109" s="148"/>
      <c r="X109" s="148"/>
      <c r="Y109" s="148"/>
      <c r="Z109" s="148"/>
    </row>
    <row r="110" spans="2:26" x14ac:dyDescent="0.3">
      <c r="B110" s="146"/>
      <c r="C110" s="147"/>
      <c r="D110" s="72"/>
      <c r="E110" s="72"/>
      <c r="F110" s="146"/>
      <c r="G110" s="148"/>
      <c r="H110" s="148"/>
      <c r="I110" s="147"/>
      <c r="J110" s="72"/>
      <c r="K110" s="72"/>
      <c r="L110" s="155"/>
      <c r="M110" s="156"/>
      <c r="N110" s="156"/>
      <c r="O110" s="156"/>
      <c r="P110" s="156"/>
      <c r="Q110" s="156"/>
      <c r="R110" s="156"/>
      <c r="S110" s="146"/>
      <c r="T110" s="148"/>
      <c r="U110" s="134"/>
      <c r="V110" s="148"/>
      <c r="W110" s="148"/>
      <c r="X110" s="148"/>
      <c r="Y110" s="148"/>
      <c r="Z110" s="148"/>
    </row>
    <row r="111" spans="2:26" x14ac:dyDescent="0.3">
      <c r="B111" s="146"/>
      <c r="C111" s="147"/>
      <c r="D111" s="72"/>
      <c r="E111" s="72"/>
      <c r="F111" s="146"/>
      <c r="G111" s="148"/>
      <c r="H111" s="148"/>
      <c r="I111" s="147"/>
      <c r="J111" s="72"/>
      <c r="K111" s="72"/>
      <c r="L111" s="155"/>
      <c r="M111" s="156"/>
      <c r="N111" s="156"/>
      <c r="O111" s="156"/>
      <c r="P111" s="156"/>
      <c r="Q111" s="156"/>
      <c r="R111" s="156"/>
      <c r="S111" s="146"/>
      <c r="T111" s="148"/>
      <c r="U111" s="134"/>
      <c r="V111" s="148"/>
      <c r="W111" s="148"/>
      <c r="X111" s="148"/>
      <c r="Y111" s="148"/>
      <c r="Z111" s="148"/>
    </row>
    <row r="112" spans="2:26" x14ac:dyDescent="0.3">
      <c r="B112" s="146"/>
      <c r="C112" s="147"/>
      <c r="D112" s="72"/>
      <c r="E112" s="72"/>
      <c r="F112" s="146"/>
      <c r="G112" s="148"/>
      <c r="H112" s="148"/>
      <c r="I112" s="147"/>
      <c r="J112" s="72"/>
      <c r="K112" s="72"/>
      <c r="L112" s="155"/>
      <c r="M112" s="156"/>
      <c r="N112" s="156"/>
      <c r="O112" s="156"/>
      <c r="P112" s="156"/>
      <c r="Q112" s="156"/>
      <c r="R112" s="156"/>
      <c r="S112" s="146"/>
      <c r="T112" s="148"/>
      <c r="U112" s="134"/>
      <c r="V112" s="148"/>
      <c r="W112" s="148"/>
      <c r="X112" s="148"/>
      <c r="Y112" s="148"/>
      <c r="Z112" s="148"/>
    </row>
    <row r="113" spans="2:26" x14ac:dyDescent="0.3">
      <c r="B113" s="146"/>
      <c r="C113" s="147"/>
      <c r="D113" s="72"/>
      <c r="E113" s="72"/>
      <c r="F113" s="146"/>
      <c r="G113" s="148"/>
      <c r="H113" s="148"/>
      <c r="I113" s="147"/>
      <c r="J113" s="72"/>
      <c r="K113" s="72"/>
      <c r="L113" s="155"/>
      <c r="M113" s="156"/>
      <c r="N113" s="156"/>
      <c r="O113" s="156"/>
      <c r="P113" s="156"/>
      <c r="Q113" s="156"/>
      <c r="R113" s="156"/>
      <c r="S113" s="146"/>
      <c r="T113" s="148"/>
      <c r="U113" s="134"/>
      <c r="V113" s="148"/>
      <c r="W113" s="148"/>
      <c r="X113" s="148"/>
      <c r="Y113" s="148"/>
      <c r="Z113" s="148"/>
    </row>
    <row r="114" spans="2:26" x14ac:dyDescent="0.3">
      <c r="B114" s="146"/>
      <c r="C114" s="147"/>
      <c r="D114" s="72"/>
      <c r="E114" s="72"/>
      <c r="F114" s="146"/>
      <c r="G114" s="148"/>
      <c r="H114" s="148"/>
      <c r="I114" s="147"/>
      <c r="J114" s="72"/>
      <c r="K114" s="72"/>
      <c r="L114" s="155"/>
      <c r="M114" s="156"/>
      <c r="N114" s="156"/>
      <c r="O114" s="156"/>
      <c r="P114" s="156"/>
      <c r="Q114" s="156"/>
      <c r="R114" s="156"/>
      <c r="S114" s="146"/>
      <c r="T114" s="148"/>
      <c r="U114" s="134"/>
      <c r="V114" s="148"/>
      <c r="W114" s="148"/>
      <c r="X114" s="148"/>
      <c r="Y114" s="148"/>
      <c r="Z114" s="148"/>
    </row>
    <row r="115" spans="2:26" x14ac:dyDescent="0.3">
      <c r="B115" s="146"/>
      <c r="C115" s="147"/>
      <c r="D115" s="72"/>
      <c r="E115" s="72"/>
      <c r="F115" s="146"/>
      <c r="G115" s="148"/>
      <c r="H115" s="148"/>
      <c r="I115" s="147"/>
      <c r="J115" s="72"/>
      <c r="K115" s="72"/>
      <c r="L115" s="155"/>
      <c r="M115" s="156"/>
      <c r="N115" s="156"/>
      <c r="O115" s="156"/>
      <c r="P115" s="156"/>
      <c r="Q115" s="156"/>
      <c r="R115" s="156"/>
      <c r="S115" s="146"/>
      <c r="T115" s="148"/>
      <c r="U115" s="134"/>
      <c r="V115" s="148"/>
      <c r="W115" s="148"/>
      <c r="X115" s="148"/>
      <c r="Y115" s="148"/>
      <c r="Z115" s="148"/>
    </row>
    <row r="116" spans="2:26" x14ac:dyDescent="0.3">
      <c r="B116" s="146"/>
      <c r="C116" s="147"/>
      <c r="D116" s="72"/>
      <c r="E116" s="72"/>
      <c r="F116" s="146"/>
      <c r="G116" s="148"/>
      <c r="H116" s="148"/>
      <c r="I116" s="147"/>
      <c r="J116" s="72"/>
      <c r="K116" s="72"/>
      <c r="L116" s="155"/>
      <c r="M116" s="156"/>
      <c r="N116" s="156"/>
      <c r="O116" s="156"/>
      <c r="P116" s="156"/>
      <c r="Q116" s="156"/>
      <c r="R116" s="156"/>
      <c r="S116" s="146"/>
      <c r="T116" s="148"/>
      <c r="U116" s="134"/>
      <c r="V116" s="148"/>
      <c r="W116" s="148"/>
      <c r="X116" s="148"/>
      <c r="Y116" s="148"/>
      <c r="Z116" s="148"/>
    </row>
    <row r="117" spans="2:26" x14ac:dyDescent="0.3">
      <c r="B117" s="146"/>
      <c r="C117" s="147"/>
      <c r="D117" s="72"/>
      <c r="E117" s="72"/>
      <c r="F117" s="146"/>
      <c r="G117" s="148"/>
      <c r="H117" s="148"/>
      <c r="I117" s="147"/>
      <c r="J117" s="72"/>
      <c r="K117" s="72"/>
      <c r="L117" s="155"/>
      <c r="M117" s="156"/>
      <c r="N117" s="156"/>
      <c r="O117" s="156"/>
      <c r="P117" s="156"/>
      <c r="Q117" s="156"/>
      <c r="R117" s="156"/>
      <c r="S117" s="146"/>
      <c r="T117" s="148"/>
      <c r="U117" s="134"/>
      <c r="V117" s="148"/>
      <c r="W117" s="148"/>
      <c r="X117" s="148"/>
      <c r="Y117" s="148"/>
      <c r="Z117" s="148"/>
    </row>
    <row r="118" spans="2:26" x14ac:dyDescent="0.3">
      <c r="B118" s="146"/>
      <c r="C118" s="147"/>
      <c r="D118" s="72"/>
      <c r="E118" s="72"/>
      <c r="F118" s="146"/>
      <c r="G118" s="148"/>
      <c r="H118" s="148"/>
      <c r="I118" s="147"/>
      <c r="J118" s="72"/>
      <c r="K118" s="72"/>
      <c r="L118" s="155"/>
      <c r="M118" s="156"/>
      <c r="N118" s="156"/>
      <c r="O118" s="156"/>
      <c r="P118" s="156"/>
      <c r="Q118" s="156"/>
      <c r="R118" s="156"/>
      <c r="S118" s="146"/>
      <c r="T118" s="148"/>
      <c r="U118" s="134"/>
      <c r="V118" s="148"/>
      <c r="W118" s="148"/>
      <c r="X118" s="148"/>
      <c r="Y118" s="148"/>
      <c r="Z118" s="148"/>
    </row>
    <row r="119" spans="2:26" x14ac:dyDescent="0.3">
      <c r="B119" s="146"/>
      <c r="C119" s="147"/>
      <c r="D119" s="72"/>
      <c r="E119" s="72"/>
      <c r="F119" s="146"/>
      <c r="G119" s="148"/>
      <c r="H119" s="148"/>
      <c r="I119" s="147"/>
      <c r="J119" s="72"/>
      <c r="K119" s="72"/>
      <c r="L119" s="155"/>
      <c r="M119" s="156"/>
      <c r="N119" s="156"/>
      <c r="O119" s="156"/>
      <c r="P119" s="156"/>
      <c r="Q119" s="156"/>
      <c r="R119" s="156"/>
      <c r="S119" s="146"/>
      <c r="T119" s="148"/>
      <c r="U119" s="134"/>
      <c r="V119" s="148"/>
      <c r="W119" s="148"/>
      <c r="X119" s="148"/>
      <c r="Y119" s="148"/>
      <c r="Z119" s="148"/>
    </row>
    <row r="120" spans="2:26" x14ac:dyDescent="0.3">
      <c r="B120" s="146"/>
      <c r="C120" s="147"/>
      <c r="D120" s="72"/>
      <c r="E120" s="72"/>
      <c r="F120" s="146"/>
      <c r="G120" s="148"/>
      <c r="H120" s="148"/>
      <c r="I120" s="147"/>
      <c r="J120" s="72"/>
      <c r="K120" s="72"/>
      <c r="L120" s="155"/>
      <c r="M120" s="156"/>
      <c r="N120" s="156"/>
      <c r="O120" s="156"/>
      <c r="P120" s="156"/>
      <c r="Q120" s="156"/>
      <c r="R120" s="156"/>
      <c r="S120" s="146"/>
      <c r="T120" s="148"/>
      <c r="U120" s="134"/>
      <c r="V120" s="148"/>
      <c r="W120" s="148"/>
      <c r="X120" s="148"/>
      <c r="Y120" s="148"/>
      <c r="Z120" s="148"/>
    </row>
    <row r="121" spans="2:26" x14ac:dyDescent="0.3">
      <c r="B121" s="146"/>
      <c r="C121" s="147"/>
      <c r="D121" s="72"/>
      <c r="E121" s="72"/>
      <c r="F121" s="146"/>
      <c r="G121" s="148"/>
      <c r="H121" s="148"/>
      <c r="I121" s="147"/>
      <c r="J121" s="72"/>
      <c r="K121" s="72"/>
      <c r="L121" s="155"/>
      <c r="M121" s="156"/>
      <c r="N121" s="156"/>
      <c r="O121" s="156"/>
      <c r="P121" s="156"/>
      <c r="Q121" s="156"/>
      <c r="R121" s="156"/>
      <c r="S121" s="146"/>
      <c r="T121" s="148"/>
      <c r="U121" s="134"/>
      <c r="V121" s="148"/>
      <c r="W121" s="148"/>
      <c r="X121" s="148"/>
      <c r="Y121" s="148"/>
      <c r="Z121" s="148"/>
    </row>
    <row r="122" spans="2:26" x14ac:dyDescent="0.3">
      <c r="B122" s="146"/>
      <c r="C122" s="147"/>
      <c r="D122" s="72"/>
      <c r="E122" s="72"/>
      <c r="F122" s="146"/>
      <c r="G122" s="148"/>
      <c r="H122" s="148"/>
      <c r="I122" s="147"/>
      <c r="J122" s="72"/>
      <c r="K122" s="72"/>
      <c r="L122" s="155"/>
      <c r="M122" s="156"/>
      <c r="N122" s="156"/>
      <c r="O122" s="156"/>
      <c r="P122" s="156"/>
      <c r="Q122" s="156"/>
      <c r="R122" s="156"/>
      <c r="S122" s="146"/>
      <c r="T122" s="148"/>
      <c r="U122" s="134"/>
      <c r="V122" s="148"/>
      <c r="W122" s="148"/>
      <c r="X122" s="148"/>
      <c r="Y122" s="148"/>
      <c r="Z122" s="148"/>
    </row>
    <row r="123" spans="2:26" x14ac:dyDescent="0.3">
      <c r="B123" s="146"/>
      <c r="C123" s="147"/>
      <c r="D123" s="72"/>
      <c r="E123" s="72"/>
      <c r="F123" s="146"/>
      <c r="G123" s="148"/>
      <c r="H123" s="148"/>
      <c r="I123" s="147"/>
      <c r="J123" s="72"/>
      <c r="K123" s="72"/>
      <c r="L123" s="155"/>
      <c r="M123" s="156"/>
      <c r="N123" s="156"/>
      <c r="O123" s="156"/>
      <c r="P123" s="156"/>
      <c r="Q123" s="156"/>
      <c r="R123" s="156"/>
      <c r="S123" s="146"/>
      <c r="T123" s="148"/>
      <c r="U123" s="134"/>
      <c r="V123" s="148"/>
      <c r="W123" s="148"/>
      <c r="X123" s="148"/>
      <c r="Y123" s="148"/>
      <c r="Z123" s="148"/>
    </row>
    <row r="124" spans="2:26" x14ac:dyDescent="0.3">
      <c r="B124" s="146"/>
      <c r="C124" s="147"/>
      <c r="D124" s="72"/>
      <c r="E124" s="72"/>
      <c r="F124" s="146"/>
      <c r="G124" s="148"/>
      <c r="H124" s="148"/>
      <c r="I124" s="147"/>
      <c r="J124" s="72"/>
      <c r="K124" s="72"/>
      <c r="L124" s="155"/>
      <c r="M124" s="156"/>
      <c r="N124" s="156"/>
      <c r="O124" s="156"/>
      <c r="P124" s="156"/>
      <c r="Q124" s="156"/>
      <c r="R124" s="156"/>
      <c r="S124" s="146"/>
      <c r="T124" s="148"/>
      <c r="U124" s="134"/>
      <c r="V124" s="148"/>
      <c r="W124" s="148"/>
      <c r="X124" s="148"/>
      <c r="Y124" s="148"/>
      <c r="Z124" s="148"/>
    </row>
    <row r="125" spans="2:26" x14ac:dyDescent="0.3">
      <c r="B125" s="146"/>
      <c r="C125" s="147"/>
      <c r="D125" s="72"/>
      <c r="E125" s="72"/>
      <c r="F125" s="146"/>
      <c r="G125" s="148"/>
      <c r="H125" s="148"/>
      <c r="I125" s="147"/>
      <c r="J125" s="72"/>
      <c r="K125" s="72"/>
      <c r="L125" s="155"/>
      <c r="M125" s="156"/>
      <c r="N125" s="156"/>
      <c r="O125" s="156"/>
      <c r="P125" s="156"/>
      <c r="Q125" s="156"/>
      <c r="R125" s="156"/>
      <c r="S125" s="146"/>
      <c r="T125" s="148"/>
      <c r="U125" s="134"/>
      <c r="V125" s="148"/>
      <c r="W125" s="148"/>
      <c r="X125" s="148"/>
      <c r="Y125" s="148"/>
      <c r="Z125" s="148"/>
    </row>
    <row r="126" spans="2:26" x14ac:dyDescent="0.3">
      <c r="B126" s="146"/>
      <c r="C126" s="147"/>
      <c r="D126" s="72"/>
      <c r="E126" s="72"/>
      <c r="F126" s="146"/>
      <c r="G126" s="148"/>
      <c r="H126" s="148"/>
      <c r="I126" s="147"/>
      <c r="J126" s="72"/>
      <c r="K126" s="72"/>
      <c r="L126" s="155"/>
      <c r="M126" s="156"/>
      <c r="N126" s="156"/>
      <c r="O126" s="156"/>
      <c r="P126" s="156"/>
      <c r="Q126" s="156"/>
      <c r="R126" s="156"/>
      <c r="S126" s="146"/>
      <c r="T126" s="148"/>
      <c r="U126" s="134"/>
      <c r="V126" s="148"/>
      <c r="W126" s="148"/>
      <c r="X126" s="148"/>
      <c r="Y126" s="148"/>
      <c r="Z126" s="148"/>
    </row>
    <row r="127" spans="2:26" x14ac:dyDescent="0.3">
      <c r="B127" s="146"/>
      <c r="C127" s="147"/>
      <c r="D127" s="72"/>
      <c r="E127" s="72"/>
      <c r="F127" s="146"/>
      <c r="G127" s="148"/>
      <c r="H127" s="148"/>
      <c r="I127" s="147"/>
      <c r="J127" s="72"/>
      <c r="K127" s="72"/>
      <c r="L127" s="155"/>
      <c r="M127" s="156"/>
      <c r="N127" s="156"/>
      <c r="O127" s="156"/>
      <c r="P127" s="156"/>
      <c r="Q127" s="156"/>
      <c r="R127" s="156"/>
      <c r="S127" s="146"/>
      <c r="T127" s="148"/>
      <c r="U127" s="134"/>
      <c r="V127" s="148"/>
      <c r="W127" s="148"/>
      <c r="X127" s="148"/>
      <c r="Y127" s="148"/>
      <c r="Z127" s="148"/>
    </row>
    <row r="128" spans="2:26" x14ac:dyDescent="0.3">
      <c r="B128" s="146"/>
      <c r="C128" s="147"/>
      <c r="D128" s="72"/>
      <c r="E128" s="72"/>
      <c r="F128" s="146"/>
      <c r="G128" s="148"/>
      <c r="H128" s="148"/>
      <c r="I128" s="147"/>
      <c r="J128" s="72"/>
      <c r="K128" s="72"/>
      <c r="L128" s="155"/>
      <c r="M128" s="156"/>
      <c r="N128" s="156"/>
      <c r="O128" s="156"/>
      <c r="P128" s="156"/>
      <c r="Q128" s="156"/>
      <c r="R128" s="156"/>
      <c r="S128" s="146"/>
      <c r="T128" s="148"/>
      <c r="U128" s="134"/>
      <c r="V128" s="148"/>
      <c r="W128" s="148"/>
      <c r="X128" s="148"/>
      <c r="Y128" s="148"/>
      <c r="Z128" s="148"/>
    </row>
    <row r="129" spans="2:26" x14ac:dyDescent="0.3">
      <c r="B129" s="146"/>
      <c r="C129" s="147"/>
      <c r="D129" s="72"/>
      <c r="E129" s="72"/>
      <c r="F129" s="146"/>
      <c r="G129" s="148"/>
      <c r="H129" s="148"/>
      <c r="I129" s="147"/>
      <c r="J129" s="72"/>
      <c r="K129" s="72"/>
      <c r="L129" s="155"/>
      <c r="M129" s="156"/>
      <c r="N129" s="156"/>
      <c r="O129" s="156"/>
      <c r="P129" s="156"/>
      <c r="Q129" s="156"/>
      <c r="R129" s="156"/>
      <c r="S129" s="146"/>
      <c r="T129" s="148"/>
      <c r="U129" s="134"/>
      <c r="V129" s="148"/>
      <c r="W129" s="148"/>
      <c r="X129" s="148"/>
      <c r="Y129" s="148"/>
      <c r="Z129" s="148"/>
    </row>
    <row r="130" spans="2:26" x14ac:dyDescent="0.3">
      <c r="B130" s="146"/>
      <c r="C130" s="147"/>
      <c r="D130" s="72"/>
      <c r="E130" s="72"/>
      <c r="F130" s="146"/>
      <c r="G130" s="148"/>
      <c r="H130" s="148"/>
      <c r="I130" s="147"/>
      <c r="J130" s="72"/>
      <c r="K130" s="72"/>
      <c r="L130" s="155"/>
      <c r="M130" s="156"/>
      <c r="N130" s="156"/>
      <c r="O130" s="156"/>
      <c r="P130" s="156"/>
      <c r="Q130" s="156"/>
      <c r="R130" s="156"/>
      <c r="S130" s="146"/>
      <c r="T130" s="148"/>
      <c r="U130" s="134"/>
      <c r="V130" s="148"/>
      <c r="W130" s="148"/>
      <c r="X130" s="148"/>
      <c r="Y130" s="148"/>
      <c r="Z130" s="148"/>
    </row>
    <row r="131" spans="2:26" x14ac:dyDescent="0.3">
      <c r="B131" s="146"/>
      <c r="C131" s="147"/>
      <c r="D131" s="72"/>
      <c r="E131" s="72"/>
      <c r="F131" s="146"/>
      <c r="G131" s="148"/>
      <c r="H131" s="148"/>
      <c r="I131" s="147"/>
      <c r="J131" s="72"/>
      <c r="K131" s="72"/>
      <c r="L131" s="155"/>
      <c r="M131" s="156"/>
      <c r="N131" s="156"/>
      <c r="O131" s="156"/>
      <c r="P131" s="156"/>
      <c r="Q131" s="156"/>
      <c r="R131" s="156"/>
      <c r="S131" s="146"/>
      <c r="T131" s="148"/>
      <c r="U131" s="134"/>
      <c r="V131" s="148"/>
      <c r="W131" s="148"/>
      <c r="X131" s="148"/>
      <c r="Y131" s="148"/>
      <c r="Z131" s="148"/>
    </row>
    <row r="132" spans="2:26" x14ac:dyDescent="0.3">
      <c r="B132" s="146"/>
      <c r="C132" s="147"/>
      <c r="D132" s="72"/>
      <c r="E132" s="72"/>
      <c r="F132" s="146"/>
      <c r="G132" s="148"/>
      <c r="H132" s="148"/>
      <c r="I132" s="147"/>
      <c r="J132" s="72"/>
      <c r="K132" s="72"/>
      <c r="L132" s="155"/>
      <c r="M132" s="156"/>
      <c r="N132" s="156"/>
      <c r="O132" s="156"/>
      <c r="P132" s="156"/>
      <c r="Q132" s="156"/>
      <c r="R132" s="156"/>
      <c r="S132" s="146"/>
      <c r="T132" s="148"/>
      <c r="U132" s="134"/>
      <c r="V132" s="148"/>
      <c r="W132" s="148"/>
      <c r="X132" s="148"/>
      <c r="Y132" s="148"/>
      <c r="Z132" s="148"/>
    </row>
    <row r="133" spans="2:26" x14ac:dyDescent="0.3">
      <c r="B133" s="146"/>
      <c r="C133" s="147"/>
      <c r="D133" s="72"/>
      <c r="E133" s="72"/>
      <c r="F133" s="146"/>
      <c r="G133" s="148"/>
      <c r="H133" s="148"/>
      <c r="I133" s="147"/>
      <c r="J133" s="72"/>
      <c r="K133" s="72"/>
      <c r="L133" s="155"/>
      <c r="M133" s="156"/>
      <c r="N133" s="156"/>
      <c r="O133" s="156"/>
      <c r="P133" s="156"/>
      <c r="Q133" s="156"/>
      <c r="R133" s="156"/>
      <c r="S133" s="146"/>
      <c r="T133" s="148"/>
      <c r="U133" s="134"/>
      <c r="V133" s="148"/>
      <c r="W133" s="148"/>
      <c r="X133" s="148"/>
      <c r="Y133" s="148"/>
      <c r="Z133" s="148"/>
    </row>
    <row r="134" spans="2:26" x14ac:dyDescent="0.3">
      <c r="B134" s="146"/>
      <c r="C134" s="147"/>
      <c r="D134" s="72"/>
      <c r="E134" s="72"/>
      <c r="F134" s="146"/>
      <c r="G134" s="148"/>
      <c r="H134" s="148"/>
      <c r="I134" s="147"/>
      <c r="J134" s="72"/>
      <c r="K134" s="72"/>
      <c r="L134" s="155"/>
      <c r="M134" s="156"/>
      <c r="N134" s="156"/>
      <c r="O134" s="156"/>
      <c r="P134" s="156"/>
      <c r="Q134" s="156"/>
      <c r="R134" s="156"/>
      <c r="S134" s="146"/>
      <c r="T134" s="148"/>
      <c r="U134" s="134"/>
      <c r="V134" s="148"/>
      <c r="W134" s="148"/>
      <c r="X134" s="148"/>
      <c r="Y134" s="148"/>
      <c r="Z134" s="148"/>
    </row>
    <row r="135" spans="2:26" x14ac:dyDescent="0.3">
      <c r="B135" s="146"/>
      <c r="C135" s="147"/>
      <c r="D135" s="72"/>
      <c r="E135" s="72"/>
      <c r="F135" s="146"/>
      <c r="G135" s="148"/>
      <c r="H135" s="148"/>
      <c r="I135" s="147"/>
      <c r="J135" s="72"/>
      <c r="K135" s="72"/>
      <c r="L135" s="155"/>
      <c r="M135" s="156"/>
      <c r="N135" s="156"/>
      <c r="O135" s="156"/>
      <c r="P135" s="156"/>
      <c r="Q135" s="156"/>
      <c r="R135" s="156"/>
      <c r="S135" s="146"/>
      <c r="T135" s="148"/>
      <c r="U135" s="134"/>
      <c r="V135" s="148"/>
      <c r="W135" s="148"/>
      <c r="X135" s="148"/>
      <c r="Y135" s="148"/>
      <c r="Z135" s="148"/>
    </row>
    <row r="136" spans="2:26" x14ac:dyDescent="0.3">
      <c r="B136" s="146"/>
      <c r="C136" s="147"/>
      <c r="D136" s="72"/>
      <c r="E136" s="72"/>
      <c r="F136" s="146"/>
      <c r="G136" s="148"/>
      <c r="H136" s="148"/>
      <c r="I136" s="147"/>
      <c r="J136" s="72"/>
      <c r="K136" s="72"/>
      <c r="L136" s="155"/>
      <c r="M136" s="156"/>
      <c r="N136" s="156"/>
      <c r="O136" s="156"/>
      <c r="P136" s="156"/>
      <c r="Q136" s="156"/>
      <c r="R136" s="156"/>
      <c r="S136" s="146"/>
      <c r="T136" s="148"/>
      <c r="U136" s="134"/>
      <c r="V136" s="148"/>
      <c r="W136" s="148"/>
      <c r="X136" s="148"/>
      <c r="Y136" s="148"/>
      <c r="Z136" s="148"/>
    </row>
    <row r="137" spans="2:26" x14ac:dyDescent="0.3">
      <c r="B137" s="146"/>
      <c r="C137" s="147"/>
      <c r="D137" s="72"/>
      <c r="E137" s="72"/>
      <c r="F137" s="146"/>
      <c r="G137" s="148"/>
      <c r="H137" s="148"/>
      <c r="I137" s="147"/>
      <c r="J137" s="72"/>
      <c r="K137" s="72"/>
      <c r="L137" s="155"/>
      <c r="M137" s="156"/>
      <c r="N137" s="156"/>
      <c r="O137" s="156"/>
      <c r="P137" s="156"/>
      <c r="Q137" s="156"/>
      <c r="R137" s="156"/>
      <c r="S137" s="146"/>
      <c r="T137" s="148"/>
      <c r="U137" s="134"/>
      <c r="V137" s="148"/>
      <c r="W137" s="148"/>
      <c r="X137" s="148"/>
      <c r="Y137" s="148"/>
      <c r="Z137" s="148"/>
    </row>
    <row r="138" spans="2:26" x14ac:dyDescent="0.3">
      <c r="B138" s="146"/>
      <c r="C138" s="147"/>
      <c r="D138" s="72"/>
      <c r="E138" s="72"/>
      <c r="F138" s="146"/>
      <c r="G138" s="148"/>
      <c r="H138" s="148"/>
      <c r="I138" s="147"/>
      <c r="J138" s="72"/>
      <c r="K138" s="72"/>
      <c r="L138" s="155"/>
      <c r="M138" s="156"/>
      <c r="N138" s="156"/>
      <c r="O138" s="156"/>
      <c r="P138" s="156"/>
      <c r="Q138" s="156"/>
      <c r="R138" s="156"/>
      <c r="S138" s="146"/>
      <c r="T138" s="148"/>
      <c r="U138" s="134"/>
      <c r="V138" s="148"/>
      <c r="W138" s="148"/>
      <c r="X138" s="148"/>
      <c r="Y138" s="148"/>
      <c r="Z138" s="148"/>
    </row>
    <row r="139" spans="2:26" x14ac:dyDescent="0.3">
      <c r="B139" s="146"/>
      <c r="C139" s="147"/>
      <c r="D139" s="72"/>
      <c r="E139" s="72"/>
      <c r="F139" s="146"/>
      <c r="G139" s="148"/>
      <c r="H139" s="148"/>
      <c r="I139" s="147"/>
      <c r="J139" s="72"/>
      <c r="K139" s="72"/>
      <c r="L139" s="155"/>
      <c r="M139" s="156"/>
      <c r="N139" s="156"/>
      <c r="O139" s="156"/>
      <c r="P139" s="156"/>
      <c r="Q139" s="156"/>
      <c r="R139" s="156"/>
      <c r="S139" s="146"/>
      <c r="T139" s="148"/>
      <c r="U139" s="134"/>
      <c r="V139" s="148"/>
      <c r="W139" s="148"/>
      <c r="X139" s="148"/>
      <c r="Y139" s="148"/>
      <c r="Z139" s="148"/>
    </row>
    <row r="140" spans="2:26" x14ac:dyDescent="0.3">
      <c r="B140" s="146"/>
      <c r="C140" s="147"/>
      <c r="D140" s="72"/>
      <c r="E140" s="72"/>
      <c r="F140" s="146"/>
      <c r="G140" s="148"/>
      <c r="H140" s="148"/>
      <c r="I140" s="147"/>
      <c r="J140" s="72"/>
      <c r="K140" s="72"/>
      <c r="L140" s="155"/>
      <c r="M140" s="156"/>
      <c r="N140" s="156"/>
      <c r="O140" s="156"/>
      <c r="P140" s="156"/>
      <c r="Q140" s="156"/>
      <c r="R140" s="156"/>
      <c r="S140" s="146"/>
      <c r="T140" s="148"/>
      <c r="U140" s="134"/>
      <c r="V140" s="148"/>
      <c r="W140" s="148"/>
      <c r="X140" s="148"/>
      <c r="Y140" s="148"/>
      <c r="Z140" s="148"/>
    </row>
    <row r="141" spans="2:26" x14ac:dyDescent="0.3">
      <c r="B141" s="146"/>
      <c r="C141" s="147"/>
      <c r="D141" s="72"/>
      <c r="E141" s="72"/>
      <c r="F141" s="146"/>
      <c r="G141" s="148"/>
      <c r="H141" s="148"/>
      <c r="I141" s="147"/>
      <c r="J141" s="72"/>
      <c r="K141" s="72"/>
      <c r="L141" s="155"/>
      <c r="M141" s="156"/>
      <c r="N141" s="156"/>
      <c r="O141" s="156"/>
      <c r="P141" s="156"/>
      <c r="Q141" s="156"/>
      <c r="R141" s="156"/>
      <c r="S141" s="146"/>
      <c r="T141" s="148"/>
      <c r="U141" s="134"/>
      <c r="V141" s="148"/>
      <c r="W141" s="148"/>
      <c r="X141" s="148"/>
      <c r="Y141" s="148"/>
      <c r="Z141" s="148"/>
    </row>
    <row r="142" spans="2:26" x14ac:dyDescent="0.3">
      <c r="B142" s="146"/>
      <c r="C142" s="147"/>
      <c r="D142" s="72"/>
      <c r="E142" s="72"/>
      <c r="F142" s="146"/>
      <c r="G142" s="148"/>
      <c r="H142" s="148"/>
      <c r="I142" s="147"/>
      <c r="J142" s="72"/>
      <c r="K142" s="72"/>
      <c r="L142" s="155"/>
      <c r="M142" s="156"/>
      <c r="N142" s="156"/>
      <c r="O142" s="156"/>
      <c r="P142" s="156"/>
      <c r="Q142" s="156"/>
      <c r="R142" s="156"/>
      <c r="S142" s="146"/>
      <c r="T142" s="148"/>
      <c r="U142" s="134"/>
      <c r="V142" s="148"/>
      <c r="W142" s="148"/>
      <c r="X142" s="148"/>
      <c r="Y142" s="148"/>
      <c r="Z142" s="148"/>
    </row>
    <row r="143" spans="2:26" x14ac:dyDescent="0.3">
      <c r="B143" s="146"/>
      <c r="C143" s="147"/>
      <c r="D143" s="72"/>
      <c r="E143" s="72"/>
      <c r="F143" s="146"/>
      <c r="G143" s="148"/>
      <c r="H143" s="148"/>
      <c r="I143" s="147"/>
      <c r="J143" s="72"/>
      <c r="K143" s="72"/>
      <c r="L143" s="155"/>
      <c r="M143" s="156"/>
      <c r="N143" s="156"/>
      <c r="O143" s="156"/>
      <c r="P143" s="156"/>
      <c r="Q143" s="156"/>
      <c r="R143" s="156"/>
      <c r="S143" s="146"/>
      <c r="T143" s="148"/>
      <c r="U143" s="134"/>
      <c r="V143" s="148"/>
      <c r="W143" s="148"/>
      <c r="X143" s="148"/>
      <c r="Y143" s="148"/>
      <c r="Z143" s="148"/>
    </row>
    <row r="144" spans="2:26" x14ac:dyDescent="0.3">
      <c r="B144" s="146"/>
      <c r="C144" s="147"/>
      <c r="D144" s="72"/>
      <c r="E144" s="72"/>
      <c r="F144" s="146"/>
      <c r="G144" s="148"/>
      <c r="H144" s="148"/>
      <c r="I144" s="147"/>
      <c r="J144" s="72"/>
      <c r="K144" s="72"/>
      <c r="L144" s="155"/>
      <c r="M144" s="156"/>
      <c r="N144" s="156"/>
      <c r="O144" s="156"/>
      <c r="P144" s="156"/>
      <c r="Q144" s="156"/>
      <c r="R144" s="156"/>
      <c r="S144" s="146"/>
      <c r="T144" s="148"/>
      <c r="U144" s="134"/>
      <c r="V144" s="148"/>
      <c r="W144" s="148"/>
      <c r="X144" s="148"/>
      <c r="Y144" s="148"/>
      <c r="Z144" s="148"/>
    </row>
    <row r="145" spans="2:26" x14ac:dyDescent="0.3">
      <c r="B145" s="146"/>
      <c r="C145" s="147"/>
      <c r="D145" s="72"/>
      <c r="E145" s="72"/>
      <c r="F145" s="146"/>
      <c r="G145" s="148"/>
      <c r="H145" s="148"/>
      <c r="I145" s="147"/>
      <c r="J145" s="72"/>
      <c r="K145" s="72"/>
      <c r="L145" s="155"/>
      <c r="M145" s="156"/>
      <c r="N145" s="156"/>
      <c r="O145" s="156"/>
      <c r="P145" s="156"/>
      <c r="Q145" s="156"/>
      <c r="R145" s="156"/>
      <c r="S145" s="146"/>
      <c r="T145" s="148"/>
      <c r="U145" s="134"/>
      <c r="V145" s="148"/>
      <c r="W145" s="148"/>
      <c r="X145" s="148"/>
      <c r="Y145" s="148"/>
      <c r="Z145" s="148"/>
    </row>
    <row r="146" spans="2:26" x14ac:dyDescent="0.3">
      <c r="B146" s="146"/>
      <c r="C146" s="147"/>
      <c r="D146" s="72"/>
      <c r="E146" s="72"/>
      <c r="F146" s="146"/>
      <c r="G146" s="148"/>
      <c r="H146" s="148"/>
      <c r="I146" s="147"/>
      <c r="J146" s="72"/>
      <c r="K146" s="72"/>
      <c r="L146" s="155"/>
      <c r="M146" s="156"/>
      <c r="N146" s="156"/>
      <c r="O146" s="156"/>
      <c r="P146" s="156"/>
      <c r="Q146" s="156"/>
      <c r="R146" s="156"/>
      <c r="S146" s="146"/>
      <c r="T146" s="148"/>
      <c r="U146" s="134"/>
      <c r="V146" s="148"/>
      <c r="W146" s="148"/>
      <c r="X146" s="148"/>
      <c r="Y146" s="148"/>
      <c r="Z146" s="148"/>
    </row>
    <row r="147" spans="2:26" x14ac:dyDescent="0.3">
      <c r="B147" s="146"/>
      <c r="C147" s="147"/>
      <c r="D147" s="72"/>
      <c r="E147" s="72"/>
      <c r="F147" s="146"/>
      <c r="G147" s="148"/>
      <c r="H147" s="148"/>
      <c r="I147" s="147"/>
      <c r="J147" s="72"/>
      <c r="K147" s="72"/>
      <c r="L147" s="155"/>
      <c r="M147" s="156"/>
      <c r="N147" s="156"/>
      <c r="O147" s="156"/>
      <c r="P147" s="156"/>
      <c r="Q147" s="156"/>
      <c r="R147" s="156"/>
      <c r="S147" s="146"/>
      <c r="T147" s="148"/>
      <c r="U147" s="134"/>
      <c r="V147" s="148"/>
      <c r="W147" s="148"/>
      <c r="X147" s="148"/>
      <c r="Y147" s="148"/>
      <c r="Z147" s="148"/>
    </row>
    <row r="148" spans="2:26" x14ac:dyDescent="0.3">
      <c r="B148" s="146"/>
      <c r="C148" s="147"/>
      <c r="D148" s="72"/>
      <c r="E148" s="72"/>
      <c r="F148" s="146"/>
      <c r="G148" s="148"/>
      <c r="H148" s="148"/>
      <c r="I148" s="147"/>
      <c r="J148" s="72"/>
      <c r="K148" s="72"/>
      <c r="L148" s="155"/>
      <c r="M148" s="156"/>
      <c r="N148" s="156"/>
      <c r="O148" s="156"/>
      <c r="P148" s="156"/>
      <c r="Q148" s="156"/>
      <c r="R148" s="156"/>
      <c r="S148" s="146"/>
      <c r="T148" s="148"/>
      <c r="U148" s="134"/>
      <c r="V148" s="148"/>
      <c r="W148" s="148"/>
      <c r="X148" s="148"/>
      <c r="Y148" s="148"/>
      <c r="Z148" s="148"/>
    </row>
    <row r="149" spans="2:26" x14ac:dyDescent="0.3">
      <c r="B149" s="146"/>
      <c r="C149" s="147"/>
      <c r="D149" s="72"/>
      <c r="E149" s="72"/>
      <c r="F149" s="146"/>
      <c r="G149" s="148"/>
      <c r="H149" s="148"/>
      <c r="I149" s="147"/>
      <c r="J149" s="72"/>
      <c r="K149" s="72"/>
      <c r="L149" s="155"/>
      <c r="M149" s="156"/>
      <c r="N149" s="156"/>
      <c r="O149" s="156"/>
      <c r="P149" s="156"/>
      <c r="Q149" s="156"/>
      <c r="R149" s="156"/>
      <c r="S149" s="146"/>
      <c r="T149" s="148"/>
      <c r="U149" s="134"/>
      <c r="V149" s="148"/>
      <c r="W149" s="148"/>
      <c r="X149" s="148"/>
      <c r="Y149" s="148"/>
      <c r="Z149" s="148"/>
    </row>
    <row r="150" spans="2:26" x14ac:dyDescent="0.3">
      <c r="B150" s="146"/>
      <c r="C150" s="147"/>
      <c r="D150" s="72"/>
      <c r="E150" s="72"/>
      <c r="F150" s="146"/>
      <c r="G150" s="148"/>
      <c r="H150" s="148"/>
      <c r="I150" s="147"/>
      <c r="J150" s="72"/>
      <c r="K150" s="72"/>
      <c r="L150" s="155"/>
      <c r="M150" s="156"/>
      <c r="N150" s="156"/>
      <c r="O150" s="156"/>
      <c r="P150" s="156"/>
      <c r="Q150" s="156"/>
      <c r="R150" s="156"/>
      <c r="S150" s="146"/>
      <c r="T150" s="148"/>
      <c r="U150" s="134"/>
      <c r="V150" s="148"/>
      <c r="W150" s="148"/>
      <c r="X150" s="148"/>
      <c r="Y150" s="148"/>
      <c r="Z150" s="148"/>
    </row>
    <row r="151" spans="2:26" x14ac:dyDescent="0.3">
      <c r="B151" s="146"/>
      <c r="C151" s="147"/>
      <c r="D151" s="72"/>
      <c r="E151" s="72"/>
      <c r="F151" s="146"/>
      <c r="G151" s="148"/>
      <c r="H151" s="148"/>
      <c r="I151" s="147"/>
      <c r="J151" s="72"/>
      <c r="K151" s="72"/>
      <c r="L151" s="155"/>
      <c r="M151" s="156"/>
      <c r="N151" s="156"/>
      <c r="O151" s="156"/>
      <c r="P151" s="156"/>
      <c r="Q151" s="156"/>
      <c r="R151" s="156"/>
      <c r="S151" s="146"/>
      <c r="T151" s="148"/>
      <c r="U151" s="134"/>
      <c r="V151" s="148"/>
      <c r="W151" s="148"/>
      <c r="X151" s="148"/>
      <c r="Y151" s="148"/>
      <c r="Z151" s="148"/>
    </row>
    <row r="152" spans="2:26" x14ac:dyDescent="0.3">
      <c r="B152" s="146"/>
      <c r="C152" s="147"/>
      <c r="D152" s="72"/>
      <c r="E152" s="72"/>
      <c r="F152" s="146"/>
      <c r="G152" s="148"/>
      <c r="H152" s="148"/>
      <c r="I152" s="147"/>
      <c r="J152" s="72"/>
      <c r="K152" s="72"/>
      <c r="L152" s="155"/>
      <c r="M152" s="156"/>
      <c r="N152" s="156"/>
      <c r="O152" s="156"/>
      <c r="P152" s="156"/>
      <c r="Q152" s="156"/>
      <c r="R152" s="156"/>
      <c r="S152" s="146"/>
      <c r="T152" s="148"/>
      <c r="U152" s="134"/>
      <c r="V152" s="148"/>
      <c r="W152" s="148"/>
      <c r="X152" s="148"/>
      <c r="Y152" s="148"/>
      <c r="Z152" s="148"/>
    </row>
    <row r="153" spans="2:26" x14ac:dyDescent="0.3">
      <c r="B153" s="146"/>
      <c r="C153" s="147"/>
      <c r="D153" s="72"/>
      <c r="E153" s="72"/>
      <c r="F153" s="146"/>
      <c r="G153" s="148"/>
      <c r="H153" s="148"/>
      <c r="I153" s="147"/>
      <c r="J153" s="72"/>
      <c r="K153" s="72"/>
      <c r="L153" s="155"/>
      <c r="M153" s="156"/>
      <c r="N153" s="156"/>
      <c r="O153" s="156"/>
      <c r="P153" s="156"/>
      <c r="Q153" s="156"/>
      <c r="R153" s="156"/>
      <c r="S153" s="146"/>
      <c r="T153" s="148"/>
      <c r="U153" s="134"/>
      <c r="V153" s="148"/>
      <c r="W153" s="148"/>
      <c r="X153" s="148"/>
      <c r="Y153" s="148"/>
      <c r="Z153" s="148"/>
    </row>
    <row r="154" spans="2:26" x14ac:dyDescent="0.3">
      <c r="B154" s="146"/>
      <c r="C154" s="147"/>
      <c r="D154" s="72"/>
      <c r="E154" s="72"/>
      <c r="F154" s="146"/>
      <c r="G154" s="148"/>
      <c r="H154" s="148"/>
      <c r="I154" s="147"/>
      <c r="J154" s="72"/>
      <c r="K154" s="72"/>
      <c r="L154" s="155"/>
      <c r="M154" s="156"/>
      <c r="N154" s="156"/>
      <c r="O154" s="156"/>
      <c r="P154" s="156"/>
      <c r="Q154" s="156"/>
      <c r="R154" s="156"/>
      <c r="S154" s="146"/>
      <c r="T154" s="148"/>
      <c r="U154" s="134"/>
      <c r="V154" s="148"/>
      <c r="W154" s="148"/>
      <c r="X154" s="148"/>
      <c r="Y154" s="148"/>
      <c r="Z154" s="148"/>
    </row>
    <row r="155" spans="2:26" x14ac:dyDescent="0.3">
      <c r="B155" s="146"/>
      <c r="C155" s="147"/>
      <c r="D155" s="72"/>
      <c r="E155" s="72"/>
      <c r="F155" s="146"/>
      <c r="G155" s="148"/>
      <c r="H155" s="148"/>
      <c r="I155" s="147"/>
      <c r="J155" s="72"/>
      <c r="K155" s="72"/>
      <c r="L155" s="155"/>
      <c r="M155" s="156"/>
      <c r="N155" s="156"/>
      <c r="O155" s="156"/>
      <c r="P155" s="156"/>
      <c r="Q155" s="156"/>
      <c r="R155" s="156"/>
      <c r="S155" s="146"/>
      <c r="T155" s="148"/>
      <c r="U155" s="134"/>
      <c r="V155" s="148"/>
      <c r="W155" s="148"/>
      <c r="X155" s="148"/>
      <c r="Y155" s="148"/>
      <c r="Z155" s="148"/>
    </row>
    <row r="156" spans="2:26" x14ac:dyDescent="0.3">
      <c r="B156" s="146"/>
      <c r="C156" s="147"/>
      <c r="D156" s="72"/>
      <c r="E156" s="72"/>
      <c r="F156" s="146"/>
      <c r="G156" s="148"/>
      <c r="H156" s="148"/>
      <c r="I156" s="147"/>
      <c r="J156" s="72"/>
      <c r="K156" s="72"/>
      <c r="L156" s="155"/>
      <c r="M156" s="156"/>
      <c r="N156" s="156"/>
      <c r="O156" s="156"/>
      <c r="P156" s="156"/>
      <c r="Q156" s="156"/>
      <c r="R156" s="156"/>
      <c r="S156" s="146"/>
      <c r="T156" s="148"/>
      <c r="U156" s="134"/>
      <c r="V156" s="148"/>
      <c r="W156" s="148"/>
      <c r="X156" s="148"/>
      <c r="Y156" s="148"/>
      <c r="Z156" s="148"/>
    </row>
    <row r="157" spans="2:26" x14ac:dyDescent="0.3">
      <c r="B157" s="146"/>
      <c r="C157" s="147"/>
      <c r="D157" s="72"/>
      <c r="E157" s="72"/>
      <c r="F157" s="146"/>
      <c r="G157" s="148"/>
      <c r="H157" s="148"/>
      <c r="I157" s="147"/>
      <c r="J157" s="72"/>
      <c r="K157" s="72"/>
      <c r="L157" s="155"/>
      <c r="M157" s="156"/>
      <c r="N157" s="156"/>
      <c r="O157" s="156"/>
      <c r="P157" s="156"/>
      <c r="Q157" s="156"/>
      <c r="R157" s="156"/>
      <c r="S157" s="146"/>
      <c r="T157" s="148"/>
      <c r="U157" s="134"/>
      <c r="V157" s="148"/>
      <c r="W157" s="148"/>
      <c r="X157" s="148"/>
      <c r="Y157" s="148"/>
      <c r="Z157" s="148"/>
    </row>
    <row r="158" spans="2:26" x14ac:dyDescent="0.3">
      <c r="B158" s="146"/>
      <c r="C158" s="147"/>
      <c r="D158" s="72"/>
      <c r="E158" s="72"/>
      <c r="F158" s="146"/>
      <c r="G158" s="148"/>
      <c r="H158" s="148"/>
      <c r="I158" s="147"/>
      <c r="J158" s="72"/>
      <c r="K158" s="72"/>
      <c r="L158" s="155"/>
      <c r="M158" s="156"/>
      <c r="N158" s="156"/>
      <c r="O158" s="156"/>
      <c r="P158" s="156"/>
      <c r="Q158" s="156"/>
      <c r="R158" s="156"/>
      <c r="S158" s="146"/>
      <c r="T158" s="148"/>
      <c r="U158" s="134"/>
      <c r="V158" s="148"/>
      <c r="W158" s="148"/>
      <c r="X158" s="148"/>
      <c r="Y158" s="148"/>
      <c r="Z158" s="148"/>
    </row>
    <row r="159" spans="2:26" x14ac:dyDescent="0.3">
      <c r="B159" s="146"/>
      <c r="C159" s="147"/>
      <c r="D159" s="72"/>
      <c r="E159" s="72"/>
      <c r="F159" s="146"/>
      <c r="G159" s="148"/>
      <c r="H159" s="148"/>
      <c r="I159" s="147"/>
      <c r="J159" s="72"/>
      <c r="K159" s="72"/>
      <c r="L159" s="155"/>
      <c r="M159" s="156"/>
      <c r="N159" s="156"/>
      <c r="O159" s="156"/>
      <c r="P159" s="156"/>
      <c r="Q159" s="156"/>
      <c r="R159" s="156"/>
      <c r="S159" s="146"/>
      <c r="T159" s="148"/>
      <c r="U159" s="134"/>
      <c r="V159" s="148"/>
      <c r="W159" s="148"/>
      <c r="X159" s="148"/>
      <c r="Y159" s="148"/>
      <c r="Z159" s="148"/>
    </row>
    <row r="160" spans="2:26" x14ac:dyDescent="0.3">
      <c r="B160" s="146"/>
      <c r="C160" s="147"/>
      <c r="D160" s="72"/>
      <c r="E160" s="72"/>
      <c r="F160" s="146"/>
      <c r="G160" s="148"/>
      <c r="H160" s="148"/>
      <c r="I160" s="147"/>
      <c r="J160" s="72"/>
      <c r="K160" s="72"/>
      <c r="L160" s="155"/>
      <c r="M160" s="156"/>
      <c r="N160" s="156"/>
      <c r="O160" s="156"/>
      <c r="P160" s="156"/>
      <c r="Q160" s="156"/>
      <c r="R160" s="156"/>
      <c r="S160" s="146"/>
      <c r="T160" s="148"/>
      <c r="U160" s="134"/>
      <c r="V160" s="148"/>
      <c r="W160" s="148"/>
      <c r="X160" s="148"/>
      <c r="Y160" s="148"/>
      <c r="Z160" s="148"/>
    </row>
    <row r="161" spans="2:26" x14ac:dyDescent="0.3">
      <c r="B161" s="146"/>
      <c r="C161" s="147"/>
      <c r="D161" s="72"/>
      <c r="E161" s="72"/>
      <c r="F161" s="146"/>
      <c r="G161" s="148"/>
      <c r="H161" s="148"/>
      <c r="I161" s="147"/>
      <c r="J161" s="72"/>
      <c r="K161" s="72"/>
      <c r="L161" s="155"/>
      <c r="M161" s="156"/>
      <c r="N161" s="156"/>
      <c r="O161" s="156"/>
      <c r="P161" s="156"/>
      <c r="Q161" s="156"/>
      <c r="R161" s="156"/>
      <c r="S161" s="146"/>
      <c r="T161" s="148"/>
      <c r="U161" s="134"/>
      <c r="V161" s="148"/>
      <c r="W161" s="148"/>
      <c r="X161" s="148"/>
      <c r="Y161" s="148"/>
      <c r="Z161" s="148"/>
    </row>
    <row r="162" spans="2:26" x14ac:dyDescent="0.3">
      <c r="B162" s="146"/>
      <c r="C162" s="147"/>
      <c r="D162" s="72"/>
      <c r="E162" s="72"/>
      <c r="F162" s="146"/>
      <c r="G162" s="148"/>
      <c r="H162" s="148"/>
      <c r="I162" s="147"/>
      <c r="J162" s="72"/>
      <c r="K162" s="72"/>
      <c r="L162" s="155"/>
      <c r="M162" s="156"/>
      <c r="N162" s="156"/>
      <c r="O162" s="156"/>
      <c r="P162" s="156"/>
      <c r="Q162" s="156"/>
      <c r="R162" s="156"/>
      <c r="S162" s="146"/>
      <c r="T162" s="148"/>
      <c r="U162" s="134"/>
      <c r="V162" s="148"/>
      <c r="W162" s="148"/>
      <c r="X162" s="148"/>
      <c r="Y162" s="148"/>
      <c r="Z162" s="148"/>
    </row>
    <row r="163" spans="2:26" x14ac:dyDescent="0.3">
      <c r="B163" s="146"/>
      <c r="C163" s="147"/>
      <c r="D163" s="72"/>
      <c r="E163" s="72"/>
      <c r="F163" s="146"/>
      <c r="G163" s="148"/>
      <c r="H163" s="148"/>
      <c r="I163" s="147"/>
      <c r="J163" s="72"/>
      <c r="K163" s="72"/>
      <c r="L163" s="155"/>
      <c r="M163" s="156"/>
      <c r="N163" s="156"/>
      <c r="O163" s="156"/>
      <c r="P163" s="156"/>
      <c r="Q163" s="156"/>
      <c r="R163" s="156"/>
      <c r="S163" s="146"/>
      <c r="T163" s="148"/>
      <c r="U163" s="134"/>
      <c r="V163" s="148"/>
      <c r="W163" s="148"/>
      <c r="X163" s="148"/>
      <c r="Y163" s="148"/>
      <c r="Z163" s="148"/>
    </row>
    <row r="164" spans="2:26" x14ac:dyDescent="0.3">
      <c r="B164" s="146"/>
      <c r="C164" s="147"/>
      <c r="D164" s="72"/>
      <c r="E164" s="72"/>
      <c r="F164" s="146"/>
      <c r="G164" s="148"/>
      <c r="H164" s="148"/>
      <c r="I164" s="147"/>
      <c r="J164" s="72"/>
      <c r="K164" s="72"/>
      <c r="L164" s="155"/>
      <c r="M164" s="156"/>
      <c r="N164" s="156"/>
      <c r="O164" s="156"/>
      <c r="P164" s="156"/>
      <c r="Q164" s="156"/>
      <c r="R164" s="156"/>
      <c r="S164" s="146"/>
      <c r="T164" s="148"/>
      <c r="U164" s="134"/>
      <c r="V164" s="148"/>
      <c r="W164" s="148"/>
      <c r="X164" s="148"/>
      <c r="Y164" s="148"/>
      <c r="Z164" s="148"/>
    </row>
    <row r="165" spans="2:26" x14ac:dyDescent="0.3">
      <c r="B165" s="146"/>
      <c r="C165" s="147"/>
      <c r="D165" s="72"/>
      <c r="E165" s="72"/>
      <c r="F165" s="146"/>
      <c r="G165" s="148"/>
      <c r="H165" s="148"/>
      <c r="I165" s="147"/>
      <c r="J165" s="72"/>
      <c r="K165" s="72"/>
      <c r="L165" s="155"/>
      <c r="M165" s="156"/>
      <c r="N165" s="156"/>
      <c r="O165" s="156"/>
      <c r="P165" s="156"/>
      <c r="Q165" s="156"/>
      <c r="R165" s="156"/>
      <c r="S165" s="146"/>
      <c r="T165" s="148"/>
      <c r="U165" s="134"/>
      <c r="V165" s="148"/>
      <c r="W165" s="148"/>
      <c r="X165" s="148"/>
      <c r="Y165" s="148"/>
      <c r="Z165" s="148"/>
    </row>
    <row r="166" spans="2:26" x14ac:dyDescent="0.3">
      <c r="B166" s="146"/>
      <c r="C166" s="147"/>
      <c r="D166" s="72"/>
      <c r="E166" s="72"/>
      <c r="F166" s="146"/>
      <c r="G166" s="148"/>
      <c r="H166" s="148"/>
      <c r="I166" s="147"/>
      <c r="J166" s="72"/>
      <c r="K166" s="72"/>
      <c r="L166" s="155"/>
      <c r="M166" s="156"/>
      <c r="N166" s="156"/>
      <c r="O166" s="156"/>
      <c r="P166" s="156"/>
      <c r="Q166" s="156"/>
      <c r="R166" s="156"/>
      <c r="S166" s="146"/>
      <c r="T166" s="148"/>
      <c r="U166" s="134"/>
      <c r="V166" s="148"/>
      <c r="W166" s="148"/>
      <c r="X166" s="148"/>
      <c r="Y166" s="148"/>
      <c r="Z166" s="148"/>
    </row>
    <row r="167" spans="2:26" x14ac:dyDescent="0.3">
      <c r="B167" s="146"/>
      <c r="C167" s="147"/>
      <c r="D167" s="72"/>
      <c r="E167" s="72"/>
      <c r="F167" s="146"/>
      <c r="G167" s="148"/>
      <c r="H167" s="148"/>
      <c r="I167" s="147"/>
      <c r="J167" s="72"/>
      <c r="K167" s="72"/>
      <c r="L167" s="155"/>
      <c r="M167" s="156"/>
      <c r="N167" s="156"/>
      <c r="O167" s="156"/>
      <c r="P167" s="156"/>
      <c r="Q167" s="156"/>
      <c r="R167" s="156"/>
      <c r="S167" s="146"/>
      <c r="T167" s="148"/>
      <c r="U167" s="134"/>
      <c r="V167" s="148"/>
      <c r="W167" s="148"/>
      <c r="X167" s="148"/>
      <c r="Y167" s="148"/>
      <c r="Z167" s="148"/>
    </row>
    <row r="168" spans="2:26" x14ac:dyDescent="0.3">
      <c r="B168" s="146"/>
      <c r="C168" s="147"/>
      <c r="D168" s="72"/>
      <c r="E168" s="72"/>
      <c r="F168" s="146"/>
      <c r="G168" s="148"/>
      <c r="H168" s="148"/>
      <c r="I168" s="147"/>
      <c r="J168" s="72"/>
      <c r="K168" s="72"/>
      <c r="L168" s="155"/>
      <c r="M168" s="156"/>
      <c r="N168" s="156"/>
      <c r="O168" s="156"/>
      <c r="P168" s="156"/>
      <c r="Q168" s="156"/>
      <c r="R168" s="156"/>
      <c r="S168" s="146"/>
      <c r="T168" s="148"/>
      <c r="U168" s="134"/>
      <c r="V168" s="148"/>
      <c r="W168" s="148"/>
      <c r="X168" s="148"/>
      <c r="Y168" s="148"/>
      <c r="Z168" s="148"/>
    </row>
    <row r="169" spans="2:26" x14ac:dyDescent="0.3">
      <c r="B169" s="146"/>
      <c r="C169" s="147"/>
      <c r="D169" s="72"/>
      <c r="E169" s="72"/>
      <c r="F169" s="146"/>
      <c r="G169" s="148"/>
      <c r="H169" s="148"/>
      <c r="I169" s="147"/>
      <c r="J169" s="72"/>
      <c r="K169" s="72"/>
      <c r="L169" s="155"/>
      <c r="M169" s="156"/>
      <c r="N169" s="156"/>
      <c r="O169" s="156"/>
      <c r="P169" s="156"/>
      <c r="Q169" s="156"/>
      <c r="R169" s="156"/>
      <c r="S169" s="146"/>
      <c r="T169" s="148"/>
      <c r="U169" s="134"/>
      <c r="V169" s="148"/>
      <c r="W169" s="148"/>
      <c r="X169" s="148"/>
      <c r="Y169" s="148"/>
      <c r="Z169" s="148"/>
    </row>
    <row r="170" spans="2:26" x14ac:dyDescent="0.3">
      <c r="B170" s="146"/>
      <c r="C170" s="147"/>
      <c r="D170" s="72"/>
      <c r="E170" s="72"/>
      <c r="F170" s="146"/>
      <c r="G170" s="148"/>
      <c r="H170" s="148"/>
      <c r="I170" s="147"/>
      <c r="J170" s="72"/>
      <c r="K170" s="72"/>
      <c r="L170" s="155"/>
      <c r="M170" s="156"/>
      <c r="N170" s="156"/>
      <c r="O170" s="156"/>
      <c r="P170" s="156"/>
      <c r="Q170" s="156"/>
      <c r="R170" s="156"/>
      <c r="S170" s="146"/>
      <c r="T170" s="148"/>
      <c r="U170" s="134"/>
      <c r="V170" s="148"/>
      <c r="W170" s="148"/>
      <c r="X170" s="148"/>
      <c r="Y170" s="148"/>
      <c r="Z170" s="148"/>
    </row>
    <row r="171" spans="2:26" x14ac:dyDescent="0.3">
      <c r="B171" s="146"/>
      <c r="C171" s="147"/>
      <c r="D171" s="72"/>
      <c r="E171" s="72"/>
      <c r="F171" s="146"/>
      <c r="G171" s="148"/>
      <c r="H171" s="148"/>
      <c r="I171" s="147"/>
      <c r="J171" s="72"/>
      <c r="K171" s="72"/>
      <c r="L171" s="155"/>
      <c r="M171" s="156"/>
      <c r="N171" s="156"/>
      <c r="O171" s="156"/>
      <c r="P171" s="156"/>
      <c r="Q171" s="156"/>
      <c r="R171" s="156"/>
      <c r="S171" s="146"/>
      <c r="T171" s="148"/>
      <c r="U171" s="134"/>
      <c r="V171" s="148"/>
      <c r="W171" s="148"/>
      <c r="X171" s="148"/>
      <c r="Y171" s="148"/>
      <c r="Z171" s="148"/>
    </row>
    <row r="172" spans="2:26" x14ac:dyDescent="0.3">
      <c r="B172" s="146"/>
      <c r="C172" s="147"/>
      <c r="D172" s="72"/>
      <c r="E172" s="72"/>
      <c r="F172" s="146"/>
      <c r="G172" s="148"/>
      <c r="H172" s="148"/>
      <c r="I172" s="147"/>
      <c r="J172" s="72"/>
      <c r="K172" s="72"/>
      <c r="L172" s="155"/>
      <c r="M172" s="156"/>
      <c r="N172" s="156"/>
      <c r="O172" s="156"/>
      <c r="P172" s="156"/>
      <c r="Q172" s="156"/>
      <c r="R172" s="156"/>
      <c r="S172" s="146"/>
      <c r="T172" s="148"/>
      <c r="U172" s="134"/>
      <c r="V172" s="148"/>
      <c r="W172" s="148"/>
      <c r="X172" s="148"/>
      <c r="Y172" s="148"/>
      <c r="Z172" s="148"/>
    </row>
    <row r="173" spans="2:26" x14ac:dyDescent="0.3">
      <c r="B173" s="146"/>
      <c r="C173" s="147"/>
      <c r="D173" s="72"/>
      <c r="E173" s="72"/>
      <c r="F173" s="146"/>
      <c r="G173" s="148"/>
      <c r="H173" s="148"/>
      <c r="I173" s="147"/>
      <c r="J173" s="72"/>
      <c r="K173" s="72"/>
      <c r="L173" s="155"/>
      <c r="M173" s="156"/>
      <c r="N173" s="156"/>
      <c r="O173" s="156"/>
      <c r="P173" s="156"/>
      <c r="Q173" s="156"/>
      <c r="R173" s="156"/>
      <c r="S173" s="146"/>
      <c r="T173" s="148"/>
      <c r="U173" s="134"/>
      <c r="V173" s="148"/>
      <c r="W173" s="148"/>
      <c r="X173" s="148"/>
      <c r="Y173" s="148"/>
      <c r="Z173" s="148"/>
    </row>
    <row r="174" spans="2:26" x14ac:dyDescent="0.3">
      <c r="B174" s="146"/>
      <c r="C174" s="147"/>
      <c r="D174" s="72"/>
      <c r="E174" s="72"/>
      <c r="F174" s="146"/>
      <c r="G174" s="148"/>
      <c r="H174" s="148"/>
      <c r="I174" s="147"/>
      <c r="J174" s="72"/>
      <c r="K174" s="72"/>
      <c r="L174" s="155"/>
      <c r="M174" s="156"/>
      <c r="N174" s="156"/>
      <c r="O174" s="156"/>
      <c r="P174" s="156"/>
      <c r="Q174" s="156"/>
      <c r="R174" s="156"/>
      <c r="S174" s="146"/>
      <c r="T174" s="148"/>
      <c r="U174" s="134"/>
      <c r="V174" s="148"/>
      <c r="W174" s="148"/>
      <c r="X174" s="148"/>
      <c r="Y174" s="148"/>
      <c r="Z174" s="148"/>
    </row>
    <row r="175" spans="2:26" x14ac:dyDescent="0.3">
      <c r="B175" s="146"/>
      <c r="C175" s="147"/>
      <c r="D175" s="72"/>
      <c r="E175" s="72"/>
      <c r="F175" s="146"/>
      <c r="G175" s="148"/>
      <c r="H175" s="148"/>
      <c r="I175" s="147"/>
      <c r="J175" s="72"/>
      <c r="K175" s="72"/>
      <c r="L175" s="155"/>
      <c r="M175" s="156"/>
      <c r="N175" s="156"/>
      <c r="O175" s="156"/>
      <c r="P175" s="156"/>
      <c r="Q175" s="156"/>
      <c r="R175" s="156"/>
      <c r="S175" s="146"/>
      <c r="T175" s="148"/>
      <c r="U175" s="134"/>
      <c r="V175" s="148"/>
      <c r="W175" s="148"/>
      <c r="X175" s="148"/>
      <c r="Y175" s="148"/>
      <c r="Z175" s="148"/>
    </row>
    <row r="176" spans="2:26" x14ac:dyDescent="0.3">
      <c r="B176" s="146"/>
      <c r="C176" s="147"/>
      <c r="D176" s="72"/>
      <c r="E176" s="72"/>
      <c r="F176" s="146"/>
      <c r="G176" s="148"/>
      <c r="H176" s="148"/>
      <c r="I176" s="147"/>
      <c r="J176" s="72"/>
      <c r="K176" s="72"/>
      <c r="L176" s="155"/>
      <c r="M176" s="156"/>
      <c r="N176" s="156"/>
      <c r="O176" s="156"/>
      <c r="P176" s="156"/>
      <c r="Q176" s="156"/>
      <c r="R176" s="156"/>
      <c r="S176" s="146"/>
      <c r="T176" s="148"/>
      <c r="U176" s="134"/>
      <c r="V176" s="148"/>
      <c r="W176" s="148"/>
      <c r="X176" s="148"/>
      <c r="Y176" s="148"/>
      <c r="Z176" s="148"/>
    </row>
    <row r="177" spans="2:26" x14ac:dyDescent="0.3">
      <c r="B177" s="146"/>
      <c r="C177" s="147"/>
      <c r="D177" s="72"/>
      <c r="E177" s="72"/>
      <c r="F177" s="146"/>
      <c r="G177" s="148"/>
      <c r="H177" s="148"/>
      <c r="I177" s="147"/>
      <c r="J177" s="72"/>
      <c r="K177" s="72"/>
      <c r="L177" s="155"/>
      <c r="M177" s="156"/>
      <c r="N177" s="156"/>
      <c r="O177" s="156"/>
      <c r="P177" s="156"/>
      <c r="Q177" s="156"/>
      <c r="R177" s="156"/>
      <c r="S177" s="146"/>
      <c r="T177" s="148"/>
      <c r="U177" s="134"/>
      <c r="V177" s="148"/>
      <c r="W177" s="148"/>
      <c r="X177" s="148"/>
      <c r="Y177" s="148"/>
      <c r="Z177" s="148"/>
    </row>
    <row r="178" spans="2:26" x14ac:dyDescent="0.3">
      <c r="B178" s="146"/>
      <c r="C178" s="147"/>
      <c r="D178" s="72"/>
      <c r="E178" s="72"/>
      <c r="F178" s="146"/>
      <c r="G178" s="148"/>
      <c r="H178" s="148"/>
      <c r="I178" s="147"/>
      <c r="J178" s="72"/>
      <c r="K178" s="72"/>
      <c r="L178" s="155"/>
      <c r="M178" s="156"/>
      <c r="N178" s="156"/>
      <c r="O178" s="156"/>
      <c r="P178" s="156"/>
      <c r="Q178" s="156"/>
      <c r="R178" s="156"/>
      <c r="S178" s="146"/>
      <c r="T178" s="148"/>
      <c r="U178" s="134"/>
      <c r="V178" s="148"/>
      <c r="W178" s="148"/>
      <c r="X178" s="148"/>
      <c r="Y178" s="148"/>
      <c r="Z178" s="148"/>
    </row>
    <row r="179" spans="2:26" x14ac:dyDescent="0.3">
      <c r="B179" s="146"/>
      <c r="C179" s="147"/>
      <c r="D179" s="72"/>
      <c r="E179" s="72"/>
      <c r="F179" s="146"/>
      <c r="G179" s="148"/>
      <c r="H179" s="148"/>
      <c r="I179" s="147"/>
      <c r="J179" s="72"/>
      <c r="K179" s="72"/>
      <c r="L179" s="155"/>
      <c r="M179" s="156"/>
      <c r="N179" s="156"/>
      <c r="O179" s="156"/>
      <c r="P179" s="156"/>
      <c r="Q179" s="156"/>
      <c r="R179" s="156"/>
      <c r="S179" s="146"/>
      <c r="T179" s="148"/>
      <c r="U179" s="134"/>
      <c r="V179" s="148"/>
      <c r="W179" s="148"/>
      <c r="X179" s="148"/>
      <c r="Y179" s="148"/>
      <c r="Z179" s="148"/>
    </row>
    <row r="180" spans="2:26" x14ac:dyDescent="0.3">
      <c r="B180" s="146"/>
      <c r="C180" s="147"/>
      <c r="D180" s="72"/>
      <c r="E180" s="72"/>
      <c r="F180" s="146"/>
      <c r="G180" s="148"/>
      <c r="H180" s="148"/>
      <c r="I180" s="147"/>
      <c r="J180" s="72"/>
      <c r="K180" s="72"/>
      <c r="L180" s="155"/>
      <c r="M180" s="156"/>
      <c r="N180" s="156"/>
      <c r="O180" s="156"/>
      <c r="P180" s="156"/>
      <c r="Q180" s="156"/>
      <c r="R180" s="156"/>
      <c r="S180" s="146"/>
      <c r="T180" s="148"/>
      <c r="U180" s="134"/>
      <c r="V180" s="148"/>
      <c r="W180" s="148"/>
      <c r="X180" s="148"/>
      <c r="Y180" s="148"/>
      <c r="Z180" s="148"/>
    </row>
    <row r="181" spans="2:26" x14ac:dyDescent="0.3">
      <c r="B181" s="146"/>
      <c r="C181" s="147"/>
      <c r="D181" s="72"/>
      <c r="E181" s="72"/>
      <c r="F181" s="146"/>
      <c r="G181" s="148"/>
      <c r="H181" s="148"/>
      <c r="I181" s="147"/>
      <c r="J181" s="72"/>
      <c r="K181" s="72"/>
      <c r="L181" s="155"/>
      <c r="M181" s="156"/>
      <c r="N181" s="156"/>
      <c r="O181" s="156"/>
      <c r="P181" s="156"/>
      <c r="Q181" s="156"/>
      <c r="R181" s="156"/>
      <c r="S181" s="146"/>
      <c r="T181" s="148"/>
      <c r="U181" s="134"/>
      <c r="V181" s="148"/>
      <c r="W181" s="148"/>
      <c r="X181" s="148"/>
      <c r="Y181" s="148"/>
      <c r="Z181" s="148"/>
    </row>
    <row r="182" spans="2:26" x14ac:dyDescent="0.3">
      <c r="B182" s="146"/>
      <c r="C182" s="147"/>
      <c r="D182" s="72"/>
      <c r="E182" s="72"/>
      <c r="F182" s="146"/>
      <c r="G182" s="148"/>
      <c r="H182" s="148"/>
      <c r="I182" s="147"/>
      <c r="J182" s="72"/>
      <c r="K182" s="72"/>
      <c r="L182" s="155"/>
      <c r="M182" s="156"/>
      <c r="N182" s="156"/>
      <c r="O182" s="156"/>
      <c r="P182" s="156"/>
      <c r="Q182" s="156"/>
      <c r="R182" s="156"/>
      <c r="S182" s="146"/>
      <c r="T182" s="148"/>
      <c r="U182" s="134"/>
      <c r="V182" s="148"/>
      <c r="W182" s="148"/>
      <c r="X182" s="148"/>
      <c r="Y182" s="148"/>
      <c r="Z182" s="148"/>
    </row>
    <row r="183" spans="2:26" x14ac:dyDescent="0.3">
      <c r="B183" s="146"/>
      <c r="C183" s="147"/>
      <c r="D183" s="72"/>
      <c r="E183" s="72"/>
      <c r="F183" s="146"/>
      <c r="G183" s="148"/>
      <c r="H183" s="148"/>
      <c r="I183" s="147"/>
      <c r="J183" s="72"/>
      <c r="K183" s="72"/>
      <c r="L183" s="155"/>
      <c r="M183" s="156"/>
      <c r="N183" s="156"/>
      <c r="O183" s="156"/>
      <c r="P183" s="156"/>
      <c r="Q183" s="156"/>
      <c r="R183" s="156"/>
      <c r="S183" s="146"/>
      <c r="T183" s="148"/>
      <c r="U183" s="134"/>
      <c r="V183" s="148"/>
      <c r="W183" s="148"/>
      <c r="X183" s="148"/>
      <c r="Y183" s="148"/>
      <c r="Z183" s="148"/>
    </row>
    <row r="184" spans="2:26" x14ac:dyDescent="0.3">
      <c r="B184" s="146"/>
      <c r="C184" s="147"/>
      <c r="D184" s="72"/>
      <c r="E184" s="72"/>
      <c r="F184" s="146"/>
      <c r="G184" s="148"/>
      <c r="H184" s="148"/>
      <c r="I184" s="147"/>
      <c r="J184" s="72"/>
      <c r="K184" s="72"/>
      <c r="L184" s="155"/>
      <c r="M184" s="156"/>
      <c r="N184" s="156"/>
      <c r="O184" s="156"/>
      <c r="P184" s="156"/>
      <c r="Q184" s="156"/>
      <c r="R184" s="156"/>
      <c r="S184" s="146"/>
      <c r="T184" s="148"/>
      <c r="U184" s="134"/>
      <c r="V184" s="148"/>
      <c r="W184" s="148"/>
      <c r="X184" s="148"/>
      <c r="Y184" s="148"/>
      <c r="Z184" s="148"/>
    </row>
    <row r="185" spans="2:26" x14ac:dyDescent="0.3">
      <c r="B185" s="146"/>
      <c r="C185" s="147"/>
      <c r="D185" s="72"/>
      <c r="E185" s="72"/>
      <c r="F185" s="146"/>
      <c r="G185" s="148"/>
      <c r="H185" s="148"/>
      <c r="I185" s="147"/>
      <c r="J185" s="72"/>
      <c r="K185" s="72"/>
      <c r="L185" s="155"/>
      <c r="M185" s="156"/>
      <c r="N185" s="156"/>
      <c r="O185" s="156"/>
      <c r="P185" s="156"/>
      <c r="Q185" s="156"/>
      <c r="R185" s="156"/>
      <c r="S185" s="146"/>
      <c r="T185" s="148"/>
      <c r="U185" s="134"/>
      <c r="V185" s="148"/>
      <c r="W185" s="148"/>
      <c r="X185" s="148"/>
      <c r="Y185" s="148"/>
      <c r="Z185" s="148"/>
    </row>
    <row r="186" spans="2:26" x14ac:dyDescent="0.3">
      <c r="B186" s="146"/>
      <c r="C186" s="147"/>
      <c r="D186" s="72"/>
      <c r="E186" s="72"/>
      <c r="F186" s="146"/>
      <c r="G186" s="148"/>
      <c r="H186" s="148"/>
      <c r="I186" s="147"/>
      <c r="J186" s="72"/>
      <c r="K186" s="72"/>
      <c r="L186" s="155"/>
      <c r="M186" s="156"/>
      <c r="N186" s="156"/>
      <c r="O186" s="156"/>
      <c r="P186" s="156"/>
      <c r="Q186" s="156"/>
      <c r="R186" s="156"/>
      <c r="S186" s="146"/>
      <c r="T186" s="148"/>
      <c r="U186" s="134"/>
      <c r="V186" s="148"/>
      <c r="W186" s="148"/>
      <c r="X186" s="148"/>
      <c r="Y186" s="148"/>
      <c r="Z186" s="148"/>
    </row>
    <row r="187" spans="2:26" x14ac:dyDescent="0.3">
      <c r="B187" s="146"/>
      <c r="C187" s="147"/>
      <c r="D187" s="72"/>
      <c r="E187" s="72"/>
      <c r="F187" s="146"/>
      <c r="G187" s="148"/>
      <c r="H187" s="148"/>
      <c r="I187" s="147"/>
      <c r="J187" s="72"/>
      <c r="K187" s="72"/>
      <c r="L187" s="155"/>
      <c r="M187" s="156"/>
      <c r="N187" s="156"/>
      <c r="O187" s="156"/>
      <c r="P187" s="156"/>
      <c r="Q187" s="156"/>
      <c r="R187" s="156"/>
      <c r="S187" s="146"/>
      <c r="T187" s="148"/>
      <c r="U187" s="134"/>
      <c r="V187" s="148"/>
      <c r="W187" s="148"/>
      <c r="X187" s="148"/>
      <c r="Y187" s="148"/>
      <c r="Z187" s="148"/>
    </row>
    <row r="188" spans="2:26" x14ac:dyDescent="0.3">
      <c r="B188" s="146"/>
      <c r="C188" s="147"/>
      <c r="D188" s="72"/>
      <c r="E188" s="72"/>
      <c r="F188" s="146"/>
      <c r="G188" s="148"/>
      <c r="H188" s="148"/>
      <c r="I188" s="147"/>
      <c r="J188" s="72"/>
      <c r="K188" s="72"/>
      <c r="L188" s="155"/>
      <c r="M188" s="156"/>
      <c r="N188" s="156"/>
      <c r="O188" s="156"/>
      <c r="P188" s="156"/>
      <c r="Q188" s="156"/>
      <c r="R188" s="156"/>
      <c r="S188" s="146"/>
      <c r="T188" s="148"/>
      <c r="U188" s="134"/>
      <c r="V188" s="148"/>
      <c r="W188" s="148"/>
      <c r="X188" s="148"/>
      <c r="Y188" s="148"/>
      <c r="Z188" s="148"/>
    </row>
    <row r="189" spans="2:26" x14ac:dyDescent="0.3">
      <c r="B189" s="146"/>
      <c r="C189" s="147"/>
      <c r="D189" s="72"/>
      <c r="E189" s="72"/>
      <c r="F189" s="146"/>
      <c r="G189" s="148"/>
      <c r="H189" s="148"/>
      <c r="I189" s="147"/>
      <c r="J189" s="72"/>
      <c r="K189" s="72"/>
      <c r="L189" s="155"/>
      <c r="M189" s="156"/>
      <c r="N189" s="156"/>
      <c r="O189" s="156"/>
      <c r="P189" s="156"/>
      <c r="Q189" s="156"/>
      <c r="R189" s="156"/>
      <c r="S189" s="146"/>
      <c r="T189" s="148"/>
      <c r="U189" s="134"/>
      <c r="V189" s="148"/>
      <c r="W189" s="148"/>
      <c r="X189" s="148"/>
      <c r="Y189" s="148"/>
      <c r="Z189" s="148"/>
    </row>
    <row r="190" spans="2:26" x14ac:dyDescent="0.3">
      <c r="B190" s="146"/>
      <c r="C190" s="147"/>
      <c r="D190" s="72"/>
      <c r="E190" s="72"/>
      <c r="F190" s="146"/>
      <c r="G190" s="148"/>
      <c r="H190" s="148"/>
      <c r="I190" s="147"/>
      <c r="J190" s="72"/>
      <c r="K190" s="72"/>
      <c r="L190" s="155"/>
      <c r="M190" s="156"/>
      <c r="N190" s="156"/>
      <c r="O190" s="156"/>
      <c r="P190" s="156"/>
      <c r="Q190" s="156"/>
      <c r="R190" s="156"/>
      <c r="S190" s="146"/>
      <c r="T190" s="148"/>
      <c r="U190" s="134"/>
      <c r="V190" s="148"/>
      <c r="W190" s="148"/>
      <c r="X190" s="148"/>
      <c r="Y190" s="148"/>
      <c r="Z190" s="148"/>
    </row>
    <row r="191" spans="2:26" x14ac:dyDescent="0.3">
      <c r="B191" s="146"/>
      <c r="C191" s="147"/>
      <c r="D191" s="72"/>
      <c r="E191" s="72"/>
      <c r="F191" s="146"/>
      <c r="G191" s="148"/>
      <c r="H191" s="148"/>
      <c r="I191" s="147"/>
      <c r="J191" s="72"/>
      <c r="K191" s="72"/>
      <c r="L191" s="155"/>
      <c r="M191" s="156"/>
      <c r="N191" s="156"/>
      <c r="O191" s="156"/>
      <c r="P191" s="156"/>
      <c r="Q191" s="156"/>
      <c r="R191" s="156"/>
      <c r="S191" s="146"/>
      <c r="T191" s="148"/>
      <c r="U191" s="134"/>
      <c r="V191" s="148"/>
      <c r="W191" s="148"/>
      <c r="X191" s="148"/>
      <c r="Y191" s="148"/>
      <c r="Z191" s="148"/>
    </row>
    <row r="192" spans="2:26" x14ac:dyDescent="0.3">
      <c r="B192" s="146"/>
      <c r="C192" s="147"/>
      <c r="D192" s="72"/>
      <c r="E192" s="72"/>
      <c r="F192" s="146"/>
      <c r="G192" s="148"/>
      <c r="H192" s="148"/>
      <c r="I192" s="147"/>
      <c r="J192" s="72"/>
      <c r="K192" s="72"/>
      <c r="L192" s="155"/>
      <c r="M192" s="156"/>
      <c r="N192" s="156"/>
      <c r="O192" s="156"/>
      <c r="P192" s="156"/>
      <c r="Q192" s="156"/>
      <c r="R192" s="156"/>
      <c r="S192" s="146"/>
      <c r="T192" s="148"/>
      <c r="U192" s="134"/>
      <c r="V192" s="148"/>
      <c r="W192" s="148"/>
      <c r="X192" s="148"/>
      <c r="Y192" s="148"/>
      <c r="Z192" s="148"/>
    </row>
    <row r="193" spans="2:26" x14ac:dyDescent="0.3">
      <c r="B193" s="146"/>
      <c r="C193" s="147"/>
      <c r="D193" s="72"/>
      <c r="E193" s="72"/>
      <c r="F193" s="146"/>
      <c r="G193" s="148"/>
      <c r="H193" s="148"/>
      <c r="I193" s="147"/>
      <c r="J193" s="72"/>
      <c r="K193" s="72"/>
      <c r="L193" s="155"/>
      <c r="M193" s="156"/>
      <c r="N193" s="156"/>
      <c r="O193" s="156"/>
      <c r="P193" s="156"/>
      <c r="Q193" s="156"/>
      <c r="R193" s="156"/>
      <c r="S193" s="146"/>
      <c r="T193" s="148"/>
      <c r="U193" s="134"/>
      <c r="V193" s="148"/>
      <c r="W193" s="148"/>
      <c r="X193" s="148"/>
      <c r="Y193" s="148"/>
      <c r="Z193" s="148"/>
    </row>
    <row r="194" spans="2:26" x14ac:dyDescent="0.3">
      <c r="B194" s="146"/>
      <c r="C194" s="147"/>
      <c r="D194" s="72"/>
      <c r="E194" s="72"/>
      <c r="F194" s="146"/>
      <c r="G194" s="148"/>
      <c r="H194" s="148"/>
      <c r="I194" s="147"/>
      <c r="J194" s="72"/>
      <c r="K194" s="72"/>
      <c r="L194" s="155"/>
      <c r="M194" s="156"/>
      <c r="N194" s="156"/>
      <c r="O194" s="156"/>
      <c r="P194" s="156"/>
      <c r="Q194" s="156"/>
      <c r="R194" s="156"/>
      <c r="S194" s="146"/>
      <c r="T194" s="148"/>
      <c r="U194" s="134"/>
      <c r="V194" s="148"/>
      <c r="W194" s="148"/>
      <c r="X194" s="148"/>
      <c r="Y194" s="148"/>
      <c r="Z194" s="148"/>
    </row>
    <row r="195" spans="2:26" x14ac:dyDescent="0.3">
      <c r="B195" s="146"/>
      <c r="C195" s="147"/>
      <c r="D195" s="72"/>
      <c r="E195" s="72"/>
      <c r="F195" s="146"/>
      <c r="G195" s="148"/>
      <c r="H195" s="148"/>
      <c r="I195" s="147"/>
      <c r="J195" s="72"/>
      <c r="K195" s="72"/>
      <c r="L195" s="155"/>
      <c r="M195" s="156"/>
      <c r="N195" s="156"/>
      <c r="O195" s="156"/>
      <c r="P195" s="156"/>
      <c r="Q195" s="156"/>
      <c r="R195" s="156"/>
      <c r="S195" s="146"/>
      <c r="T195" s="148"/>
      <c r="U195" s="134"/>
      <c r="V195" s="148"/>
      <c r="W195" s="148"/>
      <c r="X195" s="148"/>
      <c r="Y195" s="148"/>
      <c r="Z195" s="148"/>
    </row>
    <row r="196" spans="2:26" x14ac:dyDescent="0.3">
      <c r="B196" s="146"/>
      <c r="C196" s="147"/>
      <c r="D196" s="72"/>
      <c r="E196" s="72"/>
      <c r="F196" s="146"/>
      <c r="G196" s="148"/>
      <c r="H196" s="148"/>
      <c r="I196" s="147"/>
      <c r="J196" s="72"/>
      <c r="K196" s="72"/>
      <c r="L196" s="155"/>
      <c r="M196" s="156"/>
      <c r="N196" s="156"/>
      <c r="O196" s="156"/>
      <c r="P196" s="156"/>
      <c r="Q196" s="156"/>
      <c r="R196" s="156"/>
      <c r="S196" s="146"/>
      <c r="T196" s="148"/>
      <c r="U196" s="134"/>
      <c r="V196" s="148"/>
      <c r="W196" s="148"/>
      <c r="X196" s="148"/>
      <c r="Y196" s="148"/>
      <c r="Z196" s="148"/>
    </row>
    <row r="197" spans="2:26" x14ac:dyDescent="0.3">
      <c r="B197" s="146"/>
      <c r="C197" s="147"/>
      <c r="D197" s="72"/>
      <c r="E197" s="72"/>
      <c r="F197" s="146"/>
      <c r="G197" s="148"/>
      <c r="H197" s="148"/>
      <c r="I197" s="147"/>
      <c r="J197" s="72"/>
      <c r="K197" s="72"/>
      <c r="L197" s="155"/>
      <c r="M197" s="156"/>
      <c r="N197" s="156"/>
      <c r="O197" s="156"/>
      <c r="P197" s="156"/>
      <c r="Q197" s="156"/>
      <c r="R197" s="156"/>
      <c r="S197" s="146"/>
      <c r="T197" s="148"/>
      <c r="U197" s="134"/>
      <c r="V197" s="148"/>
      <c r="W197" s="148"/>
      <c r="X197" s="148"/>
      <c r="Y197" s="148"/>
      <c r="Z197" s="148"/>
    </row>
    <row r="198" spans="2:26" x14ac:dyDescent="0.3">
      <c r="B198" s="146"/>
      <c r="C198" s="147"/>
      <c r="D198" s="72"/>
      <c r="E198" s="72"/>
      <c r="F198" s="146"/>
      <c r="G198" s="148"/>
      <c r="H198" s="148"/>
      <c r="I198" s="147"/>
      <c r="J198" s="72"/>
      <c r="K198" s="72"/>
      <c r="L198" s="155"/>
      <c r="M198" s="156"/>
      <c r="N198" s="156"/>
      <c r="O198" s="156"/>
      <c r="P198" s="156"/>
      <c r="Q198" s="156"/>
      <c r="R198" s="156"/>
      <c r="S198" s="146"/>
      <c r="T198" s="148"/>
      <c r="U198" s="134"/>
      <c r="V198" s="148"/>
      <c r="W198" s="148"/>
      <c r="X198" s="148"/>
      <c r="Y198" s="148"/>
      <c r="Z198" s="148"/>
    </row>
    <row r="199" spans="2:26" x14ac:dyDescent="0.3">
      <c r="B199" s="146"/>
      <c r="C199" s="147"/>
      <c r="D199" s="72"/>
      <c r="E199" s="72"/>
      <c r="F199" s="146"/>
      <c r="G199" s="148"/>
      <c r="H199" s="148"/>
      <c r="I199" s="147"/>
      <c r="J199" s="72"/>
      <c r="K199" s="72"/>
      <c r="L199" s="155"/>
      <c r="M199" s="156"/>
      <c r="N199" s="156"/>
      <c r="O199" s="156"/>
      <c r="P199" s="156"/>
      <c r="Q199" s="156"/>
      <c r="R199" s="156"/>
      <c r="S199" s="146"/>
      <c r="T199" s="148"/>
      <c r="U199" s="134"/>
      <c r="V199" s="148"/>
      <c r="W199" s="148"/>
      <c r="X199" s="148"/>
      <c r="Y199" s="148"/>
      <c r="Z199" s="148"/>
    </row>
    <row r="200" spans="2:26" x14ac:dyDescent="0.3">
      <c r="B200" s="146"/>
      <c r="C200" s="147"/>
      <c r="D200" s="72"/>
      <c r="E200" s="72"/>
      <c r="F200" s="146"/>
      <c r="G200" s="148"/>
      <c r="H200" s="148"/>
      <c r="I200" s="147"/>
      <c r="J200" s="72"/>
      <c r="K200" s="72"/>
      <c r="L200" s="155"/>
      <c r="M200" s="156"/>
      <c r="N200" s="156"/>
      <c r="O200" s="156"/>
      <c r="P200" s="156"/>
      <c r="Q200" s="156"/>
      <c r="R200" s="156"/>
      <c r="S200" s="146"/>
      <c r="T200" s="148"/>
      <c r="U200" s="134"/>
      <c r="V200" s="148"/>
      <c r="W200" s="148"/>
      <c r="X200" s="148"/>
      <c r="Y200" s="148"/>
      <c r="Z200" s="148"/>
    </row>
    <row r="201" spans="2:26" x14ac:dyDescent="0.3">
      <c r="B201" s="146"/>
      <c r="C201" s="147"/>
      <c r="D201" s="72"/>
      <c r="E201" s="72"/>
      <c r="F201" s="146"/>
      <c r="G201" s="148"/>
      <c r="H201" s="148"/>
      <c r="I201" s="147"/>
      <c r="J201" s="72"/>
      <c r="K201" s="72"/>
      <c r="L201" s="155"/>
      <c r="M201" s="156"/>
      <c r="N201" s="156"/>
      <c r="O201" s="156"/>
      <c r="P201" s="156"/>
      <c r="Q201" s="156"/>
      <c r="R201" s="156"/>
      <c r="S201" s="146"/>
      <c r="T201" s="148"/>
      <c r="U201" s="134"/>
      <c r="V201" s="148"/>
      <c r="W201" s="148"/>
      <c r="X201" s="148"/>
      <c r="Y201" s="148"/>
      <c r="Z201" s="148"/>
    </row>
    <row r="202" spans="2:26" x14ac:dyDescent="0.3">
      <c r="B202" s="146"/>
      <c r="C202" s="147"/>
      <c r="D202" s="72"/>
      <c r="E202" s="72"/>
      <c r="F202" s="146"/>
      <c r="G202" s="148"/>
      <c r="H202" s="148"/>
      <c r="I202" s="147"/>
      <c r="J202" s="72"/>
      <c r="K202" s="72"/>
      <c r="L202" s="155"/>
      <c r="M202" s="156"/>
      <c r="N202" s="156"/>
      <c r="O202" s="156"/>
      <c r="P202" s="156"/>
      <c r="Q202" s="156"/>
      <c r="R202" s="156"/>
      <c r="S202" s="146"/>
      <c r="T202" s="148"/>
      <c r="U202" s="134"/>
      <c r="V202" s="148"/>
      <c r="W202" s="148"/>
      <c r="X202" s="148"/>
      <c r="Y202" s="148"/>
      <c r="Z202" s="148"/>
    </row>
    <row r="203" spans="2:26" x14ac:dyDescent="0.3">
      <c r="B203" s="146"/>
      <c r="C203" s="147"/>
      <c r="D203" s="72"/>
      <c r="E203" s="72"/>
      <c r="F203" s="146"/>
      <c r="G203" s="148"/>
      <c r="H203" s="148"/>
      <c r="I203" s="147"/>
      <c r="J203" s="72"/>
      <c r="K203" s="72"/>
      <c r="L203" s="155"/>
      <c r="M203" s="156"/>
      <c r="N203" s="156"/>
      <c r="O203" s="156"/>
      <c r="P203" s="156"/>
      <c r="Q203" s="156"/>
      <c r="R203" s="156"/>
      <c r="S203" s="146"/>
      <c r="T203" s="148"/>
      <c r="U203" s="134"/>
      <c r="V203" s="148"/>
      <c r="W203" s="148"/>
      <c r="X203" s="148"/>
      <c r="Y203" s="148"/>
      <c r="Z203" s="148"/>
    </row>
    <row r="204" spans="2:26" x14ac:dyDescent="0.3">
      <c r="B204" s="146"/>
      <c r="C204" s="147"/>
      <c r="D204" s="72"/>
      <c r="E204" s="72"/>
      <c r="F204" s="146"/>
      <c r="G204" s="148"/>
      <c r="H204" s="148"/>
      <c r="I204" s="147"/>
      <c r="J204" s="72"/>
      <c r="K204" s="72"/>
      <c r="L204" s="155"/>
      <c r="M204" s="156"/>
      <c r="N204" s="156"/>
      <c r="O204" s="156"/>
      <c r="P204" s="156"/>
      <c r="Q204" s="156"/>
      <c r="R204" s="156"/>
      <c r="S204" s="146"/>
      <c r="T204" s="148"/>
      <c r="U204" s="134"/>
      <c r="V204" s="148"/>
      <c r="W204" s="148"/>
      <c r="X204" s="148"/>
      <c r="Y204" s="148"/>
      <c r="Z204" s="148"/>
    </row>
    <row r="205" spans="2:26" x14ac:dyDescent="0.3">
      <c r="B205" s="146"/>
      <c r="C205" s="147"/>
      <c r="D205" s="72"/>
      <c r="E205" s="72"/>
      <c r="F205" s="146"/>
      <c r="G205" s="148"/>
      <c r="H205" s="148"/>
      <c r="I205" s="147"/>
      <c r="J205" s="72"/>
      <c r="K205" s="72"/>
      <c r="L205" s="155"/>
      <c r="M205" s="156"/>
      <c r="N205" s="156"/>
      <c r="O205" s="156"/>
      <c r="P205" s="156"/>
      <c r="Q205" s="156"/>
      <c r="R205" s="156"/>
      <c r="S205" s="146"/>
      <c r="T205" s="148"/>
      <c r="U205" s="134"/>
      <c r="V205" s="148"/>
      <c r="W205" s="148"/>
      <c r="X205" s="148"/>
      <c r="Y205" s="148"/>
      <c r="Z205" s="148"/>
    </row>
    <row r="206" spans="2:26" x14ac:dyDescent="0.3">
      <c r="B206" s="146"/>
      <c r="C206" s="147"/>
      <c r="D206" s="72"/>
      <c r="E206" s="72"/>
      <c r="F206" s="146"/>
      <c r="G206" s="148"/>
      <c r="H206" s="148"/>
      <c r="I206" s="147"/>
      <c r="J206" s="72"/>
      <c r="K206" s="72"/>
      <c r="L206" s="155"/>
      <c r="M206" s="156"/>
      <c r="N206" s="156"/>
      <c r="O206" s="156"/>
      <c r="P206" s="156"/>
      <c r="Q206" s="156"/>
      <c r="R206" s="156"/>
      <c r="S206" s="146"/>
      <c r="T206" s="148"/>
      <c r="U206" s="134"/>
      <c r="V206" s="148"/>
      <c r="W206" s="148"/>
      <c r="X206" s="148"/>
      <c r="Y206" s="148"/>
      <c r="Z206" s="148"/>
    </row>
    <row r="207" spans="2:26" x14ac:dyDescent="0.3">
      <c r="B207" s="146"/>
      <c r="C207" s="147"/>
      <c r="D207" s="72"/>
      <c r="E207" s="72"/>
      <c r="F207" s="146"/>
      <c r="G207" s="148"/>
      <c r="H207" s="148"/>
      <c r="I207" s="147"/>
      <c r="J207" s="72"/>
      <c r="K207" s="72"/>
      <c r="L207" s="155"/>
      <c r="M207" s="156"/>
      <c r="N207" s="156"/>
      <c r="O207" s="156"/>
      <c r="P207" s="156"/>
      <c r="Q207" s="156"/>
      <c r="R207" s="156"/>
      <c r="S207" s="146"/>
      <c r="T207" s="148"/>
      <c r="U207" s="134"/>
      <c r="V207" s="148"/>
      <c r="W207" s="148"/>
      <c r="X207" s="148"/>
      <c r="Y207" s="148"/>
      <c r="Z207" s="148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J4" sqref="J4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0</v>
      </c>
    </row>
    <row r="3" spans="1:13" x14ac:dyDescent="0.3">
      <c r="B3" s="253" t="s">
        <v>50</v>
      </c>
      <c r="C3" s="254"/>
      <c r="D3" s="255" t="s">
        <v>53</v>
      </c>
      <c r="E3" s="256"/>
      <c r="F3" s="254" t="s">
        <v>54</v>
      </c>
      <c r="G3" s="254"/>
      <c r="H3" s="255" t="s">
        <v>40</v>
      </c>
      <c r="I3" s="256"/>
      <c r="J3" s="254" t="s">
        <v>55</v>
      </c>
      <c r="K3" s="254"/>
      <c r="L3" s="255" t="s">
        <v>44</v>
      </c>
      <c r="M3" s="256"/>
    </row>
    <row r="4" spans="1:13" x14ac:dyDescent="0.3">
      <c r="A4" s="1" t="s">
        <v>30</v>
      </c>
      <c r="B4" s="76">
        <f t="shared" ref="B4:M4" si="0">SUM(B5:B54)</f>
        <v>58.86</v>
      </c>
      <c r="C4" s="77">
        <f t="shared" si="0"/>
        <v>54.480000000000011</v>
      </c>
      <c r="D4" s="20">
        <f t="shared" si="0"/>
        <v>58.86</v>
      </c>
      <c r="E4" s="17">
        <f t="shared" si="0"/>
        <v>58.320000000000014</v>
      </c>
      <c r="F4" s="77">
        <f t="shared" si="0"/>
        <v>50.47999999999999</v>
      </c>
      <c r="G4" s="77">
        <f t="shared" si="0"/>
        <v>65.349999999999994</v>
      </c>
      <c r="H4" s="20">
        <f t="shared" si="0"/>
        <v>54.98</v>
      </c>
      <c r="I4" s="17">
        <f t="shared" si="0"/>
        <v>69.97999999999999</v>
      </c>
      <c r="J4" s="77">
        <f t="shared" si="0"/>
        <v>61.529999999999987</v>
      </c>
      <c r="K4" s="77">
        <f t="shared" si="0"/>
        <v>78.44</v>
      </c>
      <c r="L4" s="20">
        <f t="shared" si="0"/>
        <v>17.600000000000001</v>
      </c>
      <c r="M4" s="17">
        <f t="shared" si="0"/>
        <v>26.919999999999995</v>
      </c>
    </row>
    <row r="5" spans="1:13" ht="15" thickBot="1" x14ac:dyDescent="0.35">
      <c r="B5" s="78" t="s">
        <v>51</v>
      </c>
      <c r="C5" s="79" t="s">
        <v>52</v>
      </c>
      <c r="D5" s="80" t="s">
        <v>51</v>
      </c>
      <c r="E5" s="43" t="s">
        <v>52</v>
      </c>
      <c r="F5" s="79" t="s">
        <v>51</v>
      </c>
      <c r="G5" s="79" t="s">
        <v>52</v>
      </c>
      <c r="H5" s="80" t="s">
        <v>51</v>
      </c>
      <c r="I5" s="43" t="s">
        <v>52</v>
      </c>
      <c r="J5" s="79" t="s">
        <v>51</v>
      </c>
      <c r="K5" s="79" t="s">
        <v>52</v>
      </c>
      <c r="L5" s="80" t="s">
        <v>51</v>
      </c>
      <c r="M5" s="43" t="s">
        <v>52</v>
      </c>
    </row>
    <row r="6" spans="1:13" x14ac:dyDescent="0.3">
      <c r="B6" s="81">
        <v>3.17</v>
      </c>
      <c r="C6" s="81">
        <v>1.71</v>
      </c>
      <c r="D6" s="82">
        <v>3.17</v>
      </c>
      <c r="E6" s="82">
        <v>1.71</v>
      </c>
      <c r="F6" s="81">
        <v>2.6</v>
      </c>
      <c r="G6" s="81">
        <v>0.4</v>
      </c>
      <c r="H6" s="82">
        <v>1.4</v>
      </c>
      <c r="I6" s="82">
        <v>7.16</v>
      </c>
      <c r="J6" s="81">
        <v>5.3</v>
      </c>
      <c r="K6" s="81">
        <v>5.34</v>
      </c>
      <c r="L6" s="82">
        <v>4</v>
      </c>
      <c r="M6" s="82">
        <v>6.12</v>
      </c>
    </row>
    <row r="7" spans="1:13" x14ac:dyDescent="0.3">
      <c r="B7" s="81">
        <v>3.17</v>
      </c>
      <c r="C7" s="81">
        <v>0.7</v>
      </c>
      <c r="D7" s="82">
        <v>3.17</v>
      </c>
      <c r="E7" s="82">
        <v>0.7</v>
      </c>
      <c r="F7" s="81">
        <v>3.4</v>
      </c>
      <c r="G7" s="81">
        <v>0.7</v>
      </c>
      <c r="H7" s="82">
        <v>1.5</v>
      </c>
      <c r="I7" s="82">
        <v>0.4</v>
      </c>
      <c r="J7" s="81">
        <v>2.57</v>
      </c>
      <c r="K7" s="81">
        <v>1.52</v>
      </c>
      <c r="L7" s="82">
        <v>2.2999999999999998</v>
      </c>
      <c r="M7" s="82">
        <v>3.82</v>
      </c>
    </row>
    <row r="8" spans="1:13" x14ac:dyDescent="0.3">
      <c r="B8" s="81">
        <v>0.76</v>
      </c>
      <c r="C8" s="81">
        <v>0.7</v>
      </c>
      <c r="D8" s="82">
        <v>0.76</v>
      </c>
      <c r="E8" s="82">
        <v>0.7</v>
      </c>
      <c r="F8" s="81">
        <v>2</v>
      </c>
      <c r="G8" s="81">
        <v>0.7</v>
      </c>
      <c r="H8" s="82">
        <v>2.6</v>
      </c>
      <c r="I8" s="82">
        <v>0.6</v>
      </c>
      <c r="J8" s="81">
        <v>2.57</v>
      </c>
      <c r="K8" s="81">
        <v>4.3</v>
      </c>
      <c r="L8" s="82">
        <v>4.8</v>
      </c>
      <c r="M8" s="82">
        <v>2.1</v>
      </c>
    </row>
    <row r="9" spans="1:13" x14ac:dyDescent="0.3">
      <c r="B9" s="81">
        <v>0.76</v>
      </c>
      <c r="C9" s="81">
        <v>0.6</v>
      </c>
      <c r="D9" s="82">
        <v>0.76</v>
      </c>
      <c r="E9" s="82">
        <v>0.6</v>
      </c>
      <c r="F9" s="81">
        <v>0.8</v>
      </c>
      <c r="G9" s="81">
        <v>0.7</v>
      </c>
      <c r="H9" s="82">
        <v>2</v>
      </c>
      <c r="I9" s="82">
        <v>0.6</v>
      </c>
      <c r="J9" s="81">
        <v>3.9</v>
      </c>
      <c r="K9" s="81">
        <v>1.92</v>
      </c>
      <c r="L9" s="82">
        <v>0.85</v>
      </c>
      <c r="M9" s="82">
        <v>6.36</v>
      </c>
    </row>
    <row r="10" spans="1:13" x14ac:dyDescent="0.3">
      <c r="B10" s="81">
        <v>5.35</v>
      </c>
      <c r="C10" s="81">
        <v>0.6</v>
      </c>
      <c r="D10" s="82">
        <v>5.35</v>
      </c>
      <c r="E10" s="82">
        <v>0.6</v>
      </c>
      <c r="F10" s="81">
        <v>2</v>
      </c>
      <c r="G10" s="81">
        <v>0.6</v>
      </c>
      <c r="H10" s="82">
        <v>2.8</v>
      </c>
      <c r="I10" s="82">
        <v>0.7</v>
      </c>
      <c r="J10" s="81">
        <v>1.67</v>
      </c>
      <c r="K10" s="81">
        <v>1.6</v>
      </c>
      <c r="L10" s="82">
        <v>0.85</v>
      </c>
      <c r="M10" s="82">
        <v>4.26</v>
      </c>
    </row>
    <row r="11" spans="1:13" x14ac:dyDescent="0.3">
      <c r="B11" s="81">
        <v>4.5999999999999996</v>
      </c>
      <c r="C11" s="81">
        <v>3.38</v>
      </c>
      <c r="D11" s="82">
        <v>4.5999999999999996</v>
      </c>
      <c r="E11" s="82">
        <v>3.38</v>
      </c>
      <c r="F11" s="81">
        <v>2.86</v>
      </c>
      <c r="G11" s="81">
        <v>0.6</v>
      </c>
      <c r="H11" s="82">
        <v>4.4000000000000004</v>
      </c>
      <c r="I11" s="82">
        <v>0.7</v>
      </c>
      <c r="J11" s="81">
        <v>6.38</v>
      </c>
      <c r="K11" s="81">
        <v>2.08</v>
      </c>
      <c r="L11" s="82">
        <v>0.8</v>
      </c>
      <c r="M11" s="82">
        <v>4.26</v>
      </c>
    </row>
    <row r="12" spans="1:13" x14ac:dyDescent="0.3">
      <c r="B12" s="81">
        <v>0.8</v>
      </c>
      <c r="C12" s="81">
        <v>1.5</v>
      </c>
      <c r="D12" s="82">
        <v>0.8</v>
      </c>
      <c r="E12" s="82">
        <v>1.5</v>
      </c>
      <c r="F12" s="81">
        <v>5.35</v>
      </c>
      <c r="G12" s="81">
        <v>1.92</v>
      </c>
      <c r="H12" s="82">
        <v>0.8</v>
      </c>
      <c r="I12" s="82">
        <v>0.7</v>
      </c>
      <c r="J12" s="81">
        <v>2.67</v>
      </c>
      <c r="K12" s="81">
        <v>5</v>
      </c>
      <c r="L12" s="82">
        <v>2</v>
      </c>
      <c r="M12" s="82"/>
    </row>
    <row r="13" spans="1:13" x14ac:dyDescent="0.3">
      <c r="B13" s="81">
        <v>2</v>
      </c>
      <c r="C13" s="81">
        <v>4.45</v>
      </c>
      <c r="D13" s="82">
        <v>2</v>
      </c>
      <c r="E13" s="82">
        <v>4.45</v>
      </c>
      <c r="F13" s="81">
        <v>4</v>
      </c>
      <c r="G13" s="81">
        <v>4.8</v>
      </c>
      <c r="H13" s="82">
        <v>2</v>
      </c>
      <c r="I13" s="82">
        <v>4.9000000000000004</v>
      </c>
      <c r="J13" s="81">
        <v>0.85</v>
      </c>
      <c r="K13" s="81">
        <v>4.43</v>
      </c>
      <c r="L13" s="82">
        <v>2</v>
      </c>
      <c r="M13" s="82"/>
    </row>
    <row r="14" spans="1:13" x14ac:dyDescent="0.3">
      <c r="B14" s="81">
        <v>0.85</v>
      </c>
      <c r="C14" s="81">
        <v>6.35</v>
      </c>
      <c r="D14" s="82">
        <v>0.85</v>
      </c>
      <c r="E14" s="82">
        <v>6.35</v>
      </c>
      <c r="F14" s="81">
        <v>2.2999999999999998</v>
      </c>
      <c r="G14" s="81">
        <v>3.7</v>
      </c>
      <c r="H14" s="82">
        <v>0.8</v>
      </c>
      <c r="I14" s="82">
        <v>0.95</v>
      </c>
      <c r="J14" s="81">
        <v>0.8</v>
      </c>
      <c r="K14" s="81">
        <v>1.92</v>
      </c>
      <c r="L14" s="82"/>
      <c r="M14" s="82"/>
    </row>
    <row r="15" spans="1:13" x14ac:dyDescent="0.3">
      <c r="B15" s="81">
        <v>5.49</v>
      </c>
      <c r="C15" s="81">
        <v>6.15</v>
      </c>
      <c r="D15" s="82">
        <v>5.49</v>
      </c>
      <c r="E15" s="82">
        <v>6.15</v>
      </c>
      <c r="F15" s="81">
        <v>4.8</v>
      </c>
      <c r="G15" s="81">
        <v>1.1599999999999999</v>
      </c>
      <c r="H15" s="82">
        <v>2.73</v>
      </c>
      <c r="I15" s="82">
        <v>1.92</v>
      </c>
      <c r="J15" s="81">
        <v>4</v>
      </c>
      <c r="K15" s="81">
        <v>1.92</v>
      </c>
      <c r="L15" s="82"/>
      <c r="M15" s="82"/>
    </row>
    <row r="16" spans="1:13" x14ac:dyDescent="0.3">
      <c r="B16" s="81">
        <v>4</v>
      </c>
      <c r="C16" s="81">
        <v>3.8</v>
      </c>
      <c r="D16" s="82">
        <v>4</v>
      </c>
      <c r="E16" s="82">
        <v>3.8</v>
      </c>
      <c r="F16" s="81">
        <v>0.85</v>
      </c>
      <c r="G16" s="81">
        <v>5.16</v>
      </c>
      <c r="H16" s="82">
        <v>2</v>
      </c>
      <c r="I16" s="82">
        <v>4.42</v>
      </c>
      <c r="J16" s="81">
        <v>2.2999999999999998</v>
      </c>
      <c r="K16" s="81">
        <v>2.6</v>
      </c>
      <c r="L16" s="82"/>
      <c r="M16" s="82"/>
    </row>
    <row r="17" spans="2:13" x14ac:dyDescent="0.3">
      <c r="B17" s="81">
        <v>2.2999999999999998</v>
      </c>
      <c r="C17" s="81">
        <v>1.1599999999999999</v>
      </c>
      <c r="D17" s="82">
        <v>2.2999999999999998</v>
      </c>
      <c r="E17" s="82">
        <v>1.1599999999999999</v>
      </c>
      <c r="F17" s="81">
        <v>2</v>
      </c>
      <c r="G17" s="81">
        <v>3.84</v>
      </c>
      <c r="H17" s="82">
        <v>4</v>
      </c>
      <c r="I17" s="82">
        <v>1.2</v>
      </c>
      <c r="J17" s="81">
        <v>4.8</v>
      </c>
      <c r="K17" s="81">
        <v>3.24</v>
      </c>
      <c r="L17" s="82"/>
      <c r="M17" s="82"/>
    </row>
    <row r="18" spans="2:13" x14ac:dyDescent="0.3">
      <c r="B18" s="81">
        <v>4.8</v>
      </c>
      <c r="C18" s="81">
        <v>6.15</v>
      </c>
      <c r="D18" s="82">
        <v>4.8</v>
      </c>
      <c r="E18" s="82">
        <v>6.15</v>
      </c>
      <c r="F18" s="81">
        <v>4.4000000000000004</v>
      </c>
      <c r="G18" s="81">
        <v>1.18</v>
      </c>
      <c r="H18" s="82">
        <v>2.2999999999999998</v>
      </c>
      <c r="I18" s="82">
        <v>3.79</v>
      </c>
      <c r="J18" s="81">
        <v>2</v>
      </c>
      <c r="K18" s="81">
        <v>4.9000000000000004</v>
      </c>
      <c r="L18" s="82"/>
      <c r="M18" s="82"/>
    </row>
    <row r="19" spans="2:13" x14ac:dyDescent="0.3">
      <c r="B19" s="81">
        <v>2</v>
      </c>
      <c r="C19" s="81">
        <v>4.45</v>
      </c>
      <c r="D19" s="82">
        <v>2</v>
      </c>
      <c r="E19" s="82">
        <v>4.45</v>
      </c>
      <c r="F19" s="81">
        <v>0.8</v>
      </c>
      <c r="G19" s="81">
        <v>6.15</v>
      </c>
      <c r="H19" s="82">
        <v>4.8</v>
      </c>
      <c r="I19" s="82">
        <v>1.18</v>
      </c>
      <c r="J19" s="81">
        <v>8.43</v>
      </c>
      <c r="K19" s="81">
        <v>4.92</v>
      </c>
      <c r="L19" s="82"/>
      <c r="M19" s="82"/>
    </row>
    <row r="20" spans="2:13" x14ac:dyDescent="0.3">
      <c r="B20" s="81">
        <v>0.85</v>
      </c>
      <c r="C20" s="81">
        <v>1.5</v>
      </c>
      <c r="D20" s="82">
        <v>0.85</v>
      </c>
      <c r="E20" s="82">
        <v>1.5</v>
      </c>
      <c r="F20" s="81">
        <v>5.5</v>
      </c>
      <c r="G20" s="81">
        <v>4.43</v>
      </c>
      <c r="H20" s="82">
        <v>8.4499999999999993</v>
      </c>
      <c r="I20" s="82">
        <v>6.1</v>
      </c>
      <c r="J20" s="81">
        <v>0.85</v>
      </c>
      <c r="K20" s="81">
        <v>6.18</v>
      </c>
      <c r="L20" s="82"/>
      <c r="M20" s="82"/>
    </row>
    <row r="21" spans="2:13" x14ac:dyDescent="0.3">
      <c r="B21" s="81">
        <v>0.8</v>
      </c>
      <c r="C21" s="81">
        <v>3.38</v>
      </c>
      <c r="D21" s="82">
        <v>0.8</v>
      </c>
      <c r="E21" s="82">
        <v>3.38</v>
      </c>
      <c r="F21" s="81">
        <v>0.62</v>
      </c>
      <c r="G21" s="81">
        <v>1.19</v>
      </c>
      <c r="H21" s="82">
        <v>0.85</v>
      </c>
      <c r="I21" s="82">
        <v>5.14</v>
      </c>
      <c r="J21" s="81">
        <v>1.02</v>
      </c>
      <c r="K21" s="81">
        <v>3.82</v>
      </c>
      <c r="L21" s="82"/>
      <c r="M21" s="82"/>
    </row>
    <row r="22" spans="2:13" x14ac:dyDescent="0.3">
      <c r="B22" s="81">
        <v>4.5999999999999996</v>
      </c>
      <c r="C22" s="81">
        <v>0.6</v>
      </c>
      <c r="D22" s="82">
        <v>4.5999999999999996</v>
      </c>
      <c r="E22" s="82">
        <v>0.6</v>
      </c>
      <c r="F22" s="81">
        <v>0.62</v>
      </c>
      <c r="G22" s="81">
        <v>3.38</v>
      </c>
      <c r="H22" s="82">
        <v>1</v>
      </c>
      <c r="I22" s="82">
        <v>4.41</v>
      </c>
      <c r="J22" s="81">
        <v>2.8</v>
      </c>
      <c r="K22" s="81">
        <v>1.2</v>
      </c>
      <c r="L22" s="82"/>
      <c r="M22" s="82"/>
    </row>
    <row r="23" spans="2:13" x14ac:dyDescent="0.3">
      <c r="B23" s="81">
        <v>5.5</v>
      </c>
      <c r="C23" s="81">
        <v>0.6</v>
      </c>
      <c r="D23" s="82">
        <v>5.5</v>
      </c>
      <c r="E23" s="82">
        <v>0.6</v>
      </c>
      <c r="F23" s="81">
        <v>2.62</v>
      </c>
      <c r="G23" s="81">
        <v>0.6</v>
      </c>
      <c r="H23" s="82">
        <v>2.75</v>
      </c>
      <c r="I23" s="82">
        <v>1.92</v>
      </c>
      <c r="J23" s="81">
        <v>5.52</v>
      </c>
      <c r="K23" s="81">
        <v>6.15</v>
      </c>
      <c r="L23" s="82"/>
      <c r="M23" s="82"/>
    </row>
    <row r="24" spans="2:13" x14ac:dyDescent="0.3">
      <c r="B24" s="81">
        <v>3.08</v>
      </c>
      <c r="C24" s="81">
        <v>2.78</v>
      </c>
      <c r="D24" s="82">
        <v>3.08</v>
      </c>
      <c r="E24" s="82">
        <v>2.78</v>
      </c>
      <c r="F24" s="81">
        <v>1.56</v>
      </c>
      <c r="G24" s="81">
        <v>0.6</v>
      </c>
      <c r="H24" s="82">
        <v>5.5</v>
      </c>
      <c r="I24" s="82">
        <v>1.92</v>
      </c>
      <c r="J24" s="81">
        <v>0.8</v>
      </c>
      <c r="K24" s="81">
        <v>5</v>
      </c>
      <c r="L24" s="82"/>
      <c r="M24" s="82"/>
    </row>
    <row r="25" spans="2:13" x14ac:dyDescent="0.3">
      <c r="B25" s="81">
        <v>3.08</v>
      </c>
      <c r="C25" s="81">
        <v>0.4</v>
      </c>
      <c r="D25" s="82">
        <v>3.08</v>
      </c>
      <c r="E25" s="82">
        <v>0.4</v>
      </c>
      <c r="F25" s="81">
        <v>1.4</v>
      </c>
      <c r="G25" s="81">
        <v>1.92</v>
      </c>
      <c r="H25" s="82">
        <v>0.8</v>
      </c>
      <c r="I25" s="82">
        <v>0.6</v>
      </c>
      <c r="J25" s="81">
        <v>0.8</v>
      </c>
      <c r="K25" s="81">
        <v>0.53</v>
      </c>
      <c r="L25" s="82"/>
      <c r="M25" s="82"/>
    </row>
    <row r="26" spans="2:13" x14ac:dyDescent="0.3">
      <c r="B26" s="81">
        <v>0.45</v>
      </c>
      <c r="C26" s="81">
        <v>1.72</v>
      </c>
      <c r="D26" s="82">
        <v>0.45</v>
      </c>
      <c r="E26" s="82">
        <v>1.72</v>
      </c>
      <c r="F26" s="81"/>
      <c r="G26" s="81">
        <v>1.92</v>
      </c>
      <c r="H26" s="82">
        <v>0.5</v>
      </c>
      <c r="I26" s="82">
        <v>0.6</v>
      </c>
      <c r="J26" s="81">
        <v>0.5</v>
      </c>
      <c r="K26" s="81">
        <v>1.77</v>
      </c>
      <c r="L26" s="82"/>
      <c r="M26" s="82"/>
    </row>
    <row r="27" spans="2:13" x14ac:dyDescent="0.3">
      <c r="B27" s="81">
        <v>0.45</v>
      </c>
      <c r="C27" s="81">
        <v>0.7</v>
      </c>
      <c r="D27" s="82">
        <v>0.45</v>
      </c>
      <c r="E27" s="82">
        <v>0.7</v>
      </c>
      <c r="F27" s="81"/>
      <c r="G27" s="81">
        <v>5.25</v>
      </c>
      <c r="H27" s="82">
        <v>0.5</v>
      </c>
      <c r="I27" s="82">
        <v>4.83</v>
      </c>
      <c r="J27" s="81">
        <v>0.5</v>
      </c>
      <c r="K27" s="81">
        <v>8.1</v>
      </c>
      <c r="L27" s="82"/>
      <c r="M27" s="82"/>
    </row>
    <row r="28" spans="2:13" x14ac:dyDescent="0.3">
      <c r="B28" s="81"/>
      <c r="C28" s="81">
        <v>0.7</v>
      </c>
      <c r="D28" s="82"/>
      <c r="E28" s="82">
        <v>0.7</v>
      </c>
      <c r="F28" s="81"/>
      <c r="G28" s="81">
        <v>5.03</v>
      </c>
      <c r="H28" s="82">
        <v>0.5</v>
      </c>
      <c r="I28" s="82">
        <v>3.4</v>
      </c>
      <c r="J28" s="81">
        <v>0.5</v>
      </c>
      <c r="K28" s="81"/>
      <c r="L28" s="82"/>
      <c r="M28" s="82"/>
    </row>
    <row r="29" spans="2:13" x14ac:dyDescent="0.3">
      <c r="B29" s="81"/>
      <c r="C29" s="81">
        <v>0.4</v>
      </c>
      <c r="D29" s="82"/>
      <c r="E29" s="82">
        <v>0.4</v>
      </c>
      <c r="F29" s="81"/>
      <c r="G29" s="81">
        <v>1.3</v>
      </c>
      <c r="H29" s="82"/>
      <c r="I29" s="82">
        <v>5.27</v>
      </c>
      <c r="J29" s="81"/>
      <c r="K29" s="81"/>
      <c r="L29" s="82"/>
      <c r="M29" s="82"/>
    </row>
    <row r="30" spans="2:13" x14ac:dyDescent="0.3">
      <c r="B30" s="81"/>
      <c r="C30" s="81"/>
      <c r="D30" s="82"/>
      <c r="E30" s="82">
        <v>1.92</v>
      </c>
      <c r="F30" s="81"/>
      <c r="G30" s="81">
        <v>0.4</v>
      </c>
      <c r="H30" s="82"/>
      <c r="I30" s="82">
        <v>6.57</v>
      </c>
      <c r="J30" s="81"/>
      <c r="K30" s="81"/>
      <c r="L30" s="82"/>
      <c r="M30" s="82"/>
    </row>
    <row r="31" spans="2:13" x14ac:dyDescent="0.3">
      <c r="B31" s="81"/>
      <c r="C31" s="81"/>
      <c r="D31" s="82"/>
      <c r="E31" s="82">
        <v>1.92</v>
      </c>
      <c r="F31" s="81"/>
      <c r="G31" s="81">
        <v>2.8</v>
      </c>
      <c r="H31" s="82"/>
      <c r="I31" s="82"/>
      <c r="J31" s="81"/>
      <c r="K31" s="81"/>
      <c r="L31" s="82"/>
      <c r="M31" s="82"/>
    </row>
    <row r="32" spans="2:13" x14ac:dyDescent="0.3">
      <c r="B32" s="81"/>
      <c r="C32" s="81"/>
      <c r="D32" s="82"/>
      <c r="E32" s="82"/>
      <c r="F32" s="81"/>
      <c r="G32" s="81">
        <v>4.92</v>
      </c>
      <c r="H32" s="82"/>
      <c r="I32" s="82"/>
      <c r="J32" s="81"/>
      <c r="K32" s="81"/>
      <c r="L32" s="82"/>
      <c r="M32" s="82"/>
    </row>
    <row r="33" spans="2:13" x14ac:dyDescent="0.3">
      <c r="B33" s="81"/>
      <c r="C33" s="81"/>
      <c r="D33" s="82"/>
      <c r="E33" s="82"/>
      <c r="F33" s="81"/>
      <c r="G33" s="81"/>
      <c r="H33" s="82"/>
      <c r="I33" s="82"/>
      <c r="J33" s="81"/>
      <c r="K33" s="81"/>
      <c r="L33" s="82"/>
      <c r="M33" s="82"/>
    </row>
    <row r="34" spans="2:13" x14ac:dyDescent="0.3">
      <c r="B34" s="81"/>
      <c r="C34" s="81"/>
      <c r="D34" s="82"/>
      <c r="E34" s="82"/>
      <c r="F34" s="81"/>
      <c r="G34" s="81"/>
      <c r="H34" s="82"/>
      <c r="I34" s="82"/>
      <c r="J34" s="81"/>
      <c r="K34" s="81">
        <f>'Distancias muros'!C51</f>
        <v>0</v>
      </c>
      <c r="L34" s="82"/>
      <c r="M34" s="82"/>
    </row>
    <row r="35" spans="2:13" x14ac:dyDescent="0.3">
      <c r="B35" s="81"/>
      <c r="C35" s="81"/>
      <c r="D35" s="82"/>
      <c r="E35" s="82"/>
      <c r="F35" s="81"/>
      <c r="G35" s="81"/>
      <c r="H35" s="82"/>
      <c r="I35" s="82"/>
      <c r="J35" s="81"/>
      <c r="K35" s="81"/>
      <c r="L35" s="82"/>
      <c r="M35" s="82"/>
    </row>
    <row r="36" spans="2:13" x14ac:dyDescent="0.3">
      <c r="B36" s="81"/>
      <c r="C36" s="81"/>
      <c r="D36" s="82"/>
      <c r="E36" s="82"/>
      <c r="F36" s="81"/>
      <c r="G36" s="81"/>
      <c r="H36" s="82"/>
      <c r="I36" s="82"/>
      <c r="J36" s="81"/>
      <c r="K36" s="81"/>
      <c r="L36" s="82"/>
      <c r="M36" s="82"/>
    </row>
    <row r="37" spans="2:13" x14ac:dyDescent="0.3">
      <c r="B37" s="81"/>
      <c r="C37" s="81"/>
      <c r="D37" s="82"/>
      <c r="E37" s="82"/>
      <c r="F37" s="81"/>
      <c r="G37" s="81"/>
      <c r="H37" s="82"/>
      <c r="I37" s="82"/>
      <c r="J37" s="81"/>
      <c r="K37" s="81"/>
      <c r="L37" s="82"/>
      <c r="M37" s="82"/>
    </row>
    <row r="38" spans="2:13" x14ac:dyDescent="0.3">
      <c r="B38" s="81"/>
      <c r="C38" s="81"/>
      <c r="D38" s="82"/>
      <c r="E38" s="82"/>
      <c r="F38" s="81"/>
      <c r="G38" s="81"/>
      <c r="H38" s="82"/>
      <c r="I38" s="82"/>
      <c r="J38" s="81"/>
      <c r="K38" s="81"/>
      <c r="L38" s="82"/>
      <c r="M38" s="82"/>
    </row>
    <row r="39" spans="2:13" x14ac:dyDescent="0.3">
      <c r="B39" s="81"/>
      <c r="C39" s="81"/>
      <c r="D39" s="82"/>
      <c r="E39" s="82"/>
      <c r="F39" s="81"/>
      <c r="G39" s="81"/>
      <c r="H39" s="82"/>
      <c r="I39" s="82"/>
      <c r="J39" s="81"/>
      <c r="K39" s="81"/>
      <c r="L39" s="82"/>
      <c r="M39" s="82"/>
    </row>
    <row r="40" spans="2:13" x14ac:dyDescent="0.3">
      <c r="B40" s="81"/>
      <c r="C40" s="81"/>
      <c r="D40" s="82"/>
      <c r="E40" s="82"/>
      <c r="F40" s="81"/>
      <c r="G40" s="81"/>
      <c r="H40" s="82"/>
      <c r="I40" s="82"/>
      <c r="J40" s="81"/>
      <c r="K40" s="81"/>
      <c r="L40" s="82"/>
      <c r="M40" s="82"/>
    </row>
    <row r="41" spans="2:13" x14ac:dyDescent="0.3">
      <c r="B41" s="81"/>
      <c r="C41" s="81"/>
      <c r="D41" s="82"/>
      <c r="E41" s="82"/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/>
      <c r="C42" s="81"/>
      <c r="D42" s="82"/>
      <c r="E42" s="82"/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/>
      <c r="C43" s="81"/>
      <c r="D43" s="82"/>
      <c r="E43" s="82"/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/>
      <c r="C44" s="81"/>
      <c r="D44" s="82"/>
      <c r="E44" s="82"/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/>
      <c r="C45" s="81"/>
      <c r="D45" s="82"/>
      <c r="E45" s="82"/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/>
      <c r="C46" s="81"/>
      <c r="D46" s="82"/>
      <c r="E46" s="82"/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/>
      <c r="C47" s="81"/>
      <c r="D47" s="82"/>
      <c r="E47" s="82"/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/>
      <c r="C48" s="81"/>
      <c r="D48" s="82"/>
      <c r="E48" s="82"/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/>
      <c r="C49" s="81"/>
      <c r="D49" s="82"/>
      <c r="E49" s="82"/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/>
      <c r="D50" s="82"/>
      <c r="E50" s="82"/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/>
      <c r="D51" s="82"/>
      <c r="E51" s="82"/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/>
      <c r="D52" s="82"/>
      <c r="E52" s="82"/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/>
      <c r="D53" s="82"/>
      <c r="E53" s="82"/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/>
      <c r="D54" s="82"/>
      <c r="E54" s="82"/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/>
      <c r="D55" s="82"/>
      <c r="E55" s="82"/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/>
      <c r="D56" s="82"/>
      <c r="E56" s="82"/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/>
      <c r="D57" s="82"/>
      <c r="E57" s="82"/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/>
      <c r="D58" s="82"/>
      <c r="E58" s="82"/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/>
      <c r="D59" s="82"/>
      <c r="E59" s="82"/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/>
      <c r="D60" s="82"/>
      <c r="E60" s="82"/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/>
      <c r="D61" s="82"/>
      <c r="E61" s="82"/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/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56</v>
      </c>
    </row>
    <row r="3" spans="1:13" x14ac:dyDescent="0.3">
      <c r="B3" s="253" t="s">
        <v>50</v>
      </c>
      <c r="C3" s="254"/>
      <c r="D3" s="255" t="s">
        <v>53</v>
      </c>
      <c r="E3" s="256"/>
      <c r="F3" s="254" t="s">
        <v>54</v>
      </c>
      <c r="G3" s="254"/>
      <c r="H3" s="255" t="s">
        <v>40</v>
      </c>
      <c r="I3" s="256"/>
      <c r="J3" s="254" t="s">
        <v>55</v>
      </c>
      <c r="K3" s="254"/>
      <c r="L3" s="255" t="s">
        <v>44</v>
      </c>
      <c r="M3" s="256"/>
    </row>
    <row r="4" spans="1:13" x14ac:dyDescent="0.3">
      <c r="A4" s="1" t="s">
        <v>30</v>
      </c>
      <c r="B4" s="76">
        <f t="shared" ref="B4:M4" si="0">SUM(B5:B54)</f>
        <v>39.19</v>
      </c>
      <c r="C4" s="77">
        <f t="shared" si="0"/>
        <v>60.46</v>
      </c>
      <c r="D4" s="20">
        <f t="shared" si="0"/>
        <v>39.19</v>
      </c>
      <c r="E4" s="17">
        <f t="shared" si="0"/>
        <v>60.46</v>
      </c>
      <c r="F4" s="77">
        <f t="shared" si="0"/>
        <v>38.700000000000017</v>
      </c>
      <c r="G4" s="77">
        <f t="shared" si="0"/>
        <v>36.07</v>
      </c>
      <c r="H4" s="20">
        <f t="shared" si="0"/>
        <v>31.640000000000004</v>
      </c>
      <c r="I4" s="17">
        <f t="shared" si="0"/>
        <v>38.11</v>
      </c>
      <c r="J4" s="77">
        <f t="shared" si="0"/>
        <v>16.899999999999995</v>
      </c>
      <c r="K4" s="77">
        <f t="shared" si="0"/>
        <v>22.62</v>
      </c>
      <c r="L4" s="20">
        <f t="shared" si="0"/>
        <v>8.7000000000000028</v>
      </c>
      <c r="M4" s="17">
        <f t="shared" si="0"/>
        <v>10.25</v>
      </c>
    </row>
    <row r="5" spans="1:13" ht="15" thickBot="1" x14ac:dyDescent="0.35">
      <c r="B5" s="78" t="s">
        <v>51</v>
      </c>
      <c r="C5" s="79" t="s">
        <v>52</v>
      </c>
      <c r="D5" s="80" t="s">
        <v>51</v>
      </c>
      <c r="E5" s="43" t="s">
        <v>52</v>
      </c>
      <c r="F5" s="79" t="s">
        <v>51</v>
      </c>
      <c r="G5" s="79" t="s">
        <v>52</v>
      </c>
      <c r="H5" s="80" t="s">
        <v>51</v>
      </c>
      <c r="I5" s="43" t="s">
        <v>52</v>
      </c>
      <c r="J5" s="79" t="s">
        <v>51</v>
      </c>
      <c r="K5" s="79" t="s">
        <v>52</v>
      </c>
      <c r="L5" s="80" t="s">
        <v>51</v>
      </c>
      <c r="M5" s="43" t="s">
        <v>52</v>
      </c>
    </row>
    <row r="6" spans="1:13" x14ac:dyDescent="0.3">
      <c r="B6" s="81">
        <v>1.72</v>
      </c>
      <c r="C6" s="81">
        <v>0.6</v>
      </c>
      <c r="D6" s="82">
        <v>1.72</v>
      </c>
      <c r="E6" s="82">
        <v>0.6</v>
      </c>
      <c r="F6" s="81">
        <v>1.7</v>
      </c>
      <c r="G6" s="81">
        <v>4.5</v>
      </c>
      <c r="H6" s="82">
        <v>2.6</v>
      </c>
      <c r="I6" s="82">
        <v>3.32</v>
      </c>
      <c r="J6" s="81">
        <v>1.95</v>
      </c>
      <c r="K6" s="81">
        <v>2.72</v>
      </c>
      <c r="L6" s="82">
        <v>1.3</v>
      </c>
      <c r="M6" s="82">
        <v>3.6</v>
      </c>
    </row>
    <row r="7" spans="1:13" x14ac:dyDescent="0.3">
      <c r="B7" s="81">
        <v>1.72</v>
      </c>
      <c r="C7" s="81">
        <v>0.6</v>
      </c>
      <c r="D7" s="82">
        <v>1.72</v>
      </c>
      <c r="E7" s="82">
        <v>0.6</v>
      </c>
      <c r="F7" s="81">
        <v>2.8</v>
      </c>
      <c r="G7" s="81">
        <v>0.4</v>
      </c>
      <c r="H7" s="82">
        <v>2.6</v>
      </c>
      <c r="I7" s="82">
        <v>0.5</v>
      </c>
      <c r="J7" s="81">
        <v>2.4</v>
      </c>
      <c r="K7" s="81">
        <v>0.4</v>
      </c>
      <c r="L7" s="82">
        <v>1.2</v>
      </c>
      <c r="M7" s="82">
        <v>2.2999999999999998</v>
      </c>
    </row>
    <row r="8" spans="1:13" x14ac:dyDescent="0.3">
      <c r="B8" s="74">
        <v>1.42</v>
      </c>
      <c r="C8" s="81">
        <v>0.6</v>
      </c>
      <c r="D8" s="82">
        <v>1.42</v>
      </c>
      <c r="E8" s="82">
        <v>0.6</v>
      </c>
      <c r="F8" s="81">
        <v>0.6</v>
      </c>
      <c r="G8" s="81">
        <v>4.12</v>
      </c>
      <c r="H8" s="82">
        <v>0.6</v>
      </c>
      <c r="I8" s="82">
        <v>1</v>
      </c>
      <c r="J8" s="81">
        <v>1.35</v>
      </c>
      <c r="K8" s="81">
        <v>1.25</v>
      </c>
      <c r="L8" s="82">
        <v>1.2</v>
      </c>
      <c r="M8" s="82">
        <v>0.5</v>
      </c>
    </row>
    <row r="9" spans="1:13" x14ac:dyDescent="0.3">
      <c r="B9" s="81">
        <v>1.42</v>
      </c>
      <c r="C9" s="81">
        <v>0.6</v>
      </c>
      <c r="D9" s="82">
        <v>1.42</v>
      </c>
      <c r="E9" s="82">
        <v>0.6</v>
      </c>
      <c r="F9" s="81">
        <v>1.84</v>
      </c>
      <c r="G9" s="81">
        <v>0.6</v>
      </c>
      <c r="H9" s="82">
        <v>0.52</v>
      </c>
      <c r="I9" s="82">
        <v>1.72</v>
      </c>
      <c r="J9" s="81">
        <v>1.4</v>
      </c>
      <c r="K9" s="81">
        <v>0.2</v>
      </c>
      <c r="L9" s="82">
        <v>0.7</v>
      </c>
      <c r="M9" s="82">
        <v>1</v>
      </c>
    </row>
    <row r="10" spans="1:13" x14ac:dyDescent="0.3">
      <c r="B10" s="81">
        <v>0.87</v>
      </c>
      <c r="C10" s="81">
        <v>3.4</v>
      </c>
      <c r="D10" s="82">
        <v>0.87</v>
      </c>
      <c r="E10" s="82">
        <v>3.4</v>
      </c>
      <c r="F10" s="81">
        <v>0.8</v>
      </c>
      <c r="G10" s="81">
        <v>1.5</v>
      </c>
      <c r="H10" s="82">
        <v>1.92</v>
      </c>
      <c r="I10" s="82">
        <v>1.1000000000000001</v>
      </c>
      <c r="J10" s="81">
        <v>0.85</v>
      </c>
      <c r="K10" s="81">
        <v>0.9</v>
      </c>
      <c r="L10" s="82">
        <v>0.7</v>
      </c>
      <c r="M10" s="82">
        <v>2.1</v>
      </c>
    </row>
    <row r="11" spans="1:13" x14ac:dyDescent="0.3">
      <c r="B11" s="81">
        <v>1.56</v>
      </c>
      <c r="C11" s="81">
        <v>2.83</v>
      </c>
      <c r="D11" s="82">
        <v>1.56</v>
      </c>
      <c r="E11" s="82">
        <v>2.83</v>
      </c>
      <c r="F11" s="81">
        <v>0.67</v>
      </c>
      <c r="G11" s="81">
        <v>0.2</v>
      </c>
      <c r="H11" s="82">
        <v>1.92</v>
      </c>
      <c r="I11" s="82">
        <v>1.4</v>
      </c>
      <c r="J11" s="81">
        <v>0.85</v>
      </c>
      <c r="K11" s="81">
        <v>5.0999999999999996</v>
      </c>
      <c r="L11" s="82">
        <v>0.55000000000000004</v>
      </c>
      <c r="M11" s="82">
        <v>0.45</v>
      </c>
    </row>
    <row r="12" spans="1:13" x14ac:dyDescent="0.3">
      <c r="B12" s="81">
        <v>1.66</v>
      </c>
      <c r="C12" s="81">
        <v>0.8</v>
      </c>
      <c r="D12" s="82">
        <v>1.66</v>
      </c>
      <c r="E12" s="82">
        <v>0.8</v>
      </c>
      <c r="F12" s="81">
        <v>3.4</v>
      </c>
      <c r="G12" s="81">
        <v>1</v>
      </c>
      <c r="H12" s="82">
        <v>1.27</v>
      </c>
      <c r="I12" s="82">
        <v>1.5</v>
      </c>
      <c r="J12" s="81">
        <v>1.7</v>
      </c>
      <c r="K12" s="81">
        <v>1.2</v>
      </c>
      <c r="L12" s="82">
        <v>0.55000000000000004</v>
      </c>
      <c r="M12" s="82">
        <v>0.3</v>
      </c>
    </row>
    <row r="13" spans="1:13" x14ac:dyDescent="0.3">
      <c r="B13" s="81">
        <v>1.66</v>
      </c>
      <c r="C13" s="81">
        <v>0.6</v>
      </c>
      <c r="D13" s="82">
        <v>1.66</v>
      </c>
      <c r="E13" s="82">
        <v>0.6</v>
      </c>
      <c r="F13" s="81">
        <v>1</v>
      </c>
      <c r="G13" s="81">
        <v>0.5</v>
      </c>
      <c r="H13" s="82">
        <v>1.25</v>
      </c>
      <c r="I13" s="82">
        <v>0.5</v>
      </c>
      <c r="J13" s="81">
        <v>1.35</v>
      </c>
      <c r="K13" s="81">
        <v>1.2</v>
      </c>
      <c r="L13" s="82">
        <v>1.6</v>
      </c>
      <c r="M13" s="82"/>
    </row>
    <row r="14" spans="1:13" x14ac:dyDescent="0.3">
      <c r="B14" s="81">
        <v>0.6</v>
      </c>
      <c r="C14" s="81">
        <v>0.7</v>
      </c>
      <c r="D14" s="82">
        <v>0.6</v>
      </c>
      <c r="E14" s="82">
        <v>0.7</v>
      </c>
      <c r="F14" s="81">
        <v>1.78</v>
      </c>
      <c r="G14" s="81">
        <v>0.9</v>
      </c>
      <c r="H14" s="82">
        <v>0.45</v>
      </c>
      <c r="I14" s="82">
        <v>0.5</v>
      </c>
      <c r="J14" s="81">
        <v>1.5</v>
      </c>
      <c r="K14" s="81">
        <v>3.3</v>
      </c>
      <c r="L14" s="82">
        <v>0.3</v>
      </c>
      <c r="M14" s="82"/>
    </row>
    <row r="15" spans="1:13" x14ac:dyDescent="0.3">
      <c r="B15" s="81">
        <v>0.6</v>
      </c>
      <c r="C15" s="81">
        <v>1.05</v>
      </c>
      <c r="D15" s="82">
        <v>0.6</v>
      </c>
      <c r="E15" s="82">
        <v>1.05</v>
      </c>
      <c r="F15" s="81">
        <v>0.6</v>
      </c>
      <c r="G15" s="81">
        <v>0.2</v>
      </c>
      <c r="H15" s="82">
        <v>0.62</v>
      </c>
      <c r="I15" s="82">
        <v>0.5</v>
      </c>
      <c r="J15" s="81">
        <v>1.25</v>
      </c>
      <c r="K15" s="81">
        <v>4.9000000000000004</v>
      </c>
      <c r="L15" s="82">
        <v>0.3</v>
      </c>
      <c r="M15" s="82"/>
    </row>
    <row r="16" spans="1:13" x14ac:dyDescent="0.3">
      <c r="B16" s="81">
        <v>0.6</v>
      </c>
      <c r="C16" s="81">
        <v>2.8</v>
      </c>
      <c r="D16" s="82">
        <v>0.6</v>
      </c>
      <c r="E16" s="82">
        <v>2.8</v>
      </c>
      <c r="F16" s="81">
        <v>0.6</v>
      </c>
      <c r="G16" s="81">
        <v>3.62</v>
      </c>
      <c r="H16" s="82">
        <v>0.62</v>
      </c>
      <c r="I16" s="82">
        <v>1.5</v>
      </c>
      <c r="J16" s="81">
        <v>1.2</v>
      </c>
      <c r="K16" s="81">
        <v>1.45</v>
      </c>
      <c r="L16" s="82">
        <v>0.3</v>
      </c>
      <c r="M16" s="82"/>
    </row>
    <row r="17" spans="2:13" x14ac:dyDescent="0.3">
      <c r="B17" s="81">
        <v>0.6</v>
      </c>
      <c r="C17" s="81">
        <v>0.6</v>
      </c>
      <c r="D17" s="82">
        <v>0.6</v>
      </c>
      <c r="E17" s="82">
        <v>0.6</v>
      </c>
      <c r="F17" s="81">
        <v>0.6</v>
      </c>
      <c r="G17" s="81">
        <v>0.73</v>
      </c>
      <c r="H17" s="82">
        <v>0.43</v>
      </c>
      <c r="I17" s="82">
        <v>3.6</v>
      </c>
      <c r="J17" s="81">
        <v>0.45</v>
      </c>
      <c r="K17" s="81"/>
      <c r="L17" s="82"/>
      <c r="M17" s="82"/>
    </row>
    <row r="18" spans="2:13" x14ac:dyDescent="0.3">
      <c r="B18" s="81">
        <v>0.5</v>
      </c>
      <c r="C18" s="81">
        <v>0.7</v>
      </c>
      <c r="D18" s="82">
        <v>0.5</v>
      </c>
      <c r="E18" s="82">
        <v>0.7</v>
      </c>
      <c r="F18" s="81">
        <v>0.6</v>
      </c>
      <c r="G18" s="81">
        <v>0.25</v>
      </c>
      <c r="H18" s="82">
        <v>0.55000000000000004</v>
      </c>
      <c r="I18" s="82">
        <v>0.7</v>
      </c>
      <c r="J18" s="81">
        <v>0.45</v>
      </c>
      <c r="K18" s="81"/>
      <c r="L18" s="82"/>
      <c r="M18" s="82"/>
    </row>
    <row r="19" spans="2:13" x14ac:dyDescent="0.3">
      <c r="B19" s="81">
        <v>0.5</v>
      </c>
      <c r="C19" s="81">
        <v>0.7</v>
      </c>
      <c r="D19" s="82">
        <v>0.5</v>
      </c>
      <c r="E19" s="82">
        <v>0.7</v>
      </c>
      <c r="F19" s="81">
        <v>0.6</v>
      </c>
      <c r="G19" s="81">
        <v>0.25</v>
      </c>
      <c r="H19" s="82">
        <v>0.55000000000000004</v>
      </c>
      <c r="I19" s="82">
        <v>0.25</v>
      </c>
      <c r="J19" s="81">
        <v>0.2</v>
      </c>
      <c r="K19" s="81"/>
      <c r="L19" s="82"/>
      <c r="M19" s="82"/>
    </row>
    <row r="20" spans="2:13" x14ac:dyDescent="0.3">
      <c r="B20" s="81">
        <v>0.3</v>
      </c>
      <c r="C20" s="81">
        <v>1.9</v>
      </c>
      <c r="D20" s="82">
        <v>0.3</v>
      </c>
      <c r="E20" s="82">
        <v>1.9</v>
      </c>
      <c r="F20" s="81">
        <v>0.6</v>
      </c>
      <c r="G20" s="81">
        <v>1.5</v>
      </c>
      <c r="H20" s="82">
        <v>1.4</v>
      </c>
      <c r="I20" s="82">
        <v>0.25</v>
      </c>
      <c r="J20" s="81"/>
      <c r="K20" s="81"/>
      <c r="L20" s="82"/>
      <c r="M20" s="82"/>
    </row>
    <row r="21" spans="2:13" x14ac:dyDescent="0.3">
      <c r="B21" s="81">
        <v>0.96</v>
      </c>
      <c r="C21" s="81">
        <v>1.65</v>
      </c>
      <c r="D21" s="82">
        <v>0.96</v>
      </c>
      <c r="E21" s="82">
        <v>1.65</v>
      </c>
      <c r="F21" s="81">
        <v>1.4</v>
      </c>
      <c r="G21" s="81">
        <v>0.7</v>
      </c>
      <c r="H21" s="82">
        <v>1.5</v>
      </c>
      <c r="I21" s="82">
        <v>3.7</v>
      </c>
      <c r="J21" s="81"/>
      <c r="K21" s="81"/>
      <c r="L21" s="82"/>
      <c r="M21" s="82"/>
    </row>
    <row r="22" spans="2:13" x14ac:dyDescent="0.3">
      <c r="B22" s="81">
        <v>0.6</v>
      </c>
      <c r="C22" s="81">
        <v>0.25</v>
      </c>
      <c r="D22" s="82">
        <v>0.6</v>
      </c>
      <c r="E22" s="82">
        <v>0.25</v>
      </c>
      <c r="F22" s="81">
        <v>0.3</v>
      </c>
      <c r="G22" s="81">
        <v>0.7</v>
      </c>
      <c r="H22" s="82">
        <v>0.55000000000000004</v>
      </c>
      <c r="I22" s="82">
        <v>1</v>
      </c>
      <c r="J22" s="81"/>
      <c r="K22" s="81"/>
      <c r="L22" s="82"/>
      <c r="M22" s="82"/>
    </row>
    <row r="23" spans="2:13" x14ac:dyDescent="0.3">
      <c r="B23" s="81">
        <v>0.6</v>
      </c>
      <c r="C23" s="81">
        <v>0.25</v>
      </c>
      <c r="D23" s="82">
        <v>0.6</v>
      </c>
      <c r="E23" s="82">
        <v>0.25</v>
      </c>
      <c r="F23" s="81">
        <v>1.46</v>
      </c>
      <c r="G23" s="81">
        <v>0.25</v>
      </c>
      <c r="H23" s="82">
        <v>0.55000000000000004</v>
      </c>
      <c r="I23" s="82">
        <v>0.2</v>
      </c>
      <c r="J23" s="81"/>
      <c r="K23" s="81"/>
      <c r="L23" s="82"/>
      <c r="M23" s="82"/>
    </row>
    <row r="24" spans="2:13" x14ac:dyDescent="0.3">
      <c r="B24" s="81">
        <v>0.5</v>
      </c>
      <c r="C24" s="81">
        <v>2.8</v>
      </c>
      <c r="D24" s="82">
        <v>0.5</v>
      </c>
      <c r="E24" s="82">
        <v>2.8</v>
      </c>
      <c r="F24" s="81">
        <v>0.9</v>
      </c>
      <c r="G24" s="81">
        <v>0.55000000000000004</v>
      </c>
      <c r="H24" s="82">
        <v>0.3</v>
      </c>
      <c r="I24" s="82">
        <v>0.2</v>
      </c>
      <c r="J24" s="81"/>
      <c r="K24" s="81"/>
      <c r="L24" s="82"/>
      <c r="M24" s="82"/>
    </row>
    <row r="25" spans="2:13" x14ac:dyDescent="0.3">
      <c r="B25" s="81">
        <v>0.5</v>
      </c>
      <c r="C25" s="81">
        <v>1.25</v>
      </c>
      <c r="D25" s="82">
        <v>0.5</v>
      </c>
      <c r="E25" s="82">
        <v>1.25</v>
      </c>
      <c r="F25" s="81">
        <v>0.6</v>
      </c>
      <c r="G25" s="81">
        <v>0.2</v>
      </c>
      <c r="H25" s="82">
        <v>1.3</v>
      </c>
      <c r="I25" s="82">
        <v>0.93</v>
      </c>
      <c r="J25" s="81"/>
      <c r="K25" s="81"/>
      <c r="L25" s="82"/>
      <c r="M25" s="82"/>
    </row>
    <row r="26" spans="2:13" x14ac:dyDescent="0.3">
      <c r="B26" s="81">
        <v>0.3</v>
      </c>
      <c r="C26" s="81">
        <v>0.6</v>
      </c>
      <c r="D26" s="82">
        <v>0.3</v>
      </c>
      <c r="E26" s="82">
        <v>0.6</v>
      </c>
      <c r="F26" s="81">
        <v>0.6</v>
      </c>
      <c r="G26" s="81">
        <v>1.1200000000000001</v>
      </c>
      <c r="H26" s="82">
        <v>1.5</v>
      </c>
      <c r="I26" s="82">
        <v>0.5</v>
      </c>
      <c r="J26" s="81"/>
      <c r="K26" s="81"/>
      <c r="L26" s="82"/>
      <c r="M26" s="82"/>
    </row>
    <row r="27" spans="2:13" x14ac:dyDescent="0.3">
      <c r="B27" s="81">
        <v>0.7</v>
      </c>
      <c r="C27" s="81">
        <v>0.95</v>
      </c>
      <c r="D27" s="82">
        <v>0.7</v>
      </c>
      <c r="E27" s="82">
        <v>0.95</v>
      </c>
      <c r="F27" s="81">
        <v>0.6</v>
      </c>
      <c r="G27" s="81">
        <v>2</v>
      </c>
      <c r="H27" s="82">
        <v>1.5</v>
      </c>
      <c r="I27" s="82">
        <v>1.2</v>
      </c>
      <c r="J27" s="81"/>
      <c r="K27" s="81"/>
      <c r="L27" s="82"/>
      <c r="M27" s="82"/>
    </row>
    <row r="28" spans="2:13" x14ac:dyDescent="0.3">
      <c r="B28" s="81">
        <v>0.75</v>
      </c>
      <c r="C28" s="81">
        <v>3.7</v>
      </c>
      <c r="D28" s="82">
        <v>0.75</v>
      </c>
      <c r="E28" s="82">
        <v>3.7</v>
      </c>
      <c r="F28" s="81">
        <v>0.3</v>
      </c>
      <c r="G28" s="81">
        <v>0.65</v>
      </c>
      <c r="H28" s="82">
        <v>0.7</v>
      </c>
      <c r="I28" s="82">
        <v>0.5</v>
      </c>
      <c r="J28" s="81"/>
      <c r="K28" s="81"/>
      <c r="L28" s="82"/>
      <c r="M28" s="82"/>
    </row>
    <row r="29" spans="2:13" x14ac:dyDescent="0.3">
      <c r="B29" s="81">
        <v>0.75</v>
      </c>
      <c r="C29" s="81">
        <v>2.8</v>
      </c>
      <c r="D29" s="82">
        <v>0.75</v>
      </c>
      <c r="E29" s="82">
        <v>2.8</v>
      </c>
      <c r="F29" s="81">
        <v>0.6</v>
      </c>
      <c r="G29" s="81">
        <v>0.4</v>
      </c>
      <c r="H29" s="82">
        <v>0.5</v>
      </c>
      <c r="I29" s="82">
        <v>1.2</v>
      </c>
      <c r="J29" s="81"/>
      <c r="K29" s="81"/>
      <c r="L29" s="82"/>
      <c r="M29" s="82"/>
    </row>
    <row r="30" spans="2:13" x14ac:dyDescent="0.3">
      <c r="B30" s="81">
        <v>3.3</v>
      </c>
      <c r="C30" s="81">
        <v>1.4</v>
      </c>
      <c r="D30" s="82">
        <v>3.3</v>
      </c>
      <c r="E30" s="82">
        <v>1.4</v>
      </c>
      <c r="F30" s="81">
        <v>1.4</v>
      </c>
      <c r="G30" s="81">
        <v>1.6</v>
      </c>
      <c r="H30" s="82">
        <v>0.5</v>
      </c>
      <c r="I30" s="82">
        <v>3.3</v>
      </c>
      <c r="J30" s="81"/>
      <c r="K30" s="81"/>
      <c r="L30" s="82"/>
      <c r="M30" s="82"/>
    </row>
    <row r="31" spans="2:13" x14ac:dyDescent="0.3">
      <c r="B31" s="81">
        <v>1.3</v>
      </c>
      <c r="C31" s="81">
        <v>0.95</v>
      </c>
      <c r="D31" s="82">
        <v>1.3</v>
      </c>
      <c r="E31" s="82">
        <v>0.95</v>
      </c>
      <c r="F31" s="81">
        <v>0.7</v>
      </c>
      <c r="G31" s="81">
        <v>1.6</v>
      </c>
      <c r="H31" s="82">
        <v>0.6</v>
      </c>
      <c r="I31" s="82">
        <v>4.84</v>
      </c>
      <c r="J31" s="81"/>
      <c r="K31" s="81"/>
      <c r="L31" s="82"/>
      <c r="M31" s="82"/>
    </row>
    <row r="32" spans="2:13" x14ac:dyDescent="0.3">
      <c r="B32" s="81">
        <v>0.6</v>
      </c>
      <c r="C32" s="81">
        <v>0.65</v>
      </c>
      <c r="D32" s="82">
        <v>0.6</v>
      </c>
      <c r="E32" s="82">
        <v>0.65</v>
      </c>
      <c r="F32" s="81">
        <v>0.6</v>
      </c>
      <c r="G32" s="81">
        <v>0.2</v>
      </c>
      <c r="H32" s="82">
        <v>0.7</v>
      </c>
      <c r="I32" s="82">
        <v>1.7</v>
      </c>
      <c r="J32" s="81"/>
      <c r="K32" s="81"/>
      <c r="L32" s="82"/>
      <c r="M32" s="82"/>
    </row>
    <row r="33" spans="2:13" x14ac:dyDescent="0.3">
      <c r="B33" s="81">
        <v>0.6</v>
      </c>
      <c r="C33" s="81">
        <v>1</v>
      </c>
      <c r="D33" s="82">
        <v>0.6</v>
      </c>
      <c r="E33" s="82">
        <v>1</v>
      </c>
      <c r="F33" s="81">
        <v>0.6</v>
      </c>
      <c r="G33" s="81">
        <v>3.4</v>
      </c>
      <c r="H33" s="82">
        <v>0.34</v>
      </c>
      <c r="I33" s="82">
        <v>0.5</v>
      </c>
      <c r="J33" s="81"/>
      <c r="K33" s="81"/>
      <c r="L33" s="82"/>
      <c r="M33" s="82"/>
    </row>
    <row r="34" spans="2:13" x14ac:dyDescent="0.3">
      <c r="B34" s="81">
        <v>0.5</v>
      </c>
      <c r="C34" s="81">
        <v>0.54</v>
      </c>
      <c r="D34" s="82">
        <v>0.5</v>
      </c>
      <c r="E34" s="82">
        <v>0.54</v>
      </c>
      <c r="F34" s="81">
        <v>0.3</v>
      </c>
      <c r="G34" s="81">
        <v>1.03</v>
      </c>
      <c r="H34" s="1">
        <v>0.6</v>
      </c>
      <c r="I34" s="82"/>
      <c r="J34" s="81"/>
      <c r="K34" s="81"/>
      <c r="L34" s="82"/>
      <c r="M34" s="82"/>
    </row>
    <row r="35" spans="2:13" x14ac:dyDescent="0.3">
      <c r="B35" s="81">
        <v>0.5</v>
      </c>
      <c r="C35" s="81">
        <v>0.3</v>
      </c>
      <c r="D35" s="82">
        <v>0.5</v>
      </c>
      <c r="E35" s="82">
        <v>0.3</v>
      </c>
      <c r="F35" s="81">
        <v>2.6</v>
      </c>
      <c r="G35" s="81">
        <v>1.4</v>
      </c>
      <c r="H35" s="82">
        <v>0.6</v>
      </c>
      <c r="I35" s="82"/>
      <c r="J35" s="81"/>
      <c r="K35" s="81"/>
      <c r="L35" s="82"/>
      <c r="M35" s="82"/>
    </row>
    <row r="36" spans="2:13" x14ac:dyDescent="0.3">
      <c r="B36" s="81">
        <v>0.3</v>
      </c>
      <c r="C36" s="81">
        <v>0.3</v>
      </c>
      <c r="D36" s="82">
        <v>0.3</v>
      </c>
      <c r="E36" s="82">
        <v>0.3</v>
      </c>
      <c r="F36" s="81">
        <v>2.6</v>
      </c>
      <c r="G36" s="81"/>
      <c r="H36" s="1">
        <v>0.5</v>
      </c>
      <c r="I36" s="82"/>
      <c r="J36" s="81"/>
      <c r="K36" s="81"/>
      <c r="L36" s="82"/>
      <c r="M36" s="82"/>
    </row>
    <row r="37" spans="2:13" x14ac:dyDescent="0.3">
      <c r="B37" s="81">
        <v>0.5</v>
      </c>
      <c r="C37" s="81">
        <v>0.3</v>
      </c>
      <c r="D37" s="82">
        <v>0.5</v>
      </c>
      <c r="E37" s="82">
        <v>0.3</v>
      </c>
      <c r="F37" s="81">
        <v>0.7</v>
      </c>
      <c r="G37" s="81"/>
      <c r="H37" s="1">
        <v>0.95</v>
      </c>
      <c r="I37" s="82"/>
      <c r="J37" s="81"/>
      <c r="K37" s="81"/>
      <c r="L37" s="82"/>
      <c r="M37" s="82"/>
    </row>
    <row r="38" spans="2:13" x14ac:dyDescent="0.3">
      <c r="B38" s="81">
        <v>0.5</v>
      </c>
      <c r="C38" s="81">
        <v>0.3</v>
      </c>
      <c r="D38" s="82">
        <v>0.5</v>
      </c>
      <c r="E38" s="82">
        <v>0.3</v>
      </c>
      <c r="F38" s="81">
        <v>0.45</v>
      </c>
      <c r="G38" s="81"/>
      <c r="H38" s="82">
        <v>0.85</v>
      </c>
      <c r="I38" s="82"/>
      <c r="J38" s="81"/>
      <c r="K38" s="81"/>
      <c r="L38" s="82"/>
      <c r="M38" s="82"/>
    </row>
    <row r="39" spans="2:13" x14ac:dyDescent="0.3">
      <c r="B39" s="81">
        <v>0.6</v>
      </c>
      <c r="C39" s="81">
        <v>1.67</v>
      </c>
      <c r="D39" s="82">
        <v>0.6</v>
      </c>
      <c r="E39" s="82">
        <v>1.67</v>
      </c>
      <c r="F39" s="81">
        <v>1.9</v>
      </c>
      <c r="G39" s="81"/>
      <c r="H39" s="82">
        <v>0.3</v>
      </c>
      <c r="I39" s="82"/>
      <c r="J39" s="81"/>
      <c r="K39" s="81"/>
      <c r="L39" s="82"/>
      <c r="M39" s="82"/>
    </row>
    <row r="40" spans="2:13" x14ac:dyDescent="0.3">
      <c r="B40" s="81">
        <v>0.6</v>
      </c>
      <c r="C40" s="81">
        <v>1.92</v>
      </c>
      <c r="D40" s="82">
        <v>0.6</v>
      </c>
      <c r="E40" s="82">
        <v>1.92</v>
      </c>
      <c r="F40" s="81">
        <v>1.9</v>
      </c>
      <c r="G40" s="81"/>
      <c r="H40" s="82"/>
      <c r="I40" s="82"/>
      <c r="J40" s="81"/>
      <c r="K40" s="81"/>
      <c r="L40" s="82"/>
      <c r="M40" s="82"/>
    </row>
    <row r="41" spans="2:13" x14ac:dyDescent="0.3">
      <c r="B41" s="81">
        <v>0.8</v>
      </c>
      <c r="C41" s="81">
        <v>3</v>
      </c>
      <c r="D41" s="82">
        <v>0.8</v>
      </c>
      <c r="E41" s="82">
        <v>3</v>
      </c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>
        <v>0.9</v>
      </c>
      <c r="C42" s="81">
        <v>0.82</v>
      </c>
      <c r="D42" s="82">
        <v>0.9</v>
      </c>
      <c r="E42" s="82">
        <v>0.82</v>
      </c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>
        <v>1.8</v>
      </c>
      <c r="C43" s="81">
        <v>0.6</v>
      </c>
      <c r="D43" s="82">
        <v>1.8</v>
      </c>
      <c r="E43" s="82">
        <v>0.6</v>
      </c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>
        <v>1.8</v>
      </c>
      <c r="C44" s="81">
        <v>0.6</v>
      </c>
      <c r="D44" s="82">
        <v>1.8</v>
      </c>
      <c r="E44" s="82">
        <v>0.6</v>
      </c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>
        <v>0.9</v>
      </c>
      <c r="C45" s="81">
        <v>0.6</v>
      </c>
      <c r="D45" s="82">
        <v>0.9</v>
      </c>
      <c r="E45" s="82">
        <v>0.6</v>
      </c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>
        <v>0.8</v>
      </c>
      <c r="C46" s="81">
        <v>0.6</v>
      </c>
      <c r="D46" s="82">
        <v>0.8</v>
      </c>
      <c r="E46" s="82">
        <v>0.6</v>
      </c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>
        <v>0.6</v>
      </c>
      <c r="C47" s="81">
        <v>0.6</v>
      </c>
      <c r="D47" s="82">
        <v>0.6</v>
      </c>
      <c r="E47" s="82">
        <v>0.6</v>
      </c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>
        <v>0.6</v>
      </c>
      <c r="C48" s="81">
        <v>0.6</v>
      </c>
      <c r="D48" s="82">
        <v>0.6</v>
      </c>
      <c r="E48" s="82">
        <v>0.6</v>
      </c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>
        <v>0.3</v>
      </c>
      <c r="C49" s="81">
        <v>3.38</v>
      </c>
      <c r="D49" s="82">
        <v>0.3</v>
      </c>
      <c r="E49" s="82">
        <v>3.38</v>
      </c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>
        <v>2.8</v>
      </c>
      <c r="D50" s="82"/>
      <c r="E50" s="82">
        <v>2.8</v>
      </c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>
        <v>3</v>
      </c>
      <c r="D51" s="82"/>
      <c r="E51" s="82">
        <v>3</v>
      </c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>
        <v>0.6</v>
      </c>
      <c r="D52" s="82"/>
      <c r="E52" s="82">
        <v>0.6</v>
      </c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>
        <v>0.6</v>
      </c>
      <c r="D53" s="82"/>
      <c r="E53" s="82">
        <v>0.6</v>
      </c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>
        <v>0.6</v>
      </c>
      <c r="D54" s="82"/>
      <c r="E54" s="82">
        <v>0.6</v>
      </c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>
        <v>0.3</v>
      </c>
      <c r="D55" s="82"/>
      <c r="E55" s="82">
        <v>0.3</v>
      </c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>
        <v>0.6</v>
      </c>
      <c r="D56" s="82"/>
      <c r="E56" s="82">
        <v>0.6</v>
      </c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>
        <v>0.6</v>
      </c>
      <c r="D57" s="82"/>
      <c r="E57" s="82">
        <v>0.6</v>
      </c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>
        <v>0.25</v>
      </c>
      <c r="D58" s="82"/>
      <c r="E58" s="82">
        <v>0.25</v>
      </c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>
        <v>0.3</v>
      </c>
      <c r="D59" s="82"/>
      <c r="E59" s="82">
        <v>0.3</v>
      </c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>
        <v>0.25</v>
      </c>
      <c r="D60" s="82"/>
      <c r="E60" s="82">
        <v>0.25</v>
      </c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>
        <v>1.02</v>
      </c>
      <c r="D61" s="82"/>
      <c r="E61" s="82">
        <v>1.02</v>
      </c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>
        <v>0.7</v>
      </c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Cubicaciones</vt:lpstr>
      <vt:lpstr>Tablas informes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2018-12-16T17:28:30Z</dcterms:modified>
</cp:coreProperties>
</file>