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Ñoñef\Semestre 12\Diseño de albañileria estructural\Proyecto\Entrega 3\"/>
    </mc:Choice>
  </mc:AlternateContent>
  <xr:revisionPtr revIDLastSave="0" documentId="13_ncr:1_{ECB17CFB-797A-4616-83C1-6F949680EFE4}" xr6:coauthVersionLast="40" xr6:coauthVersionMax="40" xr10:uidLastSave="{00000000-0000-0000-0000-000000000000}"/>
  <bookViews>
    <workbookView xWindow="0" yWindow="0" windowWidth="20490" windowHeight="7530" activeTab="1" xr2:uid="{00000000-000D-0000-FFFF-FFFF00000000}"/>
  </bookViews>
  <sheets>
    <sheet name="En el plano" sheetId="2" r:id="rId1"/>
    <sheet name="Fuera del plano" sheetId="4" r:id="rId2"/>
    <sheet name="Hoja1" sheetId="5" r:id="rId3"/>
    <sheet name="Hoja2" sheetId="6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5" l="1"/>
  <c r="K5" i="6" l="1"/>
  <c r="K7" i="6"/>
  <c r="R11" i="6"/>
  <c r="F23" i="6" l="1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22" i="6"/>
  <c r="B10" i="6"/>
  <c r="H2" i="6"/>
  <c r="H4" i="6" s="1"/>
  <c r="E2" i="6"/>
  <c r="H1" i="6"/>
  <c r="E1" i="6"/>
  <c r="G90" i="6"/>
  <c r="G89" i="6"/>
  <c r="H89" i="6" s="1"/>
  <c r="G88" i="6"/>
  <c r="G87" i="6"/>
  <c r="G86" i="6"/>
  <c r="I86" i="6" s="1"/>
  <c r="G85" i="6"/>
  <c r="H85" i="6" s="1"/>
  <c r="G84" i="6"/>
  <c r="G83" i="6"/>
  <c r="G82" i="6"/>
  <c r="G81" i="6"/>
  <c r="H81" i="6" s="1"/>
  <c r="G80" i="6"/>
  <c r="G79" i="6"/>
  <c r="G78" i="6"/>
  <c r="I78" i="6" s="1"/>
  <c r="G77" i="6"/>
  <c r="H77" i="6" s="1"/>
  <c r="G76" i="6"/>
  <c r="G75" i="6"/>
  <c r="G74" i="6"/>
  <c r="H74" i="6" s="1"/>
  <c r="G73" i="6"/>
  <c r="H73" i="6" s="1"/>
  <c r="G72" i="6"/>
  <c r="G71" i="6"/>
  <c r="G70" i="6"/>
  <c r="H70" i="6" s="1"/>
  <c r="G69" i="6"/>
  <c r="H69" i="6" s="1"/>
  <c r="G68" i="6"/>
  <c r="G67" i="6"/>
  <c r="G66" i="6"/>
  <c r="H66" i="6" s="1"/>
  <c r="G65" i="6"/>
  <c r="H65" i="6" s="1"/>
  <c r="G64" i="6"/>
  <c r="G63" i="6"/>
  <c r="G62" i="6"/>
  <c r="H62" i="6" s="1"/>
  <c r="G61" i="6"/>
  <c r="H61" i="6" s="1"/>
  <c r="G60" i="6"/>
  <c r="G59" i="6"/>
  <c r="G58" i="6"/>
  <c r="H58" i="6" s="1"/>
  <c r="G57" i="6"/>
  <c r="H57" i="6" s="1"/>
  <c r="G56" i="6"/>
  <c r="G55" i="6"/>
  <c r="G54" i="6"/>
  <c r="H54" i="6" s="1"/>
  <c r="G53" i="6"/>
  <c r="H53" i="6" s="1"/>
  <c r="G52" i="6"/>
  <c r="G51" i="6"/>
  <c r="G50" i="6"/>
  <c r="H50" i="6" s="1"/>
  <c r="G49" i="6"/>
  <c r="H49" i="6" s="1"/>
  <c r="G48" i="6"/>
  <c r="G47" i="6"/>
  <c r="G46" i="6"/>
  <c r="H46" i="6" s="1"/>
  <c r="G45" i="6"/>
  <c r="H45" i="6" s="1"/>
  <c r="G44" i="6"/>
  <c r="G43" i="6"/>
  <c r="G42" i="6"/>
  <c r="H42" i="6" s="1"/>
  <c r="G41" i="6"/>
  <c r="H41" i="6" s="1"/>
  <c r="G40" i="6"/>
  <c r="G39" i="6"/>
  <c r="G38" i="6"/>
  <c r="H38" i="6" s="1"/>
  <c r="G37" i="6"/>
  <c r="H37" i="6" s="1"/>
  <c r="G36" i="6"/>
  <c r="G35" i="6"/>
  <c r="G34" i="6"/>
  <c r="H34" i="6" s="1"/>
  <c r="G33" i="6"/>
  <c r="H33" i="6" s="1"/>
  <c r="G32" i="6"/>
  <c r="G31" i="6"/>
  <c r="G30" i="6"/>
  <c r="H30" i="6" s="1"/>
  <c r="G29" i="6"/>
  <c r="H29" i="6" s="1"/>
  <c r="G28" i="6"/>
  <c r="G27" i="6"/>
  <c r="G26" i="6"/>
  <c r="H26" i="6" s="1"/>
  <c r="G25" i="6"/>
  <c r="H25" i="6" s="1"/>
  <c r="G24" i="6"/>
  <c r="G23" i="6"/>
  <c r="G22" i="6"/>
  <c r="I22" i="6" s="1"/>
  <c r="B13" i="6"/>
  <c r="E14" i="6" s="1"/>
  <c r="G12" i="6"/>
  <c r="I31" i="6" l="1"/>
  <c r="I39" i="6"/>
  <c r="I47" i="6"/>
  <c r="I55" i="6"/>
  <c r="I63" i="6"/>
  <c r="I71" i="6"/>
  <c r="I79" i="6"/>
  <c r="I87" i="6"/>
  <c r="J87" i="6" s="1"/>
  <c r="K87" i="6" s="1"/>
  <c r="L87" i="6" s="1"/>
  <c r="I40" i="6"/>
  <c r="I48" i="6"/>
  <c r="I56" i="6"/>
  <c r="I64" i="6"/>
  <c r="I72" i="6"/>
  <c r="I80" i="6"/>
  <c r="I88" i="6"/>
  <c r="I24" i="6"/>
  <c r="I32" i="6"/>
  <c r="I82" i="6"/>
  <c r="I90" i="6"/>
  <c r="I23" i="6"/>
  <c r="I35" i="6"/>
  <c r="I43" i="6"/>
  <c r="I51" i="6"/>
  <c r="I59" i="6"/>
  <c r="J59" i="6" s="1"/>
  <c r="K59" i="6" s="1"/>
  <c r="L59" i="6" s="1"/>
  <c r="I67" i="6"/>
  <c r="I75" i="6"/>
  <c r="I83" i="6"/>
  <c r="I27" i="6"/>
  <c r="I28" i="6"/>
  <c r="I36" i="6"/>
  <c r="I44" i="6"/>
  <c r="I52" i="6"/>
  <c r="I60" i="6"/>
  <c r="I68" i="6"/>
  <c r="I76" i="6"/>
  <c r="I84" i="6"/>
  <c r="H71" i="6"/>
  <c r="J71" i="6" s="1"/>
  <c r="K71" i="6" s="1"/>
  <c r="L71" i="6" s="1"/>
  <c r="H39" i="6"/>
  <c r="J39" i="6" s="1"/>
  <c r="K39" i="6" s="1"/>
  <c r="L39" i="6" s="1"/>
  <c r="I25" i="6"/>
  <c r="J25" i="6" s="1"/>
  <c r="K25" i="6" s="1"/>
  <c r="L25" i="6" s="1"/>
  <c r="H22" i="6"/>
  <c r="J22" i="6" s="1"/>
  <c r="K22" i="6" s="1"/>
  <c r="L22" i="6" s="1"/>
  <c r="H59" i="6"/>
  <c r="H27" i="6"/>
  <c r="H78" i="6"/>
  <c r="H87" i="6"/>
  <c r="H55" i="6"/>
  <c r="J55" i="6" s="1"/>
  <c r="K55" i="6" s="1"/>
  <c r="L55" i="6" s="1"/>
  <c r="H23" i="6"/>
  <c r="H75" i="6"/>
  <c r="H43" i="6"/>
  <c r="J43" i="6" s="1"/>
  <c r="K43" i="6" s="1"/>
  <c r="L43" i="6" s="1"/>
  <c r="H83" i="6"/>
  <c r="H67" i="6"/>
  <c r="J67" i="6" s="1"/>
  <c r="K67" i="6" s="1"/>
  <c r="L67" i="6" s="1"/>
  <c r="H51" i="6"/>
  <c r="H35" i="6"/>
  <c r="J35" i="6" s="1"/>
  <c r="K35" i="6" s="1"/>
  <c r="L35" i="6" s="1"/>
  <c r="I69" i="6"/>
  <c r="J23" i="6"/>
  <c r="K23" i="6" s="1"/>
  <c r="L23" i="6" s="1"/>
  <c r="J27" i="6"/>
  <c r="K27" i="6" s="1"/>
  <c r="L27" i="6" s="1"/>
  <c r="J75" i="6"/>
  <c r="K75" i="6" s="1"/>
  <c r="L75" i="6" s="1"/>
  <c r="J83" i="6"/>
  <c r="K83" i="6" s="1"/>
  <c r="L83" i="6" s="1"/>
  <c r="H79" i="6"/>
  <c r="J79" i="6" s="1"/>
  <c r="K79" i="6" s="1"/>
  <c r="L79" i="6" s="1"/>
  <c r="H63" i="6"/>
  <c r="J63" i="6" s="1"/>
  <c r="K63" i="6" s="1"/>
  <c r="L63" i="6" s="1"/>
  <c r="H47" i="6"/>
  <c r="J47" i="6" s="1"/>
  <c r="K47" i="6" s="1"/>
  <c r="L47" i="6" s="1"/>
  <c r="H31" i="6"/>
  <c r="J31" i="6" s="1"/>
  <c r="K31" i="6" s="1"/>
  <c r="L31" i="6" s="1"/>
  <c r="J78" i="6"/>
  <c r="K78" i="6" s="1"/>
  <c r="L78" i="6" s="1"/>
  <c r="J69" i="6"/>
  <c r="K69" i="6" s="1"/>
  <c r="L69" i="6" s="1"/>
  <c r="I81" i="6"/>
  <c r="J81" i="6" s="1"/>
  <c r="K81" i="6" s="1"/>
  <c r="L81" i="6" s="1"/>
  <c r="I77" i="6"/>
  <c r="J77" i="6" s="1"/>
  <c r="K77" i="6" s="1"/>
  <c r="L77" i="6" s="1"/>
  <c r="I65" i="6"/>
  <c r="J65" i="6" s="1"/>
  <c r="K65" i="6" s="1"/>
  <c r="L65" i="6" s="1"/>
  <c r="I53" i="6"/>
  <c r="J53" i="6" s="1"/>
  <c r="K53" i="6" s="1"/>
  <c r="L53" i="6" s="1"/>
  <c r="I41" i="6"/>
  <c r="J41" i="6" s="1"/>
  <c r="K41" i="6" s="1"/>
  <c r="L41" i="6" s="1"/>
  <c r="I29" i="6"/>
  <c r="J29" i="6" s="1"/>
  <c r="K29" i="6" s="1"/>
  <c r="L29" i="6" s="1"/>
  <c r="H88" i="6"/>
  <c r="J88" i="6" s="1"/>
  <c r="K88" i="6" s="1"/>
  <c r="L88" i="6" s="1"/>
  <c r="H84" i="6"/>
  <c r="J84" i="6" s="1"/>
  <c r="K84" i="6" s="1"/>
  <c r="L84" i="6" s="1"/>
  <c r="H80" i="6"/>
  <c r="J80" i="6" s="1"/>
  <c r="K80" i="6" s="1"/>
  <c r="L80" i="6" s="1"/>
  <c r="H76" i="6"/>
  <c r="J76" i="6" s="1"/>
  <c r="K76" i="6" s="1"/>
  <c r="L76" i="6" s="1"/>
  <c r="H72" i="6"/>
  <c r="J72" i="6" s="1"/>
  <c r="K72" i="6" s="1"/>
  <c r="L72" i="6" s="1"/>
  <c r="H68" i="6"/>
  <c r="J68" i="6" s="1"/>
  <c r="K68" i="6" s="1"/>
  <c r="L68" i="6" s="1"/>
  <c r="H64" i="6"/>
  <c r="J64" i="6" s="1"/>
  <c r="K64" i="6" s="1"/>
  <c r="L64" i="6" s="1"/>
  <c r="H60" i="6"/>
  <c r="J60" i="6" s="1"/>
  <c r="K60" i="6" s="1"/>
  <c r="L60" i="6" s="1"/>
  <c r="H56" i="6"/>
  <c r="J56" i="6" s="1"/>
  <c r="K56" i="6" s="1"/>
  <c r="L56" i="6" s="1"/>
  <c r="H52" i="6"/>
  <c r="H48" i="6"/>
  <c r="J48" i="6" s="1"/>
  <c r="K48" i="6" s="1"/>
  <c r="L48" i="6" s="1"/>
  <c r="H44" i="6"/>
  <c r="J44" i="6" s="1"/>
  <c r="K44" i="6" s="1"/>
  <c r="L44" i="6" s="1"/>
  <c r="H40" i="6"/>
  <c r="J40" i="6" s="1"/>
  <c r="K40" i="6" s="1"/>
  <c r="L40" i="6" s="1"/>
  <c r="H36" i="6"/>
  <c r="J36" i="6" s="1"/>
  <c r="K36" i="6" s="1"/>
  <c r="L36" i="6" s="1"/>
  <c r="H32" i="6"/>
  <c r="J32" i="6" s="1"/>
  <c r="K32" i="6" s="1"/>
  <c r="L32" i="6" s="1"/>
  <c r="H28" i="6"/>
  <c r="J28" i="6" s="1"/>
  <c r="K28" i="6" s="1"/>
  <c r="L28" i="6" s="1"/>
  <c r="H24" i="6"/>
  <c r="I74" i="6"/>
  <c r="J74" i="6" s="1"/>
  <c r="K74" i="6" s="1"/>
  <c r="L74" i="6" s="1"/>
  <c r="I70" i="6"/>
  <c r="J70" i="6" s="1"/>
  <c r="K70" i="6" s="1"/>
  <c r="L70" i="6" s="1"/>
  <c r="I66" i="6"/>
  <c r="J66" i="6" s="1"/>
  <c r="K66" i="6" s="1"/>
  <c r="L66" i="6" s="1"/>
  <c r="I62" i="6"/>
  <c r="J62" i="6" s="1"/>
  <c r="K62" i="6" s="1"/>
  <c r="L62" i="6" s="1"/>
  <c r="I58" i="6"/>
  <c r="J58" i="6" s="1"/>
  <c r="K58" i="6" s="1"/>
  <c r="L58" i="6" s="1"/>
  <c r="I54" i="6"/>
  <c r="J54" i="6" s="1"/>
  <c r="K54" i="6" s="1"/>
  <c r="L54" i="6" s="1"/>
  <c r="I50" i="6"/>
  <c r="J50" i="6" s="1"/>
  <c r="K50" i="6" s="1"/>
  <c r="L50" i="6" s="1"/>
  <c r="I46" i="6"/>
  <c r="J46" i="6" s="1"/>
  <c r="K46" i="6" s="1"/>
  <c r="L46" i="6" s="1"/>
  <c r="I42" i="6"/>
  <c r="J42" i="6" s="1"/>
  <c r="K42" i="6" s="1"/>
  <c r="L42" i="6" s="1"/>
  <c r="I38" i="6"/>
  <c r="J38" i="6" s="1"/>
  <c r="K38" i="6" s="1"/>
  <c r="L38" i="6" s="1"/>
  <c r="I34" i="6"/>
  <c r="J34" i="6" s="1"/>
  <c r="K34" i="6" s="1"/>
  <c r="L34" i="6" s="1"/>
  <c r="I30" i="6"/>
  <c r="J30" i="6" s="1"/>
  <c r="K30" i="6" s="1"/>
  <c r="L30" i="6" s="1"/>
  <c r="I26" i="6"/>
  <c r="J26" i="6" s="1"/>
  <c r="K26" i="6" s="1"/>
  <c r="L26" i="6" s="1"/>
  <c r="I57" i="6"/>
  <c r="J57" i="6" s="1"/>
  <c r="K57" i="6" s="1"/>
  <c r="L57" i="6" s="1"/>
  <c r="I45" i="6"/>
  <c r="J45" i="6" s="1"/>
  <c r="K45" i="6" s="1"/>
  <c r="L45" i="6" s="1"/>
  <c r="I33" i="6"/>
  <c r="J33" i="6" s="1"/>
  <c r="K33" i="6" s="1"/>
  <c r="L33" i="6" s="1"/>
  <c r="H90" i="6"/>
  <c r="J90" i="6" s="1"/>
  <c r="K90" i="6" s="1"/>
  <c r="L90" i="6" s="1"/>
  <c r="H86" i="6"/>
  <c r="J86" i="6" s="1"/>
  <c r="K86" i="6" s="1"/>
  <c r="L86" i="6" s="1"/>
  <c r="H82" i="6"/>
  <c r="J82" i="6" s="1"/>
  <c r="K82" i="6" s="1"/>
  <c r="L82" i="6" s="1"/>
  <c r="I89" i="6"/>
  <c r="J89" i="6" s="1"/>
  <c r="K89" i="6" s="1"/>
  <c r="L89" i="6" s="1"/>
  <c r="I85" i="6"/>
  <c r="J85" i="6" s="1"/>
  <c r="K85" i="6" s="1"/>
  <c r="L85" i="6" s="1"/>
  <c r="I73" i="6"/>
  <c r="J73" i="6" s="1"/>
  <c r="K73" i="6" s="1"/>
  <c r="L73" i="6" s="1"/>
  <c r="I61" i="6"/>
  <c r="J61" i="6" s="1"/>
  <c r="K61" i="6" s="1"/>
  <c r="L61" i="6" s="1"/>
  <c r="I49" i="6"/>
  <c r="J49" i="6" s="1"/>
  <c r="K49" i="6" s="1"/>
  <c r="L49" i="6" s="1"/>
  <c r="I37" i="6"/>
  <c r="J37" i="6" s="1"/>
  <c r="K37" i="6" s="1"/>
  <c r="L37" i="6" s="1"/>
  <c r="H5" i="6"/>
  <c r="E4" i="6"/>
  <c r="E5" i="6" s="1"/>
  <c r="E13" i="6"/>
  <c r="B10" i="5"/>
  <c r="H2" i="5"/>
  <c r="H1" i="5"/>
  <c r="E2" i="5"/>
  <c r="B14" i="4"/>
  <c r="B6" i="2"/>
  <c r="J52" i="6" l="1"/>
  <c r="K52" i="6" s="1"/>
  <c r="L52" i="6" s="1"/>
  <c r="J24" i="6"/>
  <c r="K24" i="6" s="1"/>
  <c r="L24" i="6" s="1"/>
  <c r="J51" i="6"/>
  <c r="K51" i="6" s="1"/>
  <c r="L51" i="6" s="1"/>
  <c r="E7" i="6"/>
  <c r="E8" i="6" s="1"/>
  <c r="E4" i="5"/>
  <c r="E5" i="5" s="1"/>
  <c r="E7" i="5" s="1"/>
  <c r="E8" i="5" s="1"/>
  <c r="H4" i="5"/>
  <c r="H5" i="5" s="1"/>
  <c r="B25" i="4"/>
  <c r="B27" i="4"/>
  <c r="B26" i="4"/>
  <c r="B13" i="4"/>
  <c r="B15" i="4" s="1"/>
  <c r="B12" i="4"/>
  <c r="B22" i="4" s="1"/>
  <c r="B23" i="4" s="1"/>
  <c r="B24" i="4"/>
  <c r="P6" i="4"/>
  <c r="N6" i="4"/>
  <c r="B6" i="4"/>
  <c r="B9" i="4" s="1"/>
  <c r="P6" i="2"/>
  <c r="G21" i="2"/>
  <c r="B22" i="2"/>
  <c r="B23" i="2" s="1"/>
  <c r="B30" i="2" s="1"/>
  <c r="K20" i="2" s="1"/>
  <c r="Q6" i="2" s="1"/>
  <c r="B15" i="2"/>
  <c r="N6" i="2"/>
  <c r="G7" i="2"/>
  <c r="B24" i="2"/>
  <c r="K8" i="2" s="1"/>
  <c r="O8" i="2" s="1"/>
  <c r="B9" i="2"/>
  <c r="B33" i="2" l="1"/>
  <c r="F13" i="2" s="1"/>
  <c r="F22" i="2"/>
  <c r="K21" i="2"/>
  <c r="Q7" i="2" s="1"/>
  <c r="G7" i="4"/>
  <c r="G21" i="4"/>
  <c r="B19" i="4"/>
  <c r="F8" i="4"/>
  <c r="F9" i="4" s="1"/>
  <c r="I9" i="4" s="1"/>
  <c r="K9" i="4" s="1"/>
  <c r="K8" i="4"/>
  <c r="B33" i="4"/>
  <c r="F13" i="4" s="1"/>
  <c r="O8" i="4"/>
  <c r="I10" i="4"/>
  <c r="K10" i="4" s="1"/>
  <c r="F22" i="4"/>
  <c r="F23" i="4" s="1"/>
  <c r="B34" i="4"/>
  <c r="F27" i="4" s="1"/>
  <c r="B17" i="4"/>
  <c r="F23" i="2"/>
  <c r="B17" i="2"/>
  <c r="G22" i="2" s="1"/>
  <c r="F8" i="2"/>
  <c r="F9" i="2" s="1"/>
  <c r="B19" i="2"/>
  <c r="B37" i="2" s="1"/>
  <c r="B38" i="2" s="1"/>
  <c r="B29" i="2"/>
  <c r="K6" i="2" s="1"/>
  <c r="O6" i="2" s="1"/>
  <c r="I10" i="2"/>
  <c r="K10" i="2" s="1"/>
  <c r="I13" i="2"/>
  <c r="K7" i="2"/>
  <c r="O7" i="2" s="1"/>
  <c r="L7" i="2"/>
  <c r="N7" i="2" s="1"/>
  <c r="B25" i="2"/>
  <c r="F30" i="2" l="1"/>
  <c r="I30" i="2" s="1"/>
  <c r="F16" i="2"/>
  <c r="I16" i="2" s="1"/>
  <c r="I13" i="4"/>
  <c r="F12" i="4"/>
  <c r="I12" i="4" s="1"/>
  <c r="F11" i="4"/>
  <c r="I11" i="4" s="1"/>
  <c r="K11" i="4" s="1"/>
  <c r="O11" i="4" s="1"/>
  <c r="F25" i="4"/>
  <c r="F26" i="4"/>
  <c r="I26" i="4" s="1"/>
  <c r="G9" i="2"/>
  <c r="F14" i="2"/>
  <c r="I14" i="2" s="1"/>
  <c r="F11" i="2"/>
  <c r="I11" i="2" s="1"/>
  <c r="F15" i="2"/>
  <c r="I15" i="2" s="1"/>
  <c r="F12" i="2"/>
  <c r="I12" i="2" s="1"/>
  <c r="J11" i="4"/>
  <c r="B37" i="4"/>
  <c r="B38" i="4" s="1"/>
  <c r="I23" i="2"/>
  <c r="K23" i="2" s="1"/>
  <c r="Q9" i="2" s="1"/>
  <c r="J16" i="2"/>
  <c r="K16" i="2" s="1"/>
  <c r="O16" i="2" s="1"/>
  <c r="J28" i="2"/>
  <c r="J30" i="2"/>
  <c r="K30" i="2" s="1"/>
  <c r="Q16" i="2" s="1"/>
  <c r="L7" i="4"/>
  <c r="N7" i="4" s="1"/>
  <c r="L21" i="2"/>
  <c r="P7" i="2" s="1"/>
  <c r="I24" i="2"/>
  <c r="K24" i="2" s="1"/>
  <c r="Q10" i="2" s="1"/>
  <c r="K22" i="2"/>
  <c r="Q8" i="2" s="1"/>
  <c r="J29" i="2"/>
  <c r="J28" i="4"/>
  <c r="J15" i="4"/>
  <c r="G22" i="4"/>
  <c r="J12" i="4"/>
  <c r="K12" i="4" s="1"/>
  <c r="O12" i="4" s="1"/>
  <c r="J16" i="4"/>
  <c r="J14" i="4"/>
  <c r="J13" i="4"/>
  <c r="K13" i="4" s="1"/>
  <c r="O13" i="4" s="1"/>
  <c r="J29" i="4"/>
  <c r="J30" i="4"/>
  <c r="G25" i="4"/>
  <c r="B30" i="4"/>
  <c r="K20" i="4" s="1"/>
  <c r="Q6" i="4" s="1"/>
  <c r="K21" i="4"/>
  <c r="Q7" i="4" s="1"/>
  <c r="K7" i="4"/>
  <c r="O7" i="4" s="1"/>
  <c r="B29" i="4"/>
  <c r="K6" i="4" s="1"/>
  <c r="O6" i="4" s="1"/>
  <c r="O9" i="4"/>
  <c r="H28" i="4"/>
  <c r="H13" i="4"/>
  <c r="G8" i="4"/>
  <c r="L8" i="4" s="1"/>
  <c r="N8" i="4" s="1"/>
  <c r="H30" i="4"/>
  <c r="H27" i="4"/>
  <c r="G26" i="4"/>
  <c r="G24" i="4"/>
  <c r="H29" i="4"/>
  <c r="H26" i="4"/>
  <c r="H24" i="4"/>
  <c r="H16" i="4"/>
  <c r="G13" i="4"/>
  <c r="H11" i="4"/>
  <c r="H14" i="4"/>
  <c r="G11" i="4"/>
  <c r="H10" i="4"/>
  <c r="G27" i="4"/>
  <c r="H25" i="4"/>
  <c r="G23" i="4"/>
  <c r="G10" i="4"/>
  <c r="L10" i="4" s="1"/>
  <c r="N10" i="4" s="1"/>
  <c r="H12" i="4"/>
  <c r="H15" i="4"/>
  <c r="G9" i="4"/>
  <c r="L9" i="4" s="1"/>
  <c r="N9" i="4" s="1"/>
  <c r="G12" i="4"/>
  <c r="J27" i="4"/>
  <c r="I24" i="4"/>
  <c r="K24" i="4" s="1"/>
  <c r="I27" i="4"/>
  <c r="J25" i="4"/>
  <c r="I25" i="4"/>
  <c r="I23" i="4"/>
  <c r="K23" i="4" s="1"/>
  <c r="J26" i="4"/>
  <c r="K22" i="4"/>
  <c r="L21" i="4"/>
  <c r="P7" i="4" s="1"/>
  <c r="O10" i="4"/>
  <c r="G23" i="2"/>
  <c r="H11" i="2"/>
  <c r="G30" i="2"/>
  <c r="H29" i="2"/>
  <c r="H27" i="2"/>
  <c r="H25" i="2"/>
  <c r="H30" i="2"/>
  <c r="H28" i="2"/>
  <c r="H26" i="2"/>
  <c r="H24" i="2"/>
  <c r="G24" i="2"/>
  <c r="L24" i="2" s="1"/>
  <c r="P10" i="2" s="1"/>
  <c r="G13" i="2"/>
  <c r="G10" i="2"/>
  <c r="L10" i="2" s="1"/>
  <c r="N10" i="2" s="1"/>
  <c r="G12" i="2"/>
  <c r="H14" i="2"/>
  <c r="H16" i="2"/>
  <c r="H12" i="2"/>
  <c r="G11" i="2"/>
  <c r="G16" i="2"/>
  <c r="H10" i="2"/>
  <c r="H15" i="2"/>
  <c r="H13" i="2"/>
  <c r="J14" i="2"/>
  <c r="J12" i="2"/>
  <c r="I9" i="2"/>
  <c r="K9" i="2" s="1"/>
  <c r="O9" i="2" s="1"/>
  <c r="J11" i="2"/>
  <c r="K11" i="2" s="1"/>
  <c r="O11" i="2" s="1"/>
  <c r="J13" i="2"/>
  <c r="O10" i="2"/>
  <c r="J15" i="2"/>
  <c r="G8" i="2"/>
  <c r="B34" i="2"/>
  <c r="F27" i="2" s="1"/>
  <c r="L13" i="2" l="1"/>
  <c r="N13" i="2" s="1"/>
  <c r="G14" i="2"/>
  <c r="L14" i="2" s="1"/>
  <c r="N14" i="2" s="1"/>
  <c r="G15" i="2"/>
  <c r="K14" i="2"/>
  <c r="O14" i="2" s="1"/>
  <c r="J27" i="2"/>
  <c r="F29" i="2"/>
  <c r="F28" i="2"/>
  <c r="F26" i="2"/>
  <c r="F25" i="2"/>
  <c r="L11" i="4"/>
  <c r="N11" i="4" s="1"/>
  <c r="F30" i="4"/>
  <c r="F16" i="4"/>
  <c r="L23" i="2"/>
  <c r="P9" i="2" s="1"/>
  <c r="L22" i="2"/>
  <c r="P8" i="2" s="1"/>
  <c r="G27" i="2"/>
  <c r="I27" i="2"/>
  <c r="L13" i="4"/>
  <c r="N13" i="4" s="1"/>
  <c r="L12" i="4"/>
  <c r="N12" i="4" s="1"/>
  <c r="L23" i="4"/>
  <c r="P9" i="4" s="1"/>
  <c r="Q9" i="4"/>
  <c r="L24" i="4"/>
  <c r="P10" i="4" s="1"/>
  <c r="Q10" i="4"/>
  <c r="K25" i="4"/>
  <c r="Q11" i="4" s="1"/>
  <c r="L25" i="4"/>
  <c r="P11" i="4" s="1"/>
  <c r="L26" i="4"/>
  <c r="P12" i="4" s="1"/>
  <c r="K26" i="4"/>
  <c r="Q12" i="4" s="1"/>
  <c r="L22" i="4"/>
  <c r="P8" i="4" s="1"/>
  <c r="Q8" i="4"/>
  <c r="L27" i="4"/>
  <c r="P13" i="4" s="1"/>
  <c r="K27" i="4"/>
  <c r="Q13" i="4" s="1"/>
  <c r="L30" i="2"/>
  <c r="P16" i="2" s="1"/>
  <c r="L16" i="2"/>
  <c r="N16" i="2" s="1"/>
  <c r="L15" i="2"/>
  <c r="N15" i="2" s="1"/>
  <c r="L12" i="2"/>
  <c r="N12" i="2" s="1"/>
  <c r="L11" i="2"/>
  <c r="N11" i="2" s="1"/>
  <c r="K12" i="2"/>
  <c r="O12" i="2" s="1"/>
  <c r="L9" i="2"/>
  <c r="N9" i="2" s="1"/>
  <c r="K15" i="2"/>
  <c r="O15" i="2" s="1"/>
  <c r="K13" i="2"/>
  <c r="O13" i="2" s="1"/>
  <c r="L8" i="2"/>
  <c r="N8" i="2" s="1"/>
  <c r="I26" i="2" l="1"/>
  <c r="G26" i="2"/>
  <c r="J26" i="2"/>
  <c r="I28" i="2"/>
  <c r="G28" i="2"/>
  <c r="I29" i="2"/>
  <c r="G29" i="2"/>
  <c r="J25" i="2"/>
  <c r="I25" i="2"/>
  <c r="G25" i="2"/>
  <c r="F15" i="4"/>
  <c r="F14" i="4"/>
  <c r="I16" i="4"/>
  <c r="K16" i="4" s="1"/>
  <c r="O16" i="4" s="1"/>
  <c r="G16" i="4"/>
  <c r="F29" i="4"/>
  <c r="F28" i="4"/>
  <c r="I30" i="4"/>
  <c r="G30" i="4"/>
  <c r="K27" i="2"/>
  <c r="Q13" i="2" s="1"/>
  <c r="L27" i="2"/>
  <c r="P13" i="2" s="1"/>
  <c r="L25" i="2" l="1"/>
  <c r="P11" i="2" s="1"/>
  <c r="K25" i="2"/>
  <c r="Q11" i="2" s="1"/>
  <c r="L26" i="2"/>
  <c r="P12" i="2" s="1"/>
  <c r="K26" i="2"/>
  <c r="Q12" i="2" s="1"/>
  <c r="K28" i="2"/>
  <c r="Q14" i="2" s="1"/>
  <c r="L28" i="2"/>
  <c r="P14" i="2" s="1"/>
  <c r="K29" i="2"/>
  <c r="Q15" i="2" s="1"/>
  <c r="L29" i="2"/>
  <c r="P15" i="2" s="1"/>
  <c r="L16" i="4"/>
  <c r="N16" i="4" s="1"/>
  <c r="I14" i="4"/>
  <c r="G14" i="4"/>
  <c r="K30" i="4"/>
  <c r="Q16" i="4" s="1"/>
  <c r="L30" i="4"/>
  <c r="P16" i="4" s="1"/>
  <c r="I28" i="4"/>
  <c r="G28" i="4"/>
  <c r="I29" i="4"/>
  <c r="G29" i="4"/>
  <c r="I15" i="4"/>
  <c r="G15" i="4"/>
  <c r="K29" i="4" l="1"/>
  <c r="Q15" i="4" s="1"/>
  <c r="L29" i="4"/>
  <c r="P15" i="4" s="1"/>
  <c r="K15" i="4"/>
  <c r="O15" i="4" s="1"/>
  <c r="L15" i="4"/>
  <c r="N15" i="4" s="1"/>
  <c r="K28" i="4"/>
  <c r="Q14" i="4" s="1"/>
  <c r="L28" i="4"/>
  <c r="P14" i="4" s="1"/>
  <c r="K14" i="4"/>
  <c r="O14" i="4" s="1"/>
  <c r="L14" i="4"/>
  <c r="N1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alonso carpio contreras</author>
    <author>ALONSO CARPIO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alonso carpio contreras:</t>
        </r>
        <r>
          <rPr>
            <sz val="9"/>
            <color indexed="81"/>
            <rFont val="Tahoma"/>
            <family val="2"/>
          </rPr>
          <t xml:space="preserve">
solo Agregar las celdas con azul
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alonso carpio contreras:</t>
        </r>
        <r>
          <rPr>
            <sz val="9"/>
            <color indexed="81"/>
            <rFont val="Tahoma"/>
            <charset val="1"/>
          </rPr>
          <t xml:space="preserve">
revisar si es 700 o 800
</t>
        </r>
      </text>
    </comment>
    <comment ref="B1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ALONSO CARPIO:</t>
        </r>
        <r>
          <rPr>
            <sz val="9"/>
            <color indexed="81"/>
            <rFont val="Tahoma"/>
            <family val="2"/>
          </rPr>
          <t xml:space="preserve">
poner armadura que esta en el extremo tracionado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alonso carpio contreras</author>
    <author>ALONSO CARPIO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alonso carpio contreras:</t>
        </r>
        <r>
          <rPr>
            <sz val="9"/>
            <color indexed="81"/>
            <rFont val="Tahoma"/>
            <charset val="1"/>
          </rPr>
          <t xml:space="preserve">
revisar si es 700 o 800
</t>
        </r>
      </text>
    </comment>
    <comment ref="A1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alonso carpio contreras:</t>
        </r>
        <r>
          <rPr>
            <sz val="9"/>
            <color indexed="81"/>
            <rFont val="Tahoma"/>
            <charset val="1"/>
          </rPr>
          <t xml:space="preserve">
distancia entre barras verticales
</t>
        </r>
      </text>
    </comment>
    <comment ref="A18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ALONSO CARPIO:</t>
        </r>
        <r>
          <rPr>
            <sz val="9"/>
            <color indexed="81"/>
            <rFont val="Tahoma"/>
            <family val="2"/>
          </rPr>
          <t xml:space="preserve">
poner  area de una armadura  distribuida y el largo a el q estas ditribuida 
</t>
        </r>
      </text>
    </comment>
  </commentList>
</comments>
</file>

<file path=xl/sharedStrings.xml><?xml version="1.0" encoding="utf-8"?>
<sst xmlns="http://schemas.openxmlformats.org/spreadsheetml/2006/main" count="332" uniqueCount="122">
  <si>
    <t xml:space="preserve">Datos </t>
  </si>
  <si>
    <t xml:space="preserve">Albañilería </t>
  </si>
  <si>
    <t>f'm [kgf/cm2]</t>
  </si>
  <si>
    <t>Em [kgf/cm2]</t>
  </si>
  <si>
    <t>Acero A44-28 H</t>
  </si>
  <si>
    <t>Es [kgf/cm2]</t>
  </si>
  <si>
    <t>Geometría Muro</t>
  </si>
  <si>
    <t>d [cm]</t>
  </si>
  <si>
    <t xml:space="preserve">Tensiones admisibles </t>
  </si>
  <si>
    <t>Fa [kgf/cm2]</t>
  </si>
  <si>
    <t>Fm [kgf/cm2]</t>
  </si>
  <si>
    <t>Fs [kgf/cm2]</t>
  </si>
  <si>
    <t>Fuerza Axial Admisible</t>
  </si>
  <si>
    <t>Na [kgf]</t>
  </si>
  <si>
    <t>M</t>
  </si>
  <si>
    <t>M [ton-m]</t>
  </si>
  <si>
    <t>N [ton]</t>
  </si>
  <si>
    <t xml:space="preserve">N </t>
  </si>
  <si>
    <t>I</t>
  </si>
  <si>
    <t>I-II</t>
  </si>
  <si>
    <t>II</t>
  </si>
  <si>
    <t>II-III</t>
  </si>
  <si>
    <t>III</t>
  </si>
  <si>
    <t>Cm</t>
  </si>
  <si>
    <t>n</t>
  </si>
  <si>
    <t>kb</t>
  </si>
  <si>
    <t>Ts</t>
  </si>
  <si>
    <t>IV</t>
  </si>
  <si>
    <t>flex pura</t>
  </si>
  <si>
    <t>balance</t>
  </si>
  <si>
    <t>Fs [kgf/cm2] sismico</t>
  </si>
  <si>
    <t xml:space="preserve">Na [kgf] sismico </t>
  </si>
  <si>
    <t>Fm [kgf/cm2] sism</t>
  </si>
  <si>
    <t>kb dinamico</t>
  </si>
  <si>
    <t>d'</t>
  </si>
  <si>
    <t xml:space="preserve">gamma </t>
  </si>
  <si>
    <t>As</t>
  </si>
  <si>
    <t>mu</t>
  </si>
  <si>
    <t>k</t>
  </si>
  <si>
    <t>em</t>
  </si>
  <si>
    <t>es</t>
  </si>
  <si>
    <t>altura  [cm]</t>
  </si>
  <si>
    <t xml:space="preserve">Caso Dinamico </t>
  </si>
  <si>
    <t>Fa [kgf/cm2] sism</t>
  </si>
  <si>
    <t xml:space="preserve">momento en el plano </t>
  </si>
  <si>
    <t>III b</t>
  </si>
  <si>
    <t>Caso Estatico</t>
  </si>
  <si>
    <t xml:space="preserve">Caso </t>
  </si>
  <si>
    <t>Punto</t>
  </si>
  <si>
    <t xml:space="preserve">Estatico </t>
  </si>
  <si>
    <t>Dinamico</t>
  </si>
  <si>
    <t>Largo h [cm]</t>
  </si>
  <si>
    <t xml:space="preserve">momento fuera del plano </t>
  </si>
  <si>
    <t>espesor b [cm]</t>
  </si>
  <si>
    <t xml:space="preserve">Flex pura </t>
  </si>
  <si>
    <t>K flex</t>
  </si>
  <si>
    <t>M/Vd</t>
  </si>
  <si>
    <t>fm [mpa]</t>
  </si>
  <si>
    <t>largo  [m]</t>
  </si>
  <si>
    <t>alto [m]</t>
  </si>
  <si>
    <t>espesor [m]</t>
  </si>
  <si>
    <t xml:space="preserve">escantillon [m] </t>
  </si>
  <si>
    <t>M/vd=0</t>
  </si>
  <si>
    <t>M/vd=1</t>
  </si>
  <si>
    <t>Qsd [ton]</t>
  </si>
  <si>
    <t>tau [ton/m2]</t>
  </si>
  <si>
    <t>t0 [mpa]</t>
  </si>
  <si>
    <t>t1 [mpa]</t>
  </si>
  <si>
    <t>rho h</t>
  </si>
  <si>
    <t>numero hilada</t>
  </si>
  <si>
    <t>FS</t>
  </si>
  <si>
    <t>A [m2]</t>
  </si>
  <si>
    <t>fp [Mpa]</t>
  </si>
  <si>
    <t>m</t>
  </si>
  <si>
    <t>f'm [Mpa]</t>
  </si>
  <si>
    <t>t [m]</t>
  </si>
  <si>
    <t>Story</t>
  </si>
  <si>
    <t>Pier</t>
  </si>
  <si>
    <t>V2 [tonf]</t>
  </si>
  <si>
    <t>M3[tonf m]</t>
  </si>
  <si>
    <t>d [m]</t>
  </si>
  <si>
    <t>P10</t>
  </si>
  <si>
    <t>P11</t>
  </si>
  <si>
    <t>P112</t>
  </si>
  <si>
    <t>P113</t>
  </si>
  <si>
    <t>P12</t>
  </si>
  <si>
    <t>P13</t>
  </si>
  <si>
    <t>P14</t>
  </si>
  <si>
    <t>P15</t>
  </si>
  <si>
    <t>P16</t>
  </si>
  <si>
    <t>P17</t>
  </si>
  <si>
    <t>P3</t>
  </si>
  <si>
    <t>P41</t>
  </si>
  <si>
    <t>P42</t>
  </si>
  <si>
    <t>P43</t>
  </si>
  <si>
    <t>P44</t>
  </si>
  <si>
    <t>P45</t>
  </si>
  <si>
    <t>P46</t>
  </si>
  <si>
    <t>P49</t>
  </si>
  <si>
    <t>PA</t>
  </si>
  <si>
    <t>PB</t>
  </si>
  <si>
    <t>PC</t>
  </si>
  <si>
    <t>PD</t>
  </si>
  <si>
    <t>PE</t>
  </si>
  <si>
    <t>P110</t>
  </si>
  <si>
    <t>P111</t>
  </si>
  <si>
    <t>P48</t>
  </si>
  <si>
    <t>P18</t>
  </si>
  <si>
    <t>P19</t>
  </si>
  <si>
    <t>P47</t>
  </si>
  <si>
    <t>Pa</t>
  </si>
  <si>
    <t>Pb</t>
  </si>
  <si>
    <t>Pc</t>
  </si>
  <si>
    <t>Pd</t>
  </si>
  <si>
    <t>Pe</t>
  </si>
  <si>
    <t>t0 ton/m2</t>
  </si>
  <si>
    <t>t1 [ton/m2]</t>
  </si>
  <si>
    <t>tau solic</t>
  </si>
  <si>
    <t xml:space="preserve">Area escalerilla </t>
  </si>
  <si>
    <t>N hiladas</t>
  </si>
  <si>
    <t>hiladas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</si>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</sst>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/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5" fillId="0" borderId="4" xfId="0" applyFont="1" applyBorder="1"/>
    <xf numFmtId="2" fontId="0" fillId="0" borderId="4" xfId="0" applyNumberFormat="1" applyBorder="1"/>
    <xf numFmtId="165" fontId="0" fillId="0" borderId="4" xfId="0" applyNumberFormat="1" applyBorder="1"/>
    <xf numFmtId="0" fontId="2" fillId="0" borderId="4" xfId="0" applyFont="1" applyBorder="1"/>
    <xf numFmtId="0" fontId="2" fillId="0" borderId="6" xfId="0" applyFont="1" applyBorder="1"/>
    <xf numFmtId="0" fontId="3" fillId="0" borderId="4" xfId="0" applyFont="1" applyBorder="1"/>
    <xf numFmtId="0" fontId="3" fillId="0" borderId="6" xfId="0" applyFont="1" applyBorder="1"/>
    <xf numFmtId="0" fontId="6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0" fontId="0" fillId="0" borderId="10" xfId="0" applyBorder="1"/>
    <xf numFmtId="0" fontId="0" fillId="0" borderId="9" xfId="0" applyBorder="1"/>
    <xf numFmtId="165" fontId="0" fillId="0" borderId="1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4" fontId="0" fillId="0" borderId="8" xfId="0" applyNumberFormat="1" applyBorder="1"/>
    <xf numFmtId="1" fontId="0" fillId="0" borderId="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0" xfId="0" applyNumberFormat="1" applyBorder="1"/>
    <xf numFmtId="0" fontId="0" fillId="0" borderId="23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4" fontId="0" fillId="0" borderId="10" xfId="0" applyNumberFormat="1" applyBorder="1"/>
    <xf numFmtId="165" fontId="0" fillId="0" borderId="21" xfId="0" applyNumberForma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10" xfId="0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Diagrama de Interaccion</a:t>
            </a:r>
            <a:r>
              <a:rPr lang="es-CL" baseline="0"/>
              <a:t> Muro X 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041932605295949"/>
          <c:y val="0.14025617084363398"/>
          <c:w val="0.84393502429197476"/>
          <c:h val="0.72183160863098361"/>
        </c:manualLayout>
      </c:layout>
      <c:scatterChart>
        <c:scatterStyle val="lineMarker"/>
        <c:varyColors val="0"/>
        <c:ser>
          <c:idx val="0"/>
          <c:order val="0"/>
          <c:tx>
            <c:v>Estatico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 el plano'!$N$6:$N$16</c:f>
              <c:numCache>
                <c:formatCode>0.0</c:formatCode>
                <c:ptCount val="11"/>
                <c:pt idx="0">
                  <c:v>0</c:v>
                </c:pt>
                <c:pt idx="1">
                  <c:v>0.95980800000000022</c:v>
                </c:pt>
                <c:pt idx="2">
                  <c:v>1.086624</c:v>
                </c:pt>
                <c:pt idx="3">
                  <c:v>1.1281269999999999</c:v>
                </c:pt>
                <c:pt idx="4">
                  <c:v>1.1620839999999999</c:v>
                </c:pt>
                <c:pt idx="5">
                  <c:v>1.2608596139818473</c:v>
                </c:pt>
                <c:pt idx="6">
                  <c:v>1.2324043343031954</c:v>
                </c:pt>
                <c:pt idx="7">
                  <c:v>1.12138326953981</c:v>
                </c:pt>
                <c:pt idx="8">
                  <c:v>0.86280339496898106</c:v>
                </c:pt>
                <c:pt idx="9">
                  <c:v>0.65883991896559946</c:v>
                </c:pt>
                <c:pt idx="10">
                  <c:v>0.50173342878904759</c:v>
                </c:pt>
              </c:numCache>
            </c:numRef>
          </c:xVal>
          <c:yVal>
            <c:numRef>
              <c:f>'En el plano'!$O$6:$O$16</c:f>
              <c:numCache>
                <c:formatCode>0.0</c:formatCode>
                <c:ptCount val="11"/>
                <c:pt idx="0">
                  <c:v>8.6674285714285713</c:v>
                </c:pt>
                <c:pt idx="1">
                  <c:v>8.6674285714285713</c:v>
                </c:pt>
                <c:pt idx="2">
                  <c:v>7.7616000000000005</c:v>
                </c:pt>
                <c:pt idx="3">
                  <c:v>7.4382000000000001</c:v>
                </c:pt>
                <c:pt idx="4">
                  <c:v>7.1147999999999998</c:v>
                </c:pt>
                <c:pt idx="5">
                  <c:v>5.5369519821279942</c:v>
                </c:pt>
                <c:pt idx="6">
                  <c:v>3.8801424330238334</c:v>
                </c:pt>
                <c:pt idx="7">
                  <c:v>2.0167567567567568</c:v>
                </c:pt>
                <c:pt idx="8">
                  <c:v>1.1335483005846405</c:v>
                </c:pt>
                <c:pt idx="9">
                  <c:v>0.47713158453773041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0-4FEF-97E5-FB870AA5E433}"/>
            </c:ext>
          </c:extLst>
        </c:ser>
        <c:ser>
          <c:idx val="1"/>
          <c:order val="1"/>
          <c:tx>
            <c:v>Dinamico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 el plano'!$P$6:$P$16</c:f>
              <c:numCache>
                <c:formatCode>0.0</c:formatCode>
                <c:ptCount val="11"/>
                <c:pt idx="0">
                  <c:v>0</c:v>
                </c:pt>
                <c:pt idx="1">
                  <c:v>1.27654464</c:v>
                </c:pt>
                <c:pt idx="2">
                  <c:v>1.4452099200000004</c:v>
                </c:pt>
                <c:pt idx="3">
                  <c:v>1.50040891</c:v>
                </c:pt>
                <c:pt idx="4">
                  <c:v>1.5455717200000003</c:v>
                </c:pt>
                <c:pt idx="5">
                  <c:v>1.6768388915498078</c:v>
                </c:pt>
                <c:pt idx="6">
                  <c:v>1.6396383404076129</c:v>
                </c:pt>
                <c:pt idx="7">
                  <c:v>1.4925611136319588</c:v>
                </c:pt>
                <c:pt idx="8">
                  <c:v>1.1458135129416629</c:v>
                </c:pt>
                <c:pt idx="9">
                  <c:v>0.87282574158064219</c:v>
                </c:pt>
                <c:pt idx="10">
                  <c:v>0.66300488804266988</c:v>
                </c:pt>
              </c:numCache>
            </c:numRef>
          </c:xVal>
          <c:yVal>
            <c:numRef>
              <c:f>'En el plano'!$Q$6:$Q$16</c:f>
              <c:numCache>
                <c:formatCode>0.0</c:formatCode>
                <c:ptCount val="11"/>
                <c:pt idx="0">
                  <c:v>11.527679999999998</c:v>
                </c:pt>
                <c:pt idx="1">
                  <c:v>11.527679999999998</c:v>
                </c:pt>
                <c:pt idx="2">
                  <c:v>10.322928000000001</c:v>
                </c:pt>
                <c:pt idx="3">
                  <c:v>9.8928060000000002</c:v>
                </c:pt>
                <c:pt idx="4">
                  <c:v>9.4626840000000012</c:v>
                </c:pt>
                <c:pt idx="5">
                  <c:v>7.3694322549803495</c:v>
                </c:pt>
                <c:pt idx="6">
                  <c:v>5.1719280347417964</c:v>
                </c:pt>
                <c:pt idx="7">
                  <c:v>2.7027683476885027</c:v>
                </c:pt>
                <c:pt idx="8">
                  <c:v>1.5167177609048266</c:v>
                </c:pt>
                <c:pt idx="9">
                  <c:v>0.63741316508939505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0-4FEF-97E5-FB870AA5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67200"/>
        <c:axId val="215668320"/>
      </c:scatterChart>
      <c:valAx>
        <c:axId val="2156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Momento</a:t>
                </a:r>
                <a:r>
                  <a:rPr lang="es-CL" baseline="0"/>
                  <a:t> [Ton-m]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668320"/>
        <c:crosses val="autoZero"/>
        <c:crossBetween val="midCat"/>
      </c:valAx>
      <c:valAx>
        <c:axId val="215668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Compresion</a:t>
                </a:r>
                <a:r>
                  <a:rPr lang="es-CL" baseline="0"/>
                  <a:t> [ton]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66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3119586112553"/>
          <c:y val="0.68587109747995612"/>
          <c:w val="0.14648098360573586"/>
          <c:h val="0.115202698889062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Diagrama de Interaccion</a:t>
            </a:r>
            <a:r>
              <a:rPr lang="es-CL" baseline="0"/>
              <a:t> Muro X 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Estatico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'Fuera del plano'!$N$6:$N$16</c:f>
              <c:numCache>
                <c:formatCode>0.0</c:formatCode>
                <c:ptCount val="11"/>
                <c:pt idx="0">
                  <c:v>0</c:v>
                </c:pt>
                <c:pt idx="1">
                  <c:v>0.31993600000000011</c:v>
                </c:pt>
                <c:pt idx="2">
                  <c:v>0.36220800000000009</c:v>
                </c:pt>
                <c:pt idx="3">
                  <c:v>0.40748400000000007</c:v>
                </c:pt>
                <c:pt idx="4">
                  <c:v>0.36220800000000009</c:v>
                </c:pt>
                <c:pt idx="5">
                  <c:v>0.3199412759113695</c:v>
                </c:pt>
                <c:pt idx="6">
                  <c:v>0.26386512038187948</c:v>
                </c:pt>
                <c:pt idx="7">
                  <c:v>0.19397953341152996</c:v>
                </c:pt>
                <c:pt idx="8">
                  <c:v>0.12834479791053979</c:v>
                </c:pt>
                <c:pt idx="9">
                  <c:v>8.0121938792281272E-2</c:v>
                </c:pt>
                <c:pt idx="10">
                  <c:v>4.5538364783952096E-2</c:v>
                </c:pt>
              </c:numCache>
            </c:numRef>
          </c:xVal>
          <c:yVal>
            <c:numRef>
              <c:f>'Fuera del plano'!$O$6:$O$16</c:f>
              <c:numCache>
                <c:formatCode>0.0</c:formatCode>
                <c:ptCount val="11"/>
                <c:pt idx="0">
                  <c:v>17.334857142857143</c:v>
                </c:pt>
                <c:pt idx="1">
                  <c:v>17.334857142857143</c:v>
                </c:pt>
                <c:pt idx="2">
                  <c:v>15.523200000000003</c:v>
                </c:pt>
                <c:pt idx="3">
                  <c:v>11.642400000000002</c:v>
                </c:pt>
                <c:pt idx="4">
                  <c:v>7.7616000000000014</c:v>
                </c:pt>
                <c:pt idx="5">
                  <c:v>6.1255009535688139</c:v>
                </c:pt>
                <c:pt idx="6">
                  <c:v>4.4121395900156077</c:v>
                </c:pt>
                <c:pt idx="7">
                  <c:v>2.5122560669456071</c:v>
                </c:pt>
                <c:pt idx="8">
                  <c:v>1.3732479163693738</c:v>
                </c:pt>
                <c:pt idx="9">
                  <c:v>0.56277630790752176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E-4FC9-BA74-3E8F40496BE8}"/>
            </c:ext>
          </c:extLst>
        </c:ser>
        <c:ser>
          <c:idx val="1"/>
          <c:order val="1"/>
          <c:tx>
            <c:v>Dinamico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'Fuera del plano'!$P$6:$P$16</c:f>
              <c:numCache>
                <c:formatCode>0.0</c:formatCode>
                <c:ptCount val="11"/>
                <c:pt idx="0">
                  <c:v>0</c:v>
                </c:pt>
                <c:pt idx="1">
                  <c:v>0.42551487999999998</c:v>
                </c:pt>
                <c:pt idx="2">
                  <c:v>0.4817366400000001</c:v>
                </c:pt>
                <c:pt idx="3">
                  <c:v>0.54195372000000008</c:v>
                </c:pt>
                <c:pt idx="4">
                  <c:v>0.4817366400000001</c:v>
                </c:pt>
                <c:pt idx="5">
                  <c:v>0.42569707618717401</c:v>
                </c:pt>
                <c:pt idx="6">
                  <c:v>0.35138926926570058</c:v>
                </c:pt>
                <c:pt idx="7">
                  <c:v>0.25881321923557998</c:v>
                </c:pt>
                <c:pt idx="8">
                  <c:v>0.17082054084187978</c:v>
                </c:pt>
                <c:pt idx="9">
                  <c:v>0.10631962458646479</c:v>
                </c:pt>
                <c:pt idx="10">
                  <c:v>6.0175696321650977E-2</c:v>
                </c:pt>
              </c:numCache>
            </c:numRef>
          </c:xVal>
          <c:yVal>
            <c:numRef>
              <c:f>'Fuera del plano'!$Q$6:$Q$16</c:f>
              <c:numCache>
                <c:formatCode>0.0</c:formatCode>
                <c:ptCount val="11"/>
                <c:pt idx="0">
                  <c:v>23.05536</c:v>
                </c:pt>
                <c:pt idx="1">
                  <c:v>23.05536</c:v>
                </c:pt>
                <c:pt idx="2">
                  <c:v>20.645856000000002</c:v>
                </c:pt>
                <c:pt idx="3">
                  <c:v>15.484392000000003</c:v>
                </c:pt>
                <c:pt idx="4">
                  <c:v>10.322928000000001</c:v>
                </c:pt>
                <c:pt idx="5">
                  <c:v>8.1528511909847872</c:v>
                </c:pt>
                <c:pt idx="6">
                  <c:v>5.8808069664679596</c:v>
                </c:pt>
                <c:pt idx="7">
                  <c:v>3.3635282810496747</c:v>
                </c:pt>
                <c:pt idx="8">
                  <c:v>1.835508252491463</c:v>
                </c:pt>
                <c:pt idx="9">
                  <c:v>0.75100911700598161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E-4FC9-BA74-3E8F40496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02384"/>
        <c:axId val="218802944"/>
      </c:scatterChart>
      <c:valAx>
        <c:axId val="2188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Momento</a:t>
                </a:r>
                <a:r>
                  <a:rPr lang="es-CL" baseline="0"/>
                  <a:t> [Ton-m]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8802944"/>
        <c:crosses val="autoZero"/>
        <c:crossBetween val="midCat"/>
      </c:valAx>
      <c:valAx>
        <c:axId val="218802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Compresion</a:t>
                </a:r>
                <a:r>
                  <a:rPr lang="es-CL" baseline="0"/>
                  <a:t> [ton]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880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3119586112553"/>
          <c:y val="0.68587109747995612"/>
          <c:w val="0.14648098360573586"/>
          <c:h val="0.1164806657715144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590200</xdr:colOff>
      <xdr:row>17</xdr:row>
      <xdr:rowOff>34929</xdr:rowOff>
    </xdr:from>
    <xdr:to>
      <xdr:col>21</xdr:col>
      <xdr:colOff>163285</xdr:colOff>
      <xdr:row>36</xdr:row>
      <xdr:rowOff>27214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3671A4-5048-42B8-9F75-6DEC54C64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5094</xdr:colOff>
      <xdr:row>18</xdr:row>
      <xdr:rowOff>10188</xdr:rowOff>
    </xdr:from>
    <xdr:to>
      <xdr:col>21</xdr:col>
      <xdr:colOff>51955</xdr:colOff>
      <xdr:row>37</xdr:row>
      <xdr:rowOff>19792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2D8E00-95E4-4D5E-8286-9BCA77AAE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zoomScale="70" zoomScaleNormal="70" workbookViewId="0">
      <selection activeCell="J35" sqref="J35"/>
    </sheetView>
  </sheetViews>
  <sheetFormatPr baseColWidth="10" defaultColWidth="9.140625" defaultRowHeight="15"/>
  <cols>
    <col min="1" max="1" width="19" customWidth="1"/>
    <col min="3" max="3" width="24.28515625" customWidth="1"/>
    <col min="4" max="4" width="11.42578125" customWidth="1"/>
    <col min="10" max="10" width="11.5703125" customWidth="1"/>
    <col min="11" max="11" width="9.5703125" bestFit="1" customWidth="1"/>
    <col min="19" max="19" width="12.42578125" customWidth="1"/>
    <col min="20" max="20" width="12.140625" customWidth="1"/>
    <col min="21" max="21" width="10.42578125" customWidth="1"/>
  </cols>
  <sheetData>
    <row r="1" spans="1:17">
      <c r="A1" s="103"/>
      <c r="B1" s="103"/>
      <c r="C1" s="103"/>
    </row>
    <row r="2" spans="1:17" ht="21.75" thickBot="1">
      <c r="A2" s="44"/>
      <c r="B2" s="44"/>
      <c r="C2" s="44"/>
      <c r="D2" s="109" t="s">
        <v>44</v>
      </c>
      <c r="E2" s="109"/>
      <c r="F2" s="109"/>
      <c r="G2" s="109"/>
      <c r="H2" s="109"/>
      <c r="I2" s="109"/>
      <c r="J2" s="109"/>
      <c r="K2" s="109"/>
      <c r="L2" s="109"/>
      <c r="M2" s="56"/>
      <c r="N2" s="56"/>
    </row>
    <row r="3" spans="1:17" ht="15.75" thickBot="1">
      <c r="A3" s="106" t="s">
        <v>0</v>
      </c>
      <c r="B3" s="107"/>
      <c r="C3" s="44"/>
      <c r="D3" s="5"/>
      <c r="E3" s="5"/>
    </row>
    <row r="4" spans="1:17" ht="15.75" thickBot="1">
      <c r="A4" s="104" t="s">
        <v>1</v>
      </c>
      <c r="B4" s="105"/>
      <c r="C4" s="16"/>
      <c r="N4" s="108" t="s">
        <v>49</v>
      </c>
      <c r="O4" s="108"/>
      <c r="P4" s="108" t="s">
        <v>50</v>
      </c>
      <c r="Q4" s="108"/>
    </row>
    <row r="5" spans="1:17">
      <c r="A5" s="6" t="s">
        <v>2</v>
      </c>
      <c r="B5" s="14">
        <v>40</v>
      </c>
      <c r="C5" s="16"/>
      <c r="D5" s="112" t="s">
        <v>46</v>
      </c>
      <c r="E5" s="113"/>
      <c r="F5" s="29"/>
      <c r="G5" s="29"/>
      <c r="H5" s="29"/>
      <c r="I5" s="29"/>
      <c r="J5" s="29"/>
      <c r="K5" s="29" t="s">
        <v>17</v>
      </c>
      <c r="L5" s="30" t="s">
        <v>14</v>
      </c>
      <c r="N5" s="43" t="s">
        <v>15</v>
      </c>
      <c r="O5" s="43" t="s">
        <v>16</v>
      </c>
      <c r="P5" s="43" t="s">
        <v>15</v>
      </c>
      <c r="Q5" s="43" t="s">
        <v>16</v>
      </c>
    </row>
    <row r="6" spans="1:17" ht="15.75" thickBot="1">
      <c r="A6" s="8" t="s">
        <v>3</v>
      </c>
      <c r="B6" s="10">
        <f>800*B5</f>
        <v>32000</v>
      </c>
      <c r="C6" s="16"/>
      <c r="D6" s="31" t="s">
        <v>47</v>
      </c>
      <c r="E6" s="32" t="s">
        <v>48</v>
      </c>
      <c r="F6" s="32" t="s">
        <v>38</v>
      </c>
      <c r="G6" s="32" t="s">
        <v>39</v>
      </c>
      <c r="H6" s="32" t="s">
        <v>40</v>
      </c>
      <c r="I6" s="32" t="s">
        <v>23</v>
      </c>
      <c r="J6" s="32" t="s">
        <v>26</v>
      </c>
      <c r="K6" s="33">
        <f>B29</f>
        <v>8667.4285714285706</v>
      </c>
      <c r="L6" s="34">
        <v>0</v>
      </c>
      <c r="N6" s="45">
        <f t="shared" ref="N6:N16" si="0">L6/100000</f>
        <v>0</v>
      </c>
      <c r="O6" s="46">
        <f t="shared" ref="O6:O16" si="1">K6/1000</f>
        <v>8.6674285714285713</v>
      </c>
      <c r="P6" s="45">
        <f t="shared" ref="P6:P16" si="2">L20/100000</f>
        <v>0</v>
      </c>
      <c r="Q6" s="46">
        <f t="shared" ref="Q6:Q16" si="3">K20/1000</f>
        <v>11.527679999999998</v>
      </c>
    </row>
    <row r="7" spans="1:17" ht="15.75" thickBot="1">
      <c r="A7" s="106" t="s">
        <v>4</v>
      </c>
      <c r="B7" s="107"/>
      <c r="C7" s="16"/>
      <c r="D7" s="31" t="s">
        <v>18</v>
      </c>
      <c r="E7" s="32">
        <v>1</v>
      </c>
      <c r="F7" s="32"/>
      <c r="G7" s="35">
        <f>B13*((1/2)-(1/3))</f>
        <v>14.000000000000002</v>
      </c>
      <c r="H7" s="32"/>
      <c r="I7" s="32"/>
      <c r="J7" s="32"/>
      <c r="K7" s="33">
        <f>B22*B14*B13</f>
        <v>8667.4285714285706</v>
      </c>
      <c r="L7" s="36">
        <f>(B24-B22)*B14*B13*G7</f>
        <v>95980.800000000017</v>
      </c>
      <c r="N7" s="45">
        <f t="shared" si="0"/>
        <v>0.95980800000000022</v>
      </c>
      <c r="O7" s="46">
        <f t="shared" si="1"/>
        <v>8.6674285714285713</v>
      </c>
      <c r="P7" s="45">
        <f t="shared" si="2"/>
        <v>1.27654464</v>
      </c>
      <c r="Q7" s="46">
        <f t="shared" si="3"/>
        <v>11.527679999999998</v>
      </c>
    </row>
    <row r="8" spans="1:17">
      <c r="A8" s="6" t="s">
        <v>5</v>
      </c>
      <c r="B8" s="15">
        <v>2100000</v>
      </c>
      <c r="C8" s="16"/>
      <c r="D8" s="31" t="s">
        <v>19</v>
      </c>
      <c r="E8" s="32">
        <v>2</v>
      </c>
      <c r="F8" s="32">
        <f>B13/B15</f>
        <v>1.0909090909090908</v>
      </c>
      <c r="G8" s="35">
        <f t="shared" ref="G8:G16" si="4">$B$15*(((1+$B$17)/2)-(F8/3))</f>
        <v>14</v>
      </c>
      <c r="H8" s="32"/>
      <c r="I8" s="32"/>
      <c r="J8" s="32"/>
      <c r="K8" s="33">
        <f>B24*B14*B13/2</f>
        <v>7761.6</v>
      </c>
      <c r="L8" s="36">
        <f>K8*G8</f>
        <v>108662.40000000001</v>
      </c>
      <c r="N8" s="45">
        <f t="shared" si="0"/>
        <v>1.086624</v>
      </c>
      <c r="O8" s="46">
        <f t="shared" si="1"/>
        <v>7.7616000000000005</v>
      </c>
      <c r="P8" s="45">
        <f t="shared" si="2"/>
        <v>1.4452099200000004</v>
      </c>
      <c r="Q8" s="46">
        <f t="shared" si="3"/>
        <v>10.322928000000001</v>
      </c>
    </row>
    <row r="9" spans="1:17" ht="15.75" thickBot="1">
      <c r="A9" s="8" t="s">
        <v>24</v>
      </c>
      <c r="B9" s="10">
        <f>B8/B6</f>
        <v>65.625</v>
      </c>
      <c r="C9" s="16"/>
      <c r="D9" s="31" t="s">
        <v>20</v>
      </c>
      <c r="E9" s="32">
        <v>3</v>
      </c>
      <c r="F9" s="32">
        <f>(F8+F10)/2</f>
        <v>1.0454545454545454</v>
      </c>
      <c r="G9" s="35">
        <f>$B$15*(((1+$B$17)/2)-(F9/3))</f>
        <v>15.166666666666666</v>
      </c>
      <c r="H9" s="32"/>
      <c r="I9" s="33">
        <f>$B$24*$B$14*$B$15*F9/2</f>
        <v>7438.2</v>
      </c>
      <c r="J9" s="32"/>
      <c r="K9" s="33">
        <f>I9</f>
        <v>7438.2</v>
      </c>
      <c r="L9" s="36">
        <f>K9*G9</f>
        <v>112812.7</v>
      </c>
      <c r="N9" s="45">
        <f t="shared" si="0"/>
        <v>1.1281269999999999</v>
      </c>
      <c r="O9" s="46">
        <f t="shared" si="1"/>
        <v>7.4382000000000001</v>
      </c>
      <c r="P9" s="45">
        <f t="shared" si="2"/>
        <v>1.50040891</v>
      </c>
      <c r="Q9" s="46">
        <f t="shared" si="3"/>
        <v>9.8928060000000002</v>
      </c>
    </row>
    <row r="10" spans="1:17" ht="15.75" thickBot="1">
      <c r="A10" s="16"/>
      <c r="B10" s="16"/>
      <c r="C10" s="16"/>
      <c r="D10" s="31" t="s">
        <v>21</v>
      </c>
      <c r="E10" s="32">
        <v>4</v>
      </c>
      <c r="F10" s="32">
        <v>1</v>
      </c>
      <c r="G10" s="35">
        <f t="shared" si="4"/>
        <v>16.333333333333332</v>
      </c>
      <c r="H10" s="32">
        <f t="shared" ref="H10:H16" si="5">(1-$B$17)*$B$15/2</f>
        <v>35</v>
      </c>
      <c r="I10" s="33">
        <f>$B$24*$B$14*$B$15*F10/2</f>
        <v>7114.8</v>
      </c>
      <c r="J10" s="32"/>
      <c r="K10" s="33">
        <f>I10</f>
        <v>7114.8</v>
      </c>
      <c r="L10" s="36">
        <f>K10*G10</f>
        <v>116208.4</v>
      </c>
      <c r="N10" s="45">
        <f t="shared" si="0"/>
        <v>1.1620839999999999</v>
      </c>
      <c r="O10" s="46">
        <f t="shared" si="1"/>
        <v>7.1147999999999998</v>
      </c>
      <c r="P10" s="45">
        <f t="shared" si="2"/>
        <v>1.5455717200000003</v>
      </c>
      <c r="Q10" s="46">
        <f t="shared" si="3"/>
        <v>9.4626840000000012</v>
      </c>
    </row>
    <row r="11" spans="1:17" ht="15.75" thickBot="1">
      <c r="A11" s="106" t="s">
        <v>6</v>
      </c>
      <c r="B11" s="107"/>
      <c r="C11" s="16"/>
      <c r="D11" s="31" t="s">
        <v>22</v>
      </c>
      <c r="E11" s="32">
        <v>5</v>
      </c>
      <c r="F11" s="59">
        <f>(2*F10+F13)/3</f>
        <v>0.79407979407979401</v>
      </c>
      <c r="G11" s="35">
        <f t="shared" si="4"/>
        <v>21.618618618618619</v>
      </c>
      <c r="H11" s="32">
        <f t="shared" si="5"/>
        <v>35</v>
      </c>
      <c r="I11" s="33">
        <f>$B$24*$B$14*$B$15*F11/2</f>
        <v>5649.7189189189185</v>
      </c>
      <c r="J11" s="33">
        <f>$B$24*$B$15*$B$14*$B$9*$B$19*(1-F11)/F11</f>
        <v>112.76693679092389</v>
      </c>
      <c r="K11" s="33">
        <f t="shared" ref="K11:K16" si="6">I11-J11</f>
        <v>5536.9519821279946</v>
      </c>
      <c r="L11" s="36">
        <f t="shared" ref="L11:L16" si="7">I11*G11+J11*H11</f>
        <v>126085.96139818472</v>
      </c>
      <c r="N11" s="45">
        <f t="shared" si="0"/>
        <v>1.2608596139818473</v>
      </c>
      <c r="O11" s="46">
        <f t="shared" si="1"/>
        <v>5.5369519821279942</v>
      </c>
      <c r="P11" s="45">
        <f t="shared" si="2"/>
        <v>1.6768388915498078</v>
      </c>
      <c r="Q11" s="46">
        <f t="shared" si="3"/>
        <v>7.3694322549803495</v>
      </c>
    </row>
    <row r="12" spans="1:17">
      <c r="A12" s="6" t="s">
        <v>41</v>
      </c>
      <c r="B12" s="49">
        <v>240</v>
      </c>
      <c r="C12" s="16"/>
      <c r="D12" s="31" t="s">
        <v>22</v>
      </c>
      <c r="E12" s="32">
        <v>6</v>
      </c>
      <c r="F12" s="59">
        <f>(F10+2*F13)/3</f>
        <v>0.58815958815958813</v>
      </c>
      <c r="G12" s="35">
        <f t="shared" si="4"/>
        <v>26.903903903903903</v>
      </c>
      <c r="H12" s="32">
        <f t="shared" si="5"/>
        <v>35</v>
      </c>
      <c r="I12" s="33">
        <f>$B$24*$B$14*$B$15*F12/2</f>
        <v>4184.6378378378377</v>
      </c>
      <c r="J12" s="33">
        <f>$B$24*$B$15*$B$14*$B$9*$B$19*(1-F12)/F12</f>
        <v>304.49540481400447</v>
      </c>
      <c r="K12" s="33">
        <f t="shared" si="6"/>
        <v>3880.1424330238333</v>
      </c>
      <c r="L12" s="36">
        <f t="shared" si="7"/>
        <v>123240.43343031955</v>
      </c>
      <c r="N12" s="45">
        <f t="shared" si="0"/>
        <v>1.2324043343031954</v>
      </c>
      <c r="O12" s="46">
        <f t="shared" si="1"/>
        <v>3.8801424330238334</v>
      </c>
      <c r="P12" s="45">
        <f t="shared" si="2"/>
        <v>1.6396383404076129</v>
      </c>
      <c r="Q12" s="46">
        <f t="shared" si="3"/>
        <v>5.1719280347417964</v>
      </c>
    </row>
    <row r="13" spans="1:17">
      <c r="A13" s="6" t="s">
        <v>51</v>
      </c>
      <c r="B13" s="49">
        <v>84</v>
      </c>
      <c r="C13" s="16"/>
      <c r="D13" s="31" t="s">
        <v>45</v>
      </c>
      <c r="E13" s="32">
        <v>7</v>
      </c>
      <c r="F13" s="37">
        <f>B33</f>
        <v>0.38223938223938225</v>
      </c>
      <c r="G13" s="35">
        <f t="shared" si="4"/>
        <v>32.189189189189186</v>
      </c>
      <c r="H13" s="32">
        <f t="shared" si="5"/>
        <v>35</v>
      </c>
      <c r="I13" s="33">
        <f>$B$24*$B$14*$B$15*F13/2</f>
        <v>2719.5567567567568</v>
      </c>
      <c r="J13" s="33">
        <f>$B$24*$B$15*$B$14*$B$9*$B$19*(1-F13)/F13</f>
        <v>702.80000000000007</v>
      </c>
      <c r="K13" s="33">
        <f t="shared" si="6"/>
        <v>2016.7567567567567</v>
      </c>
      <c r="L13" s="36">
        <f t="shared" si="7"/>
        <v>112138.326953981</v>
      </c>
      <c r="N13" s="45">
        <f t="shared" si="0"/>
        <v>1.12138326953981</v>
      </c>
      <c r="O13" s="46">
        <f t="shared" si="1"/>
        <v>2.0167567567567568</v>
      </c>
      <c r="P13" s="45">
        <f t="shared" si="2"/>
        <v>1.4925611136319588</v>
      </c>
      <c r="Q13" s="46">
        <f t="shared" si="3"/>
        <v>2.7027683476885027</v>
      </c>
    </row>
    <row r="14" spans="1:17">
      <c r="A14" s="6" t="s">
        <v>53</v>
      </c>
      <c r="B14" s="49">
        <v>14</v>
      </c>
      <c r="C14" s="16"/>
      <c r="D14" s="31" t="s">
        <v>27</v>
      </c>
      <c r="E14" s="32">
        <v>8</v>
      </c>
      <c r="F14" s="59">
        <f>(2*F13+F16)/3</f>
        <v>0.32767506591021672</v>
      </c>
      <c r="G14" s="35">
        <f t="shared" si="4"/>
        <v>33.589673308304434</v>
      </c>
      <c r="H14" s="32">
        <f t="shared" si="5"/>
        <v>35</v>
      </c>
      <c r="I14" s="33">
        <f>$B$26*$B$14*$B$15*(F14^2)/($B$9*2*(1-F14))</f>
        <v>1836.3483005846404</v>
      </c>
      <c r="J14" s="33">
        <f>$B$26*$B$14*$B$15*$B$19</f>
        <v>702.80000000000007</v>
      </c>
      <c r="K14" s="33">
        <f t="shared" si="6"/>
        <v>1133.5483005846404</v>
      </c>
      <c r="L14" s="36">
        <f t="shared" si="7"/>
        <v>86280.339496898101</v>
      </c>
      <c r="N14" s="45">
        <f t="shared" si="0"/>
        <v>0.86280339496898106</v>
      </c>
      <c r="O14" s="46">
        <f t="shared" si="1"/>
        <v>1.1335483005846405</v>
      </c>
      <c r="P14" s="45">
        <f t="shared" si="2"/>
        <v>1.1458135129416629</v>
      </c>
      <c r="Q14" s="46">
        <f t="shared" si="3"/>
        <v>1.5167177609048266</v>
      </c>
    </row>
    <row r="15" spans="1:17">
      <c r="A15" s="6" t="s">
        <v>7</v>
      </c>
      <c r="B15" s="7">
        <f>B13-7</f>
        <v>77</v>
      </c>
      <c r="C15" s="16"/>
      <c r="D15" s="31" t="s">
        <v>27</v>
      </c>
      <c r="E15" s="32">
        <v>9</v>
      </c>
      <c r="F15" s="59">
        <f>(F13+2*F16)/3</f>
        <v>0.27311074958105125</v>
      </c>
      <c r="G15" s="35">
        <f t="shared" si="4"/>
        <v>34.990157427419682</v>
      </c>
      <c r="H15" s="32">
        <f t="shared" si="5"/>
        <v>35</v>
      </c>
      <c r="I15" s="33">
        <f>$B$26*$B$14*$B$15*(F15^2)/($B$9*2*(1-F15))</f>
        <v>1179.9315845377305</v>
      </c>
      <c r="J15" s="33">
        <f>$B$26*$B$14*$B$15*$B$19</f>
        <v>702.80000000000007</v>
      </c>
      <c r="K15" s="33">
        <f t="shared" si="6"/>
        <v>477.13158453773042</v>
      </c>
      <c r="L15" s="36">
        <f t="shared" si="7"/>
        <v>65883.99189655995</v>
      </c>
      <c r="N15" s="45">
        <f t="shared" si="0"/>
        <v>0.65883991896559946</v>
      </c>
      <c r="O15" s="46">
        <f t="shared" si="1"/>
        <v>0.47713158453773041</v>
      </c>
      <c r="P15" s="45">
        <f t="shared" si="2"/>
        <v>0.87282574158064219</v>
      </c>
      <c r="Q15" s="46">
        <f t="shared" si="3"/>
        <v>0.63741316508939505</v>
      </c>
    </row>
    <row r="16" spans="1:17" ht="15.75" thickBot="1">
      <c r="A16" s="6" t="s">
        <v>34</v>
      </c>
      <c r="B16" s="7">
        <v>7</v>
      </c>
      <c r="C16" s="16"/>
      <c r="D16" s="38" t="s">
        <v>28</v>
      </c>
      <c r="E16" s="39">
        <v>10</v>
      </c>
      <c r="F16" s="57">
        <f>B38</f>
        <v>0.21854643325188575</v>
      </c>
      <c r="G16" s="40">
        <f t="shared" si="4"/>
        <v>36.39064154653493</v>
      </c>
      <c r="H16" s="39">
        <f t="shared" si="5"/>
        <v>35</v>
      </c>
      <c r="I16" s="41">
        <f>$B$26*$B$14*$B$15*(F16^2)/($B$9*2*(1-F16))</f>
        <v>702.80000000000018</v>
      </c>
      <c r="J16" s="41">
        <f>$B$26*$B$14*$B$15*$B$19</f>
        <v>702.80000000000007</v>
      </c>
      <c r="K16" s="41">
        <f t="shared" si="6"/>
        <v>0</v>
      </c>
      <c r="L16" s="42">
        <f t="shared" si="7"/>
        <v>50173.342878904761</v>
      </c>
      <c r="N16" s="47">
        <f t="shared" si="0"/>
        <v>0.50173342878904759</v>
      </c>
      <c r="O16" s="48">
        <f t="shared" si="1"/>
        <v>0</v>
      </c>
      <c r="P16" s="47">
        <f t="shared" si="2"/>
        <v>0.66300488804266988</v>
      </c>
      <c r="Q16" s="48">
        <f t="shared" si="3"/>
        <v>0</v>
      </c>
    </row>
    <row r="17" spans="1:21">
      <c r="A17" s="6" t="s">
        <v>35</v>
      </c>
      <c r="B17" s="50">
        <f>B16/B15</f>
        <v>9.0909090909090912E-2</v>
      </c>
      <c r="C17" s="16"/>
      <c r="S17" s="11"/>
      <c r="T17" s="2"/>
      <c r="U17" s="2"/>
    </row>
    <row r="18" spans="1:21" ht="15.75" thickBot="1">
      <c r="A18" s="6" t="s">
        <v>36</v>
      </c>
      <c r="B18" s="49">
        <v>0.502</v>
      </c>
      <c r="C18" s="16"/>
    </row>
    <row r="19" spans="1:21" ht="15.75" thickBot="1">
      <c r="A19" s="8" t="s">
        <v>37</v>
      </c>
      <c r="B19" s="9">
        <f>B18/B14/B15</f>
        <v>4.6567717996289426E-4</v>
      </c>
      <c r="C19" s="16"/>
      <c r="D19" s="110" t="s">
        <v>42</v>
      </c>
      <c r="E19" s="111"/>
      <c r="F19" s="18"/>
      <c r="G19" s="18"/>
      <c r="H19" s="18"/>
      <c r="I19" s="18"/>
      <c r="J19" s="18"/>
      <c r="K19" s="18" t="s">
        <v>17</v>
      </c>
      <c r="L19" s="19" t="s">
        <v>14</v>
      </c>
    </row>
    <row r="20" spans="1:21" ht="15.75" thickBot="1">
      <c r="C20" s="16"/>
      <c r="D20" s="12" t="s">
        <v>47</v>
      </c>
      <c r="E20" s="17" t="s">
        <v>48</v>
      </c>
      <c r="F20" s="17" t="s">
        <v>38</v>
      </c>
      <c r="G20" s="17" t="s">
        <v>39</v>
      </c>
      <c r="H20" s="17" t="s">
        <v>40</v>
      </c>
      <c r="I20" s="17" t="s">
        <v>23</v>
      </c>
      <c r="J20" s="17" t="s">
        <v>26</v>
      </c>
      <c r="K20" s="20">
        <f>B30</f>
        <v>11527.679999999998</v>
      </c>
      <c r="L20" s="13">
        <v>0</v>
      </c>
    </row>
    <row r="21" spans="1:21">
      <c r="A21" s="104" t="s">
        <v>8</v>
      </c>
      <c r="B21" s="105"/>
      <c r="C21" s="16"/>
      <c r="D21" s="12" t="s">
        <v>18</v>
      </c>
      <c r="E21" s="17">
        <v>1</v>
      </c>
      <c r="F21" s="17"/>
      <c r="G21" s="21">
        <f>B13*((1/2)-(1/3))</f>
        <v>14.000000000000002</v>
      </c>
      <c r="H21" s="17"/>
      <c r="I21" s="17"/>
      <c r="J21" s="17"/>
      <c r="K21" s="20">
        <f>B23*B14*B13</f>
        <v>11527.679999999998</v>
      </c>
      <c r="L21" s="22">
        <f>(B25-B23)*B14*B13*G21</f>
        <v>127654.46400000001</v>
      </c>
    </row>
    <row r="22" spans="1:21">
      <c r="A22" s="6" t="s">
        <v>9</v>
      </c>
      <c r="B22" s="51">
        <f>0.2*B5*(1-(B12/(40*B14))^{3})</f>
        <v>7.370262390670554</v>
      </c>
      <c r="C22" s="16"/>
      <c r="D22" s="12" t="s">
        <v>19</v>
      </c>
      <c r="E22" s="17">
        <v>2</v>
      </c>
      <c r="F22" s="17">
        <f>B13/B15</f>
        <v>1.0909090909090908</v>
      </c>
      <c r="G22" s="21">
        <f t="shared" ref="G22:G30" si="8">$B$15*(((1+$B$17)/2)-(F22/3))</f>
        <v>14</v>
      </c>
      <c r="H22" s="17"/>
      <c r="I22" s="17"/>
      <c r="J22" s="17"/>
      <c r="K22" s="20">
        <f>B25*B14*B13/2</f>
        <v>10322.928000000002</v>
      </c>
      <c r="L22" s="22">
        <f>K22*G22</f>
        <v>144520.99200000003</v>
      </c>
    </row>
    <row r="23" spans="1:21">
      <c r="A23" s="6" t="s">
        <v>43</v>
      </c>
      <c r="B23" s="51">
        <f>1.33*B22</f>
        <v>9.802448979591837</v>
      </c>
      <c r="C23" s="16"/>
      <c r="D23" s="12" t="s">
        <v>20</v>
      </c>
      <c r="E23" s="17">
        <v>3</v>
      </c>
      <c r="F23" s="17">
        <f>(F22+F24)/2</f>
        <v>1.0454545454545454</v>
      </c>
      <c r="G23" s="21">
        <f t="shared" si="8"/>
        <v>15.166666666666666</v>
      </c>
      <c r="H23" s="17"/>
      <c r="I23" s="20">
        <f>$B$25*$B$14*$B$15*F23/2</f>
        <v>9892.8060000000005</v>
      </c>
      <c r="J23" s="17"/>
      <c r="K23" s="20">
        <f>I23</f>
        <v>9892.8060000000005</v>
      </c>
      <c r="L23" s="22">
        <f>K23*G23</f>
        <v>150040.891</v>
      </c>
    </row>
    <row r="24" spans="1:21">
      <c r="A24" s="6" t="s">
        <v>10</v>
      </c>
      <c r="B24" s="7">
        <f>IF(0.33*B5&gt;63,63,0.33*B5)</f>
        <v>13.200000000000001</v>
      </c>
      <c r="C24" s="16"/>
      <c r="D24" s="12" t="s">
        <v>21</v>
      </c>
      <c r="E24" s="17">
        <v>4</v>
      </c>
      <c r="F24" s="17">
        <v>1</v>
      </c>
      <c r="G24" s="21">
        <f t="shared" si="8"/>
        <v>16.333333333333332</v>
      </c>
      <c r="H24" s="17">
        <f t="shared" ref="H24:H30" si="9">(1-$B$17)*$B$15/2</f>
        <v>35</v>
      </c>
      <c r="I24" s="20">
        <f>$B$25*$B$14*$B$15*F24/2</f>
        <v>9462.6840000000011</v>
      </c>
      <c r="J24" s="17"/>
      <c r="K24" s="20">
        <f>I24</f>
        <v>9462.6840000000011</v>
      </c>
      <c r="L24" s="22">
        <f>K24*G24</f>
        <v>154557.17200000002</v>
      </c>
    </row>
    <row r="25" spans="1:21">
      <c r="A25" s="6" t="s">
        <v>32</v>
      </c>
      <c r="B25" s="7">
        <f>1.33*B24</f>
        <v>17.556000000000001</v>
      </c>
      <c r="C25" s="16"/>
      <c r="D25" s="12" t="s">
        <v>22</v>
      </c>
      <c r="E25" s="17">
        <v>5</v>
      </c>
      <c r="F25" s="59">
        <f>(2*F24+F27)/3</f>
        <v>0.79458908796167149</v>
      </c>
      <c r="G25" s="21">
        <f t="shared" si="8"/>
        <v>21.605546742317095</v>
      </c>
      <c r="H25" s="17">
        <f t="shared" si="9"/>
        <v>35</v>
      </c>
      <c r="I25" s="20">
        <f>$B$25*$B$14*$B$15*F25/2</f>
        <v>7518.9454492295026</v>
      </c>
      <c r="J25" s="20">
        <f>$B$25*$B$15*$B$14*$B$9*$B$19*(1-F25)/F25</f>
        <v>149.51319424915326</v>
      </c>
      <c r="K25" s="20">
        <f t="shared" ref="K25:K30" si="10">I25-J25</f>
        <v>7369.4322549803492</v>
      </c>
      <c r="L25" s="22">
        <f t="shared" ref="L25:L30" si="11">I25*G25+J25*H25</f>
        <v>167683.88915498077</v>
      </c>
    </row>
    <row r="26" spans="1:21">
      <c r="A26" s="6" t="s">
        <v>11</v>
      </c>
      <c r="B26" s="52">
        <v>1400</v>
      </c>
      <c r="C26" s="16"/>
      <c r="D26" s="12" t="s">
        <v>22</v>
      </c>
      <c r="E26" s="17">
        <v>6</v>
      </c>
      <c r="F26" s="59">
        <f>(F24+2*F27)/3</f>
        <v>0.58917817592334287</v>
      </c>
      <c r="G26" s="21">
        <f t="shared" si="8"/>
        <v>26.877760151300862</v>
      </c>
      <c r="H26" s="17">
        <f t="shared" si="9"/>
        <v>35</v>
      </c>
      <c r="I26" s="20">
        <f>$B$25*$B$14*$B$15*F26/2</f>
        <v>5575.2068984590023</v>
      </c>
      <c r="J26" s="20">
        <f>$B$25*$B$15*$B$14*$B$9*$B$19*(1-F26)/F26</f>
        <v>403.27886371720609</v>
      </c>
      <c r="K26" s="20">
        <f t="shared" si="10"/>
        <v>5171.9280347417962</v>
      </c>
      <c r="L26" s="22">
        <f t="shared" si="11"/>
        <v>163963.83404076128</v>
      </c>
    </row>
    <row r="27" spans="1:21" ht="15.75" thickBot="1">
      <c r="A27" s="8" t="s">
        <v>30</v>
      </c>
      <c r="B27" s="53">
        <v>1850</v>
      </c>
      <c r="C27" s="16"/>
      <c r="D27" s="12" t="s">
        <v>45</v>
      </c>
      <c r="E27" s="17">
        <v>7</v>
      </c>
      <c r="F27" s="23">
        <f>B34</f>
        <v>0.38376726388501431</v>
      </c>
      <c r="G27" s="21">
        <f t="shared" si="8"/>
        <v>32.149973560284629</v>
      </c>
      <c r="H27" s="17">
        <f t="shared" si="9"/>
        <v>35</v>
      </c>
      <c r="I27" s="20">
        <f>$B$25*$B$14*$B$15*F27/2</f>
        <v>3631.4683476885029</v>
      </c>
      <c r="J27" s="20">
        <f>$B$25*$B$15*$B$14*$B$9*$B$19*(1-F27)/F27</f>
        <v>928.70000000000016</v>
      </c>
      <c r="K27" s="20">
        <f t="shared" si="10"/>
        <v>2702.7683476885027</v>
      </c>
      <c r="L27" s="22">
        <f t="shared" si="11"/>
        <v>149256.11136319587</v>
      </c>
      <c r="O27" s="4"/>
    </row>
    <row r="28" spans="1:21">
      <c r="A28" s="104" t="s">
        <v>12</v>
      </c>
      <c r="B28" s="105"/>
      <c r="C28" s="16"/>
      <c r="D28" s="12" t="s">
        <v>27</v>
      </c>
      <c r="E28" s="17">
        <v>8</v>
      </c>
      <c r="F28" s="59">
        <f>(2*F27+F30)/3</f>
        <v>0.32869365367397146</v>
      </c>
      <c r="G28" s="21">
        <f t="shared" si="8"/>
        <v>33.5635295557014</v>
      </c>
      <c r="H28" s="17">
        <f t="shared" si="9"/>
        <v>35</v>
      </c>
      <c r="I28" s="20">
        <f>$B$27*$B$14*$B$15*(F28^2)/($B$9*2*(1-F28))</f>
        <v>2445.4177609048265</v>
      </c>
      <c r="J28" s="20">
        <f>$B$27*$B$14*$B$15*$B$19</f>
        <v>928.7</v>
      </c>
      <c r="K28" s="20">
        <f t="shared" si="10"/>
        <v>1516.7177609048265</v>
      </c>
      <c r="L28" s="22">
        <f t="shared" si="11"/>
        <v>114581.35129416629</v>
      </c>
      <c r="O28" s="4"/>
    </row>
    <row r="29" spans="1:21">
      <c r="A29" s="6" t="s">
        <v>13</v>
      </c>
      <c r="B29" s="7">
        <f>B22*B14*B13</f>
        <v>8667.4285714285706</v>
      </c>
      <c r="C29" s="16"/>
      <c r="D29" s="12" t="s">
        <v>27</v>
      </c>
      <c r="E29" s="17">
        <v>9</v>
      </c>
      <c r="F29" s="59">
        <f>(F27+2*F30)/3</f>
        <v>0.27362004346292862</v>
      </c>
      <c r="G29" s="21">
        <f t="shared" si="8"/>
        <v>34.977085551118165</v>
      </c>
      <c r="H29" s="17">
        <f t="shared" si="9"/>
        <v>35</v>
      </c>
      <c r="I29" s="20">
        <f>$B$27*$B$14*$B$15*(F29^2)/($B$9*2*(1-F29))</f>
        <v>1566.1131650893951</v>
      </c>
      <c r="J29" s="20">
        <f>$B$27*$B$14*$B$15*$B$19</f>
        <v>928.7</v>
      </c>
      <c r="K29" s="20">
        <f t="shared" si="10"/>
        <v>637.41316508939508</v>
      </c>
      <c r="L29" s="22">
        <f t="shared" si="11"/>
        <v>87282.574158064221</v>
      </c>
      <c r="O29" s="4"/>
      <c r="P29" s="4"/>
    </row>
    <row r="30" spans="1:21" ht="15.75" thickBot="1">
      <c r="A30" s="8" t="s">
        <v>31</v>
      </c>
      <c r="B30" s="9">
        <f>B23*B14*B13</f>
        <v>11527.679999999998</v>
      </c>
      <c r="C30" s="16"/>
      <c r="D30" s="24" t="s">
        <v>28</v>
      </c>
      <c r="E30" s="25">
        <v>10</v>
      </c>
      <c r="F30" s="58">
        <f>B38</f>
        <v>0.21854643325188575</v>
      </c>
      <c r="G30" s="26">
        <f t="shared" si="8"/>
        <v>36.39064154653493</v>
      </c>
      <c r="H30" s="25">
        <f t="shared" si="9"/>
        <v>35</v>
      </c>
      <c r="I30" s="27">
        <f>$B$27*$B$14*$B$15*(F30^2)/($B$9*2*(1-F30))</f>
        <v>928.7</v>
      </c>
      <c r="J30" s="27">
        <f>$B$27*$B$14*$B$15*$B$19</f>
        <v>928.7</v>
      </c>
      <c r="K30" s="27">
        <f t="shared" si="10"/>
        <v>0</v>
      </c>
      <c r="L30" s="28">
        <f t="shared" si="11"/>
        <v>66300.488804266992</v>
      </c>
      <c r="O30" s="4"/>
    </row>
    <row r="31" spans="1:21" ht="15.75" thickBot="1">
      <c r="C31" s="16"/>
      <c r="J31" s="3"/>
      <c r="L31" s="4"/>
      <c r="O31" s="4"/>
    </row>
    <row r="32" spans="1:21">
      <c r="A32" s="104" t="s">
        <v>29</v>
      </c>
      <c r="B32" s="105"/>
      <c r="C32" s="16"/>
      <c r="J32" s="3"/>
      <c r="L32" s="4"/>
      <c r="O32" s="4"/>
    </row>
    <row r="33" spans="1:16">
      <c r="A33" s="6" t="s">
        <v>25</v>
      </c>
      <c r="B33" s="7">
        <f>B9/(B9+(B26/B24))</f>
        <v>0.38223938223938225</v>
      </c>
      <c r="C33" s="16"/>
      <c r="I33" s="1"/>
      <c r="J33" s="3"/>
      <c r="K33" s="3"/>
      <c r="L33" s="4"/>
      <c r="O33" s="4"/>
    </row>
    <row r="34" spans="1:16" ht="15.75" thickBot="1">
      <c r="A34" s="8" t="s">
        <v>33</v>
      </c>
      <c r="B34" s="9">
        <f>B9/(B9+(B27/B25))</f>
        <v>0.38376726388501431</v>
      </c>
      <c r="C34" s="16"/>
      <c r="J34" s="3"/>
      <c r="K34" s="3"/>
      <c r="L34" s="4"/>
      <c r="O34" s="4"/>
    </row>
    <row r="35" spans="1:16" ht="15.75" thickBot="1">
      <c r="C35" s="16"/>
      <c r="J35" s="3"/>
      <c r="K35" s="3"/>
      <c r="L35" s="4"/>
      <c r="O35" s="4"/>
      <c r="P35" s="4"/>
    </row>
    <row r="36" spans="1:16">
      <c r="A36" s="104" t="s">
        <v>54</v>
      </c>
      <c r="B36" s="105"/>
      <c r="C36" s="16"/>
      <c r="J36" s="3"/>
      <c r="K36" s="3"/>
      <c r="L36" s="4"/>
      <c r="O36" s="4"/>
      <c r="P36" s="4"/>
    </row>
    <row r="37" spans="1:16">
      <c r="A37" s="6"/>
      <c r="B37" s="7">
        <f>2*B9*B19</f>
        <v>6.1120129870129873E-2</v>
      </c>
      <c r="C37" s="16"/>
    </row>
    <row r="38" spans="1:16" ht="15.75" thickBot="1">
      <c r="A38" s="8" t="s">
        <v>55</v>
      </c>
      <c r="B38" s="9">
        <f>0.5*(-B37+SQRT(B37^2+4*B37))</f>
        <v>0.21854643325188575</v>
      </c>
      <c r="C38" s="16"/>
    </row>
    <row r="39" spans="1:16">
      <c r="A39" s="16"/>
      <c r="B39" s="16"/>
      <c r="C39" s="16"/>
    </row>
    <row r="40" spans="1:16">
      <c r="C40" s="16"/>
    </row>
    <row r="41" spans="1:16">
      <c r="C41" s="16"/>
    </row>
    <row r="42" spans="1:16">
      <c r="C42" s="16"/>
    </row>
    <row r="43" spans="1:16">
      <c r="C43" s="16"/>
    </row>
    <row r="44" spans="1:16">
      <c r="A44" s="16"/>
      <c r="B44" s="16"/>
      <c r="C44" s="16"/>
    </row>
    <row r="45" spans="1:16">
      <c r="A45" s="16"/>
      <c r="B45" s="16"/>
      <c r="C45" s="16"/>
    </row>
    <row r="46" spans="1:16">
      <c r="A46" s="16"/>
      <c r="B46" s="16"/>
      <c r="C46" s="16"/>
    </row>
    <row r="47" spans="1:16">
      <c r="A47" s="16"/>
      <c r="B47" s="16"/>
      <c r="C47" s="16"/>
    </row>
  </sheetData>
  <mergeCells count="14">
    <mergeCell ref="A21:B21"/>
    <mergeCell ref="A28:B28"/>
    <mergeCell ref="D2:L2"/>
    <mergeCell ref="A36:B36"/>
    <mergeCell ref="A32:B32"/>
    <mergeCell ref="D19:E19"/>
    <mergeCell ref="D5:E5"/>
    <mergeCell ref="A1:C1"/>
    <mergeCell ref="A4:B4"/>
    <mergeCell ref="A7:B7"/>
    <mergeCell ref="A11:B11"/>
    <mergeCell ref="P4:Q4"/>
    <mergeCell ref="A3:B3"/>
    <mergeCell ref="N4:O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"/>
  <sheetViews>
    <sheetView tabSelected="1" zoomScale="70" zoomScaleNormal="70" workbookViewId="0">
      <selection activeCell="L7" sqref="L7"/>
    </sheetView>
  </sheetViews>
  <sheetFormatPr baseColWidth="10" defaultColWidth="9.140625" defaultRowHeight="15"/>
  <cols>
    <col min="1" max="1" width="19" customWidth="1"/>
    <col min="3" max="3" width="24.28515625" customWidth="1"/>
    <col min="4" max="4" width="11.42578125" customWidth="1"/>
    <col min="10" max="10" width="11.5703125" customWidth="1"/>
    <col min="11" max="11" width="9.5703125" bestFit="1" customWidth="1"/>
    <col min="14" max="14" width="11.140625" customWidth="1"/>
    <col min="19" max="19" width="12.42578125" customWidth="1"/>
    <col min="20" max="20" width="12.140625" customWidth="1"/>
    <col min="21" max="21" width="10.42578125" customWidth="1"/>
  </cols>
  <sheetData>
    <row r="1" spans="1:17">
      <c r="A1" s="103"/>
      <c r="B1" s="103"/>
      <c r="C1" s="103"/>
    </row>
    <row r="2" spans="1:17" ht="21.75" thickBot="1">
      <c r="A2" s="44"/>
      <c r="B2" s="44"/>
      <c r="C2" s="44"/>
      <c r="D2" s="5"/>
      <c r="E2" s="5"/>
      <c r="F2" s="109" t="s">
        <v>52</v>
      </c>
      <c r="G2" s="109"/>
      <c r="H2" s="109"/>
      <c r="I2" s="109"/>
      <c r="J2" s="109"/>
      <c r="K2" s="109"/>
      <c r="L2" s="109"/>
      <c r="M2" s="109"/>
      <c r="N2" s="109"/>
    </row>
    <row r="3" spans="1:17" ht="15.75" thickBot="1">
      <c r="A3" s="106" t="s">
        <v>0</v>
      </c>
      <c r="B3" s="107"/>
      <c r="C3" s="44"/>
      <c r="D3" s="5"/>
      <c r="E3" s="5"/>
    </row>
    <row r="4" spans="1:17" ht="15.75" thickBot="1">
      <c r="A4" s="104" t="s">
        <v>1</v>
      </c>
      <c r="B4" s="105"/>
      <c r="C4" s="16"/>
      <c r="N4" s="108" t="s">
        <v>49</v>
      </c>
      <c r="O4" s="108"/>
      <c r="P4" s="108" t="s">
        <v>50</v>
      </c>
      <c r="Q4" s="108"/>
    </row>
    <row r="5" spans="1:17">
      <c r="A5" s="6" t="s">
        <v>2</v>
      </c>
      <c r="B5" s="15">
        <v>80</v>
      </c>
      <c r="C5" s="16"/>
      <c r="D5" s="112" t="s">
        <v>46</v>
      </c>
      <c r="E5" s="113"/>
      <c r="F5" s="29"/>
      <c r="G5" s="29"/>
      <c r="H5" s="29"/>
      <c r="I5" s="29"/>
      <c r="J5" s="29"/>
      <c r="K5" s="29" t="s">
        <v>17</v>
      </c>
      <c r="L5" s="30" t="s">
        <v>14</v>
      </c>
      <c r="N5" s="43" t="s">
        <v>15</v>
      </c>
      <c r="O5" s="43" t="s">
        <v>16</v>
      </c>
      <c r="P5" s="43" t="s">
        <v>15</v>
      </c>
      <c r="Q5" s="43" t="s">
        <v>16</v>
      </c>
    </row>
    <row r="6" spans="1:17" ht="15.75" thickBot="1">
      <c r="A6" s="8" t="s">
        <v>3</v>
      </c>
      <c r="B6" s="10">
        <f>700*B5</f>
        <v>56000</v>
      </c>
      <c r="C6" s="16"/>
      <c r="D6" s="31" t="s">
        <v>47</v>
      </c>
      <c r="E6" s="32" t="s">
        <v>48</v>
      </c>
      <c r="F6" s="32" t="s">
        <v>38</v>
      </c>
      <c r="G6" s="32" t="s">
        <v>39</v>
      </c>
      <c r="H6" s="32" t="s">
        <v>40</v>
      </c>
      <c r="I6" s="32" t="s">
        <v>23</v>
      </c>
      <c r="J6" s="32" t="s">
        <v>26</v>
      </c>
      <c r="K6" s="33">
        <f>B29</f>
        <v>17334.857142857141</v>
      </c>
      <c r="L6" s="34">
        <v>0</v>
      </c>
      <c r="N6" s="45">
        <f t="shared" ref="N6:N16" si="0">L6/100000</f>
        <v>0</v>
      </c>
      <c r="O6" s="46">
        <f t="shared" ref="O6:O16" si="1">K6/1000</f>
        <v>17.334857142857143</v>
      </c>
      <c r="P6" s="45">
        <f t="shared" ref="P6:P16" si="2">L20/100000</f>
        <v>0</v>
      </c>
      <c r="Q6" s="46">
        <f t="shared" ref="Q6:Q16" si="3">K20/1000</f>
        <v>23.05536</v>
      </c>
    </row>
    <row r="7" spans="1:17" ht="15.75" thickBot="1">
      <c r="A7" s="106" t="s">
        <v>4</v>
      </c>
      <c r="B7" s="107"/>
      <c r="C7" s="16"/>
      <c r="D7" s="31" t="s">
        <v>18</v>
      </c>
      <c r="E7" s="32">
        <v>1</v>
      </c>
      <c r="F7" s="32"/>
      <c r="G7" s="35">
        <f>B13*((1/2)-(1/3))</f>
        <v>2.3333333333333335</v>
      </c>
      <c r="H7" s="32"/>
      <c r="I7" s="32"/>
      <c r="J7" s="32"/>
      <c r="K7" s="33">
        <f>B22*B14*B13</f>
        <v>17334.857142857141</v>
      </c>
      <c r="L7" s="36">
        <f>(B24-B22)*B14*B13*G7</f>
        <v>31993.600000000009</v>
      </c>
      <c r="N7" s="45">
        <f t="shared" si="0"/>
        <v>0.31993600000000011</v>
      </c>
      <c r="O7" s="46">
        <f t="shared" si="1"/>
        <v>17.334857142857143</v>
      </c>
      <c r="P7" s="45">
        <f t="shared" si="2"/>
        <v>0.42551487999999998</v>
      </c>
      <c r="Q7" s="46">
        <f t="shared" si="3"/>
        <v>23.05536</v>
      </c>
    </row>
    <row r="8" spans="1:17">
      <c r="A8" s="6" t="s">
        <v>5</v>
      </c>
      <c r="B8" s="15">
        <v>2100000</v>
      </c>
      <c r="C8" s="16"/>
      <c r="D8" s="31" t="s">
        <v>19</v>
      </c>
      <c r="E8" s="32">
        <v>2</v>
      </c>
      <c r="F8" s="32">
        <f>B13/B15</f>
        <v>2</v>
      </c>
      <c r="G8" s="35">
        <f t="shared" ref="G8:G16" si="4">$B$15*(((1+$B$17)/2)-(F8/3))</f>
        <v>2.3333333333333335</v>
      </c>
      <c r="H8" s="32"/>
      <c r="I8" s="32"/>
      <c r="J8" s="32"/>
      <c r="K8" s="33">
        <f>B24*B14*B13/2</f>
        <v>15523.200000000003</v>
      </c>
      <c r="L8" s="36">
        <f>K8*G8</f>
        <v>36220.80000000001</v>
      </c>
      <c r="N8" s="45">
        <f t="shared" si="0"/>
        <v>0.36220800000000009</v>
      </c>
      <c r="O8" s="46">
        <f t="shared" si="1"/>
        <v>15.523200000000003</v>
      </c>
      <c r="P8" s="45">
        <f t="shared" si="2"/>
        <v>0.4817366400000001</v>
      </c>
      <c r="Q8" s="46">
        <f t="shared" si="3"/>
        <v>20.645856000000002</v>
      </c>
    </row>
    <row r="9" spans="1:17" ht="15.75" thickBot="1">
      <c r="A9" s="8" t="s">
        <v>24</v>
      </c>
      <c r="B9" s="10">
        <f>B8/B6</f>
        <v>37.5</v>
      </c>
      <c r="C9" s="16"/>
      <c r="D9" s="31" t="s">
        <v>20</v>
      </c>
      <c r="E9" s="32">
        <v>3</v>
      </c>
      <c r="F9" s="32">
        <f>(F8+F10)/2</f>
        <v>1.5</v>
      </c>
      <c r="G9" s="35">
        <f t="shared" si="4"/>
        <v>3.5</v>
      </c>
      <c r="H9" s="32"/>
      <c r="I9" s="33">
        <f>$B$24*$B$14*$B$15*F9/2</f>
        <v>11642.400000000001</v>
      </c>
      <c r="J9" s="32"/>
      <c r="K9" s="33">
        <f>I9</f>
        <v>11642.400000000001</v>
      </c>
      <c r="L9" s="36">
        <f>K9*G9</f>
        <v>40748.400000000009</v>
      </c>
      <c r="N9" s="45">
        <f t="shared" si="0"/>
        <v>0.40748400000000007</v>
      </c>
      <c r="O9" s="46">
        <f t="shared" si="1"/>
        <v>11.642400000000002</v>
      </c>
      <c r="P9" s="45">
        <f t="shared" si="2"/>
        <v>0.54195372000000008</v>
      </c>
      <c r="Q9" s="46">
        <f t="shared" si="3"/>
        <v>15.484392000000003</v>
      </c>
    </row>
    <row r="10" spans="1:17" ht="15.75" thickBot="1">
      <c r="A10" s="16"/>
      <c r="B10" s="16"/>
      <c r="C10" s="16"/>
      <c r="D10" s="31" t="s">
        <v>21</v>
      </c>
      <c r="E10" s="32">
        <v>4</v>
      </c>
      <c r="F10" s="32">
        <v>1</v>
      </c>
      <c r="G10" s="35">
        <f t="shared" si="4"/>
        <v>4.666666666666667</v>
      </c>
      <c r="H10" s="32">
        <f t="shared" ref="H10:H16" si="5">(1-$B$17)*$B$15/2</f>
        <v>0</v>
      </c>
      <c r="I10" s="33">
        <f>$B$24*$B$14*$B$15*F10/2</f>
        <v>7761.6000000000013</v>
      </c>
      <c r="J10" s="32"/>
      <c r="K10" s="33">
        <f>I10</f>
        <v>7761.6000000000013</v>
      </c>
      <c r="L10" s="36">
        <f>K10*G10</f>
        <v>36220.80000000001</v>
      </c>
      <c r="N10" s="45">
        <f t="shared" si="0"/>
        <v>0.36220800000000009</v>
      </c>
      <c r="O10" s="46">
        <f t="shared" si="1"/>
        <v>7.7616000000000014</v>
      </c>
      <c r="P10" s="45">
        <f t="shared" si="2"/>
        <v>0.4817366400000001</v>
      </c>
      <c r="Q10" s="46">
        <f t="shared" si="3"/>
        <v>10.322928000000001</v>
      </c>
    </row>
    <row r="11" spans="1:17" ht="15.75" thickBot="1">
      <c r="A11" s="106" t="s">
        <v>6</v>
      </c>
      <c r="B11" s="107"/>
      <c r="C11" s="16"/>
      <c r="D11" s="31" t="s">
        <v>22</v>
      </c>
      <c r="E11" s="32">
        <v>5</v>
      </c>
      <c r="F11" s="59">
        <f>(2*F10+F13)/3</f>
        <v>0.80474198047419809</v>
      </c>
      <c r="G11" s="35">
        <f t="shared" si="4"/>
        <v>5.1222687122268713</v>
      </c>
      <c r="H11" s="32">
        <f t="shared" si="5"/>
        <v>0</v>
      </c>
      <c r="I11" s="33">
        <f>$B$24*$B$14*$B$15*F11/2</f>
        <v>6246.0853556485372</v>
      </c>
      <c r="J11" s="33">
        <f>$B$24*$B$15*$B$14*$B$9*$B$19*(1-F11)/F11</f>
        <v>120.58440207972266</v>
      </c>
      <c r="K11" s="33">
        <f t="shared" ref="K11:K16" si="6">I11-J11</f>
        <v>6125.5009535688141</v>
      </c>
      <c r="L11" s="36">
        <f t="shared" ref="L11:L16" si="7">I11*G11+J11*H11</f>
        <v>31994.127591136952</v>
      </c>
      <c r="N11" s="45">
        <f t="shared" si="0"/>
        <v>0.3199412759113695</v>
      </c>
      <c r="O11" s="46">
        <f t="shared" si="1"/>
        <v>6.1255009535688139</v>
      </c>
      <c r="P11" s="45">
        <f t="shared" si="2"/>
        <v>0.42569707618717401</v>
      </c>
      <c r="Q11" s="46">
        <f t="shared" si="3"/>
        <v>8.1528511909847872</v>
      </c>
    </row>
    <row r="12" spans="1:17">
      <c r="A12" s="6" t="s">
        <v>41</v>
      </c>
      <c r="B12" s="54">
        <f>'En el plano'!B12</f>
        <v>240</v>
      </c>
      <c r="C12" s="16"/>
      <c r="D12" s="31" t="s">
        <v>22</v>
      </c>
      <c r="E12" s="32">
        <v>6</v>
      </c>
      <c r="F12" s="59">
        <f>(F10+2*F13)/3</f>
        <v>0.60948396094839608</v>
      </c>
      <c r="G12" s="35">
        <f t="shared" si="4"/>
        <v>5.5778707577870765</v>
      </c>
      <c r="H12" s="32">
        <f t="shared" si="5"/>
        <v>0</v>
      </c>
      <c r="I12" s="33">
        <f>$B$24*$B$14*$B$15*F12/2</f>
        <v>4730.5707112970722</v>
      </c>
      <c r="J12" s="33">
        <f>$B$24*$B$15*$B$14*$B$9*$B$19*(1-F12)/F12</f>
        <v>318.43112128146458</v>
      </c>
      <c r="K12" s="33">
        <f t="shared" si="6"/>
        <v>4412.1395900156076</v>
      </c>
      <c r="L12" s="36">
        <f t="shared" si="7"/>
        <v>26386.51203818795</v>
      </c>
      <c r="N12" s="45">
        <f t="shared" si="0"/>
        <v>0.26386512038187948</v>
      </c>
      <c r="O12" s="46">
        <f t="shared" si="1"/>
        <v>4.4121395900156077</v>
      </c>
      <c r="P12" s="45">
        <f t="shared" si="2"/>
        <v>0.35138926926570058</v>
      </c>
      <c r="Q12" s="46">
        <f t="shared" si="3"/>
        <v>5.8808069664679596</v>
      </c>
    </row>
    <row r="13" spans="1:17">
      <c r="A13" s="6" t="s">
        <v>51</v>
      </c>
      <c r="B13" s="54">
        <f>'En el plano'!B14</f>
        <v>14</v>
      </c>
      <c r="C13" s="16"/>
      <c r="D13" s="31" t="s">
        <v>45</v>
      </c>
      <c r="E13" s="32">
        <v>7</v>
      </c>
      <c r="F13" s="59">
        <f>B33</f>
        <v>0.41422594142259411</v>
      </c>
      <c r="G13" s="35">
        <f t="shared" si="4"/>
        <v>6.0334728033472809</v>
      </c>
      <c r="H13" s="32">
        <f t="shared" si="5"/>
        <v>0</v>
      </c>
      <c r="I13" s="33">
        <f>$B$24*$B$14*$B$15*F13/2</f>
        <v>3215.0560669456072</v>
      </c>
      <c r="J13" s="33">
        <f>$B$24*$B$15*$B$14*$B$9*$B$19*(1-F13)/F13</f>
        <v>702.80000000000007</v>
      </c>
      <c r="K13" s="33">
        <f t="shared" si="6"/>
        <v>2512.256066945607</v>
      </c>
      <c r="L13" s="36">
        <f t="shared" si="7"/>
        <v>19397.953341152996</v>
      </c>
      <c r="N13" s="45">
        <f t="shared" si="0"/>
        <v>0.19397953341152996</v>
      </c>
      <c r="O13" s="46">
        <f t="shared" si="1"/>
        <v>2.5122560669456071</v>
      </c>
      <c r="P13" s="45">
        <f t="shared" si="2"/>
        <v>0.25881321923557998</v>
      </c>
      <c r="Q13" s="46">
        <f t="shared" si="3"/>
        <v>3.3635282810496747</v>
      </c>
    </row>
    <row r="14" spans="1:17">
      <c r="A14" s="6" t="s">
        <v>53</v>
      </c>
      <c r="B14" s="49">
        <f>'En el plano'!B13</f>
        <v>84</v>
      </c>
      <c r="C14" s="16"/>
      <c r="D14" s="31" t="s">
        <v>27</v>
      </c>
      <c r="E14" s="32">
        <v>8</v>
      </c>
      <c r="F14" s="59">
        <f>(2*F13+F16)/3</f>
        <v>0.35049885137406583</v>
      </c>
      <c r="G14" s="35">
        <f t="shared" si="4"/>
        <v>6.182169346793847</v>
      </c>
      <c r="H14" s="32">
        <f t="shared" si="5"/>
        <v>0</v>
      </c>
      <c r="I14" s="33">
        <f>$B$26*$B$14*$B$15*(F14^2)/($B$9*2*(1-F14))</f>
        <v>2076.047916369374</v>
      </c>
      <c r="J14" s="33">
        <f>$B$26*$B$14*$B$15*$B$19</f>
        <v>702.80000000000007</v>
      </c>
      <c r="K14" s="33">
        <f t="shared" si="6"/>
        <v>1373.2479163693738</v>
      </c>
      <c r="L14" s="36">
        <f t="shared" si="7"/>
        <v>12834.47979105398</v>
      </c>
      <c r="N14" s="45">
        <f t="shared" si="0"/>
        <v>0.12834479791053979</v>
      </c>
      <c r="O14" s="46">
        <f t="shared" si="1"/>
        <v>1.3732479163693738</v>
      </c>
      <c r="P14" s="45">
        <f t="shared" si="2"/>
        <v>0.17082054084187978</v>
      </c>
      <c r="Q14" s="46">
        <f t="shared" si="3"/>
        <v>1.835508252491463</v>
      </c>
    </row>
    <row r="15" spans="1:17">
      <c r="A15" s="6" t="s">
        <v>7</v>
      </c>
      <c r="B15" s="7">
        <f>B13-7</f>
        <v>7</v>
      </c>
      <c r="C15" s="16"/>
      <c r="D15" s="31" t="s">
        <v>27</v>
      </c>
      <c r="E15" s="32">
        <v>9</v>
      </c>
      <c r="F15" s="59">
        <f>(F13+2*F16)/3</f>
        <v>0.28677176132553744</v>
      </c>
      <c r="G15" s="35">
        <f t="shared" si="4"/>
        <v>6.3308658902404122</v>
      </c>
      <c r="H15" s="32">
        <f t="shared" si="5"/>
        <v>0</v>
      </c>
      <c r="I15" s="33">
        <f>$B$26*$B$14*$B$15*(F15^2)/($B$9*2*(1-F15))</f>
        <v>1265.5763079075218</v>
      </c>
      <c r="J15" s="33">
        <f>$B$26*$B$14*$B$15*$B$19</f>
        <v>702.80000000000007</v>
      </c>
      <c r="K15" s="33">
        <f t="shared" si="6"/>
        <v>562.77630790752175</v>
      </c>
      <c r="L15" s="36">
        <f t="shared" si="7"/>
        <v>8012.1938792281271</v>
      </c>
      <c r="N15" s="45">
        <f t="shared" si="0"/>
        <v>8.0121938792281272E-2</v>
      </c>
      <c r="O15" s="46">
        <f t="shared" si="1"/>
        <v>0.56277630790752176</v>
      </c>
      <c r="P15" s="45">
        <f t="shared" si="2"/>
        <v>0.10631962458646479</v>
      </c>
      <c r="Q15" s="46">
        <f t="shared" si="3"/>
        <v>0.75100911700598161</v>
      </c>
    </row>
    <row r="16" spans="1:17" ht="15.75" thickBot="1">
      <c r="A16" s="6" t="s">
        <v>34</v>
      </c>
      <c r="B16" s="7">
        <v>7</v>
      </c>
      <c r="C16" s="16"/>
      <c r="D16" s="38" t="s">
        <v>28</v>
      </c>
      <c r="E16" s="39">
        <v>10</v>
      </c>
      <c r="F16" s="60">
        <f>B38</f>
        <v>0.22304467127700914</v>
      </c>
      <c r="G16" s="40">
        <f t="shared" si="4"/>
        <v>6.4795624336869784</v>
      </c>
      <c r="H16" s="39">
        <f t="shared" si="5"/>
        <v>0</v>
      </c>
      <c r="I16" s="41">
        <f>$B$26*$B$14*$B$15*(F16^2)/($B$9*2*(1-F16))</f>
        <v>702.80000000000007</v>
      </c>
      <c r="J16" s="41">
        <f>$B$26*$B$14*$B$15*$B$19</f>
        <v>702.80000000000007</v>
      </c>
      <c r="K16" s="41">
        <f t="shared" si="6"/>
        <v>0</v>
      </c>
      <c r="L16" s="42">
        <f t="shared" si="7"/>
        <v>4553.8364783952093</v>
      </c>
      <c r="N16" s="47">
        <f t="shared" si="0"/>
        <v>4.5538364783952096E-2</v>
      </c>
      <c r="O16" s="48">
        <f t="shared" si="1"/>
        <v>0</v>
      </c>
      <c r="P16" s="47">
        <f t="shared" si="2"/>
        <v>6.0175696321650977E-2</v>
      </c>
      <c r="Q16" s="48">
        <f t="shared" si="3"/>
        <v>0</v>
      </c>
    </row>
    <row r="17" spans="1:21">
      <c r="A17" s="6" t="s">
        <v>35</v>
      </c>
      <c r="B17" s="50">
        <f>B16/B15</f>
        <v>1</v>
      </c>
      <c r="C17" s="16"/>
      <c r="S17" s="11"/>
      <c r="T17" s="2"/>
      <c r="U17" s="2"/>
    </row>
    <row r="18" spans="1:21" ht="15.75" thickBot="1">
      <c r="A18" s="6" t="s">
        <v>36</v>
      </c>
      <c r="B18" s="49">
        <v>0.502</v>
      </c>
      <c r="C18" s="16"/>
    </row>
    <row r="19" spans="1:21" ht="15.75" thickBot="1">
      <c r="A19" s="8" t="s">
        <v>37</v>
      </c>
      <c r="B19" s="9">
        <f>B18/B14/B15</f>
        <v>8.5374149659863947E-4</v>
      </c>
      <c r="C19" s="16"/>
      <c r="D19" s="110" t="s">
        <v>42</v>
      </c>
      <c r="E19" s="111"/>
      <c r="F19" s="18"/>
      <c r="G19" s="18"/>
      <c r="H19" s="18"/>
      <c r="I19" s="18"/>
      <c r="J19" s="18"/>
      <c r="K19" s="18" t="s">
        <v>17</v>
      </c>
      <c r="L19" s="19" t="s">
        <v>14</v>
      </c>
    </row>
    <row r="20" spans="1:21" ht="15.75" thickBot="1">
      <c r="C20" s="16"/>
      <c r="D20" s="12" t="s">
        <v>47</v>
      </c>
      <c r="E20" s="17" t="s">
        <v>48</v>
      </c>
      <c r="F20" s="17" t="s">
        <v>38</v>
      </c>
      <c r="G20" s="17" t="s">
        <v>39</v>
      </c>
      <c r="H20" s="17" t="s">
        <v>40</v>
      </c>
      <c r="I20" s="17" t="s">
        <v>23</v>
      </c>
      <c r="J20" s="17" t="s">
        <v>26</v>
      </c>
      <c r="K20" s="20">
        <f>B30</f>
        <v>23055.360000000001</v>
      </c>
      <c r="L20" s="13">
        <v>0</v>
      </c>
    </row>
    <row r="21" spans="1:21">
      <c r="A21" s="104" t="s">
        <v>8</v>
      </c>
      <c r="B21" s="105"/>
      <c r="C21" s="16"/>
      <c r="D21" s="12" t="s">
        <v>18</v>
      </c>
      <c r="E21" s="17">
        <v>1</v>
      </c>
      <c r="F21" s="17"/>
      <c r="G21" s="21">
        <f>B13*((1/2)-(1/3))</f>
        <v>2.3333333333333335</v>
      </c>
      <c r="H21" s="17"/>
      <c r="I21" s="17"/>
      <c r="J21" s="17"/>
      <c r="K21" s="20">
        <f>B23*B14*B13</f>
        <v>23055.360000000001</v>
      </c>
      <c r="L21" s="22">
        <f>(B25-B23)*B14*B13*G21</f>
        <v>42551.487999999998</v>
      </c>
    </row>
    <row r="22" spans="1:21">
      <c r="A22" s="6" t="s">
        <v>9</v>
      </c>
      <c r="B22" s="51">
        <f>0.2*B5*(1-(B12/(40*B13))^{3})</f>
        <v>14.740524781341108</v>
      </c>
      <c r="C22" s="16"/>
      <c r="D22" s="12" t="s">
        <v>19</v>
      </c>
      <c r="E22" s="17">
        <v>2</v>
      </c>
      <c r="F22" s="17">
        <f>B13/B15</f>
        <v>2</v>
      </c>
      <c r="G22" s="21">
        <f t="shared" ref="G22:G30" si="8">$B$15*(((1+$B$17)/2)-(F22/3))</f>
        <v>2.3333333333333335</v>
      </c>
      <c r="H22" s="17"/>
      <c r="I22" s="17"/>
      <c r="J22" s="17"/>
      <c r="K22" s="20">
        <f>B25*B14*B13/2</f>
        <v>20645.856000000003</v>
      </c>
      <c r="L22" s="22">
        <f>K22*G22</f>
        <v>48173.664000000012</v>
      </c>
    </row>
    <row r="23" spans="1:21">
      <c r="A23" s="6" t="s">
        <v>43</v>
      </c>
      <c r="B23" s="51">
        <f>1.33*B22</f>
        <v>19.604897959183674</v>
      </c>
      <c r="C23" s="16"/>
      <c r="D23" s="12" t="s">
        <v>20</v>
      </c>
      <c r="E23" s="17">
        <v>3</v>
      </c>
      <c r="F23" s="17">
        <f>(F22+F24)/2</f>
        <v>1.5</v>
      </c>
      <c r="G23" s="21">
        <f t="shared" si="8"/>
        <v>3.5</v>
      </c>
      <c r="H23" s="17"/>
      <c r="I23" s="20">
        <f>$B$25*$B$14*$B$15*F23/2</f>
        <v>15484.392000000003</v>
      </c>
      <c r="J23" s="17"/>
      <c r="K23" s="20">
        <f>I23</f>
        <v>15484.392000000003</v>
      </c>
      <c r="L23" s="22">
        <f>K23*G23</f>
        <v>54195.37200000001</v>
      </c>
    </row>
    <row r="24" spans="1:21">
      <c r="A24" s="6" t="s">
        <v>10</v>
      </c>
      <c r="B24" s="7">
        <f>IF(0.33*B5&gt;63,63,0.33*B5)</f>
        <v>26.400000000000002</v>
      </c>
      <c r="C24" s="16"/>
      <c r="D24" s="12" t="s">
        <v>21</v>
      </c>
      <c r="E24" s="17">
        <v>4</v>
      </c>
      <c r="F24" s="17">
        <v>1</v>
      </c>
      <c r="G24" s="21">
        <f t="shared" si="8"/>
        <v>4.666666666666667</v>
      </c>
      <c r="H24" s="17">
        <f t="shared" ref="H24:H30" si="9">(1-$B$17)*$B$15/2</f>
        <v>0</v>
      </c>
      <c r="I24" s="20">
        <f>$B$25*$B$14*$B$15*F24/2</f>
        <v>10322.928000000002</v>
      </c>
      <c r="J24" s="17"/>
      <c r="K24" s="20">
        <f>I24</f>
        <v>10322.928000000002</v>
      </c>
      <c r="L24" s="22">
        <f>K24*G24</f>
        <v>48173.664000000012</v>
      </c>
    </row>
    <row r="25" spans="1:21">
      <c r="A25" s="6" t="s">
        <v>32</v>
      </c>
      <c r="B25" s="7">
        <f>1.33*B24</f>
        <v>35.112000000000002</v>
      </c>
      <c r="C25" s="16"/>
      <c r="D25" s="12" t="s">
        <v>22</v>
      </c>
      <c r="E25" s="17">
        <v>5</v>
      </c>
      <c r="F25" s="59">
        <f>(2*F24+F27)/3</f>
        <v>0.80526520773465549</v>
      </c>
      <c r="G25" s="21">
        <f t="shared" si="8"/>
        <v>5.1210478486191375</v>
      </c>
      <c r="H25" s="17">
        <f t="shared" si="9"/>
        <v>0</v>
      </c>
      <c r="I25" s="20">
        <f>$B$25*$B$14*$B$15*F25/2</f>
        <v>8312.6947603498938</v>
      </c>
      <c r="J25" s="20">
        <f>$B$25*$B$15*$B$14*$B$9*$B$19*(1-F25)/F25</f>
        <v>159.8435693651063</v>
      </c>
      <c r="K25" s="20">
        <f t="shared" ref="K25:K30" si="10">I25-J25</f>
        <v>8152.8511909847875</v>
      </c>
      <c r="L25" s="22">
        <f t="shared" ref="L25:L30" si="11">I25*G25+J25*H25</f>
        <v>42569.707618717403</v>
      </c>
    </row>
    <row r="26" spans="1:21">
      <c r="A26" s="6" t="s">
        <v>11</v>
      </c>
      <c r="B26" s="54">
        <f>'En el plano'!B26</f>
        <v>1400</v>
      </c>
      <c r="C26" s="16"/>
      <c r="D26" s="12" t="s">
        <v>22</v>
      </c>
      <c r="E26" s="17">
        <v>6</v>
      </c>
      <c r="F26" s="59">
        <f>(F24+2*F27)/3</f>
        <v>0.61053041546931086</v>
      </c>
      <c r="G26" s="21">
        <f t="shared" si="8"/>
        <v>5.5754290305716081</v>
      </c>
      <c r="H26" s="17">
        <f t="shared" si="9"/>
        <v>0</v>
      </c>
      <c r="I26" s="20">
        <f>$B$25*$B$14*$B$15*F26/2</f>
        <v>6302.4615206997833</v>
      </c>
      <c r="J26" s="20">
        <f>$B$25*$B$15*$B$14*$B$9*$B$19*(1-F26)/F26</f>
        <v>421.65455423182362</v>
      </c>
      <c r="K26" s="20">
        <f t="shared" si="10"/>
        <v>5880.8069664679597</v>
      </c>
      <c r="L26" s="22">
        <f t="shared" si="11"/>
        <v>35138.926926570057</v>
      </c>
    </row>
    <row r="27" spans="1:21" ht="15.75" thickBot="1">
      <c r="A27" s="8" t="s">
        <v>30</v>
      </c>
      <c r="B27" s="55">
        <f>'En el plano'!B27</f>
        <v>1850</v>
      </c>
      <c r="C27" s="16"/>
      <c r="D27" s="12" t="s">
        <v>45</v>
      </c>
      <c r="E27" s="17">
        <v>7</v>
      </c>
      <c r="F27" s="23">
        <f>B34</f>
        <v>0.41579562320396629</v>
      </c>
      <c r="G27" s="21">
        <f t="shared" si="8"/>
        <v>6.0298102125240787</v>
      </c>
      <c r="H27" s="17">
        <f t="shared" si="9"/>
        <v>0</v>
      </c>
      <c r="I27" s="20">
        <f>$B$25*$B$14*$B$15*F27/2</f>
        <v>4292.2282810496745</v>
      </c>
      <c r="J27" s="20">
        <f>$B$25*$B$15*$B$14*$B$9*$B$19*(1-F27)/F27</f>
        <v>928.7</v>
      </c>
      <c r="K27" s="20">
        <f t="shared" si="10"/>
        <v>3363.5282810496747</v>
      </c>
      <c r="L27" s="22">
        <f t="shared" si="11"/>
        <v>25881.321923558</v>
      </c>
      <c r="O27" s="4"/>
    </row>
    <row r="28" spans="1:21">
      <c r="A28" s="104" t="s">
        <v>12</v>
      </c>
      <c r="B28" s="105"/>
      <c r="C28" s="16"/>
      <c r="D28" s="12" t="s">
        <v>27</v>
      </c>
      <c r="E28" s="17">
        <v>8</v>
      </c>
      <c r="F28" s="59">
        <f>(2*F27+F30)/3</f>
        <v>0.35154530589498062</v>
      </c>
      <c r="G28" s="21">
        <f t="shared" si="8"/>
        <v>6.1797276195783786</v>
      </c>
      <c r="H28" s="17">
        <f t="shared" si="9"/>
        <v>0</v>
      </c>
      <c r="I28" s="20">
        <f>$B$27*$B$14*$B$15*(F28^2)/($B$9*2*(1-F28))</f>
        <v>2764.2082524914631</v>
      </c>
      <c r="J28" s="20">
        <f>$B$27*$B$14*$B$15*$B$19</f>
        <v>928.7</v>
      </c>
      <c r="K28" s="20">
        <f t="shared" si="10"/>
        <v>1835.5082524914631</v>
      </c>
      <c r="L28" s="22">
        <f t="shared" si="11"/>
        <v>17082.054084187977</v>
      </c>
      <c r="O28" s="4"/>
    </row>
    <row r="29" spans="1:21">
      <c r="A29" s="6" t="s">
        <v>13</v>
      </c>
      <c r="B29" s="7">
        <f>B22*B14*B13</f>
        <v>17334.857142857141</v>
      </c>
      <c r="C29" s="16"/>
      <c r="D29" s="12" t="s">
        <v>27</v>
      </c>
      <c r="E29" s="17">
        <v>9</v>
      </c>
      <c r="F29" s="59">
        <f>(F27+2*F30)/3</f>
        <v>0.28729498858599484</v>
      </c>
      <c r="G29" s="21">
        <f t="shared" si="8"/>
        <v>6.3296450266326785</v>
      </c>
      <c r="H29" s="17">
        <f t="shared" si="9"/>
        <v>0</v>
      </c>
      <c r="I29" s="20">
        <f>$B$27*$B$14*$B$15*(F29^2)/($B$9*2*(1-F29))</f>
        <v>1679.7091170059816</v>
      </c>
      <c r="J29" s="20">
        <f>$B$27*$B$14*$B$15*$B$19</f>
        <v>928.7</v>
      </c>
      <c r="K29" s="20">
        <f t="shared" si="10"/>
        <v>751.00911700598158</v>
      </c>
      <c r="L29" s="22">
        <f t="shared" si="11"/>
        <v>10631.96245864648</v>
      </c>
      <c r="O29" s="4"/>
      <c r="P29" s="4"/>
    </row>
    <row r="30" spans="1:21" ht="15.75" thickBot="1">
      <c r="A30" s="8" t="s">
        <v>31</v>
      </c>
      <c r="B30" s="9">
        <f>B23*B14*B13</f>
        <v>23055.360000000001</v>
      </c>
      <c r="C30" s="16"/>
      <c r="D30" s="24" t="s">
        <v>28</v>
      </c>
      <c r="E30" s="25">
        <v>10</v>
      </c>
      <c r="F30" s="58">
        <f>B38</f>
        <v>0.22304467127700914</v>
      </c>
      <c r="G30" s="26">
        <f t="shared" si="8"/>
        <v>6.4795624336869784</v>
      </c>
      <c r="H30" s="25">
        <f t="shared" si="9"/>
        <v>0</v>
      </c>
      <c r="I30" s="27">
        <f>$B$27*$B$14*$B$15*(F30^2)/($B$9*2*(1-F30))</f>
        <v>928.70000000000016</v>
      </c>
      <c r="J30" s="27">
        <f>$B$27*$B$14*$B$15*$B$19</f>
        <v>928.7</v>
      </c>
      <c r="K30" s="27">
        <f t="shared" si="10"/>
        <v>0</v>
      </c>
      <c r="L30" s="28">
        <f t="shared" si="11"/>
        <v>6017.5696321650976</v>
      </c>
      <c r="O30" s="4"/>
    </row>
    <row r="31" spans="1:21" ht="15.75" thickBot="1">
      <c r="C31" s="16"/>
      <c r="J31" s="3"/>
      <c r="L31" s="4"/>
      <c r="O31" s="4"/>
    </row>
    <row r="32" spans="1:21">
      <c r="A32" s="104" t="s">
        <v>29</v>
      </c>
      <c r="B32" s="105"/>
      <c r="C32" s="16"/>
      <c r="J32" s="3"/>
      <c r="L32" s="4"/>
      <c r="O32" s="4"/>
    </row>
    <row r="33" spans="1:16">
      <c r="A33" s="6" t="s">
        <v>25</v>
      </c>
      <c r="B33" s="7">
        <f>B9/(B9+(B26/B24))</f>
        <v>0.41422594142259411</v>
      </c>
      <c r="C33" s="16"/>
      <c r="I33" s="1"/>
      <c r="J33" s="3"/>
      <c r="K33" s="3"/>
      <c r="L33" s="4"/>
      <c r="O33" s="4"/>
    </row>
    <row r="34" spans="1:16" ht="15.75" thickBot="1">
      <c r="A34" s="8" t="s">
        <v>33</v>
      </c>
      <c r="B34" s="9">
        <f>B9/(B9+(B27/B25))</f>
        <v>0.41579562320396629</v>
      </c>
      <c r="C34" s="16"/>
      <c r="J34" s="3"/>
      <c r="K34" s="3"/>
      <c r="L34" s="4"/>
      <c r="O34" s="4"/>
    </row>
    <row r="35" spans="1:16" ht="15.75" thickBot="1">
      <c r="C35" s="16"/>
      <c r="J35" s="3"/>
      <c r="K35" s="3"/>
      <c r="L35" s="4"/>
      <c r="O35" s="4"/>
      <c r="P35" s="4"/>
    </row>
    <row r="36" spans="1:16">
      <c r="A36" s="104" t="s">
        <v>54</v>
      </c>
      <c r="B36" s="105"/>
      <c r="C36" s="16"/>
      <c r="J36" s="3"/>
      <c r="K36" s="3"/>
      <c r="L36" s="4"/>
      <c r="O36" s="4"/>
      <c r="P36" s="4"/>
    </row>
    <row r="37" spans="1:16">
      <c r="A37" s="6"/>
      <c r="B37" s="7">
        <f>2*B9*B19</f>
        <v>6.4030612244897964E-2</v>
      </c>
      <c r="C37" s="16"/>
    </row>
    <row r="38" spans="1:16" ht="15.75" thickBot="1">
      <c r="A38" s="8" t="s">
        <v>55</v>
      </c>
      <c r="B38" s="9">
        <f>0.5*(-B37+SQRT(B37^2+4*B37))</f>
        <v>0.22304467127700914</v>
      </c>
      <c r="C38" s="16"/>
    </row>
    <row r="39" spans="1:16">
      <c r="A39" s="16"/>
      <c r="B39" s="16"/>
      <c r="C39" s="16"/>
    </row>
    <row r="40" spans="1:16">
      <c r="C40" s="16"/>
    </row>
    <row r="41" spans="1:16">
      <c r="C41" s="16"/>
    </row>
    <row r="42" spans="1:16">
      <c r="C42" s="16"/>
    </row>
    <row r="43" spans="1:16">
      <c r="C43" s="16"/>
    </row>
    <row r="44" spans="1:16">
      <c r="A44" s="16"/>
      <c r="B44" s="16"/>
      <c r="C44" s="16"/>
    </row>
    <row r="45" spans="1:16">
      <c r="A45" s="16"/>
      <c r="B45" s="16"/>
      <c r="C45" s="16"/>
    </row>
    <row r="46" spans="1:16">
      <c r="A46" s="16"/>
      <c r="B46" s="16"/>
      <c r="C46" s="16"/>
    </row>
    <row r="47" spans="1:16">
      <c r="A47" s="16"/>
      <c r="B47" s="16"/>
      <c r="C47" s="16"/>
    </row>
  </sheetData>
  <mergeCells count="14">
    <mergeCell ref="P4:Q4"/>
    <mergeCell ref="A28:B28"/>
    <mergeCell ref="A32:B32"/>
    <mergeCell ref="A36:B36"/>
    <mergeCell ref="A1:C1"/>
    <mergeCell ref="F2:N2"/>
    <mergeCell ref="A3:B3"/>
    <mergeCell ref="A4:B4"/>
    <mergeCell ref="N4:O4"/>
    <mergeCell ref="D19:E19"/>
    <mergeCell ref="D5:E5"/>
    <mergeCell ref="A7:B7"/>
    <mergeCell ref="A11:B11"/>
    <mergeCell ref="A21:B2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E55A-6F48-453F-BD64-CEC9BB04B775}">
  <dimension ref="A1:H10"/>
  <sheetViews>
    <sheetView workbookViewId="0">
      <selection activeCell="E7" sqref="E7"/>
    </sheetView>
  </sheetViews>
  <sheetFormatPr baseColWidth="10" defaultRowHeight="15"/>
  <cols>
    <col min="4" max="4" width="19.85546875" customWidth="1"/>
    <col min="10" max="10" width="11.85546875" bestFit="1" customWidth="1"/>
  </cols>
  <sheetData>
    <row r="1" spans="1:8">
      <c r="A1" t="s">
        <v>57</v>
      </c>
      <c r="B1">
        <v>3.8</v>
      </c>
      <c r="D1" t="s">
        <v>62</v>
      </c>
      <c r="E1" s="2">
        <f>IF(0.13*SQRT($B$1)&lt;0.28,0.13*SQRT($B$1),0.28)</f>
        <v>0.25341665296503307</v>
      </c>
      <c r="G1" t="s">
        <v>62</v>
      </c>
      <c r="H1" s="2">
        <f>IF(0.27*SQRT($B$1)&lt;0.84,0.27*SQRT($B$1),0.84)</f>
        <v>0.52632689461968407</v>
      </c>
    </row>
    <row r="2" spans="1:8">
      <c r="A2" t="s">
        <v>58</v>
      </c>
      <c r="B2">
        <v>2.081</v>
      </c>
      <c r="D2" t="s">
        <v>63</v>
      </c>
      <c r="E2" s="2">
        <f>IF(0.06*SQRT($B$1)&lt;0.19,0.06*SQRT($B$1),0.19)</f>
        <v>0.11696153213770756</v>
      </c>
      <c r="G2" t="s">
        <v>63</v>
      </c>
      <c r="H2" s="2">
        <f>IF(0.13*SQRT($B$1)&lt;0.52,0.13*SQRT($B$1),0.52)</f>
        <v>0.25341665296503307</v>
      </c>
    </row>
    <row r="3" spans="1:8">
      <c r="A3" t="s">
        <v>59</v>
      </c>
      <c r="B3">
        <v>2.67</v>
      </c>
    </row>
    <row r="4" spans="1:8">
      <c r="A4" t="s">
        <v>60</v>
      </c>
      <c r="B4">
        <v>0.14000000000000001</v>
      </c>
      <c r="D4" t="s">
        <v>66</v>
      </c>
      <c r="E4" s="2">
        <f>IF($B$5&gt;1,E2,(E2-E1)*$B$5+E1)</f>
        <v>0.21111556550856217</v>
      </c>
      <c r="G4" t="s">
        <v>67</v>
      </c>
      <c r="H4" s="2">
        <f>IF($B$5&gt;1,H2,(H2-H1)*$B$5+H1)</f>
        <v>0.44172471970674226</v>
      </c>
    </row>
    <row r="5" spans="1:8">
      <c r="A5" t="s">
        <v>56</v>
      </c>
      <c r="B5">
        <v>0.31</v>
      </c>
      <c r="E5" s="2">
        <f>E4*100</f>
        <v>21.111556550856218</v>
      </c>
      <c r="H5" s="2">
        <f>H4*100</f>
        <v>44.172471970674223</v>
      </c>
    </row>
    <row r="6" spans="1:8">
      <c r="A6" t="s">
        <v>61</v>
      </c>
      <c r="B6">
        <v>0.08</v>
      </c>
    </row>
    <row r="7" spans="1:8">
      <c r="A7" t="s">
        <v>70</v>
      </c>
      <c r="B7">
        <v>14000</v>
      </c>
      <c r="D7" t="s">
        <v>68</v>
      </c>
      <c r="E7">
        <f>IF(H5&lt;=B10,"agregar mas muros",IF(B10&lt;=E5,0.0006,1.1*B9/(B2*B4*B7)))</f>
        <v>5.9999999999999995E-4</v>
      </c>
    </row>
    <row r="8" spans="1:8">
      <c r="A8" t="s">
        <v>69</v>
      </c>
      <c r="B8">
        <v>3</v>
      </c>
      <c r="D8" t="s">
        <v>71</v>
      </c>
      <c r="E8" s="62">
        <f>E7*B4*B8*B6</f>
        <v>2.016E-5</v>
      </c>
    </row>
    <row r="9" spans="1:8">
      <c r="A9" t="s">
        <v>64</v>
      </c>
      <c r="B9">
        <v>3.1947000000000001</v>
      </c>
    </row>
    <row r="10" spans="1:8">
      <c r="A10" t="s">
        <v>65</v>
      </c>
      <c r="B10">
        <f>B9/B2/B4</f>
        <v>10.965538546028695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CA6D-DCAD-4069-A6A9-63D6F2DE3991}">
  <dimension ref="A1:R90"/>
  <sheetViews>
    <sheetView topLeftCell="A38" zoomScale="70" zoomScaleNormal="70" workbookViewId="0">
      <selection activeCell="M71" sqref="M71:M72"/>
    </sheetView>
  </sheetViews>
  <sheetFormatPr baseColWidth="10" defaultRowHeight="15"/>
  <cols>
    <col min="3" max="3" width="9.140625" customWidth="1"/>
    <col min="4" max="4" width="12.5703125" bestFit="1" customWidth="1"/>
    <col min="7" max="7" width="17.42578125" customWidth="1"/>
    <col min="8" max="8" width="14.85546875" customWidth="1"/>
    <col min="9" max="9" width="18.85546875" customWidth="1"/>
    <col min="10" max="10" width="17.7109375" customWidth="1"/>
    <col min="11" max="11" width="14.42578125" customWidth="1"/>
    <col min="12" max="12" width="13.28515625" customWidth="1"/>
    <col min="13" max="13" width="16.5703125" customWidth="1"/>
    <col min="14" max="14" width="12.5703125" bestFit="1" customWidth="1"/>
  </cols>
  <sheetData>
    <row r="1" spans="1:18">
      <c r="A1" s="69" t="s">
        <v>57</v>
      </c>
      <c r="B1" s="70">
        <v>3.8</v>
      </c>
      <c r="C1" s="70"/>
      <c r="D1" s="70" t="s">
        <v>62</v>
      </c>
      <c r="E1" s="71">
        <f>IF(0.13*SQRT($B$1)&lt;0.28,0.13*SQRT($B$1),0.28)</f>
        <v>0.25341665296503307</v>
      </c>
      <c r="F1" s="70"/>
      <c r="G1" s="70" t="s">
        <v>62</v>
      </c>
      <c r="H1" s="72">
        <f>IF(0.27*SQRT($B$1)&lt;0.84,0.27*SQRT($B$1),0.84)</f>
        <v>0.52632689461968407</v>
      </c>
    </row>
    <row r="2" spans="1:18">
      <c r="A2" s="6" t="s">
        <v>58</v>
      </c>
      <c r="B2" s="16">
        <v>2.081</v>
      </c>
      <c r="C2" s="16"/>
      <c r="D2" s="16" t="s">
        <v>63</v>
      </c>
      <c r="E2" s="73">
        <f>IF(0.06*SQRT($B$1)&lt;0.19,0.06*SQRT($B$1),0.19)</f>
        <v>0.11696153213770756</v>
      </c>
      <c r="F2" s="16"/>
      <c r="G2" s="16" t="s">
        <v>63</v>
      </c>
      <c r="H2" s="50">
        <f>IF(0.13*SQRT($B$1)&lt;0.52,0.13*SQRT($B$1),0.52)</f>
        <v>0.25341665296503307</v>
      </c>
    </row>
    <row r="3" spans="1:18">
      <c r="A3" s="6" t="s">
        <v>59</v>
      </c>
      <c r="B3" s="16">
        <v>2.67</v>
      </c>
      <c r="C3" s="16"/>
      <c r="D3" s="16"/>
      <c r="E3" s="16"/>
      <c r="F3" s="16"/>
      <c r="G3" s="16"/>
      <c r="H3" s="7"/>
    </row>
    <row r="4" spans="1:18">
      <c r="A4" s="6" t="s">
        <v>60</v>
      </c>
      <c r="B4" s="16">
        <v>0.14000000000000001</v>
      </c>
      <c r="C4" s="16"/>
      <c r="D4" s="16" t="s">
        <v>66</v>
      </c>
      <c r="E4" s="73">
        <f>IF($B$5&gt;1,E2,(E2-E1)*$B$5+E1)</f>
        <v>0.21111556550856217</v>
      </c>
      <c r="F4" s="16"/>
      <c r="G4" s="16" t="s">
        <v>67</v>
      </c>
      <c r="H4" s="50">
        <f>IF($B$5&gt;1,$H$2,($H$2-$H$1)*$B$5+$H$1)</f>
        <v>0.44172471970674226</v>
      </c>
    </row>
    <row r="5" spans="1:18">
      <c r="A5" s="6" t="s">
        <v>56</v>
      </c>
      <c r="B5" s="16">
        <v>0.31</v>
      </c>
      <c r="C5" s="16"/>
      <c r="D5" s="16"/>
      <c r="E5" s="73">
        <f>E4*100</f>
        <v>21.111556550856218</v>
      </c>
      <c r="F5" s="16"/>
      <c r="G5" s="16"/>
      <c r="H5" s="50">
        <f>H4*100</f>
        <v>44.172471970674223</v>
      </c>
      <c r="J5" t="s">
        <v>118</v>
      </c>
      <c r="K5">
        <f>PI()*2*(0.0021^2)</f>
        <v>2.7708847204661971E-5</v>
      </c>
    </row>
    <row r="6" spans="1:18">
      <c r="A6" s="6" t="s">
        <v>61</v>
      </c>
      <c r="B6" s="16">
        <v>0.08</v>
      </c>
      <c r="C6" s="16"/>
      <c r="D6" s="16"/>
      <c r="E6" s="16"/>
      <c r="F6" s="16"/>
      <c r="G6" s="16"/>
      <c r="H6" s="7"/>
    </row>
    <row r="7" spans="1:18" ht="14.25" customHeight="1">
      <c r="A7" s="6" t="s">
        <v>70</v>
      </c>
      <c r="B7" s="16">
        <v>14000</v>
      </c>
      <c r="C7" s="16"/>
      <c r="D7" s="16" t="s">
        <v>68</v>
      </c>
      <c r="E7" s="16">
        <f>IF(H5&lt;=B10,"agregar mas muros",IF(B10&lt;=E5,0.0006,1.1*B9/(B2*$B$4*$B$7)))</f>
        <v>5.9999999999999995E-4</v>
      </c>
      <c r="F7" s="16"/>
      <c r="G7" s="16"/>
      <c r="H7" s="7"/>
      <c r="K7">
        <f>PI()*2*(2.1^2)</f>
        <v>27.708847204661975</v>
      </c>
    </row>
    <row r="8" spans="1:18">
      <c r="A8" s="6" t="s">
        <v>69</v>
      </c>
      <c r="B8" s="16">
        <v>3</v>
      </c>
      <c r="C8" s="16"/>
      <c r="D8" s="16" t="s">
        <v>71</v>
      </c>
      <c r="E8" s="74">
        <f>$E$7*$B$4*B8*$B$6</f>
        <v>2.016E-5</v>
      </c>
      <c r="F8" s="16"/>
      <c r="G8" s="16"/>
      <c r="H8" s="7"/>
    </row>
    <row r="9" spans="1:18">
      <c r="A9" s="6" t="s">
        <v>64</v>
      </c>
      <c r="B9" s="16">
        <v>3.1947000000000001</v>
      </c>
      <c r="C9" s="16"/>
      <c r="D9" s="16"/>
      <c r="E9" s="16"/>
      <c r="F9" s="16"/>
      <c r="G9" s="16"/>
      <c r="H9" s="7"/>
    </row>
    <row r="10" spans="1:18" ht="15.75" thickBot="1">
      <c r="A10" s="8" t="s">
        <v>65</v>
      </c>
      <c r="B10" s="75">
        <f>B9/B2/B4</f>
        <v>10.965538546028695</v>
      </c>
      <c r="C10" s="75"/>
      <c r="D10" s="75"/>
      <c r="E10" s="75"/>
      <c r="F10" s="75"/>
      <c r="G10" s="75"/>
      <c r="H10" s="9"/>
    </row>
    <row r="11" spans="1:18" ht="15.75" thickBot="1">
      <c r="R11">
        <f>0.0006</f>
        <v>5.9999999999999995E-4</v>
      </c>
    </row>
    <row r="12" spans="1:18">
      <c r="A12" s="69" t="s">
        <v>72</v>
      </c>
      <c r="B12" s="70">
        <v>15</v>
      </c>
      <c r="C12" s="70"/>
      <c r="D12" s="70" t="s">
        <v>56</v>
      </c>
      <c r="E12" s="70"/>
      <c r="F12" s="70" t="s">
        <v>73</v>
      </c>
      <c r="G12" s="76">
        <f>0.12-0.25</f>
        <v>-0.13</v>
      </c>
    </row>
    <row r="13" spans="1:18">
      <c r="A13" s="6" t="s">
        <v>74</v>
      </c>
      <c r="B13" s="16">
        <f>0.25*B12</f>
        <v>3.75</v>
      </c>
      <c r="C13" s="16"/>
      <c r="D13" s="16">
        <v>0</v>
      </c>
      <c r="E13" s="73">
        <f>IF(0.13*SQRT(B13)&lt;0.28,0.13*SQRT(B13),0.28)</f>
        <v>0.25174391750348213</v>
      </c>
      <c r="F13" s="16"/>
      <c r="G13" s="7"/>
    </row>
    <row r="14" spans="1:18">
      <c r="A14" s="6" t="s">
        <v>75</v>
      </c>
      <c r="B14" s="16">
        <v>0.14000000000000001</v>
      </c>
      <c r="C14" s="16"/>
      <c r="D14" s="16">
        <v>1</v>
      </c>
      <c r="E14" s="73">
        <f>IF(0.06*SQRT(B13)&lt;0.19,0.06*SQRT(B13),0.19)</f>
        <v>0.1161895003862225</v>
      </c>
      <c r="F14" s="16"/>
      <c r="G14" s="7"/>
    </row>
    <row r="15" spans="1:18" ht="15.75" thickBot="1">
      <c r="A15" s="8"/>
      <c r="B15" s="75"/>
      <c r="C15" s="75"/>
      <c r="D15" s="75"/>
      <c r="E15" s="75"/>
      <c r="F15" s="75"/>
      <c r="G15" s="9"/>
    </row>
    <row r="20" spans="1:13">
      <c r="G20" s="63"/>
    </row>
    <row r="21" spans="1:13" ht="15.75" thickBot="1">
      <c r="A21" s="64" t="s">
        <v>76</v>
      </c>
      <c r="B21" s="99" t="s">
        <v>77</v>
      </c>
      <c r="C21" s="99" t="s">
        <v>78</v>
      </c>
      <c r="D21" s="99" t="s">
        <v>79</v>
      </c>
      <c r="E21" s="63" t="s">
        <v>80</v>
      </c>
      <c r="F21" s="65" t="s">
        <v>117</v>
      </c>
      <c r="G21" s="65" t="s">
        <v>56</v>
      </c>
      <c r="H21" s="65" t="s">
        <v>115</v>
      </c>
      <c r="I21" s="65" t="s">
        <v>116</v>
      </c>
      <c r="J21" s="65" t="s">
        <v>68</v>
      </c>
      <c r="K21" s="82" t="s">
        <v>120</v>
      </c>
      <c r="L21" s="65" t="s">
        <v>119</v>
      </c>
    </row>
    <row r="22" spans="1:13">
      <c r="A22" s="83">
        <v>1</v>
      </c>
      <c r="B22" s="84" t="s">
        <v>81</v>
      </c>
      <c r="C22" s="98">
        <v>-2.4980000000000002</v>
      </c>
      <c r="D22" s="98">
        <v>-1.2504</v>
      </c>
      <c r="E22" s="70">
        <v>0.86199999999999999</v>
      </c>
      <c r="F22" s="86">
        <f t="shared" ref="F22:F53" si="0">ABS(C22/E22/$B$4)</f>
        <v>20.699370235333113</v>
      </c>
      <c r="G22" s="87">
        <f t="shared" ref="G22:G53" si="1">ABS(D22/(C22*E22))</f>
        <v>0.58069657582214262</v>
      </c>
      <c r="H22" s="87">
        <f t="shared" ref="H22:H53" si="2">100*IF(G22&gt;1,$E$2,($E$2-$E$1)*G22+$E$1)</f>
        <v>17.417763154720838</v>
      </c>
      <c r="I22" s="87">
        <f>IF(G22&gt;1,$H$2,($H$2-$H$1)*G22+$H$1)*100</f>
        <v>36.784885178403478</v>
      </c>
      <c r="J22" s="88">
        <f t="shared" ref="J22:J53" si="3">IF(I22&lt;=F22,"agregar mas muros",IF(F22&lt;=H22,0.0006,1.1*ABS(C22)/(E22*$B$4*$B$7)))</f>
        <v>1.6263790899190302E-3</v>
      </c>
      <c r="K22" s="89">
        <f>$K$5/(J22*$B$4*$B$6)</f>
        <v>1.5211731570067901</v>
      </c>
      <c r="L22" s="90">
        <f>IF(K22&gt;3,3,ROUNDDOWN(K22,0))</f>
        <v>1</v>
      </c>
      <c r="M22" t="s">
        <v>121</v>
      </c>
    </row>
    <row r="23" spans="1:13">
      <c r="A23" s="83">
        <v>1</v>
      </c>
      <c r="B23" s="91" t="s">
        <v>82</v>
      </c>
      <c r="C23" s="77">
        <v>-1.7118</v>
      </c>
      <c r="D23" s="78">
        <v>1.3821000000000001</v>
      </c>
      <c r="E23" s="16">
        <v>0.79200000000000004</v>
      </c>
      <c r="F23" s="21">
        <f t="shared" si="0"/>
        <v>15.438311688311686</v>
      </c>
      <c r="G23" s="79">
        <f t="shared" si="1"/>
        <v>1.0194390452014006</v>
      </c>
      <c r="H23" s="79">
        <f t="shared" si="2"/>
        <v>11.696153213770756</v>
      </c>
      <c r="I23" s="79">
        <f t="shared" ref="I23:I86" si="4">IF(G23&gt;1,$H$2,($H$2-$H$1)*G23+$H$1)*100</f>
        <v>25.341665296503308</v>
      </c>
      <c r="J23" s="81">
        <f t="shared" si="3"/>
        <v>1.2130102040816325E-3</v>
      </c>
      <c r="K23" s="92">
        <f t="shared" ref="K23:K86" si="5">$K$5/(J23*$B$4*$B$6)</f>
        <v>2.0395576281034047</v>
      </c>
      <c r="L23" s="22">
        <f t="shared" ref="L23:L86" si="6">IF(K23&gt;3,3,ROUNDDOWN(K23,0))</f>
        <v>2</v>
      </c>
      <c r="M23" t="s">
        <v>121</v>
      </c>
    </row>
    <row r="24" spans="1:13">
      <c r="A24" s="83">
        <v>1</v>
      </c>
      <c r="B24" s="91" t="s">
        <v>83</v>
      </c>
      <c r="C24" s="77">
        <v>-6.1946000000000003</v>
      </c>
      <c r="D24" s="77">
        <v>5.1734</v>
      </c>
      <c r="E24" s="67">
        <v>6.3460000000000001</v>
      </c>
      <c r="F24" s="21">
        <f t="shared" si="0"/>
        <v>6.9724460852730621</v>
      </c>
      <c r="G24" s="79">
        <f t="shared" si="1"/>
        <v>0.1316020707074772</v>
      </c>
      <c r="H24" s="79">
        <f t="shared" si="2"/>
        <v>23.545887650551801</v>
      </c>
      <c r="I24" s="79">
        <f t="shared" si="4"/>
        <v>49.041134170065398</v>
      </c>
      <c r="J24" s="81">
        <f t="shared" si="3"/>
        <v>5.9999999999999995E-4</v>
      </c>
      <c r="K24" s="92">
        <f t="shared" si="5"/>
        <v>4.1233403578366028</v>
      </c>
      <c r="L24" s="22">
        <f t="shared" si="6"/>
        <v>3</v>
      </c>
      <c r="M24" t="s">
        <v>121</v>
      </c>
    </row>
    <row r="25" spans="1:13">
      <c r="A25" s="83">
        <v>1</v>
      </c>
      <c r="B25" s="91" t="s">
        <v>84</v>
      </c>
      <c r="C25" s="77">
        <v>6.8826000000000001</v>
      </c>
      <c r="D25" s="77">
        <v>10.121499999999999</v>
      </c>
      <c r="E25" s="67">
        <v>6.3460000000000001</v>
      </c>
      <c r="F25" s="21">
        <f t="shared" si="0"/>
        <v>7.7468371527621436</v>
      </c>
      <c r="G25" s="79">
        <f t="shared" si="1"/>
        <v>0.23173534646154878</v>
      </c>
      <c r="H25" s="79">
        <f t="shared" si="2"/>
        <v>22.17951782636603</v>
      </c>
      <c r="I25" s="79">
        <f t="shared" si="4"/>
        <v>46.308394521693849</v>
      </c>
      <c r="J25" s="81">
        <f t="shared" si="3"/>
        <v>5.9999999999999995E-4</v>
      </c>
      <c r="K25" s="92">
        <f t="shared" si="5"/>
        <v>4.1233403578366028</v>
      </c>
      <c r="L25" s="22">
        <f t="shared" si="6"/>
        <v>3</v>
      </c>
      <c r="M25" t="s">
        <v>121</v>
      </c>
    </row>
    <row r="26" spans="1:13">
      <c r="A26" s="83">
        <v>1</v>
      </c>
      <c r="B26" s="91" t="s">
        <v>85</v>
      </c>
      <c r="C26" s="77">
        <v>2.7098</v>
      </c>
      <c r="D26" s="78">
        <v>2.1545999999999998</v>
      </c>
      <c r="E26" s="16">
        <v>1.194</v>
      </c>
      <c r="F26" s="21">
        <f t="shared" si="0"/>
        <v>16.210815984685329</v>
      </c>
      <c r="G26" s="79">
        <f t="shared" si="1"/>
        <v>0.66592464870666712</v>
      </c>
      <c r="H26" s="79">
        <f t="shared" si="2"/>
        <v>16.254782456387051</v>
      </c>
      <c r="I26" s="79">
        <f t="shared" si="4"/>
        <v>34.458923781735898</v>
      </c>
      <c r="J26" s="81">
        <f t="shared" si="3"/>
        <v>5.9999999999999995E-4</v>
      </c>
      <c r="K26" s="92">
        <f t="shared" si="5"/>
        <v>4.1233403578366028</v>
      </c>
      <c r="L26" s="22">
        <f t="shared" si="6"/>
        <v>3</v>
      </c>
      <c r="M26" t="s">
        <v>121</v>
      </c>
    </row>
    <row r="27" spans="1:13">
      <c r="A27" s="83">
        <v>1</v>
      </c>
      <c r="B27" s="91" t="s">
        <v>86</v>
      </c>
      <c r="C27" s="78">
        <v>0.4592</v>
      </c>
      <c r="D27" s="78">
        <v>0.1893</v>
      </c>
      <c r="E27" s="16">
        <v>0.25800000000000001</v>
      </c>
      <c r="F27" s="21">
        <f t="shared" si="0"/>
        <v>12.713178294573641</v>
      </c>
      <c r="G27" s="79">
        <f t="shared" si="1"/>
        <v>1.5978243254193338</v>
      </c>
      <c r="H27" s="79">
        <f t="shared" si="2"/>
        <v>11.696153213770756</v>
      </c>
      <c r="I27" s="79">
        <f t="shared" si="4"/>
        <v>25.341665296503308</v>
      </c>
      <c r="J27" s="81">
        <f t="shared" si="3"/>
        <v>9.9889258028792896E-4</v>
      </c>
      <c r="K27" s="92">
        <f t="shared" si="5"/>
        <v>2.4767470131661549</v>
      </c>
      <c r="L27" s="22">
        <f t="shared" si="6"/>
        <v>2</v>
      </c>
    </row>
    <row r="28" spans="1:13">
      <c r="A28" s="83">
        <v>1</v>
      </c>
      <c r="B28" s="91" t="s">
        <v>87</v>
      </c>
      <c r="C28" s="78">
        <v>0.44169999999999998</v>
      </c>
      <c r="D28" s="78">
        <v>0.19309999999999999</v>
      </c>
      <c r="E28" s="16">
        <v>0.25800000000000001</v>
      </c>
      <c r="F28" s="21">
        <f t="shared" si="0"/>
        <v>12.228682170542633</v>
      </c>
      <c r="G28" s="79">
        <f t="shared" si="1"/>
        <v>1.6944750111005225</v>
      </c>
      <c r="H28" s="79">
        <f t="shared" si="2"/>
        <v>11.696153213770756</v>
      </c>
      <c r="I28" s="79">
        <f t="shared" si="4"/>
        <v>25.341665296503308</v>
      </c>
      <c r="J28" s="81">
        <f t="shared" si="3"/>
        <v>9.6082502768549268E-4</v>
      </c>
      <c r="K28" s="92">
        <f t="shared" si="5"/>
        <v>2.5748748663026899</v>
      </c>
      <c r="L28" s="22">
        <f t="shared" si="6"/>
        <v>2</v>
      </c>
    </row>
    <row r="29" spans="1:13">
      <c r="A29" s="83">
        <v>1</v>
      </c>
      <c r="B29" s="91" t="s">
        <v>88</v>
      </c>
      <c r="C29" s="78">
        <v>2.8134999999999999</v>
      </c>
      <c r="D29" s="78">
        <v>2.1836000000000002</v>
      </c>
      <c r="E29" s="16">
        <v>1.194</v>
      </c>
      <c r="F29" s="21">
        <f t="shared" si="0"/>
        <v>16.831179708064131</v>
      </c>
      <c r="G29" s="79">
        <f t="shared" si="1"/>
        <v>0.65001269602559342</v>
      </c>
      <c r="H29" s="79">
        <f t="shared" si="2"/>
        <v>16.47190919895651</v>
      </c>
      <c r="I29" s="79">
        <f t="shared" si="4"/>
        <v>34.893177266874822</v>
      </c>
      <c r="J29" s="81">
        <f t="shared" si="3"/>
        <v>1.3224498342050387E-3</v>
      </c>
      <c r="K29" s="92">
        <f t="shared" si="5"/>
        <v>1.8707735830215093</v>
      </c>
      <c r="L29" s="22">
        <f t="shared" si="6"/>
        <v>1</v>
      </c>
    </row>
    <row r="30" spans="1:13">
      <c r="A30" s="83">
        <v>1</v>
      </c>
      <c r="B30" s="91" t="s">
        <v>89</v>
      </c>
      <c r="C30" s="78">
        <v>1.6869000000000001</v>
      </c>
      <c r="D30" s="78">
        <v>1.3411</v>
      </c>
      <c r="E30" s="16">
        <v>0.79200000000000004</v>
      </c>
      <c r="F30" s="21">
        <f t="shared" si="0"/>
        <v>15.213744588744587</v>
      </c>
      <c r="G30" s="79">
        <f t="shared" si="1"/>
        <v>1.0037987318798272</v>
      </c>
      <c r="H30" s="79">
        <f t="shared" si="2"/>
        <v>11.696153213770756</v>
      </c>
      <c r="I30" s="79">
        <f t="shared" si="4"/>
        <v>25.341665296503308</v>
      </c>
      <c r="J30" s="81">
        <f t="shared" si="3"/>
        <v>1.1953656462585032E-3</v>
      </c>
      <c r="K30" s="92">
        <f t="shared" si="5"/>
        <v>2.0696631381750006</v>
      </c>
      <c r="L30" s="22">
        <f t="shared" si="6"/>
        <v>2</v>
      </c>
    </row>
    <row r="31" spans="1:13" ht="15.75" thickBot="1">
      <c r="A31" s="83">
        <v>1</v>
      </c>
      <c r="B31" s="93" t="s">
        <v>90</v>
      </c>
      <c r="C31" s="94">
        <v>1.7705</v>
      </c>
      <c r="D31" s="94">
        <v>1.0589999999999999</v>
      </c>
      <c r="E31" s="75">
        <v>0.86199999999999999</v>
      </c>
      <c r="F31" s="26">
        <f t="shared" si="0"/>
        <v>14.671030825323168</v>
      </c>
      <c r="G31" s="95">
        <f t="shared" si="1"/>
        <v>0.69389341037144592</v>
      </c>
      <c r="H31" s="95">
        <f t="shared" si="2"/>
        <v>15.873134381151244</v>
      </c>
      <c r="I31" s="95">
        <f t="shared" si="4"/>
        <v>33.695627631264287</v>
      </c>
      <c r="J31" s="96">
        <f t="shared" si="3"/>
        <v>5.9999999999999995E-4</v>
      </c>
      <c r="K31" s="97">
        <f t="shared" si="5"/>
        <v>4.1233403578366028</v>
      </c>
      <c r="L31" s="28">
        <f t="shared" si="6"/>
        <v>3</v>
      </c>
    </row>
    <row r="32" spans="1:13" ht="15.75" thickBot="1">
      <c r="A32" s="61">
        <v>1</v>
      </c>
      <c r="B32" s="100" t="s">
        <v>91</v>
      </c>
      <c r="C32" s="101">
        <v>4.2731000000000003</v>
      </c>
      <c r="D32" s="101">
        <v>11.191700000000001</v>
      </c>
      <c r="E32">
        <v>2.9</v>
      </c>
      <c r="F32" s="80">
        <f t="shared" si="0"/>
        <v>10.52487684729064</v>
      </c>
      <c r="G32" s="66">
        <f t="shared" si="1"/>
        <v>0.90313985082299142</v>
      </c>
      <c r="H32" s="79">
        <f t="shared" si="2"/>
        <v>13.017859549700903</v>
      </c>
      <c r="I32" s="79">
        <f t="shared" si="4"/>
        <v>27.985077968363605</v>
      </c>
      <c r="J32" s="81">
        <f t="shared" si="3"/>
        <v>5.9999999999999995E-4</v>
      </c>
      <c r="K32" s="1">
        <f t="shared" si="5"/>
        <v>4.1233403578366028</v>
      </c>
      <c r="L32" s="20">
        <f t="shared" si="6"/>
        <v>3</v>
      </c>
      <c r="M32" t="s">
        <v>121</v>
      </c>
    </row>
    <row r="33" spans="1:13">
      <c r="A33" s="83">
        <v>1</v>
      </c>
      <c r="B33" s="84" t="s">
        <v>92</v>
      </c>
      <c r="C33" s="85">
        <v>2.7650000000000001</v>
      </c>
      <c r="D33" s="85">
        <v>2.7425999999999999</v>
      </c>
      <c r="E33" s="70">
        <v>1.6659999999999999</v>
      </c>
      <c r="F33" s="86">
        <f t="shared" si="0"/>
        <v>11.854741896758703</v>
      </c>
      <c r="G33" s="87">
        <f t="shared" si="1"/>
        <v>0.59537739146291424</v>
      </c>
      <c r="H33" s="87">
        <f t="shared" si="2"/>
        <v>17.217435907510321</v>
      </c>
      <c r="I33" s="87">
        <f t="shared" si="4"/>
        <v>36.384230683982445</v>
      </c>
      <c r="J33" s="88">
        <f t="shared" si="3"/>
        <v>5.9999999999999995E-4</v>
      </c>
      <c r="K33" s="89">
        <f t="shared" si="5"/>
        <v>4.1233403578366028</v>
      </c>
      <c r="L33" s="90">
        <f t="shared" si="6"/>
        <v>3</v>
      </c>
      <c r="M33" t="s">
        <v>121</v>
      </c>
    </row>
    <row r="34" spans="1:13">
      <c r="A34" s="83">
        <v>1</v>
      </c>
      <c r="B34" s="91" t="s">
        <v>93</v>
      </c>
      <c r="C34" s="78">
        <v>2.5575000000000001</v>
      </c>
      <c r="D34" s="78">
        <v>1.3778999999999999</v>
      </c>
      <c r="E34" s="16">
        <v>0.99299999999999999</v>
      </c>
      <c r="F34" s="21">
        <f t="shared" si="0"/>
        <v>18.396633577902456</v>
      </c>
      <c r="G34" s="79">
        <f t="shared" si="1"/>
        <v>0.5425662924932001</v>
      </c>
      <c r="H34" s="79">
        <f t="shared" si="2"/>
        <v>17.938070396603941</v>
      </c>
      <c r="I34" s="79">
        <f t="shared" si="4"/>
        <v>37.825499662169683</v>
      </c>
      <c r="J34" s="81">
        <f t="shared" si="3"/>
        <v>1.4454497811209079E-3</v>
      </c>
      <c r="K34" s="92">
        <f t="shared" si="5"/>
        <v>1.7115808843828781</v>
      </c>
      <c r="L34" s="22">
        <f t="shared" si="6"/>
        <v>1</v>
      </c>
      <c r="M34" t="s">
        <v>121</v>
      </c>
    </row>
    <row r="35" spans="1:13">
      <c r="A35" s="83">
        <v>1</v>
      </c>
      <c r="B35" s="91" t="s">
        <v>94</v>
      </c>
      <c r="C35" s="78">
        <v>4.0190999999999999</v>
      </c>
      <c r="D35" s="78">
        <v>3.4022000000000001</v>
      </c>
      <c r="E35" s="16">
        <v>1.625</v>
      </c>
      <c r="F35" s="21">
        <f t="shared" si="0"/>
        <v>17.666373626373623</v>
      </c>
      <c r="G35" s="79">
        <f t="shared" si="1"/>
        <v>0.52092795363676903</v>
      </c>
      <c r="H35" s="79">
        <f t="shared" si="2"/>
        <v>18.233336610919633</v>
      </c>
      <c r="I35" s="79">
        <f t="shared" si="4"/>
        <v>38.41603209080106</v>
      </c>
      <c r="J35" s="81">
        <f t="shared" si="3"/>
        <v>5.9999999999999995E-4</v>
      </c>
      <c r="K35" s="92">
        <f t="shared" si="5"/>
        <v>4.1233403578366028</v>
      </c>
      <c r="L35" s="22">
        <f t="shared" si="6"/>
        <v>3</v>
      </c>
      <c r="M35" t="s">
        <v>121</v>
      </c>
    </row>
    <row r="36" spans="1:13">
      <c r="A36" s="83">
        <v>1</v>
      </c>
      <c r="B36" s="91" t="s">
        <v>95</v>
      </c>
      <c r="C36" s="78">
        <v>4.1529999999999996</v>
      </c>
      <c r="D36" s="78">
        <v>3.3029999999999999</v>
      </c>
      <c r="E36" s="16">
        <v>1.625</v>
      </c>
      <c r="F36" s="21">
        <f t="shared" si="0"/>
        <v>18.25494505494505</v>
      </c>
      <c r="G36" s="79">
        <f t="shared" si="1"/>
        <v>0.48943303265480009</v>
      </c>
      <c r="H36" s="79">
        <f t="shared" si="2"/>
        <v>18.663100935723797</v>
      </c>
      <c r="I36" s="79">
        <f t="shared" si="4"/>
        <v>39.275560740409389</v>
      </c>
      <c r="J36" s="81">
        <f t="shared" si="3"/>
        <v>5.9999999999999995E-4</v>
      </c>
      <c r="K36" s="92">
        <f t="shared" si="5"/>
        <v>4.1233403578366028</v>
      </c>
      <c r="L36" s="22">
        <f t="shared" si="6"/>
        <v>3</v>
      </c>
      <c r="M36" t="s">
        <v>121</v>
      </c>
    </row>
    <row r="37" spans="1:13">
      <c r="A37" s="83">
        <v>1</v>
      </c>
      <c r="B37" s="91" t="s">
        <v>96</v>
      </c>
      <c r="C37" s="78">
        <v>2.4657</v>
      </c>
      <c r="D37" s="78">
        <v>1.4096</v>
      </c>
      <c r="E37" s="16">
        <v>0.99299999999999999</v>
      </c>
      <c r="F37" s="21">
        <f t="shared" si="0"/>
        <v>17.736296935692703</v>
      </c>
      <c r="G37" s="79">
        <f t="shared" si="1"/>
        <v>0.57571349203110989</v>
      </c>
      <c r="H37" s="79">
        <f t="shared" si="2"/>
        <v>17.485759884800643</v>
      </c>
      <c r="I37" s="79">
        <f t="shared" si="4"/>
        <v>36.920878638563089</v>
      </c>
      <c r="J37" s="81">
        <f t="shared" si="3"/>
        <v>1.3935661878044271E-3</v>
      </c>
      <c r="K37" s="92">
        <f t="shared" si="5"/>
        <v>1.7753044213850879</v>
      </c>
      <c r="L37" s="22">
        <f t="shared" si="6"/>
        <v>1</v>
      </c>
      <c r="M37" t="s">
        <v>121</v>
      </c>
    </row>
    <row r="38" spans="1:13">
      <c r="A38" s="83">
        <v>1</v>
      </c>
      <c r="B38" s="91" t="s">
        <v>97</v>
      </c>
      <c r="C38" s="78">
        <v>2.8224999999999998</v>
      </c>
      <c r="D38" s="78">
        <v>2.6688000000000001</v>
      </c>
      <c r="E38" s="16">
        <v>1.6659999999999999</v>
      </c>
      <c r="F38" s="21">
        <f t="shared" si="0"/>
        <v>12.101269079060193</v>
      </c>
      <c r="G38" s="79">
        <f t="shared" si="1"/>
        <v>0.56755385945343595</v>
      </c>
      <c r="H38" s="79">
        <f t="shared" si="2"/>
        <v>17.597102249729954</v>
      </c>
      <c r="I38" s="79">
        <f t="shared" si="4"/>
        <v>37.143563368421709</v>
      </c>
      <c r="J38" s="81">
        <f t="shared" si="3"/>
        <v>5.9999999999999995E-4</v>
      </c>
      <c r="K38" s="92">
        <f t="shared" si="5"/>
        <v>4.1233403578366028</v>
      </c>
      <c r="L38" s="22">
        <f t="shared" si="6"/>
        <v>3</v>
      </c>
      <c r="M38" t="s">
        <v>121</v>
      </c>
    </row>
    <row r="39" spans="1:13" ht="15.75" thickBot="1">
      <c r="A39" s="83">
        <v>1</v>
      </c>
      <c r="B39" s="93" t="s">
        <v>98</v>
      </c>
      <c r="C39" s="94">
        <v>18.1799</v>
      </c>
      <c r="D39" s="94">
        <v>36.753300000000003</v>
      </c>
      <c r="E39" s="75">
        <v>15.592000000000001</v>
      </c>
      <c r="F39" s="26">
        <f t="shared" si="0"/>
        <v>8.3284010115077312</v>
      </c>
      <c r="G39" s="95">
        <f t="shared" si="1"/>
        <v>0.12965910617782592</v>
      </c>
      <c r="H39" s="95">
        <f t="shared" si="2"/>
        <v>23.57240039651748</v>
      </c>
      <c r="I39" s="95">
        <f t="shared" si="4"/>
        <v>49.094159661996756</v>
      </c>
      <c r="J39" s="96">
        <f t="shared" si="3"/>
        <v>5.9999999999999995E-4</v>
      </c>
      <c r="K39" s="97">
        <f t="shared" si="5"/>
        <v>4.1233403578366028</v>
      </c>
      <c r="L39" s="28">
        <f t="shared" si="6"/>
        <v>3</v>
      </c>
      <c r="M39" t="s">
        <v>121</v>
      </c>
    </row>
    <row r="40" spans="1:13">
      <c r="A40" s="83">
        <v>1</v>
      </c>
      <c r="B40" s="84" t="s">
        <v>99</v>
      </c>
      <c r="C40" s="98">
        <v>6.7782999999999998</v>
      </c>
      <c r="D40" s="85">
        <v>19.789400000000001</v>
      </c>
      <c r="E40" s="70">
        <v>6.0860000000000003</v>
      </c>
      <c r="F40" s="86">
        <f t="shared" si="0"/>
        <v>7.955377681798975</v>
      </c>
      <c r="G40" s="87">
        <f t="shared" si="1"/>
        <v>0.47971123794951986</v>
      </c>
      <c r="H40" s="87">
        <f t="shared" si="2"/>
        <v>18.795759802840546</v>
      </c>
      <c r="I40" s="87">
        <f t="shared" si="4"/>
        <v>39.540878474642881</v>
      </c>
      <c r="J40" s="88">
        <f t="shared" si="3"/>
        <v>5.9999999999999995E-4</v>
      </c>
      <c r="K40" s="89">
        <f t="shared" si="5"/>
        <v>4.1233403578366028</v>
      </c>
      <c r="L40" s="90">
        <f t="shared" si="6"/>
        <v>3</v>
      </c>
      <c r="M40" t="s">
        <v>121</v>
      </c>
    </row>
    <row r="41" spans="1:13">
      <c r="A41" s="83">
        <v>1</v>
      </c>
      <c r="B41" s="91" t="s">
        <v>100</v>
      </c>
      <c r="C41" s="78">
        <v>3.92</v>
      </c>
      <c r="D41" s="78">
        <v>10.227399999999999</v>
      </c>
      <c r="E41" s="16">
        <v>3.0880000000000001</v>
      </c>
      <c r="F41" s="21">
        <f t="shared" si="0"/>
        <v>9.0673575129533663</v>
      </c>
      <c r="G41" s="79">
        <f t="shared" si="1"/>
        <v>0.84489333298086067</v>
      </c>
      <c r="H41" s="79">
        <f t="shared" si="2"/>
        <v>13.812663112692796</v>
      </c>
      <c r="I41" s="79">
        <f t="shared" si="4"/>
        <v>29.574685094347387</v>
      </c>
      <c r="J41" s="81">
        <f t="shared" si="3"/>
        <v>5.9999999999999995E-4</v>
      </c>
      <c r="K41" s="92">
        <f t="shared" si="5"/>
        <v>4.1233403578366028</v>
      </c>
      <c r="L41" s="22">
        <f t="shared" si="6"/>
        <v>3</v>
      </c>
      <c r="M41" t="s">
        <v>121</v>
      </c>
    </row>
    <row r="42" spans="1:13">
      <c r="A42" s="83">
        <v>1</v>
      </c>
      <c r="B42" s="91" t="s">
        <v>101</v>
      </c>
      <c r="C42" s="78">
        <v>3.0447000000000002</v>
      </c>
      <c r="D42" s="78">
        <v>3.202</v>
      </c>
      <c r="E42" s="16">
        <v>2.1379999999999999</v>
      </c>
      <c r="F42" s="21">
        <f t="shared" si="0"/>
        <v>10.172056661766671</v>
      </c>
      <c r="G42" s="79">
        <f t="shared" si="1"/>
        <v>0.49189127525286391</v>
      </c>
      <c r="H42" s="79">
        <f t="shared" si="2"/>
        <v>18.62955695664963</v>
      </c>
      <c r="I42" s="79">
        <f t="shared" si="4"/>
        <v>39.208472782261047</v>
      </c>
      <c r="J42" s="81">
        <f t="shared" si="3"/>
        <v>5.9999999999999995E-4</v>
      </c>
      <c r="K42" s="92">
        <f t="shared" si="5"/>
        <v>4.1233403578366028</v>
      </c>
      <c r="L42" s="22">
        <f t="shared" si="6"/>
        <v>3</v>
      </c>
      <c r="M42" t="s">
        <v>121</v>
      </c>
    </row>
    <row r="43" spans="1:13">
      <c r="A43" s="83">
        <v>1</v>
      </c>
      <c r="B43" s="91" t="s">
        <v>102</v>
      </c>
      <c r="C43" s="78">
        <v>3.903</v>
      </c>
      <c r="D43" s="78">
        <v>10.074400000000001</v>
      </c>
      <c r="E43" s="16">
        <v>3.0880000000000001</v>
      </c>
      <c r="F43" s="21">
        <f t="shared" si="0"/>
        <v>9.0280347890451509</v>
      </c>
      <c r="G43" s="79">
        <f t="shared" si="1"/>
        <v>0.83587887090971613</v>
      </c>
      <c r="H43" s="79">
        <f t="shared" si="2"/>
        <v>13.935670063803931</v>
      </c>
      <c r="I43" s="79">
        <f t="shared" si="4"/>
        <v>29.820698996569661</v>
      </c>
      <c r="J43" s="81">
        <f t="shared" si="3"/>
        <v>5.9999999999999995E-4</v>
      </c>
      <c r="K43" s="92">
        <f t="shared" si="5"/>
        <v>4.1233403578366028</v>
      </c>
      <c r="L43" s="22">
        <f t="shared" si="6"/>
        <v>3</v>
      </c>
      <c r="M43" t="s">
        <v>121</v>
      </c>
    </row>
    <row r="44" spans="1:13" ht="15.75" thickBot="1">
      <c r="A44" s="83">
        <v>1</v>
      </c>
      <c r="B44" s="93" t="s">
        <v>103</v>
      </c>
      <c r="C44" s="94">
        <v>7.1192000000000002</v>
      </c>
      <c r="D44" s="94">
        <v>19.637699999999999</v>
      </c>
      <c r="E44" s="75">
        <v>6.0860000000000003</v>
      </c>
      <c r="F44" s="26">
        <f t="shared" si="0"/>
        <v>8.3554762687197766</v>
      </c>
      <c r="G44" s="95">
        <f t="shared" si="1"/>
        <v>0.45323921569612191</v>
      </c>
      <c r="H44" s="95">
        <f t="shared" si="2"/>
        <v>19.15698410235365</v>
      </c>
      <c r="I44" s="95">
        <f t="shared" si="4"/>
        <v>40.263327073669096</v>
      </c>
      <c r="J44" s="96">
        <f t="shared" si="3"/>
        <v>5.9999999999999995E-4</v>
      </c>
      <c r="K44" s="97">
        <f t="shared" si="5"/>
        <v>4.1233403578366028</v>
      </c>
      <c r="L44" s="28">
        <f t="shared" si="6"/>
        <v>3</v>
      </c>
      <c r="M44" t="s">
        <v>121</v>
      </c>
    </row>
    <row r="45" spans="1:13">
      <c r="A45" s="83">
        <v>2</v>
      </c>
      <c r="B45" s="84" t="s">
        <v>81</v>
      </c>
      <c r="C45" s="85">
        <v>2.4422999999999999</v>
      </c>
      <c r="D45" s="85">
        <v>1.4134</v>
      </c>
      <c r="E45" s="70">
        <v>0.86199999999999999</v>
      </c>
      <c r="F45" s="86">
        <f t="shared" si="0"/>
        <v>20.23781902552204</v>
      </c>
      <c r="G45" s="87">
        <f t="shared" si="1"/>
        <v>0.67136517791177208</v>
      </c>
      <c r="H45" s="87">
        <f t="shared" si="2"/>
        <v>16.180543649382333</v>
      </c>
      <c r="I45" s="87">
        <f t="shared" si="4"/>
        <v>34.310446167726461</v>
      </c>
      <c r="J45" s="88">
        <f t="shared" si="3"/>
        <v>1.5901143520053033E-3</v>
      </c>
      <c r="K45" s="89">
        <f t="shared" si="5"/>
        <v>1.5558655964471857</v>
      </c>
      <c r="L45" s="90">
        <f t="shared" si="6"/>
        <v>1</v>
      </c>
      <c r="M45" t="s">
        <v>121</v>
      </c>
    </row>
    <row r="46" spans="1:13">
      <c r="A46" s="83">
        <v>2</v>
      </c>
      <c r="B46" s="91" t="s">
        <v>82</v>
      </c>
      <c r="C46" s="78">
        <v>2.3967999999999998</v>
      </c>
      <c r="D46" s="78">
        <v>1.8629</v>
      </c>
      <c r="E46" s="16">
        <v>0.79200000000000004</v>
      </c>
      <c r="F46" s="21">
        <f t="shared" si="0"/>
        <v>21.616161616161609</v>
      </c>
      <c r="G46" s="79">
        <f t="shared" si="1"/>
        <v>0.98136951962886543</v>
      </c>
      <c r="H46" s="79">
        <f t="shared" si="2"/>
        <v>11.950375658782184</v>
      </c>
      <c r="I46" s="79">
        <f t="shared" si="4"/>
        <v>25.850110186526166</v>
      </c>
      <c r="J46" s="81">
        <f t="shared" si="3"/>
        <v>1.6984126984126982E-3</v>
      </c>
      <c r="K46" s="92">
        <f t="shared" si="5"/>
        <v>1.4566566871609683</v>
      </c>
      <c r="L46" s="22">
        <f t="shared" si="6"/>
        <v>1</v>
      </c>
      <c r="M46" t="s">
        <v>121</v>
      </c>
    </row>
    <row r="47" spans="1:13">
      <c r="A47" s="83">
        <v>2</v>
      </c>
      <c r="B47" s="91" t="s">
        <v>104</v>
      </c>
      <c r="C47" s="78">
        <v>8.6705000000000005</v>
      </c>
      <c r="D47" s="78">
        <v>13.444000000000001</v>
      </c>
      <c r="E47" s="68">
        <v>6.3460000000000001</v>
      </c>
      <c r="F47" s="21">
        <f t="shared" si="0"/>
        <v>9.7592409166629128</v>
      </c>
      <c r="G47" s="79">
        <f t="shared" si="1"/>
        <v>0.24433421860566543</v>
      </c>
      <c r="H47" s="79">
        <f t="shared" si="2"/>
        <v>22.007599764294682</v>
      </c>
      <c r="I47" s="79">
        <f t="shared" si="4"/>
        <v>45.964558397551158</v>
      </c>
      <c r="J47" s="81">
        <f t="shared" si="3"/>
        <v>5.9999999999999995E-4</v>
      </c>
      <c r="K47" s="92">
        <f t="shared" si="5"/>
        <v>4.1233403578366028</v>
      </c>
      <c r="L47" s="22">
        <f t="shared" si="6"/>
        <v>3</v>
      </c>
      <c r="M47" t="s">
        <v>121</v>
      </c>
    </row>
    <row r="48" spans="1:13">
      <c r="A48" s="83">
        <v>2</v>
      </c>
      <c r="B48" s="91" t="s">
        <v>105</v>
      </c>
      <c r="C48" s="78">
        <v>8.3674999999999997</v>
      </c>
      <c r="D48" s="78">
        <v>11.321899999999999</v>
      </c>
      <c r="E48" s="67">
        <v>6.3460000000000001</v>
      </c>
      <c r="F48" s="21">
        <f t="shared" si="0"/>
        <v>9.4181936878123445</v>
      </c>
      <c r="G48" s="79">
        <f t="shared" si="1"/>
        <v>0.21321783335660696</v>
      </c>
      <c r="H48" s="79">
        <f t="shared" si="2"/>
        <v>22.432198775181671</v>
      </c>
      <c r="I48" s="79">
        <f t="shared" si="4"/>
        <v>46.813756419325138</v>
      </c>
      <c r="J48" s="81">
        <f t="shared" si="3"/>
        <v>5.9999999999999995E-4</v>
      </c>
      <c r="K48" s="92">
        <f t="shared" si="5"/>
        <v>4.1233403578366028</v>
      </c>
      <c r="L48" s="22">
        <f t="shared" si="6"/>
        <v>3</v>
      </c>
      <c r="M48" t="s">
        <v>121</v>
      </c>
    </row>
    <row r="49" spans="1:13">
      <c r="A49" s="83">
        <v>2</v>
      </c>
      <c r="B49" s="91" t="s">
        <v>85</v>
      </c>
      <c r="C49" s="78">
        <v>3.1983000000000001</v>
      </c>
      <c r="D49" s="78">
        <v>2.5461999999999998</v>
      </c>
      <c r="E49" s="16">
        <v>1.194</v>
      </c>
      <c r="F49" s="21">
        <f t="shared" si="0"/>
        <v>19.133165829145728</v>
      </c>
      <c r="G49" s="79">
        <f t="shared" si="1"/>
        <v>0.66675915717578393</v>
      </c>
      <c r="H49" s="79">
        <f t="shared" si="2"/>
        <v>16.243395160988573</v>
      </c>
      <c r="I49" s="79">
        <f t="shared" si="4"/>
        <v>34.436149190938949</v>
      </c>
      <c r="J49" s="81">
        <f t="shared" si="3"/>
        <v>1.5033201722900217E-3</v>
      </c>
      <c r="K49" s="92">
        <f t="shared" si="5"/>
        <v>1.6456934858615564</v>
      </c>
      <c r="L49" s="22">
        <f t="shared" si="6"/>
        <v>1</v>
      </c>
      <c r="M49" t="s">
        <v>121</v>
      </c>
    </row>
    <row r="50" spans="1:13">
      <c r="A50" s="83">
        <v>2</v>
      </c>
      <c r="B50" s="91" t="s">
        <v>86</v>
      </c>
      <c r="C50" s="78">
        <v>0.7661</v>
      </c>
      <c r="D50" s="78">
        <v>0.34150000000000003</v>
      </c>
      <c r="E50" s="16">
        <v>0.25800000000000001</v>
      </c>
      <c r="F50" s="21">
        <f t="shared" si="0"/>
        <v>21.209856035437426</v>
      </c>
      <c r="G50" s="79">
        <f t="shared" si="1"/>
        <v>1.7277684517069745</v>
      </c>
      <c r="H50" s="79">
        <f t="shared" si="2"/>
        <v>11.696153213770756</v>
      </c>
      <c r="I50" s="79">
        <f t="shared" si="4"/>
        <v>25.341665296503308</v>
      </c>
      <c r="J50" s="81">
        <f t="shared" si="3"/>
        <v>1.6664886884986553E-3</v>
      </c>
      <c r="K50" s="92">
        <f t="shared" si="5"/>
        <v>1.4845610604958859</v>
      </c>
      <c r="L50" s="22">
        <f t="shared" si="6"/>
        <v>1</v>
      </c>
    </row>
    <row r="51" spans="1:13">
      <c r="A51" s="83">
        <v>2</v>
      </c>
      <c r="B51" s="91" t="s">
        <v>87</v>
      </c>
      <c r="C51" s="78">
        <v>0.84299999999999997</v>
      </c>
      <c r="D51" s="78">
        <v>0.34489999999999998</v>
      </c>
      <c r="E51" s="16">
        <v>0.25800000000000001</v>
      </c>
      <c r="F51" s="21">
        <f t="shared" si="0"/>
        <v>23.338870431893682</v>
      </c>
      <c r="G51" s="79">
        <f t="shared" si="1"/>
        <v>1.5857908723918821</v>
      </c>
      <c r="H51" s="79">
        <f t="shared" si="2"/>
        <v>11.696153213770756</v>
      </c>
      <c r="I51" s="79">
        <f t="shared" si="4"/>
        <v>25.341665296503308</v>
      </c>
      <c r="J51" s="81">
        <f t="shared" si="3"/>
        <v>1.833768391077361E-3</v>
      </c>
      <c r="K51" s="92">
        <f t="shared" si="5"/>
        <v>1.3491366885479217</v>
      </c>
      <c r="L51" s="22">
        <f t="shared" si="6"/>
        <v>1</v>
      </c>
    </row>
    <row r="52" spans="1:13">
      <c r="A52" s="83">
        <v>2</v>
      </c>
      <c r="B52" s="91" t="s">
        <v>88</v>
      </c>
      <c r="C52" s="78">
        <v>3.2504</v>
      </c>
      <c r="D52" s="78">
        <v>2.5878000000000001</v>
      </c>
      <c r="E52" s="16">
        <v>1.194</v>
      </c>
      <c r="F52" s="21">
        <f t="shared" si="0"/>
        <v>19.44484326393874</v>
      </c>
      <c r="G52" s="79">
        <f t="shared" si="1"/>
        <v>0.66679075911182806</v>
      </c>
      <c r="H52" s="79">
        <f t="shared" si="2"/>
        <v>16.242963936388445</v>
      </c>
      <c r="I52" s="79">
        <f t="shared" si="4"/>
        <v>34.435286741738693</v>
      </c>
      <c r="J52" s="81">
        <f t="shared" si="3"/>
        <v>1.5278091135951868E-3</v>
      </c>
      <c r="K52" s="92">
        <f t="shared" si="5"/>
        <v>1.6193149999480116</v>
      </c>
      <c r="L52" s="22">
        <f t="shared" si="6"/>
        <v>1</v>
      </c>
    </row>
    <row r="53" spans="1:13">
      <c r="A53" s="83">
        <v>2</v>
      </c>
      <c r="B53" s="91" t="s">
        <v>89</v>
      </c>
      <c r="C53" s="78">
        <v>2.2574999999999998</v>
      </c>
      <c r="D53" s="78">
        <v>1.7693000000000001</v>
      </c>
      <c r="E53" s="16">
        <v>0.79200000000000004</v>
      </c>
      <c r="F53" s="21">
        <f t="shared" si="0"/>
        <v>20.359848484848481</v>
      </c>
      <c r="G53" s="79">
        <f t="shared" si="1"/>
        <v>0.98957459422575711</v>
      </c>
      <c r="H53" s="79">
        <f t="shared" si="2"/>
        <v>11.838413214230576</v>
      </c>
      <c r="I53" s="79">
        <f t="shared" si="4"/>
        <v>25.62618529742295</v>
      </c>
      <c r="J53" s="81">
        <f t="shared" si="3"/>
        <v>1.5997023809523805E-3</v>
      </c>
      <c r="K53" s="92">
        <f t="shared" si="5"/>
        <v>1.5465403090974126</v>
      </c>
      <c r="L53" s="22">
        <f t="shared" si="6"/>
        <v>1</v>
      </c>
    </row>
    <row r="54" spans="1:13" ht="15.75" thickBot="1">
      <c r="A54" s="83">
        <v>2</v>
      </c>
      <c r="B54" s="93" t="s">
        <v>90</v>
      </c>
      <c r="C54" s="94">
        <v>2.3612000000000002</v>
      </c>
      <c r="D54" s="94">
        <v>1.3532</v>
      </c>
      <c r="E54" s="75">
        <v>0.86199999999999999</v>
      </c>
      <c r="F54" s="26">
        <f t="shared" ref="F54:F85" si="7">ABS(C54/E54/$B$4)</f>
        <v>19.565793834935366</v>
      </c>
      <c r="G54" s="95">
        <f t="shared" ref="G54:G90" si="8">ABS(D54/(C54*E54))</f>
        <v>0.66484736024350344</v>
      </c>
      <c r="H54" s="95">
        <f t="shared" ref="H54:H85" si="9">100*IF(G54&gt;1,$E$2,($E$2-$E$1)*G54+$E$1)</f>
        <v>16.269482609127738</v>
      </c>
      <c r="I54" s="95">
        <f t="shared" si="4"/>
        <v>34.488324087217272</v>
      </c>
      <c r="J54" s="96">
        <f t="shared" ref="J54:J85" si="10">IF(I54&lt;=F54,"agregar mas muros",IF(F54&lt;=H54,0.0006,1.1*ABS(C54)/(E54*$B$4*$B$7)))</f>
        <v>1.5373123727449216E-3</v>
      </c>
      <c r="K54" s="97">
        <f t="shared" si="5"/>
        <v>1.6093048222103006</v>
      </c>
      <c r="L54" s="28">
        <f t="shared" si="6"/>
        <v>1</v>
      </c>
    </row>
    <row r="55" spans="1:13" ht="15.75" thickBot="1">
      <c r="A55" s="61">
        <v>2</v>
      </c>
      <c r="B55" s="100" t="s">
        <v>91</v>
      </c>
      <c r="C55" s="101">
        <v>3.4782000000000002</v>
      </c>
      <c r="D55" s="101">
        <v>4.2576999999999998</v>
      </c>
      <c r="E55">
        <v>2.9</v>
      </c>
      <c r="F55" s="80">
        <f t="shared" si="7"/>
        <v>8.5669950738916256</v>
      </c>
      <c r="G55" s="66">
        <f t="shared" si="8"/>
        <v>0.42210695583724434</v>
      </c>
      <c r="H55" s="79">
        <f t="shared" si="9"/>
        <v>19.581799730420734</v>
      </c>
      <c r="I55" s="79">
        <f t="shared" si="4"/>
        <v>41.112958329803263</v>
      </c>
      <c r="J55" s="81">
        <f t="shared" si="10"/>
        <v>5.9999999999999995E-4</v>
      </c>
      <c r="K55" s="1">
        <f t="shared" si="5"/>
        <v>4.1233403578366028</v>
      </c>
      <c r="L55" s="20">
        <f t="shared" si="6"/>
        <v>3</v>
      </c>
      <c r="M55" t="s">
        <v>121</v>
      </c>
    </row>
    <row r="56" spans="1:13">
      <c r="A56" s="83">
        <v>2</v>
      </c>
      <c r="B56" s="84" t="s">
        <v>92</v>
      </c>
      <c r="C56" s="85">
        <v>3.6698</v>
      </c>
      <c r="D56" s="85">
        <v>2.7778999999999998</v>
      </c>
      <c r="E56" s="70">
        <v>1.6659999999999999</v>
      </c>
      <c r="F56" s="86">
        <f t="shared" si="7"/>
        <v>15.734007888869833</v>
      </c>
      <c r="G56" s="87">
        <f t="shared" si="8"/>
        <v>0.45435908299774214</v>
      </c>
      <c r="H56" s="87">
        <f t="shared" si="9"/>
        <v>19.141702939558336</v>
      </c>
      <c r="I56" s="87">
        <f t="shared" si="4"/>
        <v>40.232764748078466</v>
      </c>
      <c r="J56" s="88">
        <f t="shared" si="10"/>
        <v>5.9999999999999995E-4</v>
      </c>
      <c r="K56" s="89">
        <f t="shared" si="5"/>
        <v>4.1233403578366028</v>
      </c>
      <c r="L56" s="90">
        <f t="shared" si="6"/>
        <v>3</v>
      </c>
      <c r="M56" t="s">
        <v>121</v>
      </c>
    </row>
    <row r="57" spans="1:13">
      <c r="A57" s="83">
        <v>2</v>
      </c>
      <c r="B57" s="91" t="s">
        <v>93</v>
      </c>
      <c r="C57" s="78">
        <v>2.927</v>
      </c>
      <c r="D57" s="78">
        <v>1.675</v>
      </c>
      <c r="E57" s="16">
        <v>0.99299999999999999</v>
      </c>
      <c r="F57" s="21">
        <f t="shared" si="7"/>
        <v>21.054524528844766</v>
      </c>
      <c r="G57" s="79">
        <f t="shared" si="8"/>
        <v>0.57629233125214385</v>
      </c>
      <c r="H57" s="79">
        <f t="shared" si="9"/>
        <v>17.477861327216068</v>
      </c>
      <c r="I57" s="79">
        <f t="shared" si="4"/>
        <v>36.905081523393932</v>
      </c>
      <c r="J57" s="81">
        <f t="shared" si="10"/>
        <v>1.6542840701235179E-3</v>
      </c>
      <c r="K57" s="92">
        <f t="shared" si="5"/>
        <v>1.4955135332453748</v>
      </c>
      <c r="L57" s="22">
        <f t="shared" si="6"/>
        <v>1</v>
      </c>
      <c r="M57" t="s">
        <v>121</v>
      </c>
    </row>
    <row r="58" spans="1:13">
      <c r="A58" s="83">
        <v>2</v>
      </c>
      <c r="B58" s="91" t="s">
        <v>94</v>
      </c>
      <c r="C58" s="78">
        <v>4.2830000000000004</v>
      </c>
      <c r="D58" s="78">
        <v>2.7189000000000001</v>
      </c>
      <c r="E58" s="16">
        <v>1.625</v>
      </c>
      <c r="F58" s="21">
        <f t="shared" si="7"/>
        <v>18.826373626373623</v>
      </c>
      <c r="G58" s="79">
        <f t="shared" si="8"/>
        <v>0.39065356777240973</v>
      </c>
      <c r="H58" s="79">
        <f t="shared" si="9"/>
        <v>20.010997317302309</v>
      </c>
      <c r="I58" s="79">
        <f t="shared" si="4"/>
        <v>41.971353503566419</v>
      </c>
      <c r="J58" s="81">
        <f t="shared" si="10"/>
        <v>5.9999999999999995E-4</v>
      </c>
      <c r="K58" s="92">
        <f t="shared" si="5"/>
        <v>4.1233403578366028</v>
      </c>
      <c r="L58" s="22">
        <f t="shared" si="6"/>
        <v>3</v>
      </c>
      <c r="M58" t="s">
        <v>121</v>
      </c>
    </row>
    <row r="59" spans="1:13">
      <c r="A59" s="83">
        <v>2</v>
      </c>
      <c r="B59" s="91" t="s">
        <v>95</v>
      </c>
      <c r="C59" s="78">
        <v>4.2824</v>
      </c>
      <c r="D59" s="78">
        <v>2.6436999999999999</v>
      </c>
      <c r="E59" s="16">
        <v>1.625</v>
      </c>
      <c r="F59" s="21">
        <f t="shared" si="7"/>
        <v>18.823736263736262</v>
      </c>
      <c r="G59" s="79">
        <f t="shared" si="8"/>
        <v>0.37990199600511576</v>
      </c>
      <c r="H59" s="79">
        <f t="shared" si="9"/>
        <v>20.157708019761287</v>
      </c>
      <c r="I59" s="79">
        <f t="shared" si="4"/>
        <v>42.26477490848437</v>
      </c>
      <c r="J59" s="81">
        <f t="shared" si="10"/>
        <v>5.9999999999999995E-4</v>
      </c>
      <c r="K59" s="92">
        <f t="shared" si="5"/>
        <v>4.1233403578366028</v>
      </c>
      <c r="L59" s="22">
        <f t="shared" si="6"/>
        <v>3</v>
      </c>
      <c r="M59" t="s">
        <v>121</v>
      </c>
    </row>
    <row r="60" spans="1:13">
      <c r="A60" s="83">
        <v>2</v>
      </c>
      <c r="B60" s="91" t="s">
        <v>96</v>
      </c>
      <c r="C60" s="78">
        <v>2.9197000000000002</v>
      </c>
      <c r="D60" s="78">
        <v>1.7017</v>
      </c>
      <c r="E60" s="16">
        <v>0.99299999999999999</v>
      </c>
      <c r="F60" s="21">
        <f t="shared" si="7"/>
        <v>21.002014098690836</v>
      </c>
      <c r="G60" s="79">
        <f t="shared" si="8"/>
        <v>0.58694244994269407</v>
      </c>
      <c r="H60" s="79">
        <f t="shared" si="9"/>
        <v>17.332535003941629</v>
      </c>
      <c r="I60" s="79">
        <f t="shared" si="4"/>
        <v>36.614428876845054</v>
      </c>
      <c r="J60" s="81">
        <f t="shared" si="10"/>
        <v>1.650158250611423E-3</v>
      </c>
      <c r="K60" s="92">
        <f t="shared" si="5"/>
        <v>1.4992527012395835</v>
      </c>
      <c r="L60" s="22">
        <f t="shared" si="6"/>
        <v>1</v>
      </c>
      <c r="M60" t="s">
        <v>121</v>
      </c>
    </row>
    <row r="61" spans="1:13">
      <c r="A61" s="83">
        <v>2</v>
      </c>
      <c r="B61" s="91" t="s">
        <v>97</v>
      </c>
      <c r="C61" s="78">
        <v>3.7993000000000001</v>
      </c>
      <c r="D61" s="78">
        <v>2.8344999999999998</v>
      </c>
      <c r="E61" s="16">
        <v>1.6659999999999999</v>
      </c>
      <c r="F61" s="21">
        <f t="shared" si="7"/>
        <v>16.289229977705368</v>
      </c>
      <c r="G61" s="79">
        <f t="shared" si="8"/>
        <v>0.44781421636114238</v>
      </c>
      <c r="H61" s="79">
        <f t="shared" si="9"/>
        <v>19.231010996327928</v>
      </c>
      <c r="I61" s="79">
        <f t="shared" si="4"/>
        <v>40.411380861617651</v>
      </c>
      <c r="J61" s="81">
        <f t="shared" si="10"/>
        <v>5.9999999999999995E-4</v>
      </c>
      <c r="K61" s="92">
        <f t="shared" si="5"/>
        <v>4.1233403578366028</v>
      </c>
      <c r="L61" s="22">
        <f t="shared" si="6"/>
        <v>3</v>
      </c>
      <c r="M61" t="s">
        <v>121</v>
      </c>
    </row>
    <row r="62" spans="1:13" ht="15.75" thickBot="1">
      <c r="A62" s="83">
        <v>2</v>
      </c>
      <c r="B62" s="93" t="s">
        <v>106</v>
      </c>
      <c r="C62" s="94">
        <v>20.144600000000001</v>
      </c>
      <c r="D62" s="94">
        <v>29.3125</v>
      </c>
      <c r="E62" s="75">
        <v>15.592000000000001</v>
      </c>
      <c r="F62" s="26">
        <f t="shared" si="7"/>
        <v>9.2284504874294502</v>
      </c>
      <c r="G62" s="95">
        <f t="shared" si="8"/>
        <v>9.3323793854984641E-2</v>
      </c>
      <c r="H62" s="95">
        <f t="shared" si="9"/>
        <v>24.068214339848673</v>
      </c>
      <c r="I62" s="95">
        <f t="shared" si="4"/>
        <v>50.085787548659134</v>
      </c>
      <c r="J62" s="96">
        <f t="shared" si="10"/>
        <v>5.9999999999999995E-4</v>
      </c>
      <c r="K62" s="97">
        <f t="shared" si="5"/>
        <v>4.1233403578366028</v>
      </c>
      <c r="L62" s="28">
        <f t="shared" si="6"/>
        <v>3</v>
      </c>
      <c r="M62" t="s">
        <v>121</v>
      </c>
    </row>
    <row r="63" spans="1:13">
      <c r="A63" s="83">
        <v>2</v>
      </c>
      <c r="B63" s="84" t="s">
        <v>99</v>
      </c>
      <c r="C63" s="85">
        <v>7.9516</v>
      </c>
      <c r="D63" s="85">
        <v>13.4383</v>
      </c>
      <c r="E63" s="70">
        <v>6.0860000000000003</v>
      </c>
      <c r="F63" s="86">
        <f t="shared" si="7"/>
        <v>9.3324257077132522</v>
      </c>
      <c r="G63" s="87">
        <f t="shared" si="8"/>
        <v>0.27768847733189339</v>
      </c>
      <c r="H63" s="87">
        <f t="shared" si="9"/>
        <v>21.552463823835353</v>
      </c>
      <c r="I63" s="87">
        <f t="shared" si="4"/>
        <v>45.054286516632494</v>
      </c>
      <c r="J63" s="88">
        <f t="shared" si="10"/>
        <v>5.9999999999999995E-4</v>
      </c>
      <c r="K63" s="89">
        <f t="shared" si="5"/>
        <v>4.1233403578366028</v>
      </c>
      <c r="L63" s="90">
        <f t="shared" si="6"/>
        <v>3</v>
      </c>
      <c r="M63" t="s">
        <v>121</v>
      </c>
    </row>
    <row r="64" spans="1:13">
      <c r="A64" s="83">
        <v>2</v>
      </c>
      <c r="B64" s="91" t="s">
        <v>100</v>
      </c>
      <c r="C64" s="78">
        <v>4.4798999999999998</v>
      </c>
      <c r="D64" s="78">
        <v>5.7225000000000001</v>
      </c>
      <c r="E64" s="16">
        <v>3.0880000000000001</v>
      </c>
      <c r="F64" s="21">
        <f t="shared" si="7"/>
        <v>10.362462990377496</v>
      </c>
      <c r="G64" s="79">
        <f t="shared" si="8"/>
        <v>0.41365682084641275</v>
      </c>
      <c r="H64" s="79">
        <f t="shared" si="9"/>
        <v>19.697106149538847</v>
      </c>
      <c r="I64" s="79">
        <f t="shared" si="4"/>
        <v>41.343571168039489</v>
      </c>
      <c r="J64" s="81">
        <f t="shared" si="10"/>
        <v>5.9999999999999995E-4</v>
      </c>
      <c r="K64" s="92">
        <f t="shared" si="5"/>
        <v>4.1233403578366028</v>
      </c>
      <c r="L64" s="22">
        <f t="shared" si="6"/>
        <v>3</v>
      </c>
      <c r="M64" t="s">
        <v>121</v>
      </c>
    </row>
    <row r="65" spans="1:13">
      <c r="A65" s="83">
        <v>2</v>
      </c>
      <c r="B65" s="91" t="s">
        <v>101</v>
      </c>
      <c r="C65" s="78">
        <v>3.1947000000000001</v>
      </c>
      <c r="D65" s="78">
        <v>2.1406000000000001</v>
      </c>
      <c r="E65" s="16">
        <v>2.1379999999999999</v>
      </c>
      <c r="F65" s="21">
        <f t="shared" si="7"/>
        <v>10.673192569824936</v>
      </c>
      <c r="G65" s="79">
        <f t="shared" si="8"/>
        <v>0.31339909531522669</v>
      </c>
      <c r="H65" s="79">
        <f t="shared" si="9"/>
        <v>21.065174154661932</v>
      </c>
      <c r="I65" s="79">
        <f t="shared" si="4"/>
        <v>44.079707178285652</v>
      </c>
      <c r="J65" s="81">
        <f t="shared" si="10"/>
        <v>5.9999999999999995E-4</v>
      </c>
      <c r="K65" s="92">
        <f t="shared" si="5"/>
        <v>4.1233403578366028</v>
      </c>
      <c r="L65" s="22">
        <f t="shared" si="6"/>
        <v>3</v>
      </c>
      <c r="M65" t="s">
        <v>121</v>
      </c>
    </row>
    <row r="66" spans="1:13">
      <c r="A66" s="83">
        <v>2</v>
      </c>
      <c r="B66" s="91" t="s">
        <v>102</v>
      </c>
      <c r="C66" s="78">
        <v>4.3242000000000003</v>
      </c>
      <c r="D66" s="78">
        <v>5.4570999999999996</v>
      </c>
      <c r="E66" s="16">
        <v>3.0880000000000001</v>
      </c>
      <c r="F66" s="21">
        <f t="shared" si="7"/>
        <v>10.002313101406365</v>
      </c>
      <c r="G66" s="79">
        <f t="shared" si="8"/>
        <v>0.40867573096871607</v>
      </c>
      <c r="H66" s="79">
        <f t="shared" si="9"/>
        <v>19.765075671650134</v>
      </c>
      <c r="I66" s="79">
        <f t="shared" si="4"/>
        <v>41.479510212262063</v>
      </c>
      <c r="J66" s="81">
        <f t="shared" si="10"/>
        <v>5.9999999999999995E-4</v>
      </c>
      <c r="K66" s="92">
        <f t="shared" si="5"/>
        <v>4.1233403578366028</v>
      </c>
      <c r="L66" s="22">
        <f t="shared" si="6"/>
        <v>3</v>
      </c>
      <c r="M66" t="s">
        <v>121</v>
      </c>
    </row>
    <row r="67" spans="1:13" ht="15.75" thickBot="1">
      <c r="A67" s="83">
        <v>2</v>
      </c>
      <c r="B67" s="93" t="s">
        <v>103</v>
      </c>
      <c r="C67" s="94">
        <v>8.3727</v>
      </c>
      <c r="D67" s="94">
        <v>13.913500000000001</v>
      </c>
      <c r="E67" s="75">
        <v>6.0860000000000003</v>
      </c>
      <c r="F67" s="26">
        <f t="shared" si="7"/>
        <v>9.8266513309234291</v>
      </c>
      <c r="G67" s="95">
        <f t="shared" si="8"/>
        <v>0.27304794601829058</v>
      </c>
      <c r="H67" s="95">
        <f t="shared" si="9"/>
        <v>21.615786249945419</v>
      </c>
      <c r="I67" s="95">
        <f t="shared" si="4"/>
        <v>45.180931368852626</v>
      </c>
      <c r="J67" s="96">
        <f t="shared" si="10"/>
        <v>5.9999999999999995E-4</v>
      </c>
      <c r="K67" s="97">
        <f t="shared" si="5"/>
        <v>4.1233403578366028</v>
      </c>
      <c r="L67" s="28">
        <f t="shared" si="6"/>
        <v>3</v>
      </c>
      <c r="M67" t="s">
        <v>121</v>
      </c>
    </row>
    <row r="68" spans="1:13">
      <c r="A68" s="83">
        <v>3</v>
      </c>
      <c r="B68" s="84" t="s">
        <v>81</v>
      </c>
      <c r="C68" s="85">
        <v>1.6214</v>
      </c>
      <c r="D68" s="85">
        <v>0.80730000000000002</v>
      </c>
      <c r="E68" s="70">
        <v>0.86199999999999999</v>
      </c>
      <c r="F68" s="86">
        <f t="shared" si="7"/>
        <v>13.435531985415976</v>
      </c>
      <c r="G68" s="87">
        <f t="shared" si="8"/>
        <v>0.57761374332914439</v>
      </c>
      <c r="H68" s="87">
        <f t="shared" si="9"/>
        <v>17.459829982753089</v>
      </c>
      <c r="I68" s="87">
        <f t="shared" si="4"/>
        <v>36.869018834467973</v>
      </c>
      <c r="J68" s="88">
        <f t="shared" si="10"/>
        <v>5.9999999999999995E-4</v>
      </c>
      <c r="K68" s="89">
        <f t="shared" si="5"/>
        <v>4.1233403578366028</v>
      </c>
      <c r="L68" s="90">
        <f t="shared" si="6"/>
        <v>3</v>
      </c>
      <c r="M68" t="s">
        <v>121</v>
      </c>
    </row>
    <row r="69" spans="1:13">
      <c r="A69" s="83">
        <v>3</v>
      </c>
      <c r="B69" s="91" t="s">
        <v>82</v>
      </c>
      <c r="C69" s="78">
        <v>1.3471</v>
      </c>
      <c r="D69" s="78">
        <v>1.0881000000000001</v>
      </c>
      <c r="E69" s="16">
        <v>0.79200000000000004</v>
      </c>
      <c r="F69" s="21">
        <f t="shared" si="7"/>
        <v>12.149170274170272</v>
      </c>
      <c r="G69" s="79">
        <f t="shared" si="8"/>
        <v>1.0198675943609505</v>
      </c>
      <c r="H69" s="79">
        <f t="shared" si="9"/>
        <v>11.696153213770756</v>
      </c>
      <c r="I69" s="79">
        <f t="shared" si="4"/>
        <v>25.341665296503308</v>
      </c>
      <c r="J69" s="81">
        <f t="shared" si="10"/>
        <v>9.5457766439909278E-4</v>
      </c>
      <c r="K69" s="92">
        <f t="shared" si="5"/>
        <v>2.5917264848841279</v>
      </c>
      <c r="L69" s="22">
        <f t="shared" si="6"/>
        <v>2</v>
      </c>
      <c r="M69" t="s">
        <v>121</v>
      </c>
    </row>
    <row r="70" spans="1:13">
      <c r="A70" s="83">
        <v>3</v>
      </c>
      <c r="B70" s="91" t="s">
        <v>85</v>
      </c>
      <c r="C70" s="78">
        <v>1.7241</v>
      </c>
      <c r="D70" s="78">
        <v>1.6434</v>
      </c>
      <c r="E70" s="16">
        <v>1.194</v>
      </c>
      <c r="F70" s="21">
        <f t="shared" si="7"/>
        <v>10.314070351758794</v>
      </c>
      <c r="G70" s="79">
        <f t="shared" si="8"/>
        <v>0.79831907055724072</v>
      </c>
      <c r="H70" s="79">
        <f t="shared" si="9"/>
        <v>14.448192773338658</v>
      </c>
      <c r="I70" s="79">
        <f t="shared" si="4"/>
        <v>30.845744415639111</v>
      </c>
      <c r="J70" s="81">
        <f t="shared" si="10"/>
        <v>5.9999999999999995E-4</v>
      </c>
      <c r="K70" s="92">
        <f t="shared" si="5"/>
        <v>4.1233403578366028</v>
      </c>
      <c r="L70" s="22">
        <f t="shared" si="6"/>
        <v>3</v>
      </c>
    </row>
    <row r="71" spans="1:13">
      <c r="A71" s="83">
        <v>3</v>
      </c>
      <c r="B71" s="91" t="s">
        <v>86</v>
      </c>
      <c r="C71" s="78">
        <v>0.59309999999999996</v>
      </c>
      <c r="D71" s="78">
        <v>0.29780000000000001</v>
      </c>
      <c r="E71" s="16">
        <v>0.25800000000000001</v>
      </c>
      <c r="F71" s="21">
        <f t="shared" si="7"/>
        <v>16.420265780730894</v>
      </c>
      <c r="G71" s="79">
        <f t="shared" si="8"/>
        <v>1.9461533736157024</v>
      </c>
      <c r="H71" s="79">
        <f t="shared" si="9"/>
        <v>11.696153213770756</v>
      </c>
      <c r="I71" s="79">
        <f t="shared" si="4"/>
        <v>25.341665296503308</v>
      </c>
      <c r="J71" s="81">
        <f t="shared" si="10"/>
        <v>1.2901637399145704E-3</v>
      </c>
      <c r="K71" s="92">
        <f t="shared" si="5"/>
        <v>1.9175893246432274</v>
      </c>
      <c r="L71" s="22">
        <f t="shared" si="6"/>
        <v>1</v>
      </c>
    </row>
    <row r="72" spans="1:13">
      <c r="A72" s="83">
        <v>3</v>
      </c>
      <c r="B72" s="91" t="s">
        <v>87</v>
      </c>
      <c r="C72" s="78">
        <v>0.76080000000000003</v>
      </c>
      <c r="D72" s="78">
        <v>0.29559999999999997</v>
      </c>
      <c r="E72" s="16">
        <v>0.25800000000000001</v>
      </c>
      <c r="F72" s="21">
        <f t="shared" si="7"/>
        <v>21.063122923588036</v>
      </c>
      <c r="G72" s="79">
        <f t="shared" si="8"/>
        <v>1.5059627157052142</v>
      </c>
      <c r="H72" s="79">
        <f t="shared" si="9"/>
        <v>11.696153213770756</v>
      </c>
      <c r="I72" s="79">
        <f t="shared" si="4"/>
        <v>25.341665296503308</v>
      </c>
      <c r="J72" s="81">
        <f t="shared" si="10"/>
        <v>1.6549596582819174E-3</v>
      </c>
      <c r="K72" s="92">
        <f t="shared" si="5"/>
        <v>1.4949030342348819</v>
      </c>
      <c r="L72" s="22">
        <f t="shared" si="6"/>
        <v>1</v>
      </c>
    </row>
    <row r="73" spans="1:13">
      <c r="A73" s="83">
        <v>3</v>
      </c>
      <c r="B73" s="91" t="s">
        <v>88</v>
      </c>
      <c r="C73" s="78">
        <v>1.762</v>
      </c>
      <c r="D73" s="78">
        <v>1.6835</v>
      </c>
      <c r="E73" s="16">
        <v>1.194</v>
      </c>
      <c r="F73" s="21">
        <f t="shared" si="7"/>
        <v>10.54079923426657</v>
      </c>
      <c r="G73" s="79">
        <f t="shared" si="8"/>
        <v>0.80020800179482354</v>
      </c>
      <c r="H73" s="79">
        <f t="shared" si="9"/>
        <v>14.422417339312771</v>
      </c>
      <c r="I73" s="79">
        <f t="shared" si="4"/>
        <v>30.794193547587334</v>
      </c>
      <c r="J73" s="81">
        <f t="shared" si="10"/>
        <v>5.9999999999999995E-4</v>
      </c>
      <c r="K73" s="92">
        <f t="shared" si="5"/>
        <v>4.1233403578366028</v>
      </c>
      <c r="L73" s="22">
        <f t="shared" si="6"/>
        <v>3</v>
      </c>
    </row>
    <row r="74" spans="1:13">
      <c r="A74" s="83">
        <v>3</v>
      </c>
      <c r="B74" s="91" t="s">
        <v>89</v>
      </c>
      <c r="C74" s="78">
        <v>1.2959000000000001</v>
      </c>
      <c r="D74" s="78">
        <v>1.0404</v>
      </c>
      <c r="E74" s="16">
        <v>0.79200000000000004</v>
      </c>
      <c r="F74" s="21">
        <f t="shared" si="7"/>
        <v>11.687409812409811</v>
      </c>
      <c r="G74" s="79">
        <f t="shared" si="8"/>
        <v>1.0136865218275819</v>
      </c>
      <c r="H74" s="79">
        <f t="shared" si="9"/>
        <v>11.696153213770756</v>
      </c>
      <c r="I74" s="79">
        <f t="shared" si="4"/>
        <v>25.341665296503308</v>
      </c>
      <c r="J74" s="81">
        <f t="shared" si="10"/>
        <v>5.9999999999999995E-4</v>
      </c>
      <c r="K74" s="92">
        <f t="shared" si="5"/>
        <v>4.1233403578366028</v>
      </c>
      <c r="L74" s="22">
        <f t="shared" si="6"/>
        <v>3</v>
      </c>
    </row>
    <row r="75" spans="1:13">
      <c r="A75" s="83">
        <v>3</v>
      </c>
      <c r="B75" s="91" t="s">
        <v>90</v>
      </c>
      <c r="C75" s="78">
        <v>1.5732999999999999</v>
      </c>
      <c r="D75" s="78">
        <v>0.78710000000000002</v>
      </c>
      <c r="E75" s="16">
        <v>0.86199999999999999</v>
      </c>
      <c r="F75" s="21">
        <f t="shared" si="7"/>
        <v>13.036957242293667</v>
      </c>
      <c r="G75" s="79">
        <f t="shared" si="8"/>
        <v>0.58037821694775182</v>
      </c>
      <c r="H75" s="79">
        <f t="shared" si="9"/>
        <v>17.422107324587984</v>
      </c>
      <c r="I75" s="79">
        <f t="shared" si="4"/>
        <v>36.793573518137769</v>
      </c>
      <c r="J75" s="81">
        <f t="shared" si="10"/>
        <v>5.9999999999999995E-4</v>
      </c>
      <c r="K75" s="92">
        <f t="shared" si="5"/>
        <v>4.1233403578366028</v>
      </c>
      <c r="L75" s="22">
        <f t="shared" si="6"/>
        <v>3</v>
      </c>
    </row>
    <row r="76" spans="1:13">
      <c r="A76" s="83">
        <v>3</v>
      </c>
      <c r="B76" s="91" t="s">
        <v>107</v>
      </c>
      <c r="C76" s="78">
        <v>4.5644</v>
      </c>
      <c r="D76" s="78">
        <v>7.0650000000000004</v>
      </c>
      <c r="E76" s="68">
        <v>6.3460000000000001</v>
      </c>
      <c r="F76" s="21">
        <f t="shared" si="7"/>
        <v>5.1375444599522755</v>
      </c>
      <c r="G76" s="79">
        <f t="shared" si="8"/>
        <v>0.24390932353798092</v>
      </c>
      <c r="H76" s="79">
        <f t="shared" si="9"/>
        <v>22.013397675074664</v>
      </c>
      <c r="I76" s="79">
        <f t="shared" si="4"/>
        <v>45.976154219111123</v>
      </c>
      <c r="J76" s="81">
        <f t="shared" si="10"/>
        <v>5.9999999999999995E-4</v>
      </c>
      <c r="K76" s="92">
        <f t="shared" si="5"/>
        <v>4.1233403578366028</v>
      </c>
      <c r="L76" s="22">
        <f t="shared" si="6"/>
        <v>3</v>
      </c>
      <c r="M76" t="s">
        <v>121</v>
      </c>
    </row>
    <row r="77" spans="1:13" ht="15.75" thickBot="1">
      <c r="A77" s="83">
        <v>3</v>
      </c>
      <c r="B77" s="93" t="s">
        <v>108</v>
      </c>
      <c r="C77" s="94">
        <v>4.4642999999999997</v>
      </c>
      <c r="D77" s="94">
        <v>6.2794999999999996</v>
      </c>
      <c r="E77" s="102">
        <v>6.3460000000000001</v>
      </c>
      <c r="F77" s="26">
        <f t="shared" si="7"/>
        <v>5.0248750619062612</v>
      </c>
      <c r="G77" s="95">
        <f t="shared" si="8"/>
        <v>0.2216519853244254</v>
      </c>
      <c r="H77" s="95">
        <f t="shared" si="9"/>
        <v>22.317110452597202</v>
      </c>
      <c r="I77" s="95">
        <f t="shared" si="4"/>
        <v>46.583579774156199</v>
      </c>
      <c r="J77" s="96">
        <f t="shared" si="10"/>
        <v>5.9999999999999995E-4</v>
      </c>
      <c r="K77" s="97">
        <f t="shared" si="5"/>
        <v>4.1233403578366028</v>
      </c>
      <c r="L77" s="28">
        <f t="shared" si="6"/>
        <v>3</v>
      </c>
      <c r="M77" t="s">
        <v>121</v>
      </c>
    </row>
    <row r="78" spans="1:13" ht="15.75" thickBot="1">
      <c r="A78" s="61">
        <v>3</v>
      </c>
      <c r="B78" s="100" t="s">
        <v>91</v>
      </c>
      <c r="C78" s="101">
        <v>1.3788</v>
      </c>
      <c r="D78" s="101">
        <v>3.0059</v>
      </c>
      <c r="E78">
        <v>2.9</v>
      </c>
      <c r="F78" s="80">
        <f t="shared" si="7"/>
        <v>3.3960591133004927</v>
      </c>
      <c r="G78" s="66">
        <f t="shared" si="8"/>
        <v>0.75175314866500609</v>
      </c>
      <c r="H78" s="79">
        <f t="shared" si="9"/>
        <v>15.083608623162725</v>
      </c>
      <c r="I78" s="79">
        <f t="shared" si="4"/>
        <v>32.116576115287252</v>
      </c>
      <c r="J78" s="81">
        <f t="shared" si="10"/>
        <v>5.9999999999999995E-4</v>
      </c>
      <c r="K78" s="1">
        <f t="shared" si="5"/>
        <v>4.1233403578366028</v>
      </c>
      <c r="L78" s="20">
        <f t="shared" si="6"/>
        <v>3</v>
      </c>
      <c r="M78" t="s">
        <v>121</v>
      </c>
    </row>
    <row r="79" spans="1:13">
      <c r="A79" s="83">
        <v>3</v>
      </c>
      <c r="B79" s="84" t="s">
        <v>92</v>
      </c>
      <c r="C79" s="85">
        <v>2.5819999999999999</v>
      </c>
      <c r="D79" s="85">
        <v>1.8057000000000001</v>
      </c>
      <c r="E79" s="70">
        <v>1.6659999999999999</v>
      </c>
      <c r="F79" s="86">
        <f t="shared" si="7"/>
        <v>11.070142342651344</v>
      </c>
      <c r="G79" s="87">
        <f t="shared" si="8"/>
        <v>0.41977286654398405</v>
      </c>
      <c r="H79" s="87">
        <f t="shared" si="9"/>
        <v>19.613649574074092</v>
      </c>
      <c r="I79" s="87">
        <f t="shared" si="4"/>
        <v>41.176658017109979</v>
      </c>
      <c r="J79" s="88">
        <f t="shared" si="10"/>
        <v>5.9999999999999995E-4</v>
      </c>
      <c r="K79" s="89">
        <f t="shared" si="5"/>
        <v>4.1233403578366028</v>
      </c>
      <c r="L79" s="90">
        <f t="shared" si="6"/>
        <v>3</v>
      </c>
      <c r="M79" t="s">
        <v>121</v>
      </c>
    </row>
    <row r="80" spans="1:13">
      <c r="A80" s="83">
        <v>3</v>
      </c>
      <c r="B80" s="91" t="s">
        <v>93</v>
      </c>
      <c r="C80" s="78">
        <v>1.4993000000000001</v>
      </c>
      <c r="D80" s="78">
        <v>0.72219999999999995</v>
      </c>
      <c r="E80" s="16">
        <v>0.99299999999999999</v>
      </c>
      <c r="F80" s="21">
        <f t="shared" si="7"/>
        <v>10.784779168464969</v>
      </c>
      <c r="G80" s="79">
        <f t="shared" si="8"/>
        <v>0.48508706547110364</v>
      </c>
      <c r="H80" s="79">
        <f t="shared" si="9"/>
        <v>18.722403883440087</v>
      </c>
      <c r="I80" s="79">
        <f t="shared" si="4"/>
        <v>39.394166635841962</v>
      </c>
      <c r="J80" s="81">
        <f t="shared" si="10"/>
        <v>5.9999999999999995E-4</v>
      </c>
      <c r="K80" s="92">
        <f t="shared" si="5"/>
        <v>4.1233403578366028</v>
      </c>
      <c r="L80" s="22">
        <f t="shared" si="6"/>
        <v>3</v>
      </c>
      <c r="M80" t="s">
        <v>121</v>
      </c>
    </row>
    <row r="81" spans="1:13">
      <c r="A81" s="83">
        <v>3</v>
      </c>
      <c r="B81" s="91" t="s">
        <v>94</v>
      </c>
      <c r="C81" s="78">
        <v>2.1286</v>
      </c>
      <c r="D81" s="78">
        <v>1.0590999999999999</v>
      </c>
      <c r="E81" s="16">
        <v>1.625</v>
      </c>
      <c r="F81" s="21">
        <f t="shared" si="7"/>
        <v>9.3564835164835163</v>
      </c>
      <c r="G81" s="79">
        <f t="shared" si="8"/>
        <v>0.30618897216661001</v>
      </c>
      <c r="H81" s="79">
        <f t="shared" si="9"/>
        <v>21.163559977204368</v>
      </c>
      <c r="I81" s="79">
        <f t="shared" si="4"/>
        <v>44.276478823370539</v>
      </c>
      <c r="J81" s="81">
        <f t="shared" si="10"/>
        <v>5.9999999999999995E-4</v>
      </c>
      <c r="K81" s="92">
        <f t="shared" si="5"/>
        <v>4.1233403578366028</v>
      </c>
      <c r="L81" s="22">
        <f t="shared" si="6"/>
        <v>3</v>
      </c>
      <c r="M81" t="s">
        <v>121</v>
      </c>
    </row>
    <row r="82" spans="1:13">
      <c r="A82" s="83">
        <v>3</v>
      </c>
      <c r="B82" s="91" t="s">
        <v>95</v>
      </c>
      <c r="C82" s="78">
        <v>2.0529999999999999</v>
      </c>
      <c r="D82" s="78">
        <v>1.0355000000000001</v>
      </c>
      <c r="E82" s="16">
        <v>1.625</v>
      </c>
      <c r="F82" s="21">
        <f t="shared" si="7"/>
        <v>9.0241758241758223</v>
      </c>
      <c r="G82" s="79">
        <f t="shared" si="8"/>
        <v>0.31039004833451989</v>
      </c>
      <c r="H82" s="79">
        <f t="shared" si="9"/>
        <v>21.106234141594676</v>
      </c>
      <c r="I82" s="79">
        <f t="shared" si="4"/>
        <v>44.161827152151147</v>
      </c>
      <c r="J82" s="81">
        <f t="shared" si="10"/>
        <v>5.9999999999999995E-4</v>
      </c>
      <c r="K82" s="92">
        <f t="shared" si="5"/>
        <v>4.1233403578366028</v>
      </c>
      <c r="L82" s="22">
        <f t="shared" si="6"/>
        <v>3</v>
      </c>
      <c r="M82" t="s">
        <v>121</v>
      </c>
    </row>
    <row r="83" spans="1:13">
      <c r="A83" s="83">
        <v>3</v>
      </c>
      <c r="B83" s="91" t="s">
        <v>96</v>
      </c>
      <c r="C83" s="78">
        <v>1.528</v>
      </c>
      <c r="D83" s="78">
        <v>0.74219999999999997</v>
      </c>
      <c r="E83" s="16">
        <v>0.99299999999999999</v>
      </c>
      <c r="F83" s="21">
        <f t="shared" si="7"/>
        <v>10.991224284275642</v>
      </c>
      <c r="G83" s="79">
        <f t="shared" si="8"/>
        <v>0.48915708388035617</v>
      </c>
      <c r="H83" s="79">
        <f t="shared" si="9"/>
        <v>18.666866398059685</v>
      </c>
      <c r="I83" s="79">
        <f t="shared" si="4"/>
        <v>39.283091665081173</v>
      </c>
      <c r="J83" s="81">
        <f t="shared" si="10"/>
        <v>5.9999999999999995E-4</v>
      </c>
      <c r="K83" s="92">
        <f t="shared" si="5"/>
        <v>4.1233403578366028</v>
      </c>
      <c r="L83" s="22">
        <f t="shared" si="6"/>
        <v>3</v>
      </c>
      <c r="M83" t="s">
        <v>121</v>
      </c>
    </row>
    <row r="84" spans="1:13">
      <c r="A84" s="83">
        <v>3</v>
      </c>
      <c r="B84" s="91" t="s">
        <v>97</v>
      </c>
      <c r="C84" s="78">
        <v>2.6608999999999998</v>
      </c>
      <c r="D84" s="78">
        <v>1.8198000000000001</v>
      </c>
      <c r="E84" s="16">
        <v>1.6659999999999999</v>
      </c>
      <c r="F84" s="21">
        <f t="shared" si="7"/>
        <v>11.408420511061566</v>
      </c>
      <c r="G84" s="79">
        <f t="shared" si="8"/>
        <v>0.41050656799229901</v>
      </c>
      <c r="H84" s="79">
        <f t="shared" si="9"/>
        <v>19.74009296292332</v>
      </c>
      <c r="I84" s="79">
        <f t="shared" si="4"/>
        <v>41.429544794808429</v>
      </c>
      <c r="J84" s="81">
        <f t="shared" si="10"/>
        <v>5.9999999999999995E-4</v>
      </c>
      <c r="K84" s="92">
        <f t="shared" si="5"/>
        <v>4.1233403578366028</v>
      </c>
      <c r="L84" s="22">
        <f t="shared" si="6"/>
        <v>3</v>
      </c>
      <c r="M84" t="s">
        <v>121</v>
      </c>
    </row>
    <row r="85" spans="1:13" ht="15.75" thickBot="1">
      <c r="A85" s="83">
        <v>3</v>
      </c>
      <c r="B85" s="93" t="s">
        <v>109</v>
      </c>
      <c r="C85" s="94">
        <v>9.8489000000000004</v>
      </c>
      <c r="D85" s="94">
        <v>11.485099999999999</v>
      </c>
      <c r="E85" s="75">
        <v>15.592000000000001</v>
      </c>
      <c r="F85" s="26">
        <f t="shared" si="7"/>
        <v>4.5118833834200682</v>
      </c>
      <c r="G85" s="95">
        <f t="shared" si="8"/>
        <v>7.4790291671444895E-2</v>
      </c>
      <c r="H85" s="95">
        <f t="shared" si="9"/>
        <v>24.321113467829512</v>
      </c>
      <c r="I85" s="95">
        <f t="shared" si="4"/>
        <v>50.59158580462082</v>
      </c>
      <c r="J85" s="96">
        <f t="shared" si="10"/>
        <v>5.9999999999999995E-4</v>
      </c>
      <c r="K85" s="97">
        <f t="shared" si="5"/>
        <v>4.1233403578366028</v>
      </c>
      <c r="L85" s="28">
        <f t="shared" si="6"/>
        <v>3</v>
      </c>
      <c r="M85" t="s">
        <v>121</v>
      </c>
    </row>
    <row r="86" spans="1:13">
      <c r="A86" s="83">
        <v>3</v>
      </c>
      <c r="B86" s="84" t="s">
        <v>110</v>
      </c>
      <c r="C86" s="85">
        <v>4.3937999999999997</v>
      </c>
      <c r="D86" s="85">
        <v>5.1616</v>
      </c>
      <c r="E86" s="70">
        <v>6.0860000000000003</v>
      </c>
      <c r="F86" s="86">
        <f t="shared" ref="F86:F90" si="11">ABS(C86/E86/$B$4)</f>
        <v>5.1568001502276877</v>
      </c>
      <c r="G86" s="87">
        <f t="shared" si="8"/>
        <v>0.19302435644574129</v>
      </c>
      <c r="H86" s="87">
        <f t="shared" ref="H86:H90" si="12">100*IF(G86&gt;1,$E$2,($E$2-$E$1)*G86+$E$1)</f>
        <v>22.70774910836127</v>
      </c>
      <c r="I86" s="87">
        <f t="shared" si="4"/>
        <v>47.364857085684328</v>
      </c>
      <c r="J86" s="88">
        <f t="shared" ref="J86:J90" si="13">IF(I86&lt;=F86,"agregar mas muros",IF(F86&lt;=H86,0.0006,1.1*ABS(C86)/(E86*$B$4*$B$7)))</f>
        <v>5.9999999999999995E-4</v>
      </c>
      <c r="K86" s="89">
        <f t="shared" si="5"/>
        <v>4.1233403578366028</v>
      </c>
      <c r="L86" s="90">
        <f t="shared" si="6"/>
        <v>3</v>
      </c>
      <c r="M86" t="s">
        <v>121</v>
      </c>
    </row>
    <row r="87" spans="1:13">
      <c r="A87" s="83">
        <v>3</v>
      </c>
      <c r="B87" s="91" t="s">
        <v>111</v>
      </c>
      <c r="C87" s="78">
        <v>2.5644999999999998</v>
      </c>
      <c r="D87" s="78">
        <v>5.9941000000000004</v>
      </c>
      <c r="E87" s="16">
        <v>3.0880000000000001</v>
      </c>
      <c r="F87" s="21">
        <f t="shared" si="11"/>
        <v>5.9319485566247216</v>
      </c>
      <c r="G87" s="79">
        <f t="shared" si="8"/>
        <v>0.75690955725696729</v>
      </c>
      <c r="H87" s="79">
        <f t="shared" si="12"/>
        <v>15.013246787417611</v>
      </c>
      <c r="I87" s="79">
        <f t="shared" ref="I87:I90" si="14">IF(G87&gt;1,$H$2,($H$2-$H$1)*G87+$H$1)*100</f>
        <v>31.975852443797027</v>
      </c>
      <c r="J87" s="81">
        <f t="shared" si="13"/>
        <v>5.9999999999999995E-4</v>
      </c>
      <c r="K87" s="92">
        <f t="shared" ref="K87:K90" si="15">$K$5/(J87*$B$4*$B$6)</f>
        <v>4.1233403578366028</v>
      </c>
      <c r="L87" s="22">
        <f t="shared" ref="L87:L90" si="16">IF(K87&gt;3,3,ROUNDDOWN(K87,0))</f>
        <v>3</v>
      </c>
      <c r="M87" t="s">
        <v>121</v>
      </c>
    </row>
    <row r="88" spans="1:13">
      <c r="A88" s="83">
        <v>3</v>
      </c>
      <c r="B88" s="91" t="s">
        <v>112</v>
      </c>
      <c r="C88" s="78">
        <v>2.0693999999999999</v>
      </c>
      <c r="D88" s="78">
        <v>1.0327999999999999</v>
      </c>
      <c r="E88" s="16">
        <v>2.1379999999999999</v>
      </c>
      <c r="F88" s="21">
        <f t="shared" si="11"/>
        <v>6.9136709875718285</v>
      </c>
      <c r="G88" s="79">
        <f t="shared" si="8"/>
        <v>0.23343398478773467</v>
      </c>
      <c r="H88" s="79">
        <f t="shared" si="12"/>
        <v>22.156339036561867</v>
      </c>
      <c r="I88" s="79">
        <f t="shared" si="14"/>
        <v>46.26203694208553</v>
      </c>
      <c r="J88" s="81">
        <f t="shared" si="13"/>
        <v>5.9999999999999995E-4</v>
      </c>
      <c r="K88" s="92">
        <f t="shared" si="15"/>
        <v>4.1233403578366028</v>
      </c>
      <c r="L88" s="22">
        <f t="shared" si="16"/>
        <v>3</v>
      </c>
      <c r="M88" t="s">
        <v>121</v>
      </c>
    </row>
    <row r="89" spans="1:13">
      <c r="A89" s="83">
        <v>3</v>
      </c>
      <c r="B89" s="91" t="s">
        <v>113</v>
      </c>
      <c r="C89" s="78">
        <v>2.4746000000000001</v>
      </c>
      <c r="D89" s="78">
        <v>5.4709000000000003</v>
      </c>
      <c r="E89" s="16">
        <v>3.0880000000000001</v>
      </c>
      <c r="F89" s="21">
        <f t="shared" si="11"/>
        <v>5.7240007401924498</v>
      </c>
      <c r="G89" s="79">
        <f t="shared" si="8"/>
        <v>0.7159397509787524</v>
      </c>
      <c r="H89" s="79">
        <f t="shared" si="12"/>
        <v>15.572300774014208</v>
      </c>
      <c r="I89" s="79">
        <f t="shared" si="14"/>
        <v>33.093960416990207</v>
      </c>
      <c r="J89" s="81">
        <f t="shared" si="13"/>
        <v>5.9999999999999995E-4</v>
      </c>
      <c r="K89" s="92">
        <f t="shared" si="15"/>
        <v>4.1233403578366028</v>
      </c>
      <c r="L89" s="22">
        <f t="shared" si="16"/>
        <v>3</v>
      </c>
      <c r="M89" t="s">
        <v>121</v>
      </c>
    </row>
    <row r="90" spans="1:13" ht="15.75" thickBot="1">
      <c r="A90" s="83">
        <v>3</v>
      </c>
      <c r="B90" s="93" t="s">
        <v>114</v>
      </c>
      <c r="C90" s="94">
        <v>4.5664999999999996</v>
      </c>
      <c r="D90" s="94">
        <v>5.3109000000000002</v>
      </c>
      <c r="E90" s="75">
        <v>6.0860000000000003</v>
      </c>
      <c r="F90" s="26">
        <f t="shared" si="11"/>
        <v>5.3594901647809952</v>
      </c>
      <c r="G90" s="95">
        <f t="shared" si="8"/>
        <v>0.19109649172834545</v>
      </c>
      <c r="H90" s="95">
        <f t="shared" si="12"/>
        <v>22.734055809656368</v>
      </c>
      <c r="I90" s="95">
        <f t="shared" si="14"/>
        <v>47.417470488274532</v>
      </c>
      <c r="J90" s="96">
        <f t="shared" si="13"/>
        <v>5.9999999999999995E-4</v>
      </c>
      <c r="K90" s="97">
        <f t="shared" si="15"/>
        <v>4.1233403578366028</v>
      </c>
      <c r="L90" s="28">
        <f t="shared" si="16"/>
        <v>3</v>
      </c>
      <c r="M90" t="s">
        <v>121</v>
      </c>
    </row>
  </sheetData>
  <conditionalFormatting sqref="L22:L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 el plano</vt:lpstr>
      <vt:lpstr>Fuera del plano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Maitane Balsebre</dc:creator>
  <cp:lastModifiedBy>nicol</cp:lastModifiedBy>
  <dcterms:created xsi:type="dcterms:W3CDTF">2017-11-15T19:33:51Z</dcterms:created>
  <dcterms:modified xsi:type="dcterms:W3CDTF">2018-12-17T18:36:59Z</dcterms:modified>
</cp:coreProperties>
</file>