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Google Drive (ignacio.yanez.g@ug.uchile.cl)\Universidad\Semestre 12 Primavera 2018\proyecto albañilería\proyecto-CI5223\Tarea 03\"/>
    </mc:Choice>
  </mc:AlternateContent>
  <xr:revisionPtr revIDLastSave="0" documentId="13_ncr:1_{29AD0D77-A614-4368-9A2A-E3BC3D711EE6}" xr6:coauthVersionLast="40" xr6:coauthVersionMax="40" xr10:uidLastSave="{00000000-0000-0000-0000-000000000000}"/>
  <bookViews>
    <workbookView xWindow="0" yWindow="0" windowWidth="11976" windowHeight="4596" activeTab="4" xr2:uid="{3C432B30-B9EB-47E7-B497-33C5C308436F}"/>
  </bookViews>
  <sheets>
    <sheet name="Resultados por pier" sheetId="5" r:id="rId1"/>
    <sheet name="Resistencia al corte" sheetId="1" r:id="rId2"/>
    <sheet name="Tablas Informe " sheetId="6" r:id="rId3"/>
    <sheet name="Solicitación timpano" sheetId="2" r:id="rId4"/>
    <sheet name="Solicitacion cercha madera" sheetId="3" r:id="rId5"/>
    <sheet name="Sheet1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3" l="1"/>
  <c r="C33" i="3"/>
  <c r="C17" i="2"/>
  <c r="C16" i="3"/>
  <c r="C15" i="3"/>
  <c r="C12" i="3"/>
  <c r="F19" i="3"/>
  <c r="C28" i="3"/>
  <c r="H20" i="3"/>
  <c r="H19" i="3"/>
  <c r="F22" i="3"/>
  <c r="C18" i="2"/>
  <c r="C15" i="2"/>
  <c r="C16" i="2"/>
  <c r="X9" i="6" l="1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Z9" i="6"/>
  <c r="AA9" i="6"/>
  <c r="Z10" i="6"/>
  <c r="AA10" i="6"/>
  <c r="Z11" i="6"/>
  <c r="AA11" i="6"/>
  <c r="Z12" i="6"/>
  <c r="AA12" i="6"/>
  <c r="Z13" i="6"/>
  <c r="AA13" i="6"/>
  <c r="Z14" i="6"/>
  <c r="AA14" i="6"/>
  <c r="Z15" i="6"/>
  <c r="AA15" i="6"/>
  <c r="Z16" i="6"/>
  <c r="AA16" i="6"/>
  <c r="Z17" i="6"/>
  <c r="AA17" i="6"/>
  <c r="Z18" i="6"/>
  <c r="AA18" i="6"/>
  <c r="Z19" i="6"/>
  <c r="AA19" i="6"/>
  <c r="Z20" i="6"/>
  <c r="AA20" i="6"/>
  <c r="Z21" i="6"/>
  <c r="AA21" i="6"/>
  <c r="Z22" i="6"/>
  <c r="AA22" i="6"/>
  <c r="Z23" i="6"/>
  <c r="AA23" i="6"/>
  <c r="Z24" i="6"/>
  <c r="AA24" i="6"/>
  <c r="Z25" i="6"/>
  <c r="AA25" i="6"/>
  <c r="Z26" i="6"/>
  <c r="AA26" i="6"/>
  <c r="Z27" i="6"/>
  <c r="AA27" i="6"/>
  <c r="Z28" i="6"/>
  <c r="AA28" i="6"/>
  <c r="Z29" i="6"/>
  <c r="AA29" i="6"/>
  <c r="Z30" i="6"/>
  <c r="AA30" i="6"/>
  <c r="Z31" i="6"/>
  <c r="AA31" i="6"/>
  <c r="Z32" i="6"/>
  <c r="AA32" i="6"/>
  <c r="Z33" i="6"/>
  <c r="AA33" i="6"/>
  <c r="Z34" i="6"/>
  <c r="AA34" i="6"/>
  <c r="Z35" i="6"/>
  <c r="AA35" i="6"/>
  <c r="Z36" i="6"/>
  <c r="AA36" i="6"/>
  <c r="Z37" i="6"/>
  <c r="AA37" i="6"/>
  <c r="Z38" i="6"/>
  <c r="AA3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O10" i="6"/>
  <c r="B17" i="1"/>
  <c r="S9" i="6" l="1"/>
  <c r="T9" i="6"/>
  <c r="S10" i="6"/>
  <c r="T10" i="6"/>
  <c r="S11" i="6"/>
  <c r="T11" i="6"/>
  <c r="O9" i="6"/>
  <c r="P9" i="6"/>
  <c r="Q9" i="6"/>
  <c r="G9" i="6"/>
  <c r="F9" i="6"/>
  <c r="N9" i="6" s="1"/>
  <c r="H9" i="6"/>
  <c r="I9" i="6"/>
  <c r="J9" i="6"/>
  <c r="K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C17" i="1"/>
  <c r="H10" i="6" s="1"/>
  <c r="C18" i="1"/>
  <c r="H11" i="6" s="1"/>
  <c r="C19" i="1"/>
  <c r="H12" i="6" s="1"/>
  <c r="C20" i="1"/>
  <c r="H13" i="6" s="1"/>
  <c r="C21" i="1"/>
  <c r="H14" i="6" s="1"/>
  <c r="C22" i="1"/>
  <c r="H15" i="6" s="1"/>
  <c r="C23" i="1"/>
  <c r="H16" i="6" s="1"/>
  <c r="C24" i="1"/>
  <c r="H17" i="6" s="1"/>
  <c r="C25" i="1"/>
  <c r="H18" i="6" s="1"/>
  <c r="C26" i="1"/>
  <c r="H19" i="6" s="1"/>
  <c r="C27" i="1"/>
  <c r="H20" i="6" s="1"/>
  <c r="C28" i="1"/>
  <c r="H21" i="6" s="1"/>
  <c r="C29" i="1"/>
  <c r="H22" i="6" s="1"/>
  <c r="C30" i="1"/>
  <c r="H23" i="6" s="1"/>
  <c r="C31" i="1"/>
  <c r="H24" i="6" s="1"/>
  <c r="C32" i="1"/>
  <c r="H25" i="6" s="1"/>
  <c r="C33" i="1"/>
  <c r="H26" i="6" s="1"/>
  <c r="C34" i="1"/>
  <c r="H27" i="6" s="1"/>
  <c r="C35" i="1"/>
  <c r="H28" i="6" s="1"/>
  <c r="C36" i="1"/>
  <c r="H29" i="6" s="1"/>
  <c r="C37" i="1"/>
  <c r="H30" i="6" s="1"/>
  <c r="C38" i="1"/>
  <c r="H31" i="6" s="1"/>
  <c r="C39" i="1"/>
  <c r="H32" i="6" s="1"/>
  <c r="C40" i="1"/>
  <c r="H33" i="6" s="1"/>
  <c r="C41" i="1"/>
  <c r="H34" i="6" s="1"/>
  <c r="C42" i="1"/>
  <c r="H35" i="6" s="1"/>
  <c r="C43" i="1"/>
  <c r="H36" i="6" s="1"/>
  <c r="C44" i="1"/>
  <c r="H37" i="6" s="1"/>
  <c r="C45" i="1"/>
  <c r="H38" i="6" s="1"/>
  <c r="E17" i="1"/>
  <c r="J10" i="6" s="1"/>
  <c r="B18" i="1"/>
  <c r="G11" i="6" s="1"/>
  <c r="B19" i="1"/>
  <c r="G12" i="6" s="1"/>
  <c r="B20" i="1"/>
  <c r="G13" i="6" s="1"/>
  <c r="B21" i="1"/>
  <c r="G14" i="6" s="1"/>
  <c r="B22" i="1"/>
  <c r="G15" i="6" s="1"/>
  <c r="B23" i="1"/>
  <c r="G16" i="6" s="1"/>
  <c r="B24" i="1"/>
  <c r="G17" i="6" s="1"/>
  <c r="B25" i="1"/>
  <c r="G18" i="6" s="1"/>
  <c r="B26" i="1"/>
  <c r="G19" i="6" s="1"/>
  <c r="B27" i="1"/>
  <c r="G20" i="6" s="1"/>
  <c r="B28" i="1"/>
  <c r="G21" i="6" s="1"/>
  <c r="B29" i="1"/>
  <c r="G22" i="6" s="1"/>
  <c r="B30" i="1"/>
  <c r="G23" i="6" s="1"/>
  <c r="B31" i="1"/>
  <c r="G24" i="6" s="1"/>
  <c r="B32" i="1"/>
  <c r="G25" i="6" s="1"/>
  <c r="B33" i="1"/>
  <c r="G26" i="6" s="1"/>
  <c r="B34" i="1"/>
  <c r="G27" i="6" s="1"/>
  <c r="B35" i="1"/>
  <c r="G28" i="6" s="1"/>
  <c r="B36" i="1"/>
  <c r="G29" i="6" s="1"/>
  <c r="B37" i="1"/>
  <c r="G30" i="6" s="1"/>
  <c r="B38" i="1"/>
  <c r="G31" i="6" s="1"/>
  <c r="B39" i="1"/>
  <c r="G32" i="6" s="1"/>
  <c r="B40" i="1"/>
  <c r="G33" i="6" s="1"/>
  <c r="B41" i="1"/>
  <c r="G34" i="6" s="1"/>
  <c r="B42" i="1"/>
  <c r="G35" i="6" s="1"/>
  <c r="B43" i="1"/>
  <c r="G36" i="6" s="1"/>
  <c r="B44" i="1"/>
  <c r="G37" i="6" s="1"/>
  <c r="B45" i="1"/>
  <c r="G38" i="6" s="1"/>
  <c r="B10" i="1"/>
  <c r="C5" i="6" s="1"/>
  <c r="D4" i="6"/>
  <c r="D5" i="6"/>
  <c r="C4" i="6"/>
  <c r="B4" i="1"/>
  <c r="G10" i="6" l="1"/>
  <c r="D5" i="1"/>
  <c r="E31" i="1" l="1"/>
  <c r="J24" i="6" s="1"/>
  <c r="F31" i="1"/>
  <c r="K24" i="6" s="1"/>
  <c r="E32" i="1"/>
  <c r="J25" i="6" s="1"/>
  <c r="F32" i="1"/>
  <c r="K25" i="6" s="1"/>
  <c r="E33" i="1"/>
  <c r="J26" i="6" s="1"/>
  <c r="F33" i="1"/>
  <c r="K26" i="6" s="1"/>
  <c r="E34" i="1"/>
  <c r="J27" i="6" s="1"/>
  <c r="F34" i="1"/>
  <c r="K27" i="6" s="1"/>
  <c r="E35" i="1"/>
  <c r="J28" i="6" s="1"/>
  <c r="F35" i="1"/>
  <c r="K28" i="6" s="1"/>
  <c r="E36" i="1"/>
  <c r="J29" i="6" s="1"/>
  <c r="F36" i="1"/>
  <c r="K29" i="6" s="1"/>
  <c r="E37" i="1"/>
  <c r="J30" i="6" s="1"/>
  <c r="F37" i="1"/>
  <c r="K30" i="6" s="1"/>
  <c r="E38" i="1"/>
  <c r="J31" i="6" s="1"/>
  <c r="F38" i="1"/>
  <c r="K31" i="6" s="1"/>
  <c r="E39" i="1"/>
  <c r="J32" i="6" s="1"/>
  <c r="F39" i="1"/>
  <c r="K32" i="6" s="1"/>
  <c r="E40" i="1"/>
  <c r="J33" i="6" s="1"/>
  <c r="F40" i="1"/>
  <c r="K33" i="6" s="1"/>
  <c r="E41" i="1"/>
  <c r="J34" i="6" s="1"/>
  <c r="F41" i="1"/>
  <c r="K34" i="6" s="1"/>
  <c r="E42" i="1"/>
  <c r="J35" i="6" s="1"/>
  <c r="F42" i="1"/>
  <c r="K35" i="6" s="1"/>
  <c r="E43" i="1"/>
  <c r="J36" i="6" s="1"/>
  <c r="F43" i="1"/>
  <c r="K36" i="6" s="1"/>
  <c r="E44" i="1"/>
  <c r="J37" i="6" s="1"/>
  <c r="F44" i="1"/>
  <c r="K37" i="6" s="1"/>
  <c r="E45" i="1"/>
  <c r="J38" i="6" s="1"/>
  <c r="F45" i="1"/>
  <c r="K38" i="6" s="1"/>
  <c r="A43" i="1"/>
  <c r="F36" i="6" s="1"/>
  <c r="N36" i="6" s="1"/>
  <c r="A44" i="1"/>
  <c r="F37" i="6" s="1"/>
  <c r="N37" i="6" s="1"/>
  <c r="A45" i="1"/>
  <c r="F38" i="6" s="1"/>
  <c r="N38" i="6" s="1"/>
  <c r="A37" i="1"/>
  <c r="F30" i="6" s="1"/>
  <c r="N30" i="6" s="1"/>
  <c r="A38" i="1"/>
  <c r="F31" i="6" s="1"/>
  <c r="N31" i="6" s="1"/>
  <c r="A39" i="1"/>
  <c r="F32" i="6" s="1"/>
  <c r="N32" i="6" s="1"/>
  <c r="A40" i="1"/>
  <c r="F33" i="6" s="1"/>
  <c r="N33" i="6" s="1"/>
  <c r="A41" i="1"/>
  <c r="F34" i="6" s="1"/>
  <c r="N34" i="6" s="1"/>
  <c r="A42" i="1"/>
  <c r="F35" i="6" s="1"/>
  <c r="N35" i="6" s="1"/>
  <c r="A18" i="1"/>
  <c r="F11" i="6" s="1"/>
  <c r="N11" i="6" s="1"/>
  <c r="A19" i="1"/>
  <c r="F12" i="6" s="1"/>
  <c r="N12" i="6" s="1"/>
  <c r="A20" i="1"/>
  <c r="F13" i="6" s="1"/>
  <c r="N13" i="6" s="1"/>
  <c r="A21" i="1"/>
  <c r="F14" i="6" s="1"/>
  <c r="N14" i="6" s="1"/>
  <c r="A22" i="1"/>
  <c r="F15" i="6" s="1"/>
  <c r="N15" i="6" s="1"/>
  <c r="A23" i="1"/>
  <c r="F16" i="6" s="1"/>
  <c r="N16" i="6" s="1"/>
  <c r="A24" i="1"/>
  <c r="F17" i="6" s="1"/>
  <c r="N17" i="6" s="1"/>
  <c r="A25" i="1"/>
  <c r="F18" i="6" s="1"/>
  <c r="N18" i="6" s="1"/>
  <c r="A26" i="1"/>
  <c r="F19" i="6" s="1"/>
  <c r="N19" i="6" s="1"/>
  <c r="A27" i="1"/>
  <c r="F20" i="6" s="1"/>
  <c r="N20" i="6" s="1"/>
  <c r="A28" i="1"/>
  <c r="F21" i="6" s="1"/>
  <c r="N21" i="6" s="1"/>
  <c r="A29" i="1"/>
  <c r="F22" i="6" s="1"/>
  <c r="N22" i="6" s="1"/>
  <c r="A30" i="1"/>
  <c r="F23" i="6" s="1"/>
  <c r="N23" i="6" s="1"/>
  <c r="A31" i="1"/>
  <c r="F24" i="6" s="1"/>
  <c r="N24" i="6" s="1"/>
  <c r="A32" i="1"/>
  <c r="F25" i="6" s="1"/>
  <c r="N25" i="6" s="1"/>
  <c r="A33" i="1"/>
  <c r="F26" i="6" s="1"/>
  <c r="N26" i="6" s="1"/>
  <c r="A34" i="1"/>
  <c r="F27" i="6" s="1"/>
  <c r="N27" i="6" s="1"/>
  <c r="A35" i="1"/>
  <c r="F28" i="6" s="1"/>
  <c r="N28" i="6" s="1"/>
  <c r="A36" i="1"/>
  <c r="F29" i="6" s="1"/>
  <c r="N29" i="6" s="1"/>
  <c r="A17" i="1"/>
  <c r="F10" i="6" s="1"/>
  <c r="N10" i="6" s="1"/>
  <c r="C20" i="3" l="1"/>
  <c r="E18" i="1" l="1"/>
  <c r="J11" i="6" s="1"/>
  <c r="F18" i="1"/>
  <c r="K11" i="6" s="1"/>
  <c r="E19" i="1"/>
  <c r="J12" i="6" s="1"/>
  <c r="F19" i="1"/>
  <c r="E20" i="1"/>
  <c r="J13" i="6" s="1"/>
  <c r="F20" i="1"/>
  <c r="K13" i="6" s="1"/>
  <c r="E21" i="1"/>
  <c r="J14" i="6" s="1"/>
  <c r="F21" i="1"/>
  <c r="K14" i="6" s="1"/>
  <c r="E22" i="1"/>
  <c r="J15" i="6" s="1"/>
  <c r="F22" i="1"/>
  <c r="K15" i="6" s="1"/>
  <c r="E23" i="1"/>
  <c r="J16" i="6" s="1"/>
  <c r="F23" i="1"/>
  <c r="K16" i="6" s="1"/>
  <c r="E24" i="1"/>
  <c r="J17" i="6" s="1"/>
  <c r="F24" i="1"/>
  <c r="K17" i="6" s="1"/>
  <c r="E25" i="1"/>
  <c r="J18" i="6" s="1"/>
  <c r="F25" i="1"/>
  <c r="K18" i="6" s="1"/>
  <c r="E26" i="1"/>
  <c r="J19" i="6" s="1"/>
  <c r="F26" i="1"/>
  <c r="K19" i="6" s="1"/>
  <c r="E27" i="1"/>
  <c r="J20" i="6" s="1"/>
  <c r="F27" i="1"/>
  <c r="K20" i="6" s="1"/>
  <c r="E28" i="1"/>
  <c r="J21" i="6" s="1"/>
  <c r="F28" i="1"/>
  <c r="K21" i="6" s="1"/>
  <c r="E29" i="1"/>
  <c r="J22" i="6" s="1"/>
  <c r="F29" i="1"/>
  <c r="K22" i="6" s="1"/>
  <c r="E30" i="1"/>
  <c r="J23" i="6" s="1"/>
  <c r="F30" i="1"/>
  <c r="K23" i="6" s="1"/>
  <c r="B12" i="1"/>
  <c r="F17" i="1"/>
  <c r="K10" i="6" s="1"/>
  <c r="B9" i="1"/>
  <c r="B13" i="1"/>
  <c r="H19" i="1" l="1"/>
  <c r="P12" i="6" s="1"/>
  <c r="K12" i="6"/>
  <c r="G17" i="1"/>
  <c r="H17" i="1"/>
  <c r="G23" i="1"/>
  <c r="O16" i="6" s="1"/>
  <c r="G26" i="1"/>
  <c r="O19" i="6" s="1"/>
  <c r="H27" i="1"/>
  <c r="P20" i="6" s="1"/>
  <c r="H30" i="1"/>
  <c r="P23" i="6" s="1"/>
  <c r="H22" i="1"/>
  <c r="P15" i="6" s="1"/>
  <c r="H20" i="1"/>
  <c r="H45" i="1"/>
  <c r="P38" i="6" s="1"/>
  <c r="H43" i="1"/>
  <c r="P36" i="6" s="1"/>
  <c r="H31" i="1"/>
  <c r="P24" i="6" s="1"/>
  <c r="H40" i="1"/>
  <c r="P33" i="6" s="1"/>
  <c r="H38" i="1"/>
  <c r="P31" i="6" s="1"/>
  <c r="H34" i="1"/>
  <c r="P27" i="6" s="1"/>
  <c r="H36" i="1"/>
  <c r="P29" i="6" s="1"/>
  <c r="H35" i="1"/>
  <c r="P28" i="6" s="1"/>
  <c r="H32" i="1"/>
  <c r="P25" i="6" s="1"/>
  <c r="H42" i="1"/>
  <c r="P35" i="6" s="1"/>
  <c r="H41" i="1"/>
  <c r="P34" i="6" s="1"/>
  <c r="H37" i="1"/>
  <c r="P30" i="6" s="1"/>
  <c r="H33" i="1"/>
  <c r="P26" i="6" s="1"/>
  <c r="H39" i="1"/>
  <c r="P32" i="6" s="1"/>
  <c r="H44" i="1"/>
  <c r="H29" i="1"/>
  <c r="P22" i="6" s="1"/>
  <c r="G25" i="1"/>
  <c r="O18" i="6" s="1"/>
  <c r="G21" i="1"/>
  <c r="O14" i="6" s="1"/>
  <c r="G37" i="1"/>
  <c r="O30" i="6" s="1"/>
  <c r="G33" i="1"/>
  <c r="O26" i="6" s="1"/>
  <c r="G35" i="1"/>
  <c r="O28" i="6" s="1"/>
  <c r="G40" i="1"/>
  <c r="O33" i="6" s="1"/>
  <c r="G31" i="1"/>
  <c r="O24" i="6" s="1"/>
  <c r="G36" i="1"/>
  <c r="O29" i="6" s="1"/>
  <c r="G34" i="1"/>
  <c r="O27" i="6" s="1"/>
  <c r="G41" i="1"/>
  <c r="O34" i="6" s="1"/>
  <c r="G44" i="1"/>
  <c r="O37" i="6" s="1"/>
  <c r="G32" i="1"/>
  <c r="O25" i="6" s="1"/>
  <c r="G42" i="1"/>
  <c r="O35" i="6" s="1"/>
  <c r="G38" i="1"/>
  <c r="O31" i="6" s="1"/>
  <c r="G39" i="1"/>
  <c r="O32" i="6" s="1"/>
  <c r="G43" i="1"/>
  <c r="O36" i="6" s="1"/>
  <c r="G45" i="1"/>
  <c r="O38" i="6" s="1"/>
  <c r="G28" i="1"/>
  <c r="O21" i="6" s="1"/>
  <c r="G24" i="1"/>
  <c r="O17" i="6" s="1"/>
  <c r="G20" i="1"/>
  <c r="O13" i="6" s="1"/>
  <c r="G22" i="1"/>
  <c r="O15" i="6" s="1"/>
  <c r="G27" i="1"/>
  <c r="O20" i="6" s="1"/>
  <c r="H23" i="1"/>
  <c r="G19" i="1"/>
  <c r="H28" i="1"/>
  <c r="P21" i="6" s="1"/>
  <c r="G30" i="1"/>
  <c r="O23" i="6" s="1"/>
  <c r="H26" i="1"/>
  <c r="G18" i="1"/>
  <c r="O11" i="6" s="1"/>
  <c r="I27" i="1"/>
  <c r="G29" i="1"/>
  <c r="O22" i="6" s="1"/>
  <c r="H21" i="1"/>
  <c r="P14" i="6" s="1"/>
  <c r="C22" i="3"/>
  <c r="C27" i="3" s="1"/>
  <c r="C21" i="3"/>
  <c r="C26" i="3" s="1"/>
  <c r="H24" i="1"/>
  <c r="H25" i="1"/>
  <c r="P18" i="6" s="1"/>
  <c r="H18" i="1"/>
  <c r="I18" i="1" l="1"/>
  <c r="P11" i="6"/>
  <c r="J27" i="1"/>
  <c r="Q20" i="6"/>
  <c r="I19" i="1"/>
  <c r="O12" i="6"/>
  <c r="I30" i="1"/>
  <c r="I24" i="1"/>
  <c r="P17" i="6"/>
  <c r="I26" i="1"/>
  <c r="P19" i="6"/>
  <c r="I17" i="1"/>
  <c r="Q10" i="6" s="1"/>
  <c r="P10" i="6"/>
  <c r="I20" i="1"/>
  <c r="P13" i="6"/>
  <c r="I23" i="1"/>
  <c r="P16" i="6"/>
  <c r="I44" i="1"/>
  <c r="P37" i="6"/>
  <c r="I36" i="1"/>
  <c r="I35" i="1"/>
  <c r="I22" i="1"/>
  <c r="I37" i="1"/>
  <c r="I34" i="1"/>
  <c r="I32" i="1"/>
  <c r="I43" i="1"/>
  <c r="I25" i="1"/>
  <c r="I45" i="1"/>
  <c r="I39" i="1"/>
  <c r="I42" i="1"/>
  <c r="I33" i="1"/>
  <c r="I38" i="1"/>
  <c r="I21" i="1"/>
  <c r="I40" i="1"/>
  <c r="I28" i="1"/>
  <c r="I29" i="1"/>
  <c r="I41" i="1"/>
  <c r="I31" i="1"/>
  <c r="J17" i="1" l="1"/>
  <c r="J21" i="1"/>
  <c r="Q14" i="6"/>
  <c r="J44" i="1"/>
  <c r="Q37" i="6"/>
  <c r="J26" i="1"/>
  <c r="Q19" i="6"/>
  <c r="J38" i="1"/>
  <c r="Q31" i="6"/>
  <c r="J32" i="1"/>
  <c r="Q25" i="6"/>
  <c r="J18" i="1"/>
  <c r="Q11" i="6"/>
  <c r="J33" i="1"/>
  <c r="Q26" i="6"/>
  <c r="J34" i="1"/>
  <c r="Q27" i="6"/>
  <c r="J23" i="1"/>
  <c r="Q16" i="6"/>
  <c r="J24" i="1"/>
  <c r="Q17" i="6"/>
  <c r="J42" i="1"/>
  <c r="Q35" i="6"/>
  <c r="J41" i="1"/>
  <c r="Q34" i="6"/>
  <c r="J22" i="1"/>
  <c r="Q15" i="6"/>
  <c r="J29" i="1"/>
  <c r="Q22" i="6"/>
  <c r="J45" i="1"/>
  <c r="Q38" i="6"/>
  <c r="J35" i="1"/>
  <c r="Q28" i="6"/>
  <c r="J19" i="1"/>
  <c r="Q12" i="6"/>
  <c r="J31" i="1"/>
  <c r="Q24" i="6"/>
  <c r="J37" i="1"/>
  <c r="Q30" i="6"/>
  <c r="J30" i="1"/>
  <c r="Q23" i="6"/>
  <c r="J39" i="1"/>
  <c r="Q32" i="6"/>
  <c r="J20" i="1"/>
  <c r="Q13" i="6"/>
  <c r="J28" i="1"/>
  <c r="Q21" i="6"/>
  <c r="J25" i="1"/>
  <c r="Q18" i="6"/>
  <c r="J36" i="1"/>
  <c r="Q29" i="6"/>
  <c r="J40" i="1"/>
  <c r="Q33" i="6"/>
  <c r="J43" i="1"/>
  <c r="Q36" i="6"/>
  <c r="L27" i="1"/>
  <c r="K27" i="1"/>
  <c r="L17" i="1"/>
  <c r="K17" i="1"/>
  <c r="L36" i="1" l="1"/>
  <c r="K36" i="1"/>
  <c r="L22" i="1"/>
  <c r="K22" i="1"/>
  <c r="L25" i="1"/>
  <c r="K25" i="1"/>
  <c r="L41" i="1"/>
  <c r="K41" i="1"/>
  <c r="L28" i="1"/>
  <c r="K28" i="1"/>
  <c r="L45" i="1"/>
  <c r="K45" i="1"/>
  <c r="L42" i="1"/>
  <c r="K42" i="1"/>
  <c r="L33" i="1"/>
  <c r="K33" i="1"/>
  <c r="L26" i="1"/>
  <c r="K26" i="1"/>
  <c r="L30" i="1"/>
  <c r="K30" i="1"/>
  <c r="L34" i="1"/>
  <c r="K34" i="1"/>
  <c r="L35" i="1"/>
  <c r="K35" i="1"/>
  <c r="L38" i="1"/>
  <c r="K38" i="1"/>
  <c r="L43" i="1"/>
  <c r="K43" i="1"/>
  <c r="L37" i="1"/>
  <c r="K37" i="1"/>
  <c r="L40" i="1"/>
  <c r="K40" i="1"/>
  <c r="L20" i="1"/>
  <c r="K20" i="1"/>
  <c r="L31" i="1"/>
  <c r="K31" i="1"/>
  <c r="L29" i="1"/>
  <c r="K29" i="1"/>
  <c r="L24" i="1"/>
  <c r="K24" i="1"/>
  <c r="L18" i="1"/>
  <c r="K18" i="1"/>
  <c r="L44" i="1"/>
  <c r="K44" i="1"/>
  <c r="L39" i="1"/>
  <c r="K39" i="1"/>
  <c r="L19" i="1"/>
  <c r="K19" i="1"/>
  <c r="L23" i="1"/>
  <c r="K23" i="1"/>
  <c r="L32" i="1"/>
  <c r="K32" i="1"/>
  <c r="L21" i="1"/>
  <c r="K21" i="1"/>
</calcChain>
</file>

<file path=xl/sharedStrings.xml><?xml version="1.0" encoding="utf-8"?>
<sst xmlns="http://schemas.openxmlformats.org/spreadsheetml/2006/main" count="109" uniqueCount="102">
  <si>
    <t>Pier</t>
  </si>
  <si>
    <t>hiladas</t>
  </si>
  <si>
    <t>Caso 1: Sin considerar armadura de corte</t>
  </si>
  <si>
    <t>$M/Vd=0 $</t>
  </si>
  <si>
    <t>$M/Vd=1$</t>
  </si>
  <si>
    <t>Caso 2: Armadura resiste todo el corte</t>
  </si>
  <si>
    <t>Propiedades tímpano</t>
  </si>
  <si>
    <t>Propiedades cadena tímpano</t>
  </si>
  <si>
    <t>Propiedades madera</t>
  </si>
  <si>
    <t>N° costaneras</t>
  </si>
  <si>
    <t>Largo costaneras (m)</t>
  </si>
  <si>
    <t>Volumen total costaneras (m3)</t>
  </si>
  <si>
    <t>N° de cerchas</t>
  </si>
  <si>
    <t>Cargas puntuales</t>
  </si>
  <si>
    <t>Solicitaciones a aplicar en ETABS</t>
  </si>
  <si>
    <t>L_r (kgf)</t>
  </si>
  <si>
    <t>$A_{trib.cost} [m^2]$</t>
  </si>
  <si>
    <t>$Q_{L_r} \quad (kgf/m)$</t>
  </si>
  <si>
    <t>P</t>
  </si>
  <si>
    <t>V2</t>
  </si>
  <si>
    <t>V3</t>
  </si>
  <si>
    <t>T</t>
  </si>
  <si>
    <t>M2</t>
  </si>
  <si>
    <t>M3</t>
  </si>
  <si>
    <t>M1Y</t>
  </si>
  <si>
    <t>M2Y</t>
  </si>
  <si>
    <t>M3Y</t>
  </si>
  <si>
    <t>M4Y</t>
  </si>
  <si>
    <t>M5Y</t>
  </si>
  <si>
    <t>M6Y</t>
  </si>
  <si>
    <t>M7Y</t>
  </si>
  <si>
    <t>M8Y</t>
  </si>
  <si>
    <t>M1X</t>
  </si>
  <si>
    <t>M2X</t>
  </si>
  <si>
    <t>M3X</t>
  </si>
  <si>
    <t>M4X</t>
  </si>
  <si>
    <t>M5X</t>
  </si>
  <si>
    <t>M6X</t>
  </si>
  <si>
    <t>M7X</t>
  </si>
  <si>
    <t>M8X</t>
  </si>
  <si>
    <t>M9X</t>
  </si>
  <si>
    <t>M10X</t>
  </si>
  <si>
    <t>M11X</t>
  </si>
  <si>
    <t>M12X</t>
  </si>
  <si>
    <t>M13X</t>
  </si>
  <si>
    <t>M14X</t>
  </si>
  <si>
    <t>M15X</t>
  </si>
  <si>
    <t>M16X</t>
  </si>
  <si>
    <t>M17X</t>
  </si>
  <si>
    <t>M18X</t>
  </si>
  <si>
    <t>M19X</t>
  </si>
  <si>
    <t>M20X</t>
  </si>
  <si>
    <t>M21X</t>
  </si>
  <si>
    <t>$F_s \quad (tonf/M35m^2+E17:F30)$</t>
  </si>
  <si>
    <t>escalerilla</t>
  </si>
  <si>
    <t>M/Vd</t>
  </si>
  <si>
    <t>$=0$</t>
  </si>
  <si>
    <t>$\geq 1$</t>
  </si>
  <si>
    <t>$\tau_0 $ (Mpa)</t>
  </si>
  <si>
    <t>$\tau_1 $ (Mpa)</t>
  </si>
  <si>
    <t>tonf</t>
  </si>
  <si>
    <t>tonf-m</t>
  </si>
  <si>
    <t>N°Hiladas</t>
  </si>
  <si>
    <t>$V_2 $ $ (tonf)$</t>
  </si>
  <si>
    <t>$M_3 $$(tonf \cdot m)$</t>
  </si>
  <si>
    <t>$d $$ (m)$</t>
  </si>
  <si>
    <t>$\tau_{sol} $$ (tonf/m^2)$</t>
  </si>
  <si>
    <t>$M/Vd$$ (-)$</t>
  </si>
  <si>
    <t>$\tau_{0resist} $ $ (tonf/m^2)$</t>
  </si>
  <si>
    <t>$\tau_{1resist} $ $ (tonf/m^2)$</t>
  </si>
  <si>
    <t>$\rho_h$ $ (-)$</t>
  </si>
  <si>
    <t>$Escantillon $ $ (m)$</t>
  </si>
  <si>
    <t>$A_{esc} $ $ (m^2)$</t>
  </si>
  <si>
    <t>$b $ $ (m)$</t>
  </si>
  <si>
    <t>$f'm $ $ (MPa)$</t>
  </si>
  <si>
    <t>$F_s$ $ (tonf/m^2)$</t>
  </si>
  <si>
    <t>N° max hiladas</t>
  </si>
  <si>
    <t>$\rho_{cad} $ $ (tonf/m^3)$</t>
  </si>
  <si>
    <t>$t$ $(m)$</t>
  </si>
  <si>
    <t>$h_{cad}$ $ (m)$</t>
  </si>
  <si>
    <t>$L_{cad} $ $ (m)$</t>
  </si>
  <si>
    <t>$\rho_{alb} $ $ (tonf/m^3)$</t>
  </si>
  <si>
    <t>$t $ $ (m)$</t>
  </si>
  <si>
    <t>$h_{timp} $ $ (m)$</t>
  </si>
  <si>
    <t>$L_{tim} $ $ (m)$</t>
  </si>
  <si>
    <t>$\rho_{madera}$ $ (550kgf/m^3)$</t>
  </si>
  <si>
    <t>$b_{viga} $ $(mm)$</t>
  </si>
  <si>
    <t>$t_{viga}$ $ (mm)$</t>
  </si>
  <si>
    <t>$b_{tribut} $ $(m)$</t>
  </si>
  <si>
    <t>$V_{tribut} $ $(m^3)$</t>
  </si>
  <si>
    <t>$P_{cercha} $ $(kgf)$</t>
  </si>
  <si>
    <t>$P_{cost.int} $ $ (kgf)$</t>
  </si>
  <si>
    <t>$P_{cost.timp}$ $(kgf)$</t>
  </si>
  <si>
    <t>$P_{tot.cercha} $ $ (kgf)$</t>
  </si>
  <si>
    <t>$P_{tot.timp} $ $ (kgf)$</t>
  </si>
  <si>
    <t>$P_{L_r} $ $ (kgf)$</t>
  </si>
  <si>
    <t>Volumen total de cercha ($m^3$)</t>
  </si>
  <si>
    <t>$Q_{timp} $ $ (kgf/m)$</t>
  </si>
  <si>
    <t>$Q_{cad} $ $ (kgf/m)$</t>
  </si>
  <si>
    <t>$Q_{total} $ $ (kgf/m)$</t>
  </si>
  <si>
    <t>$P_{tot.cercha} $ $ (tonf)$</t>
  </si>
  <si>
    <t>$Q_{total} $ $ (tonf/m)$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</si>
</sst>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164" formatCode="0.0000"/>
    <numFmt numFmtId="165" formatCode="0.000"/>
    <numFmt numFmtId="166" formatCode="0.0"/>
    <numFmt numFmtId="167" formatCode="0.00000"/>
    <numFmt numFmtId="168" formatCode="0.E+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51">
    <xf numFmtId="0" fontId="0" fillId="0" borderId="0" xfId="0"/>
    <xf numFmtId="0" fontId="0" fillId="2" borderId="2" xfId="0" applyFill="1" applyBorder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8" fontId="0" fillId="0" borderId="1" xfId="0" applyNumberFormat="1" applyBorder="1"/>
    <xf numFmtId="168" fontId="0" fillId="3" borderId="1" xfId="0" applyNumberFormat="1" applyFill="1" applyBorder="1" applyAlignment="1">
      <alignment horizontal="center"/>
    </xf>
    <xf numFmtId="42" fontId="0" fillId="0" borderId="0" xfId="1" applyFont="1"/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/>
    <xf numFmtId="0" fontId="3" fillId="6" borderId="1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73" name="AutoShape 1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8969BCC1-2A4C-4629-9798-55D2E40D85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121920</xdr:rowOff>
    </xdr:to>
    <xdr:sp macro="" textlink="">
      <xdr:nvSpPr>
        <xdr:cNvPr id="3075" name="AutoShape 3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06EAF592-CF02-4882-87F0-137BED16AC95}"/>
            </a:ext>
          </a:extLst>
        </xdr:cNvPr>
        <xdr:cNvSpPr>
          <a:spLocks noChangeAspect="1" noChangeArrowheads="1"/>
        </xdr:cNvSpPr>
      </xdr:nvSpPr>
      <xdr:spPr bwMode="auto">
        <a:xfrm>
          <a:off x="79248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121920</xdr:rowOff>
    </xdr:to>
    <xdr:sp macro="" textlink="">
      <xdr:nvSpPr>
        <xdr:cNvPr id="3077" name="AutoShape 5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B01CDF37-B8B5-414A-8061-0E1ABE239D1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261228</xdr:colOff>
      <xdr:row>1</xdr:row>
      <xdr:rowOff>83820</xdr:rowOff>
    </xdr:from>
    <xdr:to>
      <xdr:col>14</xdr:col>
      <xdr:colOff>339241</xdr:colOff>
      <xdr:row>11</xdr:row>
      <xdr:rowOff>94857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6BEEC0-A639-4FFB-93BB-5CA76C821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368" y="274320"/>
          <a:ext cx="8212363" cy="1839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47D0-9384-4CB5-BDAA-4D65CDC8E969}">
  <dimension ref="B3:H33"/>
  <sheetViews>
    <sheetView workbookViewId="0">
      <selection activeCell="J11" sqref="J11"/>
    </sheetView>
  </sheetViews>
  <sheetFormatPr baseColWidth="10" defaultRowHeight="14.4" x14ac:dyDescent="0.3"/>
  <sheetData>
    <row r="3" spans="2:8" x14ac:dyDescent="0.3">
      <c r="B3" s="36" t="s">
        <v>0</v>
      </c>
      <c r="C3" s="36" t="s">
        <v>18</v>
      </c>
      <c r="D3" s="36" t="s">
        <v>19</v>
      </c>
      <c r="E3" s="36" t="s">
        <v>20</v>
      </c>
      <c r="F3" s="36" t="s">
        <v>21</v>
      </c>
      <c r="G3" s="36" t="s">
        <v>22</v>
      </c>
      <c r="H3" s="37" t="s">
        <v>23</v>
      </c>
    </row>
    <row r="4" spans="2:8" x14ac:dyDescent="0.3">
      <c r="B4" s="38"/>
      <c r="C4" s="38" t="s">
        <v>60</v>
      </c>
      <c r="D4" s="38" t="s">
        <v>60</v>
      </c>
      <c r="E4" s="38" t="s">
        <v>60</v>
      </c>
      <c r="F4" s="38" t="s">
        <v>61</v>
      </c>
      <c r="G4" s="38" t="s">
        <v>61</v>
      </c>
      <c r="H4" s="39" t="s">
        <v>61</v>
      </c>
    </row>
    <row r="5" spans="2:8" x14ac:dyDescent="0.3">
      <c r="B5" s="35" t="s">
        <v>24</v>
      </c>
      <c r="C5" s="35">
        <v>5.6184000000000003</v>
      </c>
      <c r="D5" s="35">
        <v>1.6125</v>
      </c>
      <c r="E5" s="35">
        <v>9.6000000000000002E-2</v>
      </c>
      <c r="F5" s="35">
        <v>0.10780000000000001</v>
      </c>
      <c r="G5" s="35">
        <v>6.9099999999999995E-2</v>
      </c>
      <c r="H5" s="35">
        <v>1.86</v>
      </c>
    </row>
    <row r="6" spans="2:8" x14ac:dyDescent="0.3">
      <c r="B6" s="35" t="s">
        <v>25</v>
      </c>
      <c r="C6" s="35">
        <v>3.9237000000000002</v>
      </c>
      <c r="D6" s="35">
        <v>0.89380000000000004</v>
      </c>
      <c r="E6" s="35">
        <v>4.2799999999999998E-2</v>
      </c>
      <c r="F6" s="35">
        <v>2.53E-2</v>
      </c>
      <c r="G6" s="35">
        <v>2.87E-2</v>
      </c>
      <c r="H6" s="35">
        <v>0.61280000000000001</v>
      </c>
    </row>
    <row r="7" spans="2:8" x14ac:dyDescent="0.3">
      <c r="B7" s="35" t="s">
        <v>26</v>
      </c>
      <c r="C7" s="35">
        <v>6.1516999999999999</v>
      </c>
      <c r="D7" s="35">
        <v>1.6083000000000001</v>
      </c>
      <c r="E7" s="35">
        <v>0.1255</v>
      </c>
      <c r="F7" s="35">
        <v>0.1246</v>
      </c>
      <c r="G7" s="35">
        <v>9.9199999999999997E-2</v>
      </c>
      <c r="H7" s="35">
        <v>1.9033</v>
      </c>
    </row>
    <row r="8" spans="2:8" x14ac:dyDescent="0.3">
      <c r="B8" s="35" t="s">
        <v>27</v>
      </c>
      <c r="C8" s="35">
        <v>4.5664999999999996</v>
      </c>
      <c r="D8" s="35">
        <v>1.6177999999999999</v>
      </c>
      <c r="E8" s="35">
        <v>9.8599999999999993E-2</v>
      </c>
      <c r="F8" s="35">
        <v>0.1226</v>
      </c>
      <c r="G8" s="35">
        <v>6.7000000000000004E-2</v>
      </c>
      <c r="H8" s="35">
        <v>2.569</v>
      </c>
    </row>
    <row r="9" spans="2:8" x14ac:dyDescent="0.3">
      <c r="B9" s="35" t="s">
        <v>28</v>
      </c>
      <c r="C9" s="35">
        <v>5.4017999999999997</v>
      </c>
      <c r="D9" s="35">
        <v>1.4974000000000001</v>
      </c>
      <c r="E9" s="35">
        <v>9.3399999999999997E-2</v>
      </c>
      <c r="F9" s="35">
        <v>0.11990000000000001</v>
      </c>
      <c r="G9" s="35">
        <v>9.64E-2</v>
      </c>
      <c r="H9" s="35">
        <v>2.7555999999999998</v>
      </c>
    </row>
    <row r="10" spans="2:8" x14ac:dyDescent="0.3">
      <c r="B10" s="35" t="s">
        <v>29</v>
      </c>
      <c r="C10" s="35">
        <v>5.4911000000000003</v>
      </c>
      <c r="D10" s="35">
        <v>1.917</v>
      </c>
      <c r="E10" s="35">
        <v>6.2199999999999998E-2</v>
      </c>
      <c r="F10" s="35">
        <v>0.05</v>
      </c>
      <c r="G10" s="35">
        <v>6.7599999999999993E-2</v>
      </c>
      <c r="H10" s="35">
        <v>2.0173999999999999</v>
      </c>
    </row>
    <row r="11" spans="2:8" x14ac:dyDescent="0.3">
      <c r="B11" s="35" t="s">
        <v>30</v>
      </c>
      <c r="C11" s="35">
        <v>3.0482</v>
      </c>
      <c r="D11" s="35">
        <v>1.1180000000000001</v>
      </c>
      <c r="E11" s="35">
        <v>4.3999999999999997E-2</v>
      </c>
      <c r="F11" s="35">
        <v>0.03</v>
      </c>
      <c r="G11" s="35">
        <v>5.5899999999999998E-2</v>
      </c>
      <c r="H11" s="35">
        <v>0.82750000000000001</v>
      </c>
    </row>
    <row r="12" spans="2:8" x14ac:dyDescent="0.3">
      <c r="B12" s="35" t="s">
        <v>31</v>
      </c>
      <c r="C12" s="35">
        <v>5.4809999999999999</v>
      </c>
      <c r="D12" s="35">
        <v>1.9681</v>
      </c>
      <c r="E12" s="35">
        <v>9.5100000000000004E-2</v>
      </c>
      <c r="F12" s="35">
        <v>6.2600000000000003E-2</v>
      </c>
      <c r="G12" s="35">
        <v>0.12959999999999999</v>
      </c>
      <c r="H12" s="35">
        <v>1.9935</v>
      </c>
    </row>
    <row r="13" spans="2:8" x14ac:dyDescent="0.3">
      <c r="B13" s="35" t="s">
        <v>32</v>
      </c>
      <c r="C13" s="35">
        <v>3.8298999999999999</v>
      </c>
      <c r="D13" s="35">
        <v>1.5018</v>
      </c>
      <c r="E13" s="35">
        <v>1.43E-2</v>
      </c>
      <c r="F13" s="35">
        <v>5.3E-3</v>
      </c>
      <c r="G13" s="35">
        <v>1.34E-2</v>
      </c>
      <c r="H13" s="35">
        <v>1.0900000000000001</v>
      </c>
    </row>
    <row r="14" spans="2:8" x14ac:dyDescent="0.3">
      <c r="B14" s="35" t="s">
        <v>33</v>
      </c>
      <c r="C14" s="35">
        <v>2.0876999999999999</v>
      </c>
      <c r="D14" s="35">
        <v>0.70109999999999995</v>
      </c>
      <c r="E14" s="35">
        <v>2.1700000000000001E-2</v>
      </c>
      <c r="F14" s="35">
        <v>2.9000000000000001E-2</v>
      </c>
      <c r="G14" s="35">
        <v>1.1299999999999999E-2</v>
      </c>
      <c r="H14" s="35">
        <v>0.59660000000000002</v>
      </c>
    </row>
    <row r="15" spans="2:8" x14ac:dyDescent="0.3">
      <c r="B15" s="35" t="s">
        <v>34</v>
      </c>
      <c r="C15" s="35">
        <v>1.8138000000000001</v>
      </c>
      <c r="D15" s="35">
        <v>0.73370000000000002</v>
      </c>
      <c r="E15" s="35">
        <v>1.7500000000000002E-2</v>
      </c>
      <c r="F15" s="35">
        <v>2.3199999999999998E-2</v>
      </c>
      <c r="G15" s="35">
        <v>1.1599999999999999E-2</v>
      </c>
      <c r="H15" s="35">
        <v>0.48680000000000001</v>
      </c>
    </row>
    <row r="16" spans="2:8" x14ac:dyDescent="0.3">
      <c r="B16" s="35" t="s">
        <v>35</v>
      </c>
      <c r="C16" s="35">
        <v>2.4051</v>
      </c>
      <c r="D16" s="35">
        <v>1.4286000000000001</v>
      </c>
      <c r="E16" s="35">
        <v>0.1091</v>
      </c>
      <c r="F16" s="35">
        <v>8.0000000000000002E-3</v>
      </c>
      <c r="G16" s="35">
        <v>6.4399999999999999E-2</v>
      </c>
      <c r="H16" s="35">
        <v>1.3162</v>
      </c>
    </row>
    <row r="17" spans="2:8" x14ac:dyDescent="0.3">
      <c r="B17" s="35" t="s">
        <v>36</v>
      </c>
      <c r="C17" s="35">
        <v>5.8371000000000004</v>
      </c>
      <c r="D17" s="35">
        <v>1.7826</v>
      </c>
      <c r="E17" s="35">
        <v>6.4000000000000003E-3</v>
      </c>
      <c r="F17" s="35">
        <v>7.85E-2</v>
      </c>
      <c r="G17" s="35">
        <v>5.7000000000000002E-3</v>
      </c>
      <c r="H17" s="35">
        <v>2.2801</v>
      </c>
    </row>
    <row r="18" spans="2:8" x14ac:dyDescent="0.3">
      <c r="B18" s="35" t="s">
        <v>37</v>
      </c>
      <c r="C18" s="35">
        <v>1.8027</v>
      </c>
      <c r="D18" s="35">
        <v>0.66020000000000001</v>
      </c>
      <c r="E18" s="35">
        <v>1.3100000000000001E-2</v>
      </c>
      <c r="F18" s="35">
        <v>3.1099999999999999E-2</v>
      </c>
      <c r="G18" s="35">
        <v>7.4000000000000003E-3</v>
      </c>
      <c r="H18" s="35">
        <v>0.43859999999999999</v>
      </c>
    </row>
    <row r="19" spans="2:8" x14ac:dyDescent="0.3">
      <c r="B19" s="35" t="s">
        <v>38</v>
      </c>
      <c r="C19" s="35">
        <v>2.8479999999999999</v>
      </c>
      <c r="D19" s="35">
        <v>1.0139</v>
      </c>
      <c r="E19" s="35">
        <v>4.7199999999999999E-2</v>
      </c>
      <c r="F19" s="35">
        <v>4.6300000000000001E-2</v>
      </c>
      <c r="G19" s="35">
        <v>0.06</v>
      </c>
      <c r="H19" s="35">
        <v>0.79559999999999997</v>
      </c>
    </row>
    <row r="20" spans="2:8" x14ac:dyDescent="0.3">
      <c r="B20" s="35" t="s">
        <v>39</v>
      </c>
      <c r="C20" s="35">
        <v>3.8689</v>
      </c>
      <c r="D20" s="35">
        <v>1.8532999999999999</v>
      </c>
      <c r="E20" s="35">
        <v>0.16039999999999999</v>
      </c>
      <c r="F20" s="35">
        <v>0.1285</v>
      </c>
      <c r="G20" s="35">
        <v>0.13339999999999999</v>
      </c>
      <c r="H20" s="35">
        <v>1.5742</v>
      </c>
    </row>
    <row r="21" spans="2:8" x14ac:dyDescent="0.3">
      <c r="B21" s="35" t="s">
        <v>40</v>
      </c>
      <c r="C21" s="35">
        <v>0.60199999999999998</v>
      </c>
      <c r="D21" s="35">
        <v>0.12089999999999999</v>
      </c>
      <c r="E21" s="35">
        <v>6.0000000000000001E-3</v>
      </c>
      <c r="F21" s="35">
        <v>2.9899999999999999E-2</v>
      </c>
      <c r="G21" s="35">
        <v>4.7999999999999996E-3</v>
      </c>
      <c r="H21" s="35">
        <v>0.1002</v>
      </c>
    </row>
    <row r="22" spans="2:8" x14ac:dyDescent="0.3">
      <c r="B22" s="35" t="s">
        <v>41</v>
      </c>
      <c r="C22" s="35">
        <v>2.8378999999999999</v>
      </c>
      <c r="D22" s="35">
        <v>1.3105</v>
      </c>
      <c r="E22" s="35">
        <v>3.56E-2</v>
      </c>
      <c r="F22" s="35">
        <v>2.76E-2</v>
      </c>
      <c r="G22" s="35">
        <v>4.0300000000000002E-2</v>
      </c>
      <c r="H22" s="35">
        <v>1.6105</v>
      </c>
    </row>
    <row r="23" spans="2:8" x14ac:dyDescent="0.3">
      <c r="B23" s="35" t="s">
        <v>42</v>
      </c>
      <c r="C23" s="35">
        <v>3.5465</v>
      </c>
      <c r="D23" s="35">
        <v>1.5612999999999999</v>
      </c>
      <c r="E23" s="35">
        <v>6.7900000000000002E-2</v>
      </c>
      <c r="F23" s="35">
        <v>0.1043</v>
      </c>
      <c r="G23" s="35">
        <v>9.4500000000000001E-2</v>
      </c>
      <c r="H23" s="35">
        <v>2.3283</v>
      </c>
    </row>
    <row r="24" spans="2:8" x14ac:dyDescent="0.3">
      <c r="B24" s="35" t="s">
        <v>43</v>
      </c>
      <c r="C24" s="35">
        <v>3.7892999999999999</v>
      </c>
      <c r="D24" s="35">
        <v>2.8311000000000002</v>
      </c>
      <c r="E24" s="35">
        <v>2.7799999999999998E-2</v>
      </c>
      <c r="F24" s="35">
        <v>2.06E-2</v>
      </c>
      <c r="G24" s="35">
        <v>3.1199999999999999E-2</v>
      </c>
      <c r="H24" s="35">
        <v>3.9679000000000002</v>
      </c>
    </row>
    <row r="25" spans="2:8" x14ac:dyDescent="0.3">
      <c r="B25" s="35" t="s">
        <v>44</v>
      </c>
      <c r="C25" s="35">
        <v>3.7989000000000002</v>
      </c>
      <c r="D25" s="35">
        <v>1.6698999999999999</v>
      </c>
      <c r="E25" s="35">
        <v>1.44E-2</v>
      </c>
      <c r="F25" s="35">
        <v>6.0000000000000001E-3</v>
      </c>
      <c r="G25" s="35">
        <v>1.34E-2</v>
      </c>
      <c r="H25" s="35">
        <v>1.1573</v>
      </c>
    </row>
    <row r="26" spans="2:8" x14ac:dyDescent="0.3">
      <c r="B26" s="35" t="s">
        <v>45</v>
      </c>
      <c r="C26" s="35">
        <v>2.1093999999999999</v>
      </c>
      <c r="D26" s="35">
        <v>0.75890000000000002</v>
      </c>
      <c r="E26" s="35">
        <v>2.12E-2</v>
      </c>
      <c r="F26" s="35">
        <v>0.03</v>
      </c>
      <c r="G26" s="35">
        <v>1.3899999999999999E-2</v>
      </c>
      <c r="H26" s="35">
        <v>0.62339999999999995</v>
      </c>
    </row>
    <row r="27" spans="2:8" x14ac:dyDescent="0.3">
      <c r="B27" s="35" t="s">
        <v>46</v>
      </c>
      <c r="C27" s="35">
        <v>1.8062</v>
      </c>
      <c r="D27" s="35">
        <v>0.74309999999999998</v>
      </c>
      <c r="E27" s="35">
        <v>2.12E-2</v>
      </c>
      <c r="F27" s="35">
        <v>2.7400000000000001E-2</v>
      </c>
      <c r="G27" s="35">
        <v>1.7100000000000001E-2</v>
      </c>
      <c r="H27" s="35">
        <v>0.49059999999999998</v>
      </c>
    </row>
    <row r="28" spans="2:8" x14ac:dyDescent="0.3">
      <c r="B28" s="35" t="s">
        <v>47</v>
      </c>
      <c r="C28" s="35">
        <v>2.4131999999999998</v>
      </c>
      <c r="D28" s="35">
        <v>1.3017000000000001</v>
      </c>
      <c r="E28" s="35">
        <v>0.10920000000000001</v>
      </c>
      <c r="F28" s="35">
        <v>1.2200000000000001E-2</v>
      </c>
      <c r="G28" s="35">
        <v>6.7599999999999993E-2</v>
      </c>
      <c r="H28" s="35">
        <v>1.2627999999999999</v>
      </c>
    </row>
    <row r="29" spans="2:8" x14ac:dyDescent="0.3">
      <c r="B29" s="35" t="s">
        <v>48</v>
      </c>
      <c r="C29" s="35">
        <v>1.909</v>
      </c>
      <c r="D29" s="35">
        <v>0.6694</v>
      </c>
      <c r="E29" s="35">
        <v>2.3199999999999998E-2</v>
      </c>
      <c r="F29" s="35">
        <v>5.1299999999999998E-2</v>
      </c>
      <c r="G29" s="35">
        <v>6.3E-3</v>
      </c>
      <c r="H29" s="35">
        <v>0.44350000000000001</v>
      </c>
    </row>
    <row r="30" spans="2:8" x14ac:dyDescent="0.3">
      <c r="B30" s="35" t="s">
        <v>49</v>
      </c>
      <c r="C30" s="35">
        <v>4.38</v>
      </c>
      <c r="D30" s="35">
        <v>1.4365000000000001</v>
      </c>
      <c r="E30" s="35">
        <v>5.4000000000000003E-3</v>
      </c>
      <c r="F30" s="35">
        <v>0.1124</v>
      </c>
      <c r="G30" s="35">
        <v>5.0000000000000001E-3</v>
      </c>
      <c r="H30" s="35">
        <v>2.4363999999999999</v>
      </c>
    </row>
    <row r="31" spans="2:8" x14ac:dyDescent="0.3">
      <c r="B31" s="35" t="s">
        <v>50</v>
      </c>
      <c r="C31" s="35">
        <v>3.0326</v>
      </c>
      <c r="D31" s="35">
        <v>1.1612</v>
      </c>
      <c r="E31" s="35">
        <v>6.59E-2</v>
      </c>
      <c r="F31" s="35">
        <v>2.87E-2</v>
      </c>
      <c r="G31" s="35">
        <v>7.9200000000000007E-2</v>
      </c>
      <c r="H31" s="35">
        <v>0.77729999999999999</v>
      </c>
    </row>
    <row r="32" spans="2:8" x14ac:dyDescent="0.3">
      <c r="B32" s="35" t="s">
        <v>51</v>
      </c>
      <c r="C32" s="35">
        <v>0.81130000000000002</v>
      </c>
      <c r="D32" s="35">
        <v>0.2402</v>
      </c>
      <c r="E32" s="35">
        <v>6.7000000000000002E-3</v>
      </c>
      <c r="F32" s="35">
        <v>0.03</v>
      </c>
      <c r="G32" s="35">
        <v>6.1000000000000004E-3</v>
      </c>
      <c r="H32" s="35">
        <v>0.15939999999999999</v>
      </c>
    </row>
    <row r="33" spans="2:8" x14ac:dyDescent="0.3">
      <c r="B33" s="35" t="s">
        <v>52</v>
      </c>
      <c r="C33" s="35">
        <v>3.8149999999999999</v>
      </c>
      <c r="D33" s="35">
        <v>1.9382999999999999</v>
      </c>
      <c r="E33" s="35">
        <v>0.20619999999999999</v>
      </c>
      <c r="F33" s="35">
        <v>0.1235</v>
      </c>
      <c r="G33" s="35">
        <v>0.1812</v>
      </c>
      <c r="H33" s="35">
        <v>2.0171999999999999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CA69-FFD3-42FF-AF12-189361EB5B99}">
  <dimension ref="A1:M89"/>
  <sheetViews>
    <sheetView topLeftCell="B18" zoomScaleNormal="100" workbookViewId="0">
      <selection activeCell="K16" sqref="K16:L45"/>
    </sheetView>
  </sheetViews>
  <sheetFormatPr baseColWidth="10" defaultColWidth="11.44140625" defaultRowHeight="14.4" x14ac:dyDescent="0.3"/>
  <cols>
    <col min="1" max="1" width="34.6640625" bestFit="1" customWidth="1"/>
    <col min="2" max="2" width="17.77734375" customWidth="1"/>
    <col min="3" max="3" width="24" bestFit="1" customWidth="1"/>
    <col min="4" max="4" width="12.33203125" bestFit="1" customWidth="1"/>
    <col min="5" max="5" width="25.88671875" bestFit="1" customWidth="1"/>
    <col min="6" max="6" width="15.21875" customWidth="1"/>
    <col min="7" max="8" width="24.5546875" bestFit="1" customWidth="1"/>
    <col min="9" max="9" width="16.109375" bestFit="1" customWidth="1"/>
    <col min="11" max="11" width="11.44140625" style="35"/>
    <col min="12" max="12" width="13" bestFit="1" customWidth="1"/>
  </cols>
  <sheetData>
    <row r="1" spans="1:12" x14ac:dyDescent="0.3">
      <c r="A1" s="2" t="s">
        <v>74</v>
      </c>
      <c r="B1" s="20">
        <v>14</v>
      </c>
    </row>
    <row r="2" spans="1:12" x14ac:dyDescent="0.3">
      <c r="A2" s="2" t="s">
        <v>73</v>
      </c>
      <c r="B2" s="20">
        <v>0.14000000000000001</v>
      </c>
    </row>
    <row r="3" spans="1:12" x14ac:dyDescent="0.3">
      <c r="A3" s="2" t="s">
        <v>75</v>
      </c>
      <c r="B3" s="20">
        <v>17000</v>
      </c>
    </row>
    <row r="4" spans="1:12" x14ac:dyDescent="0.3">
      <c r="A4" s="2" t="s">
        <v>72</v>
      </c>
      <c r="B4" s="27">
        <f>0.0000139*2</f>
        <v>2.7800000000000001E-5</v>
      </c>
      <c r="E4" s="2" t="s">
        <v>54</v>
      </c>
      <c r="F4" s="26">
        <v>1.3900000000000001E-5</v>
      </c>
    </row>
    <row r="5" spans="1:12" x14ac:dyDescent="0.3">
      <c r="A5" s="5" t="s">
        <v>71</v>
      </c>
      <c r="B5" s="20">
        <v>0.104</v>
      </c>
      <c r="D5">
        <f>10.4/100</f>
        <v>0.10400000000000001</v>
      </c>
    </row>
    <row r="7" spans="1:12" x14ac:dyDescent="0.3">
      <c r="H7" s="28">
        <v>457537853737373</v>
      </c>
    </row>
    <row r="8" spans="1:12" x14ac:dyDescent="0.3">
      <c r="A8" s="1" t="s">
        <v>2</v>
      </c>
    </row>
    <row r="9" spans="1:12" x14ac:dyDescent="0.3">
      <c r="A9" s="2" t="s">
        <v>3</v>
      </c>
      <c r="B9" s="3">
        <f>MIN(0.13*SQRT(B1),0.28)</f>
        <v>0.28000000000000003</v>
      </c>
    </row>
    <row r="10" spans="1:12" x14ac:dyDescent="0.3">
      <c r="A10" s="2" t="s">
        <v>4</v>
      </c>
      <c r="B10" s="3">
        <f>MIN(0.06*SQRT(B1),0.19)</f>
        <v>0.19</v>
      </c>
    </row>
    <row r="11" spans="1:12" x14ac:dyDescent="0.3">
      <c r="A11" s="1" t="s">
        <v>5</v>
      </c>
    </row>
    <row r="12" spans="1:12" x14ac:dyDescent="0.3">
      <c r="A12" s="2" t="s">
        <v>3</v>
      </c>
      <c r="B12" s="3">
        <f>MIN(0.17*SQRT(B1),0.84)</f>
        <v>0.63608175575157011</v>
      </c>
    </row>
    <row r="13" spans="1:12" x14ac:dyDescent="0.3">
      <c r="A13" s="2" t="s">
        <v>4</v>
      </c>
      <c r="B13" s="3">
        <f>MIN(0.13*SQRT(B1),0.52)</f>
        <v>0.48641546028061239</v>
      </c>
    </row>
    <row r="16" spans="1:12" x14ac:dyDescent="0.3">
      <c r="A16" s="4" t="s">
        <v>0</v>
      </c>
      <c r="B16" s="7" t="s">
        <v>63</v>
      </c>
      <c r="C16" s="7" t="s">
        <v>64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  <c r="J16" s="7" t="s">
        <v>1</v>
      </c>
      <c r="K16" s="7" t="s">
        <v>62</v>
      </c>
      <c r="L16" s="7" t="s">
        <v>76</v>
      </c>
    </row>
    <row r="17" spans="1:12" s="6" customFormat="1" x14ac:dyDescent="0.3">
      <c r="A17" s="25" t="str">
        <f>'Resultados por pier'!B5</f>
        <v>M1Y</v>
      </c>
      <c r="B17" s="22">
        <f>'Resultados por pier'!D5</f>
        <v>1.6125</v>
      </c>
      <c r="C17" s="22">
        <f>'Resultados por pier'!H5</f>
        <v>1.86</v>
      </c>
      <c r="D17" s="25">
        <v>3.9</v>
      </c>
      <c r="E17" s="22">
        <f>ABS(B17/D17/$B$2)</f>
        <v>2.953296703296703</v>
      </c>
      <c r="F17" s="22">
        <f>C17/(B17*D17)</f>
        <v>0.29576624925462136</v>
      </c>
      <c r="G17" s="8">
        <f>100*IF(F17&gt;=1,$B$10,($B$10-$B$9)*(F17)+$B$9)</f>
        <v>25.338103756708406</v>
      </c>
      <c r="H17" s="8">
        <f>100*IF(F17&gt;=1,$B$13,($B$13-$B$12)*(F17)+$B$12)</f>
        <v>59.181551690029096</v>
      </c>
      <c r="I17" s="9">
        <f>IF(H17&lt;=E17,"agregar mas muros",IF(H17&lt;=G17,0.0006,1.1*ABS(B17)/($B$3*$B$2*D17)))</f>
        <v>1.9109566903684552E-4</v>
      </c>
      <c r="J17" s="24">
        <f>$B$4/(I17*$B$2*$B$5)</f>
        <v>9.9915433403805487</v>
      </c>
      <c r="K17" s="34">
        <f>ROUNDUP(J17,0)</f>
        <v>10</v>
      </c>
      <c r="L17" s="7">
        <f>IF(J17&gt;3,3,ROUNDDOWN(J17,0))</f>
        <v>3</v>
      </c>
    </row>
    <row r="18" spans="1:12" s="6" customFormat="1" x14ac:dyDescent="0.3">
      <c r="A18" s="25" t="str">
        <f>'Resultados por pier'!B6</f>
        <v>M2Y</v>
      </c>
      <c r="B18" s="22">
        <f>'Resultados por pier'!D6</f>
        <v>0.89380000000000004</v>
      </c>
      <c r="C18" s="22">
        <f>'Resultados por pier'!H6</f>
        <v>0.61280000000000001</v>
      </c>
      <c r="D18" s="25">
        <v>2.25</v>
      </c>
      <c r="E18" s="22">
        <f t="shared" ref="E18:E30" si="0">ABS(B18/D18/$B$2)</f>
        <v>2.8374603174603172</v>
      </c>
      <c r="F18" s="22">
        <f t="shared" ref="F18:F31" si="1">C18/(B18*D18)</f>
        <v>0.30471644165982947</v>
      </c>
      <c r="G18" s="8">
        <f t="shared" ref="G18:G31" si="2">100*IF(F18&gt;=1,$B$10,($B$10-$B$9)*(F18)+$B$9)</f>
        <v>25.257552025061536</v>
      </c>
      <c r="H18" s="8">
        <f t="shared" ref="H18:H31" si="3">100*IF(F18&gt;=1,$B$13,($B$13-$B$12)*(F18)+$B$12)</f>
        <v>59.047597475925116</v>
      </c>
      <c r="I18" s="9">
        <f t="shared" ref="I18:I31" si="4">IF(H18&lt;=E18,"agregar mas muros",IF(H18&lt;=G18,0.0006,1.1*ABS(B18)/($B$3*$B$2*D18)))</f>
        <v>1.8360037348272645E-4</v>
      </c>
      <c r="J18" s="24">
        <f t="shared" ref="J18:J31" si="5">$B$4/(I18*$B$2*$B$5)</f>
        <v>10.399437774130098</v>
      </c>
      <c r="K18" s="34">
        <f t="shared" ref="K18:K45" si="6">ROUNDUP(J18,0)</f>
        <v>11</v>
      </c>
      <c r="L18" s="7">
        <f t="shared" ref="L18:L31" si="7">IF(J18&gt;3,3,ROUNDDOWN(J18,0))</f>
        <v>3</v>
      </c>
    </row>
    <row r="19" spans="1:12" s="6" customFormat="1" x14ac:dyDescent="0.3">
      <c r="A19" s="25" t="str">
        <f>'Resultados por pier'!B7</f>
        <v>M3Y</v>
      </c>
      <c r="B19" s="22">
        <f>'Resultados por pier'!D7</f>
        <v>1.6083000000000001</v>
      </c>
      <c r="C19" s="22">
        <f>'Resultados por pier'!H7</f>
        <v>1.9033</v>
      </c>
      <c r="D19" s="25">
        <v>3.9</v>
      </c>
      <c r="E19" s="22">
        <f t="shared" si="0"/>
        <v>2.9456043956043954</v>
      </c>
      <c r="F19" s="22">
        <f t="shared" si="1"/>
        <v>0.30344192067751102</v>
      </c>
      <c r="G19" s="8">
        <f t="shared" si="2"/>
        <v>25.269022713902402</v>
      </c>
      <c r="H19" s="8">
        <f t="shared" si="3"/>
        <v>59.066672759317484</v>
      </c>
      <c r="I19" s="9">
        <f t="shared" si="4"/>
        <v>1.9059793148028446E-4</v>
      </c>
      <c r="J19" s="24">
        <f t="shared" si="5"/>
        <v>10.017635787081783</v>
      </c>
      <c r="K19" s="34">
        <f t="shared" si="6"/>
        <v>11</v>
      </c>
      <c r="L19" s="7">
        <f t="shared" si="7"/>
        <v>3</v>
      </c>
    </row>
    <row r="20" spans="1:12" s="6" customFormat="1" x14ac:dyDescent="0.3">
      <c r="A20" s="25" t="str">
        <f>'Resultados por pier'!B8</f>
        <v>M4Y</v>
      </c>
      <c r="B20" s="22">
        <f>'Resultados por pier'!D8</f>
        <v>1.6177999999999999</v>
      </c>
      <c r="C20" s="22">
        <f>'Resultados por pier'!H8</f>
        <v>2.569</v>
      </c>
      <c r="D20" s="25">
        <v>3.9</v>
      </c>
      <c r="E20" s="22">
        <f t="shared" si="0"/>
        <v>2.9630036630036627</v>
      </c>
      <c r="F20" s="22">
        <f t="shared" si="1"/>
        <v>0.40716896323275359</v>
      </c>
      <c r="G20" s="8">
        <f t="shared" si="2"/>
        <v>24.335479330905219</v>
      </c>
      <c r="H20" s="8">
        <f t="shared" si="3"/>
        <v>57.514228539377335</v>
      </c>
      <c r="I20" s="9">
        <f t="shared" si="4"/>
        <v>1.9172376642964878E-4</v>
      </c>
      <c r="J20" s="24">
        <f t="shared" si="5"/>
        <v>9.9588105058496943</v>
      </c>
      <c r="K20" s="34">
        <f t="shared" si="6"/>
        <v>10</v>
      </c>
      <c r="L20" s="7">
        <f t="shared" si="7"/>
        <v>3</v>
      </c>
    </row>
    <row r="21" spans="1:12" s="6" customFormat="1" x14ac:dyDescent="0.3">
      <c r="A21" s="25" t="str">
        <f>'Resultados por pier'!B9</f>
        <v>M5Y</v>
      </c>
      <c r="B21" s="22">
        <f>'Resultados por pier'!D9</f>
        <v>1.4974000000000001</v>
      </c>
      <c r="C21" s="22">
        <f>'Resultados por pier'!H9</f>
        <v>2.7555999999999998</v>
      </c>
      <c r="D21" s="25">
        <v>3.9</v>
      </c>
      <c r="E21" s="22">
        <f t="shared" si="0"/>
        <v>2.7424908424908425</v>
      </c>
      <c r="F21" s="22">
        <f t="shared" si="1"/>
        <v>0.47186062679584784</v>
      </c>
      <c r="G21" s="8">
        <f t="shared" si="2"/>
        <v>23.753254358837374</v>
      </c>
      <c r="H21" s="8">
        <f t="shared" si="3"/>
        <v>56.546012376043144</v>
      </c>
      <c r="I21" s="9">
        <f t="shared" si="4"/>
        <v>1.7745528980823102E-4</v>
      </c>
      <c r="J21" s="24">
        <f t="shared" si="5"/>
        <v>10.759558993163905</v>
      </c>
      <c r="K21" s="34">
        <f t="shared" si="6"/>
        <v>11</v>
      </c>
      <c r="L21" s="7">
        <f t="shared" si="7"/>
        <v>3</v>
      </c>
    </row>
    <row r="22" spans="1:12" s="6" customFormat="1" x14ac:dyDescent="0.3">
      <c r="A22" s="25" t="str">
        <f>'Resultados por pier'!B10</f>
        <v>M6Y</v>
      </c>
      <c r="B22" s="22">
        <f>'Resultados por pier'!D10</f>
        <v>1.917</v>
      </c>
      <c r="C22" s="22">
        <f>'Resultados por pier'!H10</f>
        <v>2.0173999999999999</v>
      </c>
      <c r="D22" s="25">
        <v>3.9</v>
      </c>
      <c r="E22" s="22">
        <f t="shared" si="0"/>
        <v>3.5109890109890105</v>
      </c>
      <c r="F22" s="22">
        <f t="shared" si="1"/>
        <v>0.26983935904123696</v>
      </c>
      <c r="G22" s="8">
        <f t="shared" si="2"/>
        <v>25.57144576862887</v>
      </c>
      <c r="H22" s="8">
        <f t="shared" si="3"/>
        <v>59.569589851161055</v>
      </c>
      <c r="I22" s="9">
        <f t="shared" si="4"/>
        <v>2.2718164188752427E-4</v>
      </c>
      <c r="J22" s="24">
        <f t="shared" si="5"/>
        <v>8.4044672072841067</v>
      </c>
      <c r="K22" s="34">
        <f t="shared" si="6"/>
        <v>9</v>
      </c>
      <c r="L22" s="7">
        <f t="shared" si="7"/>
        <v>3</v>
      </c>
    </row>
    <row r="23" spans="1:12" s="6" customFormat="1" x14ac:dyDescent="0.3">
      <c r="A23" s="25" t="str">
        <f>'Resultados por pier'!B11</f>
        <v>M7Y</v>
      </c>
      <c r="B23" s="22">
        <f>'Resultados por pier'!D11</f>
        <v>1.1180000000000001</v>
      </c>
      <c r="C23" s="22">
        <f>'Resultados por pier'!H11</f>
        <v>0.82750000000000001</v>
      </c>
      <c r="D23" s="25">
        <v>2.25</v>
      </c>
      <c r="E23" s="22">
        <f t="shared" si="0"/>
        <v>3.549206349206349</v>
      </c>
      <c r="F23" s="22">
        <f t="shared" si="1"/>
        <v>0.32896044523951495</v>
      </c>
      <c r="G23" s="8">
        <f t="shared" si="2"/>
        <v>25.039355992844371</v>
      </c>
      <c r="H23" s="8">
        <f t="shared" si="3"/>
        <v>58.684746455609506</v>
      </c>
      <c r="I23" s="9">
        <f t="shared" si="4"/>
        <v>2.2965452847805793E-4</v>
      </c>
      <c r="J23" s="24">
        <f t="shared" si="5"/>
        <v>8.3139691256864765</v>
      </c>
      <c r="K23" s="34">
        <f t="shared" si="6"/>
        <v>9</v>
      </c>
      <c r="L23" s="7">
        <f t="shared" si="7"/>
        <v>3</v>
      </c>
    </row>
    <row r="24" spans="1:12" s="6" customFormat="1" x14ac:dyDescent="0.3">
      <c r="A24" s="25" t="str">
        <f>'Resultados por pier'!B12</f>
        <v>M8Y</v>
      </c>
      <c r="B24" s="22">
        <f>'Resultados por pier'!D12</f>
        <v>1.9681</v>
      </c>
      <c r="C24" s="22">
        <f>'Resultados por pier'!H12</f>
        <v>1.9935</v>
      </c>
      <c r="D24" s="25">
        <v>3.9</v>
      </c>
      <c r="E24" s="22">
        <f t="shared" si="0"/>
        <v>3.6045787545787542</v>
      </c>
      <c r="F24" s="22">
        <f t="shared" si="1"/>
        <v>0.25971944827694027</v>
      </c>
      <c r="G24" s="8">
        <f t="shared" si="2"/>
        <v>25.662524965507536</v>
      </c>
      <c r="H24" s="8">
        <f t="shared" si="3"/>
        <v>59.721050806619949</v>
      </c>
      <c r="I24" s="9">
        <f t="shared" si="4"/>
        <v>2.3323744882568415E-4</v>
      </c>
      <c r="J24" s="24">
        <f t="shared" si="5"/>
        <v>8.1862525462952274</v>
      </c>
      <c r="K24" s="34">
        <f t="shared" si="6"/>
        <v>9</v>
      </c>
      <c r="L24" s="7">
        <f t="shared" si="7"/>
        <v>3</v>
      </c>
    </row>
    <row r="25" spans="1:12" s="6" customFormat="1" x14ac:dyDescent="0.3">
      <c r="A25" s="25" t="str">
        <f>'Resultados por pier'!B13</f>
        <v>M1X</v>
      </c>
      <c r="B25" s="22">
        <f>'Resultados por pier'!D13</f>
        <v>1.5018</v>
      </c>
      <c r="C25" s="22">
        <f>'Resultados por pier'!H13</f>
        <v>1.0900000000000001</v>
      </c>
      <c r="D25" s="25">
        <v>3.3</v>
      </c>
      <c r="E25" s="22">
        <f t="shared" si="0"/>
        <v>3.2506493506493506</v>
      </c>
      <c r="F25" s="22">
        <f t="shared" si="1"/>
        <v>0.21993809448863386</v>
      </c>
      <c r="G25" s="8">
        <f t="shared" si="2"/>
        <v>26.020557149602297</v>
      </c>
      <c r="H25" s="8">
        <f t="shared" si="3"/>
        <v>60.316443591651478</v>
      </c>
      <c r="I25" s="9">
        <f t="shared" si="4"/>
        <v>2.1033613445378154E-4</v>
      </c>
      <c r="J25" s="24">
        <f t="shared" si="5"/>
        <v>9.0775684563139603</v>
      </c>
      <c r="K25" s="34">
        <f t="shared" si="6"/>
        <v>10</v>
      </c>
      <c r="L25" s="7">
        <f t="shared" si="7"/>
        <v>3</v>
      </c>
    </row>
    <row r="26" spans="1:12" s="6" customFormat="1" x14ac:dyDescent="0.3">
      <c r="A26" s="25" t="str">
        <f>'Resultados por pier'!B14</f>
        <v>M2X</v>
      </c>
      <c r="B26" s="22">
        <f>'Resultados por pier'!D14</f>
        <v>0.70109999999999995</v>
      </c>
      <c r="C26" s="22">
        <f>'Resultados por pier'!H14</f>
        <v>0.59660000000000002</v>
      </c>
      <c r="D26" s="25">
        <v>1.1200000000000001</v>
      </c>
      <c r="E26" s="22">
        <f t="shared" si="0"/>
        <v>4.4713010204081618</v>
      </c>
      <c r="F26" s="22">
        <f t="shared" si="1"/>
        <v>0.75977545489740606</v>
      </c>
      <c r="G26" s="8">
        <f t="shared" si="2"/>
        <v>21.162020905923345</v>
      </c>
      <c r="H26" s="8">
        <f t="shared" si="3"/>
        <v>52.236897802731363</v>
      </c>
      <c r="I26" s="9">
        <f t="shared" si="4"/>
        <v>2.8931947779111636E-4</v>
      </c>
      <c r="J26" s="24">
        <f t="shared" si="5"/>
        <v>6.5994196931295788</v>
      </c>
      <c r="K26" s="34">
        <f t="shared" si="6"/>
        <v>7</v>
      </c>
      <c r="L26" s="7">
        <f t="shared" si="7"/>
        <v>3</v>
      </c>
    </row>
    <row r="27" spans="1:12" s="6" customFormat="1" x14ac:dyDescent="0.3">
      <c r="A27" s="25" t="str">
        <f>'Resultados por pier'!B15</f>
        <v>M3X</v>
      </c>
      <c r="B27" s="22">
        <f>'Resultados por pier'!D15</f>
        <v>0.73370000000000002</v>
      </c>
      <c r="C27" s="22">
        <f>'Resultados por pier'!H15</f>
        <v>0.48680000000000001</v>
      </c>
      <c r="D27" s="25">
        <v>0.98</v>
      </c>
      <c r="E27" s="22">
        <f t="shared" si="0"/>
        <v>5.3476676384839648</v>
      </c>
      <c r="F27" s="22">
        <f t="shared" si="1"/>
        <v>0.67702697816212487</v>
      </c>
      <c r="G27" s="8">
        <f t="shared" si="2"/>
        <v>21.906757196540877</v>
      </c>
      <c r="H27" s="8">
        <f t="shared" si="3"/>
        <v>53.475363599614788</v>
      </c>
      <c r="I27" s="9">
        <f t="shared" si="4"/>
        <v>3.4602555307837425E-4</v>
      </c>
      <c r="J27" s="24">
        <f t="shared" si="5"/>
        <v>5.5179180911769166</v>
      </c>
      <c r="K27" s="34">
        <f t="shared" si="6"/>
        <v>6</v>
      </c>
      <c r="L27" s="7">
        <f t="shared" si="7"/>
        <v>3</v>
      </c>
    </row>
    <row r="28" spans="1:12" s="6" customFormat="1" x14ac:dyDescent="0.3">
      <c r="A28" s="25" t="str">
        <f>'Resultados por pier'!B16</f>
        <v>M4X</v>
      </c>
      <c r="B28" s="22">
        <f>'Resultados por pier'!D16</f>
        <v>1.4286000000000001</v>
      </c>
      <c r="C28" s="22">
        <f>'Resultados por pier'!H16</f>
        <v>1.3162</v>
      </c>
      <c r="D28" s="25">
        <v>3.3</v>
      </c>
      <c r="E28" s="22">
        <f t="shared" si="0"/>
        <v>3.0922077922077924</v>
      </c>
      <c r="F28" s="22">
        <f t="shared" si="1"/>
        <v>0.27918835562682687</v>
      </c>
      <c r="G28" s="8">
        <f t="shared" si="2"/>
        <v>25.487304799358562</v>
      </c>
      <c r="H28" s="8">
        <f t="shared" si="3"/>
        <v>59.429666882627465</v>
      </c>
      <c r="I28" s="9">
        <f t="shared" si="4"/>
        <v>2.0008403361344542E-4</v>
      </c>
      <c r="J28" s="24">
        <f t="shared" si="5"/>
        <v>9.5426937615093834</v>
      </c>
      <c r="K28" s="34">
        <f t="shared" si="6"/>
        <v>10</v>
      </c>
      <c r="L28" s="7">
        <f t="shared" si="7"/>
        <v>3</v>
      </c>
    </row>
    <row r="29" spans="1:12" s="6" customFormat="1" x14ac:dyDescent="0.3">
      <c r="A29" s="25" t="str">
        <f>'Resultados por pier'!B17</f>
        <v>M5X</v>
      </c>
      <c r="B29" s="22">
        <f>'Resultados por pier'!D17</f>
        <v>1.7826</v>
      </c>
      <c r="C29" s="22">
        <f>'Resultados por pier'!H17</f>
        <v>2.2801</v>
      </c>
      <c r="D29" s="25">
        <v>3.82</v>
      </c>
      <c r="E29" s="22">
        <f t="shared" si="0"/>
        <v>3.3332086761406132</v>
      </c>
      <c r="F29" s="22">
        <f t="shared" si="1"/>
        <v>0.33483945739589738</v>
      </c>
      <c r="G29" s="8">
        <f t="shared" si="2"/>
        <v>24.986444883436924</v>
      </c>
      <c r="H29" s="8">
        <f t="shared" si="3"/>
        <v>58.596757458562053</v>
      </c>
      <c r="I29" s="9">
        <f t="shared" si="4"/>
        <v>2.1567820845615733E-4</v>
      </c>
      <c r="J29" s="24">
        <f t="shared" si="5"/>
        <v>8.8527286692887497</v>
      </c>
      <c r="K29" s="34">
        <f t="shared" si="6"/>
        <v>9</v>
      </c>
      <c r="L29" s="7">
        <f t="shared" si="7"/>
        <v>3</v>
      </c>
    </row>
    <row r="30" spans="1:12" s="6" customFormat="1" x14ac:dyDescent="0.3">
      <c r="A30" s="25" t="str">
        <f>'Resultados por pier'!B18</f>
        <v>M6X</v>
      </c>
      <c r="B30" s="22">
        <f>'Resultados por pier'!D18</f>
        <v>0.66020000000000001</v>
      </c>
      <c r="C30" s="22">
        <f>'Resultados por pier'!H18</f>
        <v>0.43859999999999999</v>
      </c>
      <c r="D30" s="25">
        <v>0.98</v>
      </c>
      <c r="E30" s="22">
        <f t="shared" si="0"/>
        <v>4.8119533527696783</v>
      </c>
      <c r="F30" s="22">
        <f t="shared" si="1"/>
        <v>0.67790218177546691</v>
      </c>
      <c r="G30" s="8">
        <f t="shared" si="2"/>
        <v>21.898880364020798</v>
      </c>
      <c r="H30" s="8">
        <f t="shared" si="3"/>
        <v>53.462264751355612</v>
      </c>
      <c r="I30" s="9">
        <f t="shared" si="4"/>
        <v>3.1136168753215574E-4</v>
      </c>
      <c r="J30" s="24">
        <f t="shared" si="5"/>
        <v>6.1322273606429922</v>
      </c>
      <c r="K30" s="34">
        <f t="shared" si="6"/>
        <v>7</v>
      </c>
      <c r="L30" s="7">
        <f t="shared" si="7"/>
        <v>3</v>
      </c>
    </row>
    <row r="31" spans="1:12" s="6" customFormat="1" x14ac:dyDescent="0.3">
      <c r="A31" s="25" t="str">
        <f>'Resultados por pier'!B19</f>
        <v>M7X</v>
      </c>
      <c r="B31" s="22">
        <f>'Resultados por pier'!D19</f>
        <v>1.0139</v>
      </c>
      <c r="C31" s="22">
        <f>'Resultados por pier'!H19</f>
        <v>0.79559999999999997</v>
      </c>
      <c r="D31" s="25">
        <v>1.64</v>
      </c>
      <c r="E31" s="22">
        <f>ABS(B31/D31/$B$2)</f>
        <v>4.4159407665505226</v>
      </c>
      <c r="F31" s="22">
        <f t="shared" si="1"/>
        <v>0.47847120151840633</v>
      </c>
      <c r="G31" s="8">
        <f t="shared" si="2"/>
        <v>23.693759186334347</v>
      </c>
      <c r="H31" s="8">
        <f t="shared" si="3"/>
        <v>56.44707435307722</v>
      </c>
      <c r="I31" s="9">
        <f t="shared" si="4"/>
        <v>2.8573734371797503E-4</v>
      </c>
      <c r="J31" s="24">
        <f t="shared" si="5"/>
        <v>6.6821530378094138</v>
      </c>
      <c r="K31" s="34">
        <f t="shared" si="6"/>
        <v>7</v>
      </c>
      <c r="L31" s="7">
        <f t="shared" si="7"/>
        <v>3</v>
      </c>
    </row>
    <row r="32" spans="1:12" s="6" customFormat="1" x14ac:dyDescent="0.3">
      <c r="A32" s="25" t="str">
        <f>'Resultados por pier'!B20</f>
        <v>M8X</v>
      </c>
      <c r="B32" s="22">
        <f>'Resultados por pier'!D20</f>
        <v>1.8532999999999999</v>
      </c>
      <c r="C32" s="22">
        <f>'Resultados por pier'!H20</f>
        <v>1.5742</v>
      </c>
      <c r="D32" s="25">
        <v>5.0999999999999996</v>
      </c>
      <c r="E32" s="22">
        <f t="shared" ref="E32:E45" si="8">ABS(B32/D32/$B$2)</f>
        <v>2.5956582633053222</v>
      </c>
      <c r="F32" s="22">
        <f t="shared" ref="F32:F45" si="9">C32/(B32*D32)</f>
        <v>0.16654975808917427</v>
      </c>
      <c r="G32" s="8">
        <f t="shared" ref="G32:G45" si="10">100*IF(F32&gt;=1,$B$10,($B$10-$B$9)*(F32)+$B$9)</f>
        <v>26.501052177197433</v>
      </c>
      <c r="H32" s="8">
        <f t="shared" ref="H32:H45" si="11">100*IF(F32&gt;=1,$B$13,($B$13-$B$12)*(F32)+$B$12)</f>
        <v>61.11548704467792</v>
      </c>
      <c r="I32" s="9">
        <f t="shared" ref="I32:I45" si="12">IF(H32&lt;=E32,"agregar mas muros",IF(H32&lt;=G32,0.0006,1.1*ABS(B32)/($B$3*$B$2*D32)))</f>
        <v>1.6795435821387379E-4</v>
      </c>
      <c r="J32" s="24">
        <f t="shared" ref="J32:J45" si="13">$B$4/(I32*$B$2*$B$5)</f>
        <v>11.368211457241836</v>
      </c>
      <c r="K32" s="34">
        <f t="shared" si="6"/>
        <v>12</v>
      </c>
      <c r="L32" s="7">
        <f t="shared" ref="L32:L45" si="14">IF(J32&gt;3,3,ROUNDDOWN(J32,0))</f>
        <v>3</v>
      </c>
    </row>
    <row r="33" spans="1:13" s="6" customFormat="1" x14ac:dyDescent="0.3">
      <c r="A33" s="25" t="str">
        <f>'Resultados por pier'!B21</f>
        <v>M9X</v>
      </c>
      <c r="B33" s="22">
        <f>'Resultados por pier'!D21</f>
        <v>0.12089999999999999</v>
      </c>
      <c r="C33" s="22">
        <f>'Resultados por pier'!H21</f>
        <v>0.1002</v>
      </c>
      <c r="D33" s="25">
        <v>0.37</v>
      </c>
      <c r="E33" s="22">
        <f t="shared" si="8"/>
        <v>2.3339768339768336</v>
      </c>
      <c r="F33" s="22">
        <f t="shared" si="9"/>
        <v>2.2399570786667562</v>
      </c>
      <c r="G33" s="8">
        <f t="shared" si="10"/>
        <v>19</v>
      </c>
      <c r="H33" s="8">
        <f t="shared" si="11"/>
        <v>48.641546028061242</v>
      </c>
      <c r="I33" s="9">
        <f t="shared" si="12"/>
        <v>1.5102203043379514E-4</v>
      </c>
      <c r="J33" s="24">
        <f t="shared" si="13"/>
        <v>12.642795583242235</v>
      </c>
      <c r="K33" s="34">
        <f t="shared" si="6"/>
        <v>13</v>
      </c>
      <c r="L33" s="7">
        <f t="shared" si="14"/>
        <v>3</v>
      </c>
    </row>
    <row r="34" spans="1:13" s="6" customFormat="1" x14ac:dyDescent="0.3">
      <c r="A34" s="25" t="str">
        <f>'Resultados por pier'!B22</f>
        <v>M10X</v>
      </c>
      <c r="B34" s="22">
        <f>'Resultados por pier'!D22</f>
        <v>1.3105</v>
      </c>
      <c r="C34" s="22">
        <f>'Resultados por pier'!H22</f>
        <v>1.6105</v>
      </c>
      <c r="D34" s="25">
        <v>2.3199999999999998</v>
      </c>
      <c r="E34" s="22">
        <f t="shared" si="8"/>
        <v>4.0347906403940881</v>
      </c>
      <c r="F34" s="22">
        <f t="shared" si="9"/>
        <v>0.5297070083805866</v>
      </c>
      <c r="G34" s="8">
        <f t="shared" si="10"/>
        <v>23.232636924574724</v>
      </c>
      <c r="H34" s="8">
        <f t="shared" si="11"/>
        <v>55.680247012224413</v>
      </c>
      <c r="I34" s="9">
        <f t="shared" si="12"/>
        <v>2.6107468849608813E-4</v>
      </c>
      <c r="J34" s="24">
        <f t="shared" si="13"/>
        <v>7.3133886334954621</v>
      </c>
      <c r="K34" s="34">
        <f t="shared" si="6"/>
        <v>8</v>
      </c>
      <c r="L34" s="7">
        <f t="shared" si="14"/>
        <v>3</v>
      </c>
    </row>
    <row r="35" spans="1:13" s="6" customFormat="1" x14ac:dyDescent="0.3">
      <c r="A35" s="25" t="str">
        <f>'Resultados por pier'!B23</f>
        <v>M11X</v>
      </c>
      <c r="B35" s="22">
        <f>'Resultados por pier'!D23</f>
        <v>1.5612999999999999</v>
      </c>
      <c r="C35" s="22">
        <f>'Resultados por pier'!H23</f>
        <v>2.3283</v>
      </c>
      <c r="D35" s="25">
        <v>2.77</v>
      </c>
      <c r="E35" s="22">
        <f t="shared" si="8"/>
        <v>4.0260443527591532</v>
      </c>
      <c r="F35" s="22">
        <f t="shared" si="9"/>
        <v>0.53836003090084383</v>
      </c>
      <c r="G35" s="8">
        <f t="shared" si="10"/>
        <v>23.154759721892407</v>
      </c>
      <c r="H35" s="8">
        <f t="shared" si="11"/>
        <v>55.550740429701051</v>
      </c>
      <c r="I35" s="9">
        <f t="shared" si="12"/>
        <v>2.6050875223735705E-4</v>
      </c>
      <c r="J35" s="24">
        <f t="shared" si="13"/>
        <v>7.329276436750976</v>
      </c>
      <c r="K35" s="34">
        <f t="shared" si="6"/>
        <v>8</v>
      </c>
      <c r="L35" s="7">
        <f t="shared" si="14"/>
        <v>3</v>
      </c>
      <c r="M35" s="6" t="s">
        <v>53</v>
      </c>
    </row>
    <row r="36" spans="1:13" s="6" customFormat="1" x14ac:dyDescent="0.3">
      <c r="A36" s="25" t="str">
        <f>'Resultados por pier'!B24</f>
        <v>M12X</v>
      </c>
      <c r="B36" s="22">
        <f>'Resultados por pier'!D24</f>
        <v>2.8311000000000002</v>
      </c>
      <c r="C36" s="22">
        <f>'Resultados por pier'!H24</f>
        <v>3.9679000000000002</v>
      </c>
      <c r="D36" s="25">
        <v>2.3199999999999998</v>
      </c>
      <c r="E36" s="22">
        <f t="shared" si="8"/>
        <v>8.7164408866995089</v>
      </c>
      <c r="F36" s="22">
        <f t="shared" si="9"/>
        <v>0.60411208510399883</v>
      </c>
      <c r="G36" s="8">
        <f t="shared" si="10"/>
        <v>22.562991234064011</v>
      </c>
      <c r="H36" s="8">
        <f t="shared" si="11"/>
        <v>54.566653792481866</v>
      </c>
      <c r="I36" s="9">
        <f t="shared" si="12"/>
        <v>5.6400499855114477E-4</v>
      </c>
      <c r="J36" s="24">
        <f t="shared" si="13"/>
        <v>3.3853257759160051</v>
      </c>
      <c r="K36" s="34">
        <f t="shared" si="6"/>
        <v>4</v>
      </c>
      <c r="L36" s="7">
        <f t="shared" si="14"/>
        <v>3</v>
      </c>
    </row>
    <row r="37" spans="1:13" s="6" customFormat="1" x14ac:dyDescent="0.3">
      <c r="A37" s="25" t="str">
        <f>'Resultados por pier'!B25</f>
        <v>M13X</v>
      </c>
      <c r="B37" s="22">
        <f>'Resultados por pier'!D25</f>
        <v>1.6698999999999999</v>
      </c>
      <c r="C37" s="22">
        <f>'Resultados por pier'!H25</f>
        <v>1.1573</v>
      </c>
      <c r="D37" s="25">
        <v>3.3</v>
      </c>
      <c r="E37" s="22">
        <f t="shared" si="8"/>
        <v>3.6145021645021642</v>
      </c>
      <c r="F37" s="22">
        <f t="shared" si="9"/>
        <v>0.21001076094195445</v>
      </c>
      <c r="G37" s="8">
        <f t="shared" si="10"/>
        <v>26.109903151522413</v>
      </c>
      <c r="H37" s="8">
        <f t="shared" si="11"/>
        <v>60.465022315235082</v>
      </c>
      <c r="I37" s="9">
        <f t="shared" si="12"/>
        <v>2.3387955182072831E-4</v>
      </c>
      <c r="J37" s="24">
        <f t="shared" si="13"/>
        <v>8.1637776559628161</v>
      </c>
      <c r="K37" s="34">
        <f t="shared" si="6"/>
        <v>9</v>
      </c>
      <c r="L37" s="7">
        <f t="shared" si="14"/>
        <v>3</v>
      </c>
    </row>
    <row r="38" spans="1:13" s="6" customFormat="1" x14ac:dyDescent="0.3">
      <c r="A38" s="25" t="str">
        <f>'Resultados por pier'!B26</f>
        <v>M14X</v>
      </c>
      <c r="B38" s="22">
        <f>'Resultados por pier'!D26</f>
        <v>0.75890000000000002</v>
      </c>
      <c r="C38" s="22">
        <f>'Resultados por pier'!H26</f>
        <v>0.62339999999999995</v>
      </c>
      <c r="D38" s="25">
        <v>1.1200000000000001</v>
      </c>
      <c r="E38" s="22">
        <f t="shared" si="8"/>
        <v>4.8399234693877542</v>
      </c>
      <c r="F38" s="22">
        <f t="shared" si="9"/>
        <v>0.73343937654123437</v>
      </c>
      <c r="G38" s="8">
        <f t="shared" si="10"/>
        <v>21.399045611128891</v>
      </c>
      <c r="H38" s="8">
        <f t="shared" si="11"/>
        <v>52.63106013121147</v>
      </c>
      <c r="I38" s="9">
        <f t="shared" si="12"/>
        <v>3.1317151860744301E-4</v>
      </c>
      <c r="J38" s="24">
        <f t="shared" si="13"/>
        <v>6.096788966732305</v>
      </c>
      <c r="K38" s="34">
        <f t="shared" si="6"/>
        <v>7</v>
      </c>
      <c r="L38" s="7">
        <f t="shared" si="14"/>
        <v>3</v>
      </c>
    </row>
    <row r="39" spans="1:13" s="6" customFormat="1" x14ac:dyDescent="0.3">
      <c r="A39" s="25" t="str">
        <f>'Resultados por pier'!B27</f>
        <v>M15X</v>
      </c>
      <c r="B39" s="22">
        <f>'Resultados por pier'!D27</f>
        <v>0.74309999999999998</v>
      </c>
      <c r="C39" s="22">
        <f>'Resultados por pier'!H27</f>
        <v>0.49059999999999998</v>
      </c>
      <c r="D39" s="25">
        <v>0.98</v>
      </c>
      <c r="E39" s="22">
        <f t="shared" si="8"/>
        <v>5.4161807580174921</v>
      </c>
      <c r="F39" s="22">
        <f t="shared" si="9"/>
        <v>0.67368085708243741</v>
      </c>
      <c r="G39" s="8">
        <f t="shared" si="10"/>
        <v>21.936872286258062</v>
      </c>
      <c r="H39" s="8">
        <f t="shared" si="11"/>
        <v>53.525443754234203</v>
      </c>
      <c r="I39" s="9">
        <f t="shared" si="12"/>
        <v>3.5045875493054364E-4</v>
      </c>
      <c r="J39" s="24">
        <f t="shared" si="13"/>
        <v>5.4481180238144313</v>
      </c>
      <c r="K39" s="34">
        <f t="shared" si="6"/>
        <v>6</v>
      </c>
      <c r="L39" s="7">
        <f t="shared" si="14"/>
        <v>3</v>
      </c>
    </row>
    <row r="40" spans="1:13" s="6" customFormat="1" x14ac:dyDescent="0.3">
      <c r="A40" s="25" t="str">
        <f>'Resultados por pier'!B28</f>
        <v>M16X</v>
      </c>
      <c r="B40" s="22">
        <f>'Resultados por pier'!D28</f>
        <v>1.3017000000000001</v>
      </c>
      <c r="C40" s="22">
        <f>'Resultados por pier'!H28</f>
        <v>1.2627999999999999</v>
      </c>
      <c r="D40" s="25">
        <v>3.3</v>
      </c>
      <c r="E40" s="22">
        <f t="shared" si="8"/>
        <v>2.8175324675324678</v>
      </c>
      <c r="F40" s="22">
        <f t="shared" si="9"/>
        <v>0.29397454610637369</v>
      </c>
      <c r="G40" s="8">
        <f t="shared" si="10"/>
        <v>25.35422908504264</v>
      </c>
      <c r="H40" s="8">
        <f t="shared" si="11"/>
        <v>59.208367447307289</v>
      </c>
      <c r="I40" s="9">
        <f t="shared" si="12"/>
        <v>1.8231092436974794E-4</v>
      </c>
      <c r="J40" s="24">
        <f t="shared" si="13"/>
        <v>10.472990940840674</v>
      </c>
      <c r="K40" s="34">
        <f t="shared" si="6"/>
        <v>11</v>
      </c>
      <c r="L40" s="7">
        <f t="shared" si="14"/>
        <v>3</v>
      </c>
    </row>
    <row r="41" spans="1:13" s="6" customFormat="1" x14ac:dyDescent="0.3">
      <c r="A41" s="25" t="str">
        <f>'Resultados por pier'!B29</f>
        <v>M17X</v>
      </c>
      <c r="B41" s="22">
        <f>'Resultados por pier'!D29</f>
        <v>0.6694</v>
      </c>
      <c r="C41" s="22">
        <f>'Resultados por pier'!H29</f>
        <v>0.44350000000000001</v>
      </c>
      <c r="D41" s="25">
        <v>0.97</v>
      </c>
      <c r="E41" s="22">
        <f t="shared" si="8"/>
        <v>4.9293078055964648</v>
      </c>
      <c r="F41" s="22">
        <f t="shared" si="9"/>
        <v>0.68302434246393917</v>
      </c>
      <c r="G41" s="8">
        <f t="shared" si="10"/>
        <v>21.85278091782455</v>
      </c>
      <c r="H41" s="8">
        <f t="shared" si="11"/>
        <v>53.385603269850556</v>
      </c>
      <c r="I41" s="9">
        <f t="shared" si="12"/>
        <v>3.1895521095035961E-4</v>
      </c>
      <c r="J41" s="24">
        <f t="shared" si="13"/>
        <v>5.9862344109431032</v>
      </c>
      <c r="K41" s="34">
        <f t="shared" si="6"/>
        <v>6</v>
      </c>
      <c r="L41" s="7">
        <f t="shared" si="14"/>
        <v>3</v>
      </c>
    </row>
    <row r="42" spans="1:13" s="6" customFormat="1" x14ac:dyDescent="0.3">
      <c r="A42" s="25" t="str">
        <f>'Resultados por pier'!B30</f>
        <v>M18X</v>
      </c>
      <c r="B42" s="22">
        <f>'Resultados por pier'!D30</f>
        <v>1.4365000000000001</v>
      </c>
      <c r="C42" s="22">
        <f>'Resultados por pier'!H30</f>
        <v>2.4363999999999999</v>
      </c>
      <c r="D42" s="25">
        <v>3.22</v>
      </c>
      <c r="E42" s="22">
        <f t="shared" si="8"/>
        <v>3.1865572315882873</v>
      </c>
      <c r="F42" s="22">
        <f t="shared" si="9"/>
        <v>0.52672882891257855</v>
      </c>
      <c r="G42" s="8">
        <f t="shared" si="10"/>
        <v>23.259440539786794</v>
      </c>
      <c r="H42" s="8">
        <f t="shared" si="11"/>
        <v>55.724820321046863</v>
      </c>
      <c r="I42" s="9">
        <f t="shared" si="12"/>
        <v>2.0618899733806567E-4</v>
      </c>
      <c r="J42" s="24">
        <f t="shared" si="13"/>
        <v>9.2601481358877802</v>
      </c>
      <c r="K42" s="34">
        <f t="shared" si="6"/>
        <v>10</v>
      </c>
      <c r="L42" s="7">
        <f t="shared" si="14"/>
        <v>3</v>
      </c>
    </row>
    <row r="43" spans="1:13" s="6" customFormat="1" x14ac:dyDescent="0.3">
      <c r="A43" s="25" t="str">
        <f>'Resultados por pier'!B31</f>
        <v>M19X</v>
      </c>
      <c r="B43" s="22">
        <f>'Resultados por pier'!D31</f>
        <v>1.1612</v>
      </c>
      <c r="C43" s="22">
        <f>'Resultados por pier'!H31</f>
        <v>0.77729999999999999</v>
      </c>
      <c r="D43" s="25">
        <v>1.64</v>
      </c>
      <c r="E43" s="22">
        <f t="shared" si="8"/>
        <v>5.0574912891986061</v>
      </c>
      <c r="F43" s="22">
        <f t="shared" si="9"/>
        <v>0.40816690891676399</v>
      </c>
      <c r="G43" s="8">
        <f t="shared" si="10"/>
        <v>24.326497819749125</v>
      </c>
      <c r="H43" s="8">
        <f t="shared" si="11"/>
        <v>57.499292656016621</v>
      </c>
      <c r="I43" s="9">
        <f t="shared" si="12"/>
        <v>3.2724943635990985E-4</v>
      </c>
      <c r="J43" s="24">
        <f t="shared" si="13"/>
        <v>5.8345116819109233</v>
      </c>
      <c r="K43" s="34">
        <f t="shared" si="6"/>
        <v>6</v>
      </c>
      <c r="L43" s="7">
        <f t="shared" si="14"/>
        <v>3</v>
      </c>
    </row>
    <row r="44" spans="1:13" s="6" customFormat="1" x14ac:dyDescent="0.3">
      <c r="A44" s="25" t="str">
        <f>'Resultados por pier'!B32</f>
        <v>M20X</v>
      </c>
      <c r="B44" s="22">
        <f>'Resultados por pier'!D32</f>
        <v>0.2402</v>
      </c>
      <c r="C44" s="22">
        <f>'Resultados por pier'!H32</f>
        <v>0.15939999999999999</v>
      </c>
      <c r="D44" s="25">
        <v>0.37</v>
      </c>
      <c r="E44" s="22">
        <f t="shared" si="8"/>
        <v>4.6370656370656365</v>
      </c>
      <c r="F44" s="22">
        <f t="shared" si="9"/>
        <v>1.7935504196952989</v>
      </c>
      <c r="G44" s="8">
        <f t="shared" si="10"/>
        <v>19</v>
      </c>
      <c r="H44" s="8">
        <f t="shared" si="11"/>
        <v>48.641546028061242</v>
      </c>
      <c r="I44" s="9">
        <f t="shared" si="12"/>
        <v>3.0004542357483534E-4</v>
      </c>
      <c r="J44" s="24">
        <f t="shared" si="13"/>
        <v>6.3635053539299991</v>
      </c>
      <c r="K44" s="34">
        <f t="shared" si="6"/>
        <v>7</v>
      </c>
      <c r="L44" s="7">
        <f t="shared" si="14"/>
        <v>3</v>
      </c>
    </row>
    <row r="45" spans="1:13" s="6" customFormat="1" x14ac:dyDescent="0.3">
      <c r="A45" s="25" t="str">
        <f>'Resultados por pier'!B33</f>
        <v>M21X</v>
      </c>
      <c r="B45" s="22">
        <f>'Resultados por pier'!D33</f>
        <v>1.9382999999999999</v>
      </c>
      <c r="C45" s="22">
        <f>'Resultados por pier'!H33</f>
        <v>2.0171999999999999</v>
      </c>
      <c r="D45" s="25">
        <v>5.0999999999999996</v>
      </c>
      <c r="E45" s="22">
        <f t="shared" si="8"/>
        <v>2.7147058823529409</v>
      </c>
      <c r="F45" s="22">
        <f t="shared" si="9"/>
        <v>0.20405995550983122</v>
      </c>
      <c r="G45" s="8">
        <f t="shared" si="10"/>
        <v>26.16346040041152</v>
      </c>
      <c r="H45" s="8">
        <f t="shared" si="11"/>
        <v>60.55408581564452</v>
      </c>
      <c r="I45" s="9">
        <f t="shared" si="12"/>
        <v>1.7565743944636679E-4</v>
      </c>
      <c r="J45" s="24">
        <f t="shared" si="13"/>
        <v>10.869682863182321</v>
      </c>
      <c r="K45" s="34">
        <f t="shared" si="6"/>
        <v>11</v>
      </c>
      <c r="L45" s="7">
        <f t="shared" si="14"/>
        <v>3</v>
      </c>
    </row>
    <row r="46" spans="1:13" s="6" customFormat="1" x14ac:dyDescent="0.3"/>
    <row r="47" spans="1:13" s="6" customFormat="1" x14ac:dyDescent="0.3"/>
    <row r="48" spans="1:13" s="6" customFormat="1" x14ac:dyDescent="0.3"/>
    <row r="49" s="6" customFormat="1" x14ac:dyDescent="0.3"/>
    <row r="50" s="6" customFormat="1" x14ac:dyDescent="0.3"/>
    <row r="51" s="6" customFormat="1" x14ac:dyDescent="0.3"/>
    <row r="52" s="6" customFormat="1" x14ac:dyDescent="0.3"/>
    <row r="53" s="6" customFormat="1" x14ac:dyDescent="0.3"/>
    <row r="54" s="6" customFormat="1" x14ac:dyDescent="0.3"/>
    <row r="55" s="6" customFormat="1" x14ac:dyDescent="0.3"/>
    <row r="56" s="6" customFormat="1" x14ac:dyDescent="0.3"/>
    <row r="57" s="6" customFormat="1" x14ac:dyDescent="0.3"/>
    <row r="58" s="6" customFormat="1" x14ac:dyDescent="0.3"/>
    <row r="59" s="6" customFormat="1" x14ac:dyDescent="0.3"/>
    <row r="60" s="6" customFormat="1" x14ac:dyDescent="0.3"/>
    <row r="61" s="6" customFormat="1" x14ac:dyDescent="0.3"/>
    <row r="62" s="6" customFormat="1" x14ac:dyDescent="0.3"/>
    <row r="63" s="6" customFormat="1" x14ac:dyDescent="0.3"/>
    <row r="64" s="6" customFormat="1" x14ac:dyDescent="0.3"/>
    <row r="65" s="6" customFormat="1" x14ac:dyDescent="0.3"/>
    <row r="66" s="6" customFormat="1" x14ac:dyDescent="0.3"/>
    <row r="67" s="6" customFormat="1" x14ac:dyDescent="0.3"/>
    <row r="68" s="6" customFormat="1" x14ac:dyDescent="0.3"/>
    <row r="69" s="6" customFormat="1" x14ac:dyDescent="0.3"/>
    <row r="70" s="6" customFormat="1" x14ac:dyDescent="0.3"/>
    <row r="71" s="6" customFormat="1" x14ac:dyDescent="0.3"/>
    <row r="72" s="6" customFormat="1" x14ac:dyDescent="0.3"/>
    <row r="73" s="6" customFormat="1" x14ac:dyDescent="0.3"/>
    <row r="74" s="6" customFormat="1" x14ac:dyDescent="0.3"/>
    <row r="75" s="6" customFormat="1" x14ac:dyDescent="0.3"/>
    <row r="76" s="6" customFormat="1" x14ac:dyDescent="0.3"/>
    <row r="77" s="6" customFormat="1" x14ac:dyDescent="0.3"/>
    <row r="78" s="6" customFormat="1" x14ac:dyDescent="0.3"/>
    <row r="79" s="6" customFormat="1" x14ac:dyDescent="0.3"/>
    <row r="80" s="6" customFormat="1" x14ac:dyDescent="0.3"/>
    <row r="81" s="6" customFormat="1" x14ac:dyDescent="0.3"/>
    <row r="82" s="6" customFormat="1" x14ac:dyDescent="0.3"/>
    <row r="83" s="6" customFormat="1" x14ac:dyDescent="0.3"/>
    <row r="84" s="6" customFormat="1" x14ac:dyDescent="0.3"/>
    <row r="85" s="6" customFormat="1" x14ac:dyDescent="0.3"/>
    <row r="86" s="6" customFormat="1" x14ac:dyDescent="0.3"/>
    <row r="87" s="6" customFormat="1" x14ac:dyDescent="0.3"/>
    <row r="88" s="6" customFormat="1" x14ac:dyDescent="0.3"/>
    <row r="89" s="6" customFormat="1" x14ac:dyDescent="0.3"/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D58B-62DD-49B0-8FF5-2F3E018E2753}">
  <dimension ref="B2:AA38"/>
  <sheetViews>
    <sheetView topLeftCell="P13" workbookViewId="0">
      <selection activeCell="Q41" sqref="Q41"/>
    </sheetView>
  </sheetViews>
  <sheetFormatPr baseColWidth="10" defaultRowHeight="14.4" x14ac:dyDescent="0.3"/>
  <cols>
    <col min="1" max="2" width="11.5546875" style="6"/>
    <col min="3" max="4" width="20.109375" style="6" bestFit="1" customWidth="1"/>
    <col min="5" max="5" width="11.5546875" style="6"/>
    <col min="6" max="6" width="5.6640625" style="6" bestFit="1" customWidth="1"/>
    <col min="7" max="7" width="16.44140625" style="6" bestFit="1" customWidth="1"/>
    <col min="8" max="8" width="24" style="6" bestFit="1" customWidth="1"/>
    <col min="9" max="9" width="12.33203125" style="6" bestFit="1" customWidth="1"/>
    <col min="10" max="10" width="25.88671875" style="6" bestFit="1" customWidth="1"/>
    <col min="11" max="11" width="15" style="6" bestFit="1" customWidth="1"/>
    <col min="12" max="14" width="11.5546875" style="6"/>
    <col min="15" max="16" width="26.6640625" style="6" bestFit="1" customWidth="1"/>
    <col min="17" max="17" width="13.21875" style="6" bestFit="1" customWidth="1"/>
    <col min="18" max="18" width="11.5546875" style="6"/>
    <col min="19" max="19" width="17.88671875" style="6" bestFit="1" customWidth="1"/>
    <col min="20" max="20" width="10" style="6" bestFit="1" customWidth="1"/>
    <col min="21" max="23" width="11.5546875" style="6"/>
    <col min="24" max="24" width="5.6640625" style="6" bestFit="1" customWidth="1"/>
    <col min="25" max="25" width="13.21875" style="6" bestFit="1" customWidth="1"/>
    <col min="26" max="26" width="8.88671875" style="6" bestFit="1" customWidth="1"/>
    <col min="27" max="27" width="13" style="6" bestFit="1" customWidth="1"/>
    <col min="28" max="16384" width="11.5546875" style="6"/>
  </cols>
  <sheetData>
    <row r="2" spans="2:27" ht="15" thickBot="1" x14ac:dyDescent="0.35">
      <c r="B2" s="32"/>
      <c r="C2" s="32"/>
      <c r="D2" s="32"/>
    </row>
    <row r="3" spans="2:27" ht="15" thickBot="1" x14ac:dyDescent="0.35">
      <c r="B3" s="33" t="s">
        <v>55</v>
      </c>
      <c r="C3" s="33" t="s">
        <v>58</v>
      </c>
      <c r="D3" s="33" t="s">
        <v>59</v>
      </c>
    </row>
    <row r="4" spans="2:27" x14ac:dyDescent="0.3">
      <c r="B4" s="31" t="s">
        <v>56</v>
      </c>
      <c r="C4" s="29">
        <f>'Resistencia al corte'!B9</f>
        <v>0.28000000000000003</v>
      </c>
      <c r="D4" s="29">
        <f>'Resistencia al corte'!B12</f>
        <v>0.63608175575157011</v>
      </c>
    </row>
    <row r="5" spans="2:27" ht="15" thickBot="1" x14ac:dyDescent="0.35">
      <c r="B5" s="32" t="s">
        <v>57</v>
      </c>
      <c r="C5" s="30">
        <f>'Resistencia al corte'!B10</f>
        <v>0.19</v>
      </c>
      <c r="D5" s="30">
        <f>'Resistencia al corte'!B13</f>
        <v>0.48641546028061239</v>
      </c>
    </row>
    <row r="8" spans="2:27" ht="15" thickBot="1" x14ac:dyDescent="0.35">
      <c r="F8" s="32"/>
      <c r="G8" s="32"/>
      <c r="H8" s="32"/>
      <c r="I8" s="32"/>
      <c r="J8" s="32"/>
      <c r="K8" s="32"/>
      <c r="N8" s="32"/>
      <c r="O8" s="32"/>
      <c r="P8" s="32"/>
      <c r="Q8" s="32"/>
      <c r="X8" s="32"/>
      <c r="Y8" s="32"/>
      <c r="Z8" s="32"/>
      <c r="AA8" s="32"/>
    </row>
    <row r="9" spans="2:27" ht="15" thickBot="1" x14ac:dyDescent="0.35">
      <c r="F9" s="33" t="str">
        <f>'Resistencia al corte'!A16</f>
        <v>Pier</v>
      </c>
      <c r="G9" s="33" t="str">
        <f>'Resistencia al corte'!B16</f>
        <v>$V_2 $ $ (tonf)$</v>
      </c>
      <c r="H9" s="33" t="str">
        <f>'Resistencia al corte'!C16</f>
        <v>$M_3 $$(tonf \cdot m)$</v>
      </c>
      <c r="I9" s="33" t="str">
        <f>'Resistencia al corte'!D16</f>
        <v>$d $$ (m)$</v>
      </c>
      <c r="J9" s="33" t="str">
        <f>'Resistencia al corte'!E16</f>
        <v>$\tau_{sol} $$ (tonf/m^2)$</v>
      </c>
      <c r="K9" s="33" t="str">
        <f>'Resistencia al corte'!F16</f>
        <v>$M/Vd$$ (-)$</v>
      </c>
      <c r="N9" s="33" t="str">
        <f t="shared" ref="N9:N38" si="0">F9</f>
        <v>Pier</v>
      </c>
      <c r="O9" s="33" t="str">
        <f>'Resistencia al corte'!G16</f>
        <v>$\tau_{0resist} $ $ (tonf/m^2)$</v>
      </c>
      <c r="P9" s="33" t="str">
        <f>'Resistencia al corte'!H16</f>
        <v>$\tau_{1resist} $ $ (tonf/m^2)$</v>
      </c>
      <c r="Q9" s="33" t="str">
        <f>'Resistencia al corte'!I16</f>
        <v>$\rho_h$ $ (-)$</v>
      </c>
      <c r="S9" s="42" t="str">
        <f>'Resistencia al corte'!A2</f>
        <v>$b $ $ (m)$</v>
      </c>
      <c r="T9" s="7">
        <f>'Resistencia al corte'!B2</f>
        <v>0.14000000000000001</v>
      </c>
      <c r="X9" s="33" t="str">
        <f t="shared" ref="X9:X38" si="1">N9</f>
        <v>Pier</v>
      </c>
      <c r="Y9" s="33" t="str">
        <f>'Resistencia al corte'!I16</f>
        <v>$\rho_h$ $ (-)$</v>
      </c>
      <c r="Z9" s="33" t="str">
        <f>'Resistencia al corte'!K16</f>
        <v>N°Hiladas</v>
      </c>
      <c r="AA9" s="33" t="str">
        <f>'Resistencia al corte'!L16</f>
        <v>N° max hiladas</v>
      </c>
    </row>
    <row r="10" spans="2:27" x14ac:dyDescent="0.3">
      <c r="F10" s="6" t="str">
        <f>'Resistencia al corte'!A17</f>
        <v>M1Y</v>
      </c>
      <c r="G10" s="23">
        <f>'Resistencia al corte'!B17</f>
        <v>1.6125</v>
      </c>
      <c r="H10" s="23">
        <f>'Resistencia al corte'!C17</f>
        <v>1.86</v>
      </c>
      <c r="I10" s="6">
        <f>'Resistencia al corte'!D17</f>
        <v>3.9</v>
      </c>
      <c r="J10" s="23">
        <f>'Resistencia al corte'!E17</f>
        <v>2.953296703296703</v>
      </c>
      <c r="K10" s="23">
        <f>'Resistencia al corte'!F17</f>
        <v>0.29576624925462136</v>
      </c>
      <c r="N10" s="6" t="str">
        <f t="shared" si="0"/>
        <v>M1Y</v>
      </c>
      <c r="O10" s="23">
        <f>'Resistencia al corte'!G17</f>
        <v>25.338103756708406</v>
      </c>
      <c r="P10" s="23">
        <f>'Resistencia al corte'!H17</f>
        <v>59.181551690029096</v>
      </c>
      <c r="Q10" s="40">
        <f>'Resistencia al corte'!I17</f>
        <v>1.9109566903684552E-4</v>
      </c>
      <c r="S10" s="42" t="str">
        <f>'Resistencia al corte'!A4</f>
        <v>$A_{esc} $ $ (m^2)$</v>
      </c>
      <c r="T10" s="7">
        <f>'Resistencia al corte'!B4</f>
        <v>2.7800000000000001E-5</v>
      </c>
      <c r="X10" s="31" t="str">
        <f t="shared" si="1"/>
        <v>M1Y</v>
      </c>
      <c r="Y10" s="43">
        <f>'Resistencia al corte'!I17</f>
        <v>1.9109566903684552E-4</v>
      </c>
      <c r="Z10" s="31">
        <f>'Resistencia al corte'!K17</f>
        <v>10</v>
      </c>
      <c r="AA10" s="31">
        <f>'Resistencia al corte'!L17</f>
        <v>3</v>
      </c>
    </row>
    <row r="11" spans="2:27" x14ac:dyDescent="0.3">
      <c r="F11" s="6" t="str">
        <f>'Resistencia al corte'!A18</f>
        <v>M2Y</v>
      </c>
      <c r="G11" s="23">
        <f>'Resistencia al corte'!B18</f>
        <v>0.89380000000000004</v>
      </c>
      <c r="H11" s="23">
        <f>'Resistencia al corte'!C18</f>
        <v>0.61280000000000001</v>
      </c>
      <c r="I11" s="6">
        <f>'Resistencia al corte'!D18</f>
        <v>2.25</v>
      </c>
      <c r="J11" s="23">
        <f>'Resistencia al corte'!E18</f>
        <v>2.8374603174603172</v>
      </c>
      <c r="K11" s="23">
        <f>'Resistencia al corte'!F18</f>
        <v>0.30471644165982947</v>
      </c>
      <c r="N11" s="6" t="str">
        <f t="shared" si="0"/>
        <v>M2Y</v>
      </c>
      <c r="O11" s="23">
        <f>'Resistencia al corte'!G18</f>
        <v>25.257552025061536</v>
      </c>
      <c r="P11" s="23">
        <f>'Resistencia al corte'!H18</f>
        <v>59.047597475925116</v>
      </c>
      <c r="Q11" s="40">
        <f>'Resistencia al corte'!I18</f>
        <v>1.8360037348272645E-4</v>
      </c>
      <c r="S11" s="42" t="str">
        <f>'Resistencia al corte'!A5</f>
        <v>$Escantillon $ $ (m)$</v>
      </c>
      <c r="T11" s="7">
        <f>'Resistencia al corte'!B5</f>
        <v>0.104</v>
      </c>
      <c r="X11" s="31" t="str">
        <f t="shared" si="1"/>
        <v>M2Y</v>
      </c>
      <c r="Y11" s="43">
        <f>'Resistencia al corte'!I18</f>
        <v>1.8360037348272645E-4</v>
      </c>
      <c r="Z11" s="31">
        <f>'Resistencia al corte'!K18</f>
        <v>11</v>
      </c>
      <c r="AA11" s="31">
        <f>'Resistencia al corte'!L18</f>
        <v>3</v>
      </c>
    </row>
    <row r="12" spans="2:27" x14ac:dyDescent="0.3">
      <c r="F12" s="6" t="str">
        <f>'Resistencia al corte'!A19</f>
        <v>M3Y</v>
      </c>
      <c r="G12" s="23">
        <f>'Resistencia al corte'!B19</f>
        <v>1.6083000000000001</v>
      </c>
      <c r="H12" s="23">
        <f>'Resistencia al corte'!C19</f>
        <v>1.9033</v>
      </c>
      <c r="I12" s="6">
        <f>'Resistencia al corte'!D19</f>
        <v>3.9</v>
      </c>
      <c r="J12" s="23">
        <f>'Resistencia al corte'!E19</f>
        <v>2.9456043956043954</v>
      </c>
      <c r="K12" s="23">
        <f>'Resistencia al corte'!F19</f>
        <v>0.30344192067751102</v>
      </c>
      <c r="N12" s="6" t="str">
        <f t="shared" si="0"/>
        <v>M3Y</v>
      </c>
      <c r="O12" s="23">
        <f>'Resistencia al corte'!G19</f>
        <v>25.269022713902402</v>
      </c>
      <c r="P12" s="23">
        <f>'Resistencia al corte'!H19</f>
        <v>59.066672759317484</v>
      </c>
      <c r="Q12" s="40">
        <f>'Resistencia al corte'!I19</f>
        <v>1.9059793148028446E-4</v>
      </c>
      <c r="X12" s="31" t="str">
        <f t="shared" si="1"/>
        <v>M3Y</v>
      </c>
      <c r="Y12" s="43">
        <f>'Resistencia al corte'!I19</f>
        <v>1.9059793148028446E-4</v>
      </c>
      <c r="Z12" s="31">
        <f>'Resistencia al corte'!K19</f>
        <v>11</v>
      </c>
      <c r="AA12" s="31">
        <f>'Resistencia al corte'!L19</f>
        <v>3</v>
      </c>
    </row>
    <row r="13" spans="2:27" x14ac:dyDescent="0.3">
      <c r="F13" s="6" t="str">
        <f>'Resistencia al corte'!A20</f>
        <v>M4Y</v>
      </c>
      <c r="G13" s="23">
        <f>'Resistencia al corte'!B20</f>
        <v>1.6177999999999999</v>
      </c>
      <c r="H13" s="23">
        <f>'Resistencia al corte'!C20</f>
        <v>2.569</v>
      </c>
      <c r="I13" s="6">
        <f>'Resistencia al corte'!D20</f>
        <v>3.9</v>
      </c>
      <c r="J13" s="23">
        <f>'Resistencia al corte'!E20</f>
        <v>2.9630036630036627</v>
      </c>
      <c r="K13" s="23">
        <f>'Resistencia al corte'!F20</f>
        <v>0.40716896323275359</v>
      </c>
      <c r="N13" s="6" t="str">
        <f t="shared" si="0"/>
        <v>M4Y</v>
      </c>
      <c r="O13" s="23">
        <f>'Resistencia al corte'!G20</f>
        <v>24.335479330905219</v>
      </c>
      <c r="P13" s="23">
        <f>'Resistencia al corte'!H20</f>
        <v>57.514228539377335</v>
      </c>
      <c r="Q13" s="40">
        <f>'Resistencia al corte'!I20</f>
        <v>1.9172376642964878E-4</v>
      </c>
      <c r="X13" s="31" t="str">
        <f t="shared" si="1"/>
        <v>M4Y</v>
      </c>
      <c r="Y13" s="43">
        <f>'Resistencia al corte'!I20</f>
        <v>1.9172376642964878E-4</v>
      </c>
      <c r="Z13" s="31">
        <f>'Resistencia al corte'!K20</f>
        <v>10</v>
      </c>
      <c r="AA13" s="31">
        <f>'Resistencia al corte'!L20</f>
        <v>3</v>
      </c>
    </row>
    <row r="14" spans="2:27" x14ac:dyDescent="0.3">
      <c r="F14" s="6" t="str">
        <f>'Resistencia al corte'!A21</f>
        <v>M5Y</v>
      </c>
      <c r="G14" s="23">
        <f>'Resistencia al corte'!B21</f>
        <v>1.4974000000000001</v>
      </c>
      <c r="H14" s="23">
        <f>'Resistencia al corte'!C21</f>
        <v>2.7555999999999998</v>
      </c>
      <c r="I14" s="6">
        <f>'Resistencia al corte'!D21</f>
        <v>3.9</v>
      </c>
      <c r="J14" s="23">
        <f>'Resistencia al corte'!E21</f>
        <v>2.7424908424908425</v>
      </c>
      <c r="K14" s="23">
        <f>'Resistencia al corte'!F21</f>
        <v>0.47186062679584784</v>
      </c>
      <c r="N14" s="6" t="str">
        <f t="shared" si="0"/>
        <v>M5Y</v>
      </c>
      <c r="O14" s="23">
        <f>'Resistencia al corte'!G21</f>
        <v>23.753254358837374</v>
      </c>
      <c r="P14" s="23">
        <f>'Resistencia al corte'!H21</f>
        <v>56.546012376043144</v>
      </c>
      <c r="Q14" s="40">
        <f>'Resistencia al corte'!I21</f>
        <v>1.7745528980823102E-4</v>
      </c>
      <c r="X14" s="31" t="str">
        <f t="shared" si="1"/>
        <v>M5Y</v>
      </c>
      <c r="Y14" s="43">
        <f>'Resistencia al corte'!I21</f>
        <v>1.7745528980823102E-4</v>
      </c>
      <c r="Z14" s="31">
        <f>'Resistencia al corte'!K21</f>
        <v>11</v>
      </c>
      <c r="AA14" s="31">
        <f>'Resistencia al corte'!L21</f>
        <v>3</v>
      </c>
    </row>
    <row r="15" spans="2:27" x14ac:dyDescent="0.3">
      <c r="F15" s="6" t="str">
        <f>'Resistencia al corte'!A22</f>
        <v>M6Y</v>
      </c>
      <c r="G15" s="23">
        <f>'Resistencia al corte'!B22</f>
        <v>1.917</v>
      </c>
      <c r="H15" s="23">
        <f>'Resistencia al corte'!C22</f>
        <v>2.0173999999999999</v>
      </c>
      <c r="I15" s="6">
        <f>'Resistencia al corte'!D22</f>
        <v>3.9</v>
      </c>
      <c r="J15" s="23">
        <f>'Resistencia al corte'!E22</f>
        <v>3.5109890109890105</v>
      </c>
      <c r="K15" s="23">
        <f>'Resistencia al corte'!F22</f>
        <v>0.26983935904123696</v>
      </c>
      <c r="N15" s="6" t="str">
        <f t="shared" si="0"/>
        <v>M6Y</v>
      </c>
      <c r="O15" s="23">
        <f>'Resistencia al corte'!G22</f>
        <v>25.57144576862887</v>
      </c>
      <c r="P15" s="23">
        <f>'Resistencia al corte'!H22</f>
        <v>59.569589851161055</v>
      </c>
      <c r="Q15" s="40">
        <f>'Resistencia al corte'!I22</f>
        <v>2.2718164188752427E-4</v>
      </c>
      <c r="X15" s="31" t="str">
        <f t="shared" si="1"/>
        <v>M6Y</v>
      </c>
      <c r="Y15" s="43">
        <f>'Resistencia al corte'!I22</f>
        <v>2.2718164188752427E-4</v>
      </c>
      <c r="Z15" s="31">
        <f>'Resistencia al corte'!K22</f>
        <v>9</v>
      </c>
      <c r="AA15" s="31">
        <f>'Resistencia al corte'!L22</f>
        <v>3</v>
      </c>
    </row>
    <row r="16" spans="2:27" x14ac:dyDescent="0.3">
      <c r="F16" s="6" t="str">
        <f>'Resistencia al corte'!A23</f>
        <v>M7Y</v>
      </c>
      <c r="G16" s="23">
        <f>'Resistencia al corte'!B23</f>
        <v>1.1180000000000001</v>
      </c>
      <c r="H16" s="23">
        <f>'Resistencia al corte'!C23</f>
        <v>0.82750000000000001</v>
      </c>
      <c r="I16" s="6">
        <f>'Resistencia al corte'!D23</f>
        <v>2.25</v>
      </c>
      <c r="J16" s="23">
        <f>'Resistencia al corte'!E23</f>
        <v>3.549206349206349</v>
      </c>
      <c r="K16" s="23">
        <f>'Resistencia al corte'!F23</f>
        <v>0.32896044523951495</v>
      </c>
      <c r="N16" s="6" t="str">
        <f t="shared" si="0"/>
        <v>M7Y</v>
      </c>
      <c r="O16" s="23">
        <f>'Resistencia al corte'!G23</f>
        <v>25.039355992844371</v>
      </c>
      <c r="P16" s="23">
        <f>'Resistencia al corte'!H23</f>
        <v>58.684746455609506</v>
      </c>
      <c r="Q16" s="40">
        <f>'Resistencia al corte'!I23</f>
        <v>2.2965452847805793E-4</v>
      </c>
      <c r="X16" s="31" t="str">
        <f t="shared" si="1"/>
        <v>M7Y</v>
      </c>
      <c r="Y16" s="43">
        <f>'Resistencia al corte'!I23</f>
        <v>2.2965452847805793E-4</v>
      </c>
      <c r="Z16" s="31">
        <f>'Resistencia al corte'!K23</f>
        <v>9</v>
      </c>
      <c r="AA16" s="31">
        <f>'Resistencia al corte'!L23</f>
        <v>3</v>
      </c>
    </row>
    <row r="17" spans="6:27" x14ac:dyDescent="0.3">
      <c r="F17" s="6" t="str">
        <f>'Resistencia al corte'!A24</f>
        <v>M8Y</v>
      </c>
      <c r="G17" s="23">
        <f>'Resistencia al corte'!B24</f>
        <v>1.9681</v>
      </c>
      <c r="H17" s="23">
        <f>'Resistencia al corte'!C24</f>
        <v>1.9935</v>
      </c>
      <c r="I17" s="6">
        <f>'Resistencia al corte'!D24</f>
        <v>3.9</v>
      </c>
      <c r="J17" s="23">
        <f>'Resistencia al corte'!E24</f>
        <v>3.6045787545787542</v>
      </c>
      <c r="K17" s="23">
        <f>'Resistencia al corte'!F24</f>
        <v>0.25971944827694027</v>
      </c>
      <c r="N17" s="6" t="str">
        <f t="shared" si="0"/>
        <v>M8Y</v>
      </c>
      <c r="O17" s="23">
        <f>'Resistencia al corte'!G24</f>
        <v>25.662524965507536</v>
      </c>
      <c r="P17" s="23">
        <f>'Resistencia al corte'!H24</f>
        <v>59.721050806619949</v>
      </c>
      <c r="Q17" s="40">
        <f>'Resistencia al corte'!I24</f>
        <v>2.3323744882568415E-4</v>
      </c>
      <c r="X17" s="31" t="str">
        <f t="shared" si="1"/>
        <v>M8Y</v>
      </c>
      <c r="Y17" s="43">
        <f>'Resistencia al corte'!I24</f>
        <v>2.3323744882568415E-4</v>
      </c>
      <c r="Z17" s="31">
        <f>'Resistencia al corte'!K24</f>
        <v>9</v>
      </c>
      <c r="AA17" s="31">
        <f>'Resistencia al corte'!L24</f>
        <v>3</v>
      </c>
    </row>
    <row r="18" spans="6:27" x14ac:dyDescent="0.3">
      <c r="F18" s="6" t="str">
        <f>'Resistencia al corte'!A25</f>
        <v>M1X</v>
      </c>
      <c r="G18" s="23">
        <f>'Resistencia al corte'!B25</f>
        <v>1.5018</v>
      </c>
      <c r="H18" s="23">
        <f>'Resistencia al corte'!C25</f>
        <v>1.0900000000000001</v>
      </c>
      <c r="I18" s="6">
        <f>'Resistencia al corte'!D25</f>
        <v>3.3</v>
      </c>
      <c r="J18" s="23">
        <f>'Resistencia al corte'!E25</f>
        <v>3.2506493506493506</v>
      </c>
      <c r="K18" s="23">
        <f>'Resistencia al corte'!F25</f>
        <v>0.21993809448863386</v>
      </c>
      <c r="N18" s="6" t="str">
        <f t="shared" si="0"/>
        <v>M1X</v>
      </c>
      <c r="O18" s="23">
        <f>'Resistencia al corte'!G25</f>
        <v>26.020557149602297</v>
      </c>
      <c r="P18" s="23">
        <f>'Resistencia al corte'!H25</f>
        <v>60.316443591651478</v>
      </c>
      <c r="Q18" s="40">
        <f>'Resistencia al corte'!I25</f>
        <v>2.1033613445378154E-4</v>
      </c>
      <c r="X18" s="31" t="str">
        <f t="shared" si="1"/>
        <v>M1X</v>
      </c>
      <c r="Y18" s="43">
        <f>'Resistencia al corte'!I25</f>
        <v>2.1033613445378154E-4</v>
      </c>
      <c r="Z18" s="31">
        <f>'Resistencia al corte'!K25</f>
        <v>10</v>
      </c>
      <c r="AA18" s="31">
        <f>'Resistencia al corte'!L25</f>
        <v>3</v>
      </c>
    </row>
    <row r="19" spans="6:27" x14ac:dyDescent="0.3">
      <c r="F19" s="6" t="str">
        <f>'Resistencia al corte'!A26</f>
        <v>M2X</v>
      </c>
      <c r="G19" s="23">
        <f>'Resistencia al corte'!B26</f>
        <v>0.70109999999999995</v>
      </c>
      <c r="H19" s="23">
        <f>'Resistencia al corte'!C26</f>
        <v>0.59660000000000002</v>
      </c>
      <c r="I19" s="6">
        <f>'Resistencia al corte'!D26</f>
        <v>1.1200000000000001</v>
      </c>
      <c r="J19" s="23">
        <f>'Resistencia al corte'!E26</f>
        <v>4.4713010204081618</v>
      </c>
      <c r="K19" s="23">
        <f>'Resistencia al corte'!F26</f>
        <v>0.75977545489740606</v>
      </c>
      <c r="N19" s="6" t="str">
        <f t="shared" si="0"/>
        <v>M2X</v>
      </c>
      <c r="O19" s="23">
        <f>'Resistencia al corte'!G26</f>
        <v>21.162020905923345</v>
      </c>
      <c r="P19" s="23">
        <f>'Resistencia al corte'!H26</f>
        <v>52.236897802731363</v>
      </c>
      <c r="Q19" s="40">
        <f>'Resistencia al corte'!I26</f>
        <v>2.8931947779111636E-4</v>
      </c>
      <c r="X19" s="31" t="str">
        <f t="shared" si="1"/>
        <v>M2X</v>
      </c>
      <c r="Y19" s="43">
        <f>'Resistencia al corte'!I26</f>
        <v>2.8931947779111636E-4</v>
      </c>
      <c r="Z19" s="31">
        <f>'Resistencia al corte'!K26</f>
        <v>7</v>
      </c>
      <c r="AA19" s="31">
        <f>'Resistencia al corte'!L26</f>
        <v>3</v>
      </c>
    </row>
    <row r="20" spans="6:27" x14ac:dyDescent="0.3">
      <c r="F20" s="6" t="str">
        <f>'Resistencia al corte'!A27</f>
        <v>M3X</v>
      </c>
      <c r="G20" s="23">
        <f>'Resistencia al corte'!B27</f>
        <v>0.73370000000000002</v>
      </c>
      <c r="H20" s="23">
        <f>'Resistencia al corte'!C27</f>
        <v>0.48680000000000001</v>
      </c>
      <c r="I20" s="6">
        <f>'Resistencia al corte'!D27</f>
        <v>0.98</v>
      </c>
      <c r="J20" s="23">
        <f>'Resistencia al corte'!E27</f>
        <v>5.3476676384839648</v>
      </c>
      <c r="K20" s="23">
        <f>'Resistencia al corte'!F27</f>
        <v>0.67702697816212487</v>
      </c>
      <c r="N20" s="6" t="str">
        <f t="shared" si="0"/>
        <v>M3X</v>
      </c>
      <c r="O20" s="23">
        <f>'Resistencia al corte'!G27</f>
        <v>21.906757196540877</v>
      </c>
      <c r="P20" s="23">
        <f>'Resistencia al corte'!H27</f>
        <v>53.475363599614788</v>
      </c>
      <c r="Q20" s="40">
        <f>'Resistencia al corte'!I27</f>
        <v>3.4602555307837425E-4</v>
      </c>
      <c r="X20" s="31" t="str">
        <f t="shared" si="1"/>
        <v>M3X</v>
      </c>
      <c r="Y20" s="43">
        <f>'Resistencia al corte'!I27</f>
        <v>3.4602555307837425E-4</v>
      </c>
      <c r="Z20" s="31">
        <f>'Resistencia al corte'!K27</f>
        <v>6</v>
      </c>
      <c r="AA20" s="31">
        <f>'Resistencia al corte'!L27</f>
        <v>3</v>
      </c>
    </row>
    <row r="21" spans="6:27" x14ac:dyDescent="0.3">
      <c r="F21" s="6" t="str">
        <f>'Resistencia al corte'!A28</f>
        <v>M4X</v>
      </c>
      <c r="G21" s="23">
        <f>'Resistencia al corte'!B28</f>
        <v>1.4286000000000001</v>
      </c>
      <c r="H21" s="23">
        <f>'Resistencia al corte'!C28</f>
        <v>1.3162</v>
      </c>
      <c r="I21" s="6">
        <f>'Resistencia al corte'!D28</f>
        <v>3.3</v>
      </c>
      <c r="J21" s="23">
        <f>'Resistencia al corte'!E28</f>
        <v>3.0922077922077924</v>
      </c>
      <c r="K21" s="23">
        <f>'Resistencia al corte'!F28</f>
        <v>0.27918835562682687</v>
      </c>
      <c r="N21" s="6" t="str">
        <f t="shared" si="0"/>
        <v>M4X</v>
      </c>
      <c r="O21" s="23">
        <f>'Resistencia al corte'!G28</f>
        <v>25.487304799358562</v>
      </c>
      <c r="P21" s="23">
        <f>'Resistencia al corte'!H28</f>
        <v>59.429666882627465</v>
      </c>
      <c r="Q21" s="40">
        <f>'Resistencia al corte'!I28</f>
        <v>2.0008403361344542E-4</v>
      </c>
      <c r="X21" s="31" t="str">
        <f t="shared" si="1"/>
        <v>M4X</v>
      </c>
      <c r="Y21" s="43">
        <f>'Resistencia al corte'!I28</f>
        <v>2.0008403361344542E-4</v>
      </c>
      <c r="Z21" s="31">
        <f>'Resistencia al corte'!K28</f>
        <v>10</v>
      </c>
      <c r="AA21" s="31">
        <f>'Resistencia al corte'!L28</f>
        <v>3</v>
      </c>
    </row>
    <row r="22" spans="6:27" x14ac:dyDescent="0.3">
      <c r="F22" s="6" t="str">
        <f>'Resistencia al corte'!A29</f>
        <v>M5X</v>
      </c>
      <c r="G22" s="23">
        <f>'Resistencia al corte'!B29</f>
        <v>1.7826</v>
      </c>
      <c r="H22" s="23">
        <f>'Resistencia al corte'!C29</f>
        <v>2.2801</v>
      </c>
      <c r="I22" s="6">
        <f>'Resistencia al corte'!D29</f>
        <v>3.82</v>
      </c>
      <c r="J22" s="23">
        <f>'Resistencia al corte'!E29</f>
        <v>3.3332086761406132</v>
      </c>
      <c r="K22" s="23">
        <f>'Resistencia al corte'!F29</f>
        <v>0.33483945739589738</v>
      </c>
      <c r="N22" s="6" t="str">
        <f t="shared" si="0"/>
        <v>M5X</v>
      </c>
      <c r="O22" s="23">
        <f>'Resistencia al corte'!G29</f>
        <v>24.986444883436924</v>
      </c>
      <c r="P22" s="23">
        <f>'Resistencia al corte'!H29</f>
        <v>58.596757458562053</v>
      </c>
      <c r="Q22" s="40">
        <f>'Resistencia al corte'!I29</f>
        <v>2.1567820845615733E-4</v>
      </c>
      <c r="X22" s="31" t="str">
        <f t="shared" si="1"/>
        <v>M5X</v>
      </c>
      <c r="Y22" s="43">
        <f>'Resistencia al corte'!I29</f>
        <v>2.1567820845615733E-4</v>
      </c>
      <c r="Z22" s="31">
        <f>'Resistencia al corte'!K29</f>
        <v>9</v>
      </c>
      <c r="AA22" s="31">
        <f>'Resistencia al corte'!L29</f>
        <v>3</v>
      </c>
    </row>
    <row r="23" spans="6:27" x14ac:dyDescent="0.3">
      <c r="F23" s="6" t="str">
        <f>'Resistencia al corte'!A30</f>
        <v>M6X</v>
      </c>
      <c r="G23" s="23">
        <f>'Resistencia al corte'!B30</f>
        <v>0.66020000000000001</v>
      </c>
      <c r="H23" s="23">
        <f>'Resistencia al corte'!C30</f>
        <v>0.43859999999999999</v>
      </c>
      <c r="I23" s="6">
        <f>'Resistencia al corte'!D30</f>
        <v>0.98</v>
      </c>
      <c r="J23" s="23">
        <f>'Resistencia al corte'!E30</f>
        <v>4.8119533527696783</v>
      </c>
      <c r="K23" s="23">
        <f>'Resistencia al corte'!F30</f>
        <v>0.67790218177546691</v>
      </c>
      <c r="N23" s="6" t="str">
        <f t="shared" si="0"/>
        <v>M6X</v>
      </c>
      <c r="O23" s="23">
        <f>'Resistencia al corte'!G30</f>
        <v>21.898880364020798</v>
      </c>
      <c r="P23" s="23">
        <f>'Resistencia al corte'!H30</f>
        <v>53.462264751355612</v>
      </c>
      <c r="Q23" s="40">
        <f>'Resistencia al corte'!I30</f>
        <v>3.1136168753215574E-4</v>
      </c>
      <c r="X23" s="31" t="str">
        <f t="shared" si="1"/>
        <v>M6X</v>
      </c>
      <c r="Y23" s="43">
        <f>'Resistencia al corte'!I30</f>
        <v>3.1136168753215574E-4</v>
      </c>
      <c r="Z23" s="31">
        <f>'Resistencia al corte'!K30</f>
        <v>7</v>
      </c>
      <c r="AA23" s="31">
        <f>'Resistencia al corte'!L30</f>
        <v>3</v>
      </c>
    </row>
    <row r="24" spans="6:27" x14ac:dyDescent="0.3">
      <c r="F24" s="6" t="str">
        <f>'Resistencia al corte'!A31</f>
        <v>M7X</v>
      </c>
      <c r="G24" s="23">
        <f>'Resistencia al corte'!B31</f>
        <v>1.0139</v>
      </c>
      <c r="H24" s="23">
        <f>'Resistencia al corte'!C31</f>
        <v>0.79559999999999997</v>
      </c>
      <c r="I24" s="6">
        <f>'Resistencia al corte'!D31</f>
        <v>1.64</v>
      </c>
      <c r="J24" s="23">
        <f>'Resistencia al corte'!E31</f>
        <v>4.4159407665505226</v>
      </c>
      <c r="K24" s="23">
        <f>'Resistencia al corte'!F31</f>
        <v>0.47847120151840633</v>
      </c>
      <c r="N24" s="6" t="str">
        <f t="shared" si="0"/>
        <v>M7X</v>
      </c>
      <c r="O24" s="23">
        <f>'Resistencia al corte'!G31</f>
        <v>23.693759186334347</v>
      </c>
      <c r="P24" s="23">
        <f>'Resistencia al corte'!H31</f>
        <v>56.44707435307722</v>
      </c>
      <c r="Q24" s="40">
        <f>'Resistencia al corte'!I31</f>
        <v>2.8573734371797503E-4</v>
      </c>
      <c r="X24" s="31" t="str">
        <f t="shared" si="1"/>
        <v>M7X</v>
      </c>
      <c r="Y24" s="43">
        <f>'Resistencia al corte'!I31</f>
        <v>2.8573734371797503E-4</v>
      </c>
      <c r="Z24" s="31">
        <f>'Resistencia al corte'!K31</f>
        <v>7</v>
      </c>
      <c r="AA24" s="31">
        <f>'Resistencia al corte'!L31</f>
        <v>3</v>
      </c>
    </row>
    <row r="25" spans="6:27" x14ac:dyDescent="0.3">
      <c r="F25" s="6" t="str">
        <f>'Resistencia al corte'!A32</f>
        <v>M8X</v>
      </c>
      <c r="G25" s="23">
        <f>'Resistencia al corte'!B32</f>
        <v>1.8532999999999999</v>
      </c>
      <c r="H25" s="23">
        <f>'Resistencia al corte'!C32</f>
        <v>1.5742</v>
      </c>
      <c r="I25" s="6">
        <f>'Resistencia al corte'!D32</f>
        <v>5.0999999999999996</v>
      </c>
      <c r="J25" s="23">
        <f>'Resistencia al corte'!E32</f>
        <v>2.5956582633053222</v>
      </c>
      <c r="K25" s="23">
        <f>'Resistencia al corte'!F32</f>
        <v>0.16654975808917427</v>
      </c>
      <c r="N25" s="6" t="str">
        <f t="shared" si="0"/>
        <v>M8X</v>
      </c>
      <c r="O25" s="23">
        <f>'Resistencia al corte'!G32</f>
        <v>26.501052177197433</v>
      </c>
      <c r="P25" s="23">
        <f>'Resistencia al corte'!H32</f>
        <v>61.11548704467792</v>
      </c>
      <c r="Q25" s="40">
        <f>'Resistencia al corte'!I32</f>
        <v>1.6795435821387379E-4</v>
      </c>
      <c r="X25" s="31" t="str">
        <f t="shared" si="1"/>
        <v>M8X</v>
      </c>
      <c r="Y25" s="43">
        <f>'Resistencia al corte'!I32</f>
        <v>1.6795435821387379E-4</v>
      </c>
      <c r="Z25" s="31">
        <f>'Resistencia al corte'!K32</f>
        <v>12</v>
      </c>
      <c r="AA25" s="31">
        <f>'Resistencia al corte'!L32</f>
        <v>3</v>
      </c>
    </row>
    <row r="26" spans="6:27" x14ac:dyDescent="0.3">
      <c r="F26" s="6" t="str">
        <f>'Resistencia al corte'!A33</f>
        <v>M9X</v>
      </c>
      <c r="G26" s="23">
        <f>'Resistencia al corte'!B33</f>
        <v>0.12089999999999999</v>
      </c>
      <c r="H26" s="23">
        <f>'Resistencia al corte'!C33</f>
        <v>0.1002</v>
      </c>
      <c r="I26" s="6">
        <f>'Resistencia al corte'!D33</f>
        <v>0.37</v>
      </c>
      <c r="J26" s="23">
        <f>'Resistencia al corte'!E33</f>
        <v>2.3339768339768336</v>
      </c>
      <c r="K26" s="23">
        <f>'Resistencia al corte'!F33</f>
        <v>2.2399570786667562</v>
      </c>
      <c r="N26" s="6" t="str">
        <f t="shared" si="0"/>
        <v>M9X</v>
      </c>
      <c r="O26" s="23">
        <f>'Resistencia al corte'!G33</f>
        <v>19</v>
      </c>
      <c r="P26" s="23">
        <f>'Resistencia al corte'!H33</f>
        <v>48.641546028061242</v>
      </c>
      <c r="Q26" s="40">
        <f>'Resistencia al corte'!I33</f>
        <v>1.5102203043379514E-4</v>
      </c>
      <c r="X26" s="31" t="str">
        <f t="shared" si="1"/>
        <v>M9X</v>
      </c>
      <c r="Y26" s="43">
        <f>'Resistencia al corte'!I33</f>
        <v>1.5102203043379514E-4</v>
      </c>
      <c r="Z26" s="31">
        <f>'Resistencia al corte'!K33</f>
        <v>13</v>
      </c>
      <c r="AA26" s="31">
        <f>'Resistencia al corte'!L33</f>
        <v>3</v>
      </c>
    </row>
    <row r="27" spans="6:27" x14ac:dyDescent="0.3">
      <c r="F27" s="6" t="str">
        <f>'Resistencia al corte'!A34</f>
        <v>M10X</v>
      </c>
      <c r="G27" s="23">
        <f>'Resistencia al corte'!B34</f>
        <v>1.3105</v>
      </c>
      <c r="H27" s="23">
        <f>'Resistencia al corte'!C34</f>
        <v>1.6105</v>
      </c>
      <c r="I27" s="6">
        <f>'Resistencia al corte'!D34</f>
        <v>2.3199999999999998</v>
      </c>
      <c r="J27" s="23">
        <f>'Resistencia al corte'!E34</f>
        <v>4.0347906403940881</v>
      </c>
      <c r="K27" s="23">
        <f>'Resistencia al corte'!F34</f>
        <v>0.5297070083805866</v>
      </c>
      <c r="N27" s="6" t="str">
        <f t="shared" si="0"/>
        <v>M10X</v>
      </c>
      <c r="O27" s="23">
        <f>'Resistencia al corte'!G34</f>
        <v>23.232636924574724</v>
      </c>
      <c r="P27" s="23">
        <f>'Resistencia al corte'!H34</f>
        <v>55.680247012224413</v>
      </c>
      <c r="Q27" s="40">
        <f>'Resistencia al corte'!I34</f>
        <v>2.6107468849608813E-4</v>
      </c>
      <c r="X27" s="31" t="str">
        <f t="shared" si="1"/>
        <v>M10X</v>
      </c>
      <c r="Y27" s="43">
        <f>'Resistencia al corte'!I34</f>
        <v>2.6107468849608813E-4</v>
      </c>
      <c r="Z27" s="31">
        <f>'Resistencia al corte'!K34</f>
        <v>8</v>
      </c>
      <c r="AA27" s="31">
        <f>'Resistencia al corte'!L34</f>
        <v>3</v>
      </c>
    </row>
    <row r="28" spans="6:27" x14ac:dyDescent="0.3">
      <c r="F28" s="6" t="str">
        <f>'Resistencia al corte'!A35</f>
        <v>M11X</v>
      </c>
      <c r="G28" s="23">
        <f>'Resistencia al corte'!B35</f>
        <v>1.5612999999999999</v>
      </c>
      <c r="H28" s="23">
        <f>'Resistencia al corte'!C35</f>
        <v>2.3283</v>
      </c>
      <c r="I28" s="6">
        <f>'Resistencia al corte'!D35</f>
        <v>2.77</v>
      </c>
      <c r="J28" s="23">
        <f>'Resistencia al corte'!E35</f>
        <v>4.0260443527591532</v>
      </c>
      <c r="K28" s="23">
        <f>'Resistencia al corte'!F35</f>
        <v>0.53836003090084383</v>
      </c>
      <c r="N28" s="6" t="str">
        <f t="shared" si="0"/>
        <v>M11X</v>
      </c>
      <c r="O28" s="23">
        <f>'Resistencia al corte'!G35</f>
        <v>23.154759721892407</v>
      </c>
      <c r="P28" s="23">
        <f>'Resistencia al corte'!H35</f>
        <v>55.550740429701051</v>
      </c>
      <c r="Q28" s="40">
        <f>'Resistencia al corte'!I35</f>
        <v>2.6050875223735705E-4</v>
      </c>
      <c r="X28" s="31" t="str">
        <f t="shared" si="1"/>
        <v>M11X</v>
      </c>
      <c r="Y28" s="43">
        <f>'Resistencia al corte'!I35</f>
        <v>2.6050875223735705E-4</v>
      </c>
      <c r="Z28" s="31">
        <f>'Resistencia al corte'!K35</f>
        <v>8</v>
      </c>
      <c r="AA28" s="31">
        <f>'Resistencia al corte'!L35</f>
        <v>3</v>
      </c>
    </row>
    <row r="29" spans="6:27" x14ac:dyDescent="0.3">
      <c r="F29" s="6" t="str">
        <f>'Resistencia al corte'!A36</f>
        <v>M12X</v>
      </c>
      <c r="G29" s="23">
        <f>'Resistencia al corte'!B36</f>
        <v>2.8311000000000002</v>
      </c>
      <c r="H29" s="23">
        <f>'Resistencia al corte'!C36</f>
        <v>3.9679000000000002</v>
      </c>
      <c r="I29" s="6">
        <f>'Resistencia al corte'!D36</f>
        <v>2.3199999999999998</v>
      </c>
      <c r="J29" s="23">
        <f>'Resistencia al corte'!E36</f>
        <v>8.7164408866995089</v>
      </c>
      <c r="K29" s="23">
        <f>'Resistencia al corte'!F36</f>
        <v>0.60411208510399883</v>
      </c>
      <c r="N29" s="6" t="str">
        <f t="shared" si="0"/>
        <v>M12X</v>
      </c>
      <c r="O29" s="23">
        <f>'Resistencia al corte'!G36</f>
        <v>22.562991234064011</v>
      </c>
      <c r="P29" s="23">
        <f>'Resistencia al corte'!H36</f>
        <v>54.566653792481866</v>
      </c>
      <c r="Q29" s="40">
        <f>'Resistencia al corte'!I36</f>
        <v>5.6400499855114477E-4</v>
      </c>
      <c r="X29" s="31" t="str">
        <f t="shared" si="1"/>
        <v>M12X</v>
      </c>
      <c r="Y29" s="43">
        <f>'Resistencia al corte'!I36</f>
        <v>5.6400499855114477E-4</v>
      </c>
      <c r="Z29" s="31">
        <f>'Resistencia al corte'!K36</f>
        <v>4</v>
      </c>
      <c r="AA29" s="31">
        <f>'Resistencia al corte'!L36</f>
        <v>3</v>
      </c>
    </row>
    <row r="30" spans="6:27" x14ac:dyDescent="0.3">
      <c r="F30" s="6" t="str">
        <f>'Resistencia al corte'!A37</f>
        <v>M13X</v>
      </c>
      <c r="G30" s="23">
        <f>'Resistencia al corte'!B37</f>
        <v>1.6698999999999999</v>
      </c>
      <c r="H30" s="23">
        <f>'Resistencia al corte'!C37</f>
        <v>1.1573</v>
      </c>
      <c r="I30" s="6">
        <f>'Resistencia al corte'!D37</f>
        <v>3.3</v>
      </c>
      <c r="J30" s="23">
        <f>'Resistencia al corte'!E37</f>
        <v>3.6145021645021642</v>
      </c>
      <c r="K30" s="23">
        <f>'Resistencia al corte'!F37</f>
        <v>0.21001076094195445</v>
      </c>
      <c r="N30" s="6" t="str">
        <f t="shared" si="0"/>
        <v>M13X</v>
      </c>
      <c r="O30" s="23">
        <f>'Resistencia al corte'!G37</f>
        <v>26.109903151522413</v>
      </c>
      <c r="P30" s="23">
        <f>'Resistencia al corte'!H37</f>
        <v>60.465022315235082</v>
      </c>
      <c r="Q30" s="40">
        <f>'Resistencia al corte'!I37</f>
        <v>2.3387955182072831E-4</v>
      </c>
      <c r="X30" s="31" t="str">
        <f t="shared" si="1"/>
        <v>M13X</v>
      </c>
      <c r="Y30" s="43">
        <f>'Resistencia al corte'!I37</f>
        <v>2.3387955182072831E-4</v>
      </c>
      <c r="Z30" s="31">
        <f>'Resistencia al corte'!K37</f>
        <v>9</v>
      </c>
      <c r="AA30" s="31">
        <f>'Resistencia al corte'!L37</f>
        <v>3</v>
      </c>
    </row>
    <row r="31" spans="6:27" x14ac:dyDescent="0.3">
      <c r="F31" s="6" t="str">
        <f>'Resistencia al corte'!A38</f>
        <v>M14X</v>
      </c>
      <c r="G31" s="23">
        <f>'Resistencia al corte'!B38</f>
        <v>0.75890000000000002</v>
      </c>
      <c r="H31" s="23">
        <f>'Resistencia al corte'!C38</f>
        <v>0.62339999999999995</v>
      </c>
      <c r="I31" s="6">
        <f>'Resistencia al corte'!D38</f>
        <v>1.1200000000000001</v>
      </c>
      <c r="J31" s="23">
        <f>'Resistencia al corte'!E38</f>
        <v>4.8399234693877542</v>
      </c>
      <c r="K31" s="23">
        <f>'Resistencia al corte'!F38</f>
        <v>0.73343937654123437</v>
      </c>
      <c r="N31" s="6" t="str">
        <f t="shared" si="0"/>
        <v>M14X</v>
      </c>
      <c r="O31" s="23">
        <f>'Resistencia al corte'!G38</f>
        <v>21.399045611128891</v>
      </c>
      <c r="P31" s="23">
        <f>'Resistencia al corte'!H38</f>
        <v>52.63106013121147</v>
      </c>
      <c r="Q31" s="40">
        <f>'Resistencia al corte'!I38</f>
        <v>3.1317151860744301E-4</v>
      </c>
      <c r="X31" s="31" t="str">
        <f t="shared" si="1"/>
        <v>M14X</v>
      </c>
      <c r="Y31" s="43">
        <f>'Resistencia al corte'!I38</f>
        <v>3.1317151860744301E-4</v>
      </c>
      <c r="Z31" s="31">
        <f>'Resistencia al corte'!K38</f>
        <v>7</v>
      </c>
      <c r="AA31" s="31">
        <f>'Resistencia al corte'!L38</f>
        <v>3</v>
      </c>
    </row>
    <row r="32" spans="6:27" x14ac:dyDescent="0.3">
      <c r="F32" s="6" t="str">
        <f>'Resistencia al corte'!A39</f>
        <v>M15X</v>
      </c>
      <c r="G32" s="23">
        <f>'Resistencia al corte'!B39</f>
        <v>0.74309999999999998</v>
      </c>
      <c r="H32" s="23">
        <f>'Resistencia al corte'!C39</f>
        <v>0.49059999999999998</v>
      </c>
      <c r="I32" s="6">
        <f>'Resistencia al corte'!D39</f>
        <v>0.98</v>
      </c>
      <c r="J32" s="23">
        <f>'Resistencia al corte'!E39</f>
        <v>5.4161807580174921</v>
      </c>
      <c r="K32" s="23">
        <f>'Resistencia al corte'!F39</f>
        <v>0.67368085708243741</v>
      </c>
      <c r="N32" s="6" t="str">
        <f t="shared" si="0"/>
        <v>M15X</v>
      </c>
      <c r="O32" s="23">
        <f>'Resistencia al corte'!G39</f>
        <v>21.936872286258062</v>
      </c>
      <c r="P32" s="23">
        <f>'Resistencia al corte'!H39</f>
        <v>53.525443754234203</v>
      </c>
      <c r="Q32" s="40">
        <f>'Resistencia al corte'!I39</f>
        <v>3.5045875493054364E-4</v>
      </c>
      <c r="X32" s="31" t="str">
        <f t="shared" si="1"/>
        <v>M15X</v>
      </c>
      <c r="Y32" s="43">
        <f>'Resistencia al corte'!I39</f>
        <v>3.5045875493054364E-4</v>
      </c>
      <c r="Z32" s="31">
        <f>'Resistencia al corte'!K39</f>
        <v>6</v>
      </c>
      <c r="AA32" s="31">
        <f>'Resistencia al corte'!L39</f>
        <v>3</v>
      </c>
    </row>
    <row r="33" spans="6:27" x14ac:dyDescent="0.3">
      <c r="F33" s="6" t="str">
        <f>'Resistencia al corte'!A40</f>
        <v>M16X</v>
      </c>
      <c r="G33" s="23">
        <f>'Resistencia al corte'!B40</f>
        <v>1.3017000000000001</v>
      </c>
      <c r="H33" s="23">
        <f>'Resistencia al corte'!C40</f>
        <v>1.2627999999999999</v>
      </c>
      <c r="I33" s="6">
        <f>'Resistencia al corte'!D40</f>
        <v>3.3</v>
      </c>
      <c r="J33" s="23">
        <f>'Resistencia al corte'!E40</f>
        <v>2.8175324675324678</v>
      </c>
      <c r="K33" s="23">
        <f>'Resistencia al corte'!F40</f>
        <v>0.29397454610637369</v>
      </c>
      <c r="N33" s="6" t="str">
        <f t="shared" si="0"/>
        <v>M16X</v>
      </c>
      <c r="O33" s="23">
        <f>'Resistencia al corte'!G40</f>
        <v>25.35422908504264</v>
      </c>
      <c r="P33" s="23">
        <f>'Resistencia al corte'!H40</f>
        <v>59.208367447307289</v>
      </c>
      <c r="Q33" s="40">
        <f>'Resistencia al corte'!I40</f>
        <v>1.8231092436974794E-4</v>
      </c>
      <c r="X33" s="31" t="str">
        <f t="shared" si="1"/>
        <v>M16X</v>
      </c>
      <c r="Y33" s="43">
        <f>'Resistencia al corte'!I40</f>
        <v>1.8231092436974794E-4</v>
      </c>
      <c r="Z33" s="31">
        <f>'Resistencia al corte'!K40</f>
        <v>11</v>
      </c>
      <c r="AA33" s="31">
        <f>'Resistencia al corte'!L40</f>
        <v>3</v>
      </c>
    </row>
    <row r="34" spans="6:27" x14ac:dyDescent="0.3">
      <c r="F34" s="6" t="str">
        <f>'Resistencia al corte'!A41</f>
        <v>M17X</v>
      </c>
      <c r="G34" s="23">
        <f>'Resistencia al corte'!B41</f>
        <v>0.6694</v>
      </c>
      <c r="H34" s="23">
        <f>'Resistencia al corte'!C41</f>
        <v>0.44350000000000001</v>
      </c>
      <c r="I34" s="6">
        <f>'Resistencia al corte'!D41</f>
        <v>0.97</v>
      </c>
      <c r="J34" s="23">
        <f>'Resistencia al corte'!E41</f>
        <v>4.9293078055964648</v>
      </c>
      <c r="K34" s="23">
        <f>'Resistencia al corte'!F41</f>
        <v>0.68302434246393917</v>
      </c>
      <c r="N34" s="6" t="str">
        <f t="shared" si="0"/>
        <v>M17X</v>
      </c>
      <c r="O34" s="23">
        <f>'Resistencia al corte'!G41</f>
        <v>21.85278091782455</v>
      </c>
      <c r="P34" s="23">
        <f>'Resistencia al corte'!H41</f>
        <v>53.385603269850556</v>
      </c>
      <c r="Q34" s="40">
        <f>'Resistencia al corte'!I41</f>
        <v>3.1895521095035961E-4</v>
      </c>
      <c r="X34" s="31" t="str">
        <f t="shared" si="1"/>
        <v>M17X</v>
      </c>
      <c r="Y34" s="43">
        <f>'Resistencia al corte'!I41</f>
        <v>3.1895521095035961E-4</v>
      </c>
      <c r="Z34" s="31">
        <f>'Resistencia al corte'!K41</f>
        <v>6</v>
      </c>
      <c r="AA34" s="31">
        <f>'Resistencia al corte'!L41</f>
        <v>3</v>
      </c>
    </row>
    <row r="35" spans="6:27" x14ac:dyDescent="0.3">
      <c r="F35" s="6" t="str">
        <f>'Resistencia al corte'!A42</f>
        <v>M18X</v>
      </c>
      <c r="G35" s="23">
        <f>'Resistencia al corte'!B42</f>
        <v>1.4365000000000001</v>
      </c>
      <c r="H35" s="23">
        <f>'Resistencia al corte'!C42</f>
        <v>2.4363999999999999</v>
      </c>
      <c r="I35" s="6">
        <f>'Resistencia al corte'!D42</f>
        <v>3.22</v>
      </c>
      <c r="J35" s="23">
        <f>'Resistencia al corte'!E42</f>
        <v>3.1865572315882873</v>
      </c>
      <c r="K35" s="23">
        <f>'Resistencia al corte'!F42</f>
        <v>0.52672882891257855</v>
      </c>
      <c r="N35" s="6" t="str">
        <f t="shared" si="0"/>
        <v>M18X</v>
      </c>
      <c r="O35" s="23">
        <f>'Resistencia al corte'!G42</f>
        <v>23.259440539786794</v>
      </c>
      <c r="P35" s="23">
        <f>'Resistencia al corte'!H42</f>
        <v>55.724820321046863</v>
      </c>
      <c r="Q35" s="40">
        <f>'Resistencia al corte'!I42</f>
        <v>2.0618899733806567E-4</v>
      </c>
      <c r="X35" s="31" t="str">
        <f t="shared" si="1"/>
        <v>M18X</v>
      </c>
      <c r="Y35" s="43">
        <f>'Resistencia al corte'!I42</f>
        <v>2.0618899733806567E-4</v>
      </c>
      <c r="Z35" s="31">
        <f>'Resistencia al corte'!K42</f>
        <v>10</v>
      </c>
      <c r="AA35" s="31">
        <f>'Resistencia al corte'!L42</f>
        <v>3</v>
      </c>
    </row>
    <row r="36" spans="6:27" x14ac:dyDescent="0.3">
      <c r="F36" s="6" t="str">
        <f>'Resistencia al corte'!A43</f>
        <v>M19X</v>
      </c>
      <c r="G36" s="23">
        <f>'Resistencia al corte'!B43</f>
        <v>1.1612</v>
      </c>
      <c r="H36" s="23">
        <f>'Resistencia al corte'!C43</f>
        <v>0.77729999999999999</v>
      </c>
      <c r="I36" s="6">
        <f>'Resistencia al corte'!D43</f>
        <v>1.64</v>
      </c>
      <c r="J36" s="23">
        <f>'Resistencia al corte'!E43</f>
        <v>5.0574912891986061</v>
      </c>
      <c r="K36" s="23">
        <f>'Resistencia al corte'!F43</f>
        <v>0.40816690891676399</v>
      </c>
      <c r="N36" s="6" t="str">
        <f t="shared" si="0"/>
        <v>M19X</v>
      </c>
      <c r="O36" s="23">
        <f>'Resistencia al corte'!G43</f>
        <v>24.326497819749125</v>
      </c>
      <c r="P36" s="23">
        <f>'Resistencia al corte'!H43</f>
        <v>57.499292656016621</v>
      </c>
      <c r="Q36" s="40">
        <f>'Resistencia al corte'!I43</f>
        <v>3.2724943635990985E-4</v>
      </c>
      <c r="X36" s="31" t="str">
        <f t="shared" si="1"/>
        <v>M19X</v>
      </c>
      <c r="Y36" s="43">
        <f>'Resistencia al corte'!I43</f>
        <v>3.2724943635990985E-4</v>
      </c>
      <c r="Z36" s="31">
        <f>'Resistencia al corte'!K43</f>
        <v>6</v>
      </c>
      <c r="AA36" s="31">
        <f>'Resistencia al corte'!L43</f>
        <v>3</v>
      </c>
    </row>
    <row r="37" spans="6:27" x14ac:dyDescent="0.3">
      <c r="F37" s="6" t="str">
        <f>'Resistencia al corte'!A44</f>
        <v>M20X</v>
      </c>
      <c r="G37" s="23">
        <f>'Resistencia al corte'!B44</f>
        <v>0.2402</v>
      </c>
      <c r="H37" s="23">
        <f>'Resistencia al corte'!C44</f>
        <v>0.15939999999999999</v>
      </c>
      <c r="I37" s="6">
        <f>'Resistencia al corte'!D44</f>
        <v>0.37</v>
      </c>
      <c r="J37" s="23">
        <f>'Resistencia al corte'!E44</f>
        <v>4.6370656370656365</v>
      </c>
      <c r="K37" s="23">
        <f>'Resistencia al corte'!F44</f>
        <v>1.7935504196952989</v>
      </c>
      <c r="N37" s="6" t="str">
        <f t="shared" si="0"/>
        <v>M20X</v>
      </c>
      <c r="O37" s="23">
        <f>'Resistencia al corte'!G44</f>
        <v>19</v>
      </c>
      <c r="P37" s="23">
        <f>'Resistencia al corte'!H44</f>
        <v>48.641546028061242</v>
      </c>
      <c r="Q37" s="40">
        <f>'Resistencia al corte'!I44</f>
        <v>3.0004542357483534E-4</v>
      </c>
      <c r="X37" s="31" t="str">
        <f t="shared" si="1"/>
        <v>M20X</v>
      </c>
      <c r="Y37" s="43">
        <f>'Resistencia al corte'!I44</f>
        <v>3.0004542357483534E-4</v>
      </c>
      <c r="Z37" s="31">
        <f>'Resistencia al corte'!K44</f>
        <v>7</v>
      </c>
      <c r="AA37" s="31">
        <f>'Resistencia al corte'!L44</f>
        <v>3</v>
      </c>
    </row>
    <row r="38" spans="6:27" ht="15" thickBot="1" x14ac:dyDescent="0.35">
      <c r="F38" s="32" t="str">
        <f>'Resistencia al corte'!A45</f>
        <v>M21X</v>
      </c>
      <c r="G38" s="30">
        <f>'Resistencia al corte'!B45</f>
        <v>1.9382999999999999</v>
      </c>
      <c r="H38" s="30">
        <f>'Resistencia al corte'!C45</f>
        <v>2.0171999999999999</v>
      </c>
      <c r="I38" s="32">
        <f>'Resistencia al corte'!D45</f>
        <v>5.0999999999999996</v>
      </c>
      <c r="J38" s="30">
        <f>'Resistencia al corte'!E45</f>
        <v>2.7147058823529409</v>
      </c>
      <c r="K38" s="30">
        <f>'Resistencia al corte'!F45</f>
        <v>0.20405995550983122</v>
      </c>
      <c r="N38" s="32" t="str">
        <f t="shared" si="0"/>
        <v>M21X</v>
      </c>
      <c r="O38" s="30">
        <f>'Resistencia al corte'!G45</f>
        <v>26.16346040041152</v>
      </c>
      <c r="P38" s="30">
        <f>'Resistencia al corte'!H45</f>
        <v>60.55408581564452</v>
      </c>
      <c r="Q38" s="41">
        <f>'Resistencia al corte'!I45</f>
        <v>1.7565743944636679E-4</v>
      </c>
      <c r="X38" s="32" t="str">
        <f t="shared" si="1"/>
        <v>M21X</v>
      </c>
      <c r="Y38" s="41">
        <f>'Resistencia al corte'!I45</f>
        <v>1.7565743944636679E-4</v>
      </c>
      <c r="Z38" s="32">
        <f>'Resistencia al corte'!K45</f>
        <v>11</v>
      </c>
      <c r="AA38" s="32">
        <f>'Resistencia al corte'!L45</f>
        <v>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5F50-745A-40AF-AD65-075F51DE0E61}">
  <dimension ref="B2:C18"/>
  <sheetViews>
    <sheetView workbookViewId="0">
      <selection activeCell="B17" sqref="B17"/>
    </sheetView>
  </sheetViews>
  <sheetFormatPr baseColWidth="10" defaultColWidth="11.5546875" defaultRowHeight="14.4" x14ac:dyDescent="0.3"/>
  <cols>
    <col min="1" max="1" width="7.44140625" style="6" customWidth="1"/>
    <col min="2" max="2" width="28.6640625" style="6" bestFit="1" customWidth="1"/>
    <col min="3" max="16384" width="11.5546875" style="6"/>
  </cols>
  <sheetData>
    <row r="2" spans="2:3" x14ac:dyDescent="0.3">
      <c r="B2" s="44" t="s">
        <v>6</v>
      </c>
      <c r="C2" s="44"/>
    </row>
    <row r="3" spans="2:3" x14ac:dyDescent="0.3">
      <c r="B3" s="42" t="s">
        <v>81</v>
      </c>
      <c r="C3" s="7">
        <v>1.8</v>
      </c>
    </row>
    <row r="4" spans="2:3" x14ac:dyDescent="0.3">
      <c r="B4" s="42" t="s">
        <v>82</v>
      </c>
      <c r="C4" s="7">
        <v>0.14000000000000001</v>
      </c>
    </row>
    <row r="5" spans="2:3" x14ac:dyDescent="0.3">
      <c r="B5" s="42" t="s">
        <v>83</v>
      </c>
      <c r="C5" s="7">
        <v>1.04</v>
      </c>
    </row>
    <row r="6" spans="2:3" x14ac:dyDescent="0.3">
      <c r="B6" s="42" t="s">
        <v>84</v>
      </c>
      <c r="C6" s="7">
        <v>10</v>
      </c>
    </row>
    <row r="8" spans="2:3" x14ac:dyDescent="0.3">
      <c r="B8" s="45" t="s">
        <v>7</v>
      </c>
      <c r="C8" s="45"/>
    </row>
    <row r="9" spans="2:3" x14ac:dyDescent="0.3">
      <c r="B9" s="42" t="s">
        <v>77</v>
      </c>
      <c r="C9" s="7">
        <v>2.5</v>
      </c>
    </row>
    <row r="10" spans="2:3" x14ac:dyDescent="0.3">
      <c r="B10" s="42" t="s">
        <v>78</v>
      </c>
      <c r="C10" s="7">
        <v>0.14000000000000001</v>
      </c>
    </row>
    <row r="11" spans="2:3" x14ac:dyDescent="0.3">
      <c r="B11" s="42" t="s">
        <v>79</v>
      </c>
      <c r="C11" s="7">
        <v>0.12</v>
      </c>
    </row>
    <row r="12" spans="2:3" x14ac:dyDescent="0.3">
      <c r="B12" s="42" t="s">
        <v>80</v>
      </c>
      <c r="C12" s="7">
        <v>10.49</v>
      </c>
    </row>
    <row r="15" spans="2:3" x14ac:dyDescent="0.3">
      <c r="B15" s="49" t="s">
        <v>97</v>
      </c>
      <c r="C15" s="25">
        <f>C3*C4*C5*1000</f>
        <v>262.0800000000001</v>
      </c>
    </row>
    <row r="16" spans="2:3" x14ac:dyDescent="0.3">
      <c r="B16" s="49" t="s">
        <v>98</v>
      </c>
      <c r="C16" s="25">
        <f>C9*C10*C11*1000</f>
        <v>42</v>
      </c>
    </row>
    <row r="17" spans="2:3" x14ac:dyDescent="0.3">
      <c r="B17" s="49" t="s">
        <v>99</v>
      </c>
      <c r="C17" s="50">
        <f>C15+C16+'Solicitacion cercha madera'!C27*'Solicitacion cercha madera'!C10/'Solicitación timpano'!C6</f>
        <v>307.01562500000011</v>
      </c>
    </row>
    <row r="18" spans="2:3" x14ac:dyDescent="0.3">
      <c r="B18" s="7" t="s">
        <v>17</v>
      </c>
      <c r="C18" s="7">
        <f>'Solicitacion cercha madera'!F22/2*5/C6</f>
        <v>70</v>
      </c>
    </row>
  </sheetData>
  <mergeCells count="2">
    <mergeCell ref="B2:C2"/>
    <mergeCell ref="B8:C8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4323-B58A-4472-B8A9-BF42EC749805}">
  <dimension ref="B1:O33"/>
  <sheetViews>
    <sheetView tabSelected="1" topLeftCell="A13" zoomScaleNormal="100" workbookViewId="0">
      <selection activeCell="B32" sqref="B32:C33"/>
    </sheetView>
  </sheetViews>
  <sheetFormatPr baseColWidth="10" defaultColWidth="11.5546875" defaultRowHeight="14.4" x14ac:dyDescent="0.3"/>
  <cols>
    <col min="1" max="1" width="8.44140625" style="6" customWidth="1"/>
    <col min="2" max="2" width="32.109375" style="6" bestFit="1" customWidth="1"/>
    <col min="3" max="4" width="11.5546875" style="6"/>
    <col min="5" max="5" width="19.88671875" style="6" bestFit="1" customWidth="1"/>
    <col min="6" max="7" width="9" style="6" bestFit="1" customWidth="1"/>
    <col min="8" max="16384" width="11.5546875" style="6"/>
  </cols>
  <sheetData>
    <row r="1" spans="2:15" ht="15" thickBot="1" x14ac:dyDescent="0.35"/>
    <row r="2" spans="2:15" x14ac:dyDescent="0.3">
      <c r="B2" s="48" t="s">
        <v>8</v>
      </c>
      <c r="C2" s="48"/>
      <c r="E2" s="10"/>
      <c r="F2" s="11"/>
      <c r="G2" s="11"/>
      <c r="H2" s="11"/>
      <c r="I2" s="11"/>
      <c r="J2" s="11"/>
      <c r="K2" s="11"/>
      <c r="L2" s="11"/>
      <c r="M2" s="11"/>
      <c r="N2" s="11"/>
      <c r="O2" s="12"/>
    </row>
    <row r="3" spans="2:15" x14ac:dyDescent="0.3">
      <c r="B3" s="46" t="s">
        <v>85</v>
      </c>
      <c r="C3" s="7">
        <v>550</v>
      </c>
      <c r="E3" s="13"/>
      <c r="F3" s="14"/>
      <c r="G3" s="14"/>
      <c r="H3" s="14"/>
      <c r="I3" s="14"/>
      <c r="J3" s="14"/>
      <c r="K3" s="14"/>
      <c r="L3" s="14"/>
      <c r="M3" s="14"/>
      <c r="N3" s="14"/>
      <c r="O3" s="15"/>
    </row>
    <row r="4" spans="2:15" x14ac:dyDescent="0.3">
      <c r="B4" s="46" t="s">
        <v>86</v>
      </c>
      <c r="C4" s="7">
        <v>100</v>
      </c>
      <c r="E4" s="13"/>
      <c r="F4" s="14"/>
      <c r="G4" s="14"/>
      <c r="H4" s="14"/>
      <c r="I4" s="14"/>
      <c r="J4" s="14"/>
      <c r="K4" s="14"/>
      <c r="L4" s="14"/>
      <c r="M4" s="14"/>
      <c r="N4" s="14"/>
      <c r="O4" s="15"/>
    </row>
    <row r="5" spans="2:15" x14ac:dyDescent="0.3">
      <c r="B5" s="46" t="s">
        <v>87</v>
      </c>
      <c r="C5" s="7">
        <v>50</v>
      </c>
      <c r="E5" s="13"/>
      <c r="F5" s="14"/>
      <c r="G5" s="14"/>
      <c r="H5" s="14"/>
      <c r="I5" s="14"/>
      <c r="J5" s="14"/>
      <c r="K5" s="14"/>
      <c r="L5" s="14"/>
      <c r="M5" s="14"/>
      <c r="N5" s="14"/>
      <c r="O5" s="15"/>
    </row>
    <row r="6" spans="2:15" x14ac:dyDescent="0.3">
      <c r="B6" s="46" t="s">
        <v>96</v>
      </c>
      <c r="C6" s="7">
        <v>0.157</v>
      </c>
      <c r="E6" s="13"/>
      <c r="F6" s="14"/>
      <c r="G6" s="14"/>
      <c r="H6" s="14"/>
      <c r="I6" s="14"/>
      <c r="J6" s="14"/>
      <c r="K6" s="14"/>
      <c r="L6" s="14"/>
      <c r="M6" s="14"/>
      <c r="N6" s="14"/>
      <c r="O6" s="15"/>
    </row>
    <row r="7" spans="2:15" x14ac:dyDescent="0.3">
      <c r="B7" s="19"/>
      <c r="E7" s="13"/>
      <c r="F7" s="14"/>
      <c r="G7" s="14"/>
      <c r="H7" s="14"/>
      <c r="I7" s="14"/>
      <c r="J7" s="14"/>
      <c r="K7" s="14"/>
      <c r="L7" s="14"/>
      <c r="M7" s="14"/>
      <c r="N7" s="14"/>
      <c r="O7" s="15"/>
    </row>
    <row r="8" spans="2:15" x14ac:dyDescent="0.3">
      <c r="E8" s="13"/>
      <c r="F8" s="14"/>
      <c r="G8" s="14"/>
      <c r="H8" s="14"/>
      <c r="I8" s="14"/>
      <c r="J8" s="14"/>
      <c r="K8" s="14"/>
      <c r="L8" s="14"/>
      <c r="M8" s="14"/>
      <c r="N8" s="14"/>
      <c r="O8" s="15"/>
    </row>
    <row r="9" spans="2:15" x14ac:dyDescent="0.3">
      <c r="E9" s="13"/>
      <c r="F9" s="14"/>
      <c r="G9" s="14"/>
      <c r="H9" s="14"/>
      <c r="I9" s="14"/>
      <c r="J9" s="14"/>
      <c r="K9" s="14"/>
      <c r="L9" s="14"/>
      <c r="M9" s="14"/>
      <c r="N9" s="14"/>
      <c r="O9" s="15"/>
    </row>
    <row r="10" spans="2:15" x14ac:dyDescent="0.3">
      <c r="B10" s="42" t="s">
        <v>9</v>
      </c>
      <c r="C10" s="7">
        <v>5</v>
      </c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5"/>
    </row>
    <row r="11" spans="2:15" x14ac:dyDescent="0.3">
      <c r="B11" s="42" t="s">
        <v>10</v>
      </c>
      <c r="C11" s="7">
        <v>8.5399999999999991</v>
      </c>
      <c r="E11" s="13"/>
      <c r="F11" s="14"/>
      <c r="G11" s="14"/>
      <c r="H11" s="14"/>
      <c r="I11" s="14"/>
      <c r="J11" s="14"/>
      <c r="K11" s="14"/>
      <c r="L11" s="14"/>
      <c r="M11" s="14"/>
      <c r="N11" s="14"/>
      <c r="O11" s="15"/>
    </row>
    <row r="12" spans="2:15" ht="15" thickBot="1" x14ac:dyDescent="0.35">
      <c r="B12" s="42" t="s">
        <v>11</v>
      </c>
      <c r="C12" s="7">
        <f>C11*C5/1000*C4/1000</f>
        <v>4.2699999999999995E-2</v>
      </c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8"/>
    </row>
    <row r="14" spans="2:15" x14ac:dyDescent="0.3">
      <c r="B14" s="47" t="s">
        <v>12</v>
      </c>
      <c r="C14" s="21">
        <v>4</v>
      </c>
    </row>
    <row r="15" spans="2:15" x14ac:dyDescent="0.3">
      <c r="B15" s="42" t="s">
        <v>88</v>
      </c>
      <c r="C15" s="7">
        <f>C11/10</f>
        <v>0.85399999999999987</v>
      </c>
    </row>
    <row r="16" spans="2:15" x14ac:dyDescent="0.3">
      <c r="B16" s="42" t="s">
        <v>89</v>
      </c>
      <c r="C16" s="7">
        <f>C15*C5/1000*C4/1000</f>
        <v>4.2699999999999995E-3</v>
      </c>
    </row>
    <row r="18" spans="2:8" x14ac:dyDescent="0.3">
      <c r="H18" s="6">
        <v>49.59</v>
      </c>
    </row>
    <row r="19" spans="2:8" x14ac:dyDescent="0.3">
      <c r="B19" s="48" t="s">
        <v>13</v>
      </c>
      <c r="C19" s="48"/>
      <c r="E19" s="6" t="s">
        <v>16</v>
      </c>
      <c r="F19" s="23">
        <f>8.4/5*10/6</f>
        <v>2.8000000000000003</v>
      </c>
      <c r="H19" s="6">
        <f>10*8.4</f>
        <v>84</v>
      </c>
    </row>
    <row r="20" spans="2:8" x14ac:dyDescent="0.3">
      <c r="B20" s="42" t="s">
        <v>90</v>
      </c>
      <c r="C20" s="7">
        <f>C3*C6/2</f>
        <v>43.174999999999997</v>
      </c>
      <c r="H20" s="6">
        <f>H18/H19</f>
        <v>0.59035714285714291</v>
      </c>
    </row>
    <row r="21" spans="2:8" x14ac:dyDescent="0.3">
      <c r="B21" s="42" t="s">
        <v>91</v>
      </c>
      <c r="C21" s="22">
        <f>$C$16*$C$3*2*5/2</f>
        <v>11.742499999999998</v>
      </c>
    </row>
    <row r="22" spans="2:8" x14ac:dyDescent="0.3">
      <c r="B22" s="42" t="s">
        <v>92</v>
      </c>
      <c r="C22" s="22">
        <f>C16*C3*5/2</f>
        <v>5.871249999999999</v>
      </c>
      <c r="E22" s="6" t="s">
        <v>15</v>
      </c>
      <c r="F22" s="22">
        <f>F19*100</f>
        <v>280</v>
      </c>
    </row>
    <row r="25" spans="2:8" x14ac:dyDescent="0.3">
      <c r="B25" s="48" t="s">
        <v>14</v>
      </c>
      <c r="C25" s="48"/>
    </row>
    <row r="26" spans="2:8" x14ac:dyDescent="0.3">
      <c r="B26" s="42" t="s">
        <v>93</v>
      </c>
      <c r="C26" s="22">
        <f>C20+C21</f>
        <v>54.917499999999997</v>
      </c>
    </row>
    <row r="27" spans="2:8" x14ac:dyDescent="0.3">
      <c r="B27" s="42" t="s">
        <v>94</v>
      </c>
      <c r="C27" s="22">
        <f>C22</f>
        <v>5.871249999999999</v>
      </c>
    </row>
    <row r="28" spans="2:8" x14ac:dyDescent="0.3">
      <c r="B28" s="42" t="s">
        <v>95</v>
      </c>
      <c r="C28" s="22">
        <f>+F22*6/2</f>
        <v>840</v>
      </c>
    </row>
    <row r="32" spans="2:8" x14ac:dyDescent="0.3">
      <c r="B32" s="42" t="s">
        <v>100</v>
      </c>
      <c r="C32" s="9">
        <f>C26/1000</f>
        <v>5.4917499999999994E-2</v>
      </c>
    </row>
    <row r="33" spans="2:3" x14ac:dyDescent="0.3">
      <c r="B33" s="49" t="s">
        <v>101</v>
      </c>
      <c r="C33" s="22">
        <f>'Solicitación timpano'!C17/1000+0.001</f>
        <v>0.30801562500000013</v>
      </c>
    </row>
  </sheetData>
  <mergeCells count="3">
    <mergeCell ref="B2:C2"/>
    <mergeCell ref="B19:C19"/>
    <mergeCell ref="B25:C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1632-0BEC-43CE-AA79-0E3620F1F440}">
  <dimension ref="A1"/>
  <sheetViews>
    <sheetView workbookViewId="0">
      <selection activeCell="I22" sqref="I22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Resultados por pier</vt:lpstr>
      <vt:lpstr>Resistencia al corte</vt:lpstr>
      <vt:lpstr>Tablas Informe </vt:lpstr>
      <vt:lpstr>Solicitación timpano</vt:lpstr>
      <vt:lpstr>Solicitacion cercha madera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andres Yañez grandon</dc:creator>
  <cp:lastModifiedBy>ignacio andres Yañez grandon</cp:lastModifiedBy>
  <dcterms:created xsi:type="dcterms:W3CDTF">2018-12-17T20:20:05Z</dcterms:created>
  <dcterms:modified xsi:type="dcterms:W3CDTF">2018-12-25T19:17:22Z</dcterms:modified>
</cp:coreProperties>
</file>