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Google Drive (ignacio.yanez.g@ug.uchile.cl)\Universidad\Semestre 12 Primavera 2018\proyecto albañilería\proyecto-CI5223\Tarea 03\"/>
    </mc:Choice>
  </mc:AlternateContent>
  <xr:revisionPtr revIDLastSave="0" documentId="13_ncr:1_{2EC56FA5-AB6F-4F6F-BD51-E089C1158011}" xr6:coauthVersionLast="40" xr6:coauthVersionMax="40" xr10:uidLastSave="{00000000-0000-0000-0000-000000000000}"/>
  <bookViews>
    <workbookView xWindow="0" yWindow="0" windowWidth="11976" windowHeight="4596" activeTab="1" xr2:uid="{3C432B30-B9EB-47E7-B497-33C5C308436F}"/>
  </bookViews>
  <sheets>
    <sheet name="Resultados por pier" sheetId="5" r:id="rId1"/>
    <sheet name="Resistencia al corte" sheetId="1" r:id="rId2"/>
    <sheet name="Tablas Informe " sheetId="6" r:id="rId3"/>
    <sheet name="Solicitación timpano" sheetId="2" r:id="rId4"/>
    <sheet name="Solicitacion cercha madera" sheetId="3" r:id="rId5"/>
    <sheet name="Sheet1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17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B17" i="1"/>
  <c r="E17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0" i="1"/>
  <c r="C5" i="6" s="1"/>
  <c r="D4" i="6"/>
  <c r="D5" i="6"/>
  <c r="C4" i="6"/>
  <c r="B4" i="1"/>
  <c r="D5" i="1" l="1"/>
  <c r="E31" i="1" l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A43" i="1"/>
  <c r="A44" i="1"/>
  <c r="A45" i="1"/>
  <c r="A37" i="1"/>
  <c r="A38" i="1"/>
  <c r="A39" i="1"/>
  <c r="A40" i="1"/>
  <c r="A41" i="1"/>
  <c r="A4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7" i="1"/>
  <c r="F19" i="3" l="1"/>
  <c r="H19" i="3" l="1"/>
  <c r="H20" i="3" s="1"/>
  <c r="F22" i="3"/>
  <c r="C15" i="2"/>
  <c r="C16" i="2"/>
  <c r="C15" i="3"/>
  <c r="C16" i="3" s="1"/>
  <c r="C20" i="3"/>
  <c r="C18" i="2" l="1"/>
  <c r="C28" i="3"/>
  <c r="C12" i="3"/>
  <c r="E18" i="1"/>
  <c r="F18" i="1"/>
  <c r="E19" i="1"/>
  <c r="F19" i="1"/>
  <c r="H19" i="1" s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B12" i="1"/>
  <c r="F17" i="1"/>
  <c r="B9" i="1"/>
  <c r="B13" i="1"/>
  <c r="G17" i="1" l="1"/>
  <c r="H17" i="1"/>
  <c r="G23" i="1"/>
  <c r="G26" i="1"/>
  <c r="H27" i="1"/>
  <c r="H30" i="1"/>
  <c r="H22" i="1"/>
  <c r="H20" i="1"/>
  <c r="I20" i="1" s="1"/>
  <c r="J20" i="1" s="1"/>
  <c r="L20" i="1" s="1"/>
  <c r="H45" i="1"/>
  <c r="H43" i="1"/>
  <c r="H31" i="1"/>
  <c r="H40" i="1"/>
  <c r="H38" i="1"/>
  <c r="H34" i="1"/>
  <c r="H36" i="1"/>
  <c r="H35" i="1"/>
  <c r="H32" i="1"/>
  <c r="H42" i="1"/>
  <c r="H41" i="1"/>
  <c r="H37" i="1"/>
  <c r="H33" i="1"/>
  <c r="H39" i="1"/>
  <c r="H44" i="1"/>
  <c r="I44" i="1" s="1"/>
  <c r="J44" i="1" s="1"/>
  <c r="L44" i="1" s="1"/>
  <c r="H29" i="1"/>
  <c r="G25" i="1"/>
  <c r="G21" i="1"/>
  <c r="G37" i="1"/>
  <c r="G33" i="1"/>
  <c r="G35" i="1"/>
  <c r="G40" i="1"/>
  <c r="G31" i="1"/>
  <c r="G36" i="1"/>
  <c r="G34" i="1"/>
  <c r="G41" i="1"/>
  <c r="G44" i="1"/>
  <c r="G32" i="1"/>
  <c r="G42" i="1"/>
  <c r="G38" i="1"/>
  <c r="G39" i="1"/>
  <c r="G43" i="1"/>
  <c r="G45" i="1"/>
  <c r="G28" i="1"/>
  <c r="G24" i="1"/>
  <c r="G20" i="1"/>
  <c r="G22" i="1"/>
  <c r="G27" i="1"/>
  <c r="H23" i="1"/>
  <c r="I23" i="1" s="1"/>
  <c r="J23" i="1" s="1"/>
  <c r="L23" i="1" s="1"/>
  <c r="G19" i="1"/>
  <c r="I19" i="1" s="1"/>
  <c r="J19" i="1" s="1"/>
  <c r="L19" i="1" s="1"/>
  <c r="H28" i="1"/>
  <c r="G30" i="1"/>
  <c r="H26" i="1"/>
  <c r="I26" i="1" s="1"/>
  <c r="J26" i="1" s="1"/>
  <c r="L26" i="1" s="1"/>
  <c r="I30" i="1"/>
  <c r="J30" i="1" s="1"/>
  <c r="L30" i="1" s="1"/>
  <c r="G18" i="1"/>
  <c r="I27" i="1"/>
  <c r="J27" i="1" s="1"/>
  <c r="L27" i="1" s="1"/>
  <c r="G29" i="1"/>
  <c r="H21" i="1"/>
  <c r="C22" i="3"/>
  <c r="C27" i="3" s="1"/>
  <c r="C17" i="2" s="1"/>
  <c r="C21" i="3"/>
  <c r="C26" i="3" s="1"/>
  <c r="H24" i="1"/>
  <c r="I24" i="1" s="1"/>
  <c r="J24" i="1" s="1"/>
  <c r="L24" i="1" s="1"/>
  <c r="H25" i="1"/>
  <c r="H18" i="1"/>
  <c r="I18" i="1" s="1"/>
  <c r="J18" i="1" s="1"/>
  <c r="L18" i="1" s="1"/>
  <c r="I36" i="1" l="1"/>
  <c r="J36" i="1" s="1"/>
  <c r="L36" i="1" s="1"/>
  <c r="I35" i="1"/>
  <c r="J35" i="1" s="1"/>
  <c r="L35" i="1" s="1"/>
  <c r="I22" i="1"/>
  <c r="J22" i="1" s="1"/>
  <c r="L22" i="1" s="1"/>
  <c r="I37" i="1"/>
  <c r="J37" i="1" s="1"/>
  <c r="L37" i="1" s="1"/>
  <c r="I34" i="1"/>
  <c r="J34" i="1" s="1"/>
  <c r="L34" i="1" s="1"/>
  <c r="I32" i="1"/>
  <c r="J32" i="1" s="1"/>
  <c r="L32" i="1" s="1"/>
  <c r="I17" i="1"/>
  <c r="J17" i="1" s="1"/>
  <c r="L17" i="1" s="1"/>
  <c r="I43" i="1"/>
  <c r="J43" i="1" s="1"/>
  <c r="L43" i="1" s="1"/>
  <c r="I25" i="1"/>
  <c r="J25" i="1" s="1"/>
  <c r="L25" i="1" s="1"/>
  <c r="I45" i="1"/>
  <c r="J45" i="1" s="1"/>
  <c r="L45" i="1" s="1"/>
  <c r="I39" i="1"/>
  <c r="J39" i="1" s="1"/>
  <c r="L39" i="1" s="1"/>
  <c r="I42" i="1"/>
  <c r="J42" i="1" s="1"/>
  <c r="L42" i="1" s="1"/>
  <c r="I33" i="1"/>
  <c r="J33" i="1" s="1"/>
  <c r="L33" i="1" s="1"/>
  <c r="I38" i="1"/>
  <c r="J38" i="1" s="1"/>
  <c r="L38" i="1" s="1"/>
  <c r="I21" i="1"/>
  <c r="J21" i="1" s="1"/>
  <c r="L21" i="1" s="1"/>
  <c r="I40" i="1"/>
  <c r="J40" i="1" s="1"/>
  <c r="L40" i="1" s="1"/>
  <c r="I28" i="1"/>
  <c r="J28" i="1" s="1"/>
  <c r="L28" i="1" s="1"/>
  <c r="I29" i="1"/>
  <c r="J29" i="1" s="1"/>
  <c r="L29" i="1" s="1"/>
  <c r="I41" i="1"/>
  <c r="J41" i="1" s="1"/>
  <c r="L41" i="1" s="1"/>
  <c r="I31" i="1"/>
  <c r="J31" i="1" s="1"/>
  <c r="L31" i="1" s="1"/>
</calcChain>
</file>

<file path=xl/sharedStrings.xml><?xml version="1.0" encoding="utf-8"?>
<sst xmlns="http://schemas.openxmlformats.org/spreadsheetml/2006/main" count="107" uniqueCount="99">
  <si>
    <t>Pier</t>
  </si>
  <si>
    <t>hiladas</t>
  </si>
  <si>
    <t>N hiladas</t>
  </si>
  <si>
    <t>Caso 1: Sin considerar armadura de corte</t>
  </si>
  <si>
    <t>$V_2 \quad (tonf)$</t>
  </si>
  <si>
    <t>$M_3 \quad (tonf \cdot m)$</t>
  </si>
  <si>
    <t>$d \quad (m)$</t>
  </si>
  <si>
    <t>$\tau_{0} \quad (tonf/m^2)$</t>
  </si>
  <si>
    <t>$\tau_{1} \quad (tonf/m^2)$</t>
  </si>
  <si>
    <t>$\tau_{sol} \quad (tonf/m^2)$</t>
  </si>
  <si>
    <t>$M/Vd \quad (-)$</t>
  </si>
  <si>
    <t>$\rho_h \quad (-)$</t>
  </si>
  <si>
    <t>$f'm \quad (MPa)$</t>
  </si>
  <si>
    <t>$M/Vd=0 $</t>
  </si>
  <si>
    <t>$M/Vd=1$</t>
  </si>
  <si>
    <t>Caso 2: Armadura resiste todo el corte</t>
  </si>
  <si>
    <t>$b \quad (m)$</t>
  </si>
  <si>
    <t>$F_s \quad (Mpa)$</t>
  </si>
  <si>
    <t>$A_{esc} \quad (m^2)$</t>
  </si>
  <si>
    <t>$Escantillon \quad (m)$</t>
  </si>
  <si>
    <t>$\rho_{alb} \quad (tonf/m^3)$</t>
  </si>
  <si>
    <t>$t \quad (m)$</t>
  </si>
  <si>
    <t>$h_{timp} \quad (m)$</t>
  </si>
  <si>
    <t>Propiedades tímpano</t>
  </si>
  <si>
    <t>$L_{tim} \quad (m)$</t>
  </si>
  <si>
    <t>Propiedades cadena tímpano</t>
  </si>
  <si>
    <t>$L_{cad} \quad (m)$</t>
  </si>
  <si>
    <t>$h_{cad} \quad (m)$</t>
  </si>
  <si>
    <t>$\rho_{cad} \quad (tonf/m^3)$</t>
  </si>
  <si>
    <t>Propiedades madera</t>
  </si>
  <si>
    <t>$\rho_{madera} \quad (550kgf/m^3)$</t>
  </si>
  <si>
    <t>Volumen total de cercha (m3)</t>
  </si>
  <si>
    <t>N° costaneras</t>
  </si>
  <si>
    <t>Largo costaneras (m)</t>
  </si>
  <si>
    <t>Volumen total costaneras (m3)</t>
  </si>
  <si>
    <t>$t_{viga} \quad (mm)$</t>
  </si>
  <si>
    <t>$b_{viga} \quad (mm)$</t>
  </si>
  <si>
    <t>N° de cerchas</t>
  </si>
  <si>
    <t>$b_{tribut} \quad (m)$</t>
  </si>
  <si>
    <t>$V_{tribut} \quad (m^3)$</t>
  </si>
  <si>
    <t>Cargas puntuales</t>
  </si>
  <si>
    <t>$P_{cercha} \quad (kgf)$</t>
  </si>
  <si>
    <t>$P_{cost.int} \quad (kgf)$</t>
  </si>
  <si>
    <t>$P_{cost.timp} \quad (kgf)$</t>
  </si>
  <si>
    <t>$P_{tot.cercha} \quad (kgf)$</t>
  </si>
  <si>
    <t>$P_{tot.timp} \quad (kgf)$</t>
  </si>
  <si>
    <t>Solicitaciones a aplicar en ETABS</t>
  </si>
  <si>
    <t>$Q_{timp} \quad (kgf/m)$</t>
  </si>
  <si>
    <t>$Q_{cad} \quad (kgf/m)$</t>
  </si>
  <si>
    <t>$Q_{total} \quad (kgf/m)$</t>
  </si>
  <si>
    <t>L_r (kgf)</t>
  </si>
  <si>
    <t>$A_{trib.cost} [m^2]$</t>
  </si>
  <si>
    <t>$P_{L_r} \quad (kgf)$</t>
  </si>
  <si>
    <t>$Q_{L_r} \quad (kgf/m)$</t>
  </si>
  <si>
    <t>P</t>
  </si>
  <si>
    <t>V2</t>
  </si>
  <si>
    <t>V3</t>
  </si>
  <si>
    <t>T</t>
  </si>
  <si>
    <t>M2</t>
  </si>
  <si>
    <t>M3</t>
  </si>
  <si>
    <t>M1Y</t>
  </si>
  <si>
    <t>M2Y</t>
  </si>
  <si>
    <t>M3Y</t>
  </si>
  <si>
    <t>M4Y</t>
  </si>
  <si>
    <t>M5Y</t>
  </si>
  <si>
    <t>M6Y</t>
  </si>
  <si>
    <t>M7Y</t>
  </si>
  <si>
    <t>M8Y</t>
  </si>
  <si>
    <t>M1X</t>
  </si>
  <si>
    <t>M2X</t>
  </si>
  <si>
    <t>M3X</t>
  </si>
  <si>
    <t>M4X</t>
  </si>
  <si>
    <t>M5X</t>
  </si>
  <si>
    <t>M6X</t>
  </si>
  <si>
    <t>M7X</t>
  </si>
  <si>
    <t>M8X</t>
  </si>
  <si>
    <t>M9X</t>
  </si>
  <si>
    <t>M10X</t>
  </si>
  <si>
    <t>M11X</t>
  </si>
  <si>
    <t>M12X</t>
  </si>
  <si>
    <t>M13X</t>
  </si>
  <si>
    <t>M14X</t>
  </si>
  <si>
    <t>M15X</t>
  </si>
  <si>
    <t>M16X</t>
  </si>
  <si>
    <t>M17X</t>
  </si>
  <si>
    <t>M18X</t>
  </si>
  <si>
    <t>M19X</t>
  </si>
  <si>
    <t>M20X</t>
  </si>
  <si>
    <t>M21X</t>
  </si>
  <si>
    <t>$F_s \quad (tonf/M35m^2+E17:F30)$</t>
  </si>
  <si>
    <t>escalerilla</t>
  </si>
  <si>
    <t>M/Vd</t>
  </si>
  <si>
    <t>$=0$</t>
  </si>
  <si>
    <t>$\geq 1$</t>
  </si>
  <si>
    <t>$\tau_0 $ (Mpa)</t>
  </si>
  <si>
    <t>$\tau_1 $ (Mpa)</t>
  </si>
  <si>
    <t>tonf</t>
  </si>
  <si>
    <t>tonf-m</t>
  </si>
  <si>
    <t>N°Hiladas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</si>
</sst>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0.0000"/>
    <numFmt numFmtId="165" formatCode="0.000"/>
    <numFmt numFmtId="166" formatCode="0.0"/>
    <numFmt numFmtId="183" formatCode="0.E+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44">
    <xf numFmtId="0" fontId="0" fillId="0" borderId="0" xfId="0"/>
    <xf numFmtId="0" fontId="0" fillId="2" borderId="2" xfId="0" applyFill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3" fontId="0" fillId="0" borderId="1" xfId="0" applyNumberFormat="1" applyBorder="1"/>
    <xf numFmtId="183" fontId="0" fillId="3" borderId="1" xfId="0" applyNumberFormat="1" applyFill="1" applyBorder="1" applyAlignment="1">
      <alignment horizontal="center"/>
    </xf>
    <xf numFmtId="42" fontId="0" fillId="0" borderId="0" xfId="1" applyFont="1"/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/>
    <xf numFmtId="0" fontId="3" fillId="6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1" xfId="0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3" name="AutoShape 1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8969BCC1-2A4C-4629-9798-55D2E40D85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3075" name="AutoShape 3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06EAF592-CF02-4882-87F0-137BED16AC95}"/>
            </a:ext>
          </a:extLst>
        </xdr:cNvPr>
        <xdr:cNvSpPr>
          <a:spLocks noChangeAspect="1" noChangeArrowheads="1"/>
        </xdr:cNvSpPr>
      </xdr:nvSpPr>
      <xdr:spPr bwMode="auto">
        <a:xfrm>
          <a:off x="79248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121920</xdr:rowOff>
    </xdr:to>
    <xdr:sp macro="" textlink="">
      <xdr:nvSpPr>
        <xdr:cNvPr id="3077" name="AutoShape 5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B01CDF37-B8B5-414A-8061-0E1ABE239D1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261228</xdr:colOff>
      <xdr:row>1</xdr:row>
      <xdr:rowOff>83820</xdr:rowOff>
    </xdr:from>
    <xdr:to>
      <xdr:col>14</xdr:col>
      <xdr:colOff>339241</xdr:colOff>
      <xdr:row>11</xdr:row>
      <xdr:rowOff>94857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6BEEC0-A639-4FFB-93BB-5CA76C82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368" y="274320"/>
          <a:ext cx="8212363" cy="1839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47D0-9384-4CB5-BDAA-4D65CDC8E969}">
  <dimension ref="B3:H33"/>
  <sheetViews>
    <sheetView topLeftCell="A7" workbookViewId="0">
      <selection activeCell="H5" sqref="H5:H33"/>
    </sheetView>
  </sheetViews>
  <sheetFormatPr baseColWidth="10" defaultRowHeight="14.4" x14ac:dyDescent="0.3"/>
  <sheetData>
    <row r="3" spans="2:8" x14ac:dyDescent="0.3">
      <c r="B3" s="40" t="s">
        <v>0</v>
      </c>
      <c r="C3" s="40" t="s">
        <v>54</v>
      </c>
      <c r="D3" s="40" t="s">
        <v>55</v>
      </c>
      <c r="E3" s="40" t="s">
        <v>56</v>
      </c>
      <c r="F3" s="40" t="s">
        <v>57</v>
      </c>
      <c r="G3" s="40" t="s">
        <v>58</v>
      </c>
      <c r="H3" s="41" t="s">
        <v>59</v>
      </c>
    </row>
    <row r="4" spans="2:8" x14ac:dyDescent="0.3">
      <c r="B4" s="42"/>
      <c r="C4" s="42" t="s">
        <v>96</v>
      </c>
      <c r="D4" s="42" t="s">
        <v>96</v>
      </c>
      <c r="E4" s="42" t="s">
        <v>96</v>
      </c>
      <c r="F4" s="42" t="s">
        <v>97</v>
      </c>
      <c r="G4" s="42" t="s">
        <v>97</v>
      </c>
      <c r="H4" s="43" t="s">
        <v>97</v>
      </c>
    </row>
    <row r="5" spans="2:8" x14ac:dyDescent="0.3">
      <c r="B5" s="39" t="s">
        <v>60</v>
      </c>
      <c r="C5" s="39">
        <v>5.6189</v>
      </c>
      <c r="D5" s="39">
        <v>1.6123000000000001</v>
      </c>
      <c r="E5" s="39">
        <v>9.6000000000000002E-2</v>
      </c>
      <c r="F5" s="39">
        <v>0.10780000000000001</v>
      </c>
      <c r="G5" s="39">
        <v>6.9199999999999998E-2</v>
      </c>
      <c r="H5" s="39">
        <v>1.8597999999999999</v>
      </c>
    </row>
    <row r="6" spans="2:8" x14ac:dyDescent="0.3">
      <c r="B6" s="39" t="s">
        <v>61</v>
      </c>
      <c r="C6" s="39">
        <v>3.9243999999999999</v>
      </c>
      <c r="D6" s="39">
        <v>0.89359999999999995</v>
      </c>
      <c r="E6" s="39">
        <v>4.2799999999999998E-2</v>
      </c>
      <c r="F6" s="39">
        <v>2.5399999999999999E-2</v>
      </c>
      <c r="G6" s="39">
        <v>2.87E-2</v>
      </c>
      <c r="H6" s="39">
        <v>0.61270000000000002</v>
      </c>
    </row>
    <row r="7" spans="2:8" x14ac:dyDescent="0.3">
      <c r="B7" s="39" t="s">
        <v>62</v>
      </c>
      <c r="C7" s="39">
        <v>6.1524000000000001</v>
      </c>
      <c r="D7" s="39">
        <v>1.6081000000000001</v>
      </c>
      <c r="E7" s="39">
        <v>0.1255</v>
      </c>
      <c r="F7" s="39">
        <v>0.1246</v>
      </c>
      <c r="G7" s="39">
        <v>9.9199999999999997E-2</v>
      </c>
      <c r="H7" s="39">
        <v>1.9031</v>
      </c>
    </row>
    <row r="8" spans="2:8" x14ac:dyDescent="0.3">
      <c r="B8" s="39" t="s">
        <v>63</v>
      </c>
      <c r="C8" s="39">
        <v>4.5667999999999997</v>
      </c>
      <c r="D8" s="39">
        <v>1.6175999999999999</v>
      </c>
      <c r="E8" s="39">
        <v>9.8599999999999993E-2</v>
      </c>
      <c r="F8" s="39">
        <v>0.1227</v>
      </c>
      <c r="G8" s="39">
        <v>6.7000000000000004E-2</v>
      </c>
      <c r="H8" s="39">
        <v>2.5688</v>
      </c>
    </row>
    <row r="9" spans="2:8" x14ac:dyDescent="0.3">
      <c r="B9" s="39" t="s">
        <v>64</v>
      </c>
      <c r="C9" s="39">
        <v>5.4020999999999999</v>
      </c>
      <c r="D9" s="39">
        <v>1.4973000000000001</v>
      </c>
      <c r="E9" s="39">
        <v>9.3399999999999997E-2</v>
      </c>
      <c r="F9" s="39">
        <v>0.12</v>
      </c>
      <c r="G9" s="39">
        <v>9.6500000000000002E-2</v>
      </c>
      <c r="H9" s="39">
        <v>2.7553000000000001</v>
      </c>
    </row>
    <row r="10" spans="2:8" x14ac:dyDescent="0.3">
      <c r="B10" s="39" t="s">
        <v>65</v>
      </c>
      <c r="C10" s="39">
        <v>5.4909999999999997</v>
      </c>
      <c r="D10" s="39">
        <v>1.9168000000000001</v>
      </c>
      <c r="E10" s="39">
        <v>6.2300000000000001E-2</v>
      </c>
      <c r="F10" s="39">
        <v>0.05</v>
      </c>
      <c r="G10" s="39">
        <v>6.7699999999999996E-2</v>
      </c>
      <c r="H10" s="39">
        <v>2.0171999999999999</v>
      </c>
    </row>
    <row r="11" spans="2:8" x14ac:dyDescent="0.3">
      <c r="B11" s="39" t="s">
        <v>66</v>
      </c>
      <c r="C11" s="39">
        <v>3.0482</v>
      </c>
      <c r="D11" s="39">
        <v>1.1177999999999999</v>
      </c>
      <c r="E11" s="39">
        <v>4.41E-2</v>
      </c>
      <c r="F11" s="39">
        <v>0.03</v>
      </c>
      <c r="G11" s="39">
        <v>5.5899999999999998E-2</v>
      </c>
      <c r="H11" s="39">
        <v>0.82740000000000002</v>
      </c>
    </row>
    <row r="12" spans="2:8" x14ac:dyDescent="0.3">
      <c r="B12" s="39" t="s">
        <v>67</v>
      </c>
      <c r="C12" s="39">
        <v>5.4813000000000001</v>
      </c>
      <c r="D12" s="39">
        <v>1.9679</v>
      </c>
      <c r="E12" s="39">
        <v>9.5200000000000007E-2</v>
      </c>
      <c r="F12" s="39">
        <v>6.2600000000000003E-2</v>
      </c>
      <c r="G12" s="39">
        <v>0.12959999999999999</v>
      </c>
      <c r="H12" s="39">
        <v>1.9932000000000001</v>
      </c>
    </row>
    <row r="13" spans="2:8" x14ac:dyDescent="0.3">
      <c r="B13" s="39" t="s">
        <v>68</v>
      </c>
      <c r="C13" s="39">
        <v>3.8298000000000001</v>
      </c>
      <c r="D13" s="39">
        <v>1.5024999999999999</v>
      </c>
      <c r="E13" s="39">
        <v>1.43E-2</v>
      </c>
      <c r="F13" s="39">
        <v>5.3E-3</v>
      </c>
      <c r="G13" s="39">
        <v>1.3299999999999999E-2</v>
      </c>
      <c r="H13" s="39">
        <v>1.0904</v>
      </c>
    </row>
    <row r="14" spans="2:8" x14ac:dyDescent="0.3">
      <c r="B14" s="39" t="s">
        <v>69</v>
      </c>
      <c r="C14" s="39">
        <v>2.0876999999999999</v>
      </c>
      <c r="D14" s="39">
        <v>0.70140000000000002</v>
      </c>
      <c r="E14" s="39">
        <v>2.1700000000000001E-2</v>
      </c>
      <c r="F14" s="39">
        <v>2.9000000000000001E-2</v>
      </c>
      <c r="G14" s="39">
        <v>1.1299999999999999E-2</v>
      </c>
      <c r="H14" s="39">
        <v>0.5968</v>
      </c>
    </row>
    <row r="15" spans="2:8" x14ac:dyDescent="0.3">
      <c r="B15" s="39" t="s">
        <v>70</v>
      </c>
      <c r="C15" s="39">
        <v>1.8138000000000001</v>
      </c>
      <c r="D15" s="39">
        <v>0.73409999999999997</v>
      </c>
      <c r="E15" s="39">
        <v>1.7500000000000002E-2</v>
      </c>
      <c r="F15" s="39">
        <v>2.3199999999999998E-2</v>
      </c>
      <c r="G15" s="39">
        <v>1.1599999999999999E-2</v>
      </c>
      <c r="H15" s="39">
        <v>0.48699999999999999</v>
      </c>
    </row>
    <row r="16" spans="2:8" x14ac:dyDescent="0.3">
      <c r="B16" s="39" t="s">
        <v>71</v>
      </c>
      <c r="C16" s="39">
        <v>2.4049999999999998</v>
      </c>
      <c r="D16" s="39">
        <v>1.4292</v>
      </c>
      <c r="E16" s="39">
        <v>0.1091</v>
      </c>
      <c r="F16" s="39">
        <v>8.0000000000000002E-3</v>
      </c>
      <c r="G16" s="39">
        <v>6.4399999999999999E-2</v>
      </c>
      <c r="H16" s="39">
        <v>1.3167</v>
      </c>
    </row>
    <row r="17" spans="2:8" x14ac:dyDescent="0.3">
      <c r="B17" s="39" t="s">
        <v>72</v>
      </c>
      <c r="C17" s="39">
        <v>5.8376000000000001</v>
      </c>
      <c r="D17" s="39">
        <v>1.7835000000000001</v>
      </c>
      <c r="E17" s="39">
        <v>6.4000000000000003E-3</v>
      </c>
      <c r="F17" s="39">
        <v>7.85E-2</v>
      </c>
      <c r="G17" s="39">
        <v>5.7000000000000002E-3</v>
      </c>
      <c r="H17" s="39">
        <v>2.2806999999999999</v>
      </c>
    </row>
    <row r="18" spans="2:8" x14ac:dyDescent="0.3">
      <c r="B18" s="39" t="s">
        <v>73</v>
      </c>
      <c r="C18" s="39">
        <v>1.8027</v>
      </c>
      <c r="D18" s="39">
        <v>0.66049999999999998</v>
      </c>
      <c r="E18" s="39">
        <v>1.3100000000000001E-2</v>
      </c>
      <c r="F18" s="39">
        <v>3.1099999999999999E-2</v>
      </c>
      <c r="G18" s="39">
        <v>7.4000000000000003E-3</v>
      </c>
      <c r="H18" s="39">
        <v>0.43880000000000002</v>
      </c>
    </row>
    <row r="19" spans="2:8" x14ac:dyDescent="0.3">
      <c r="B19" s="39" t="s">
        <v>74</v>
      </c>
      <c r="C19" s="39">
        <v>2.8479999999999999</v>
      </c>
      <c r="D19" s="39">
        <v>1.0144</v>
      </c>
      <c r="E19" s="39">
        <v>4.7100000000000003E-2</v>
      </c>
      <c r="F19" s="39">
        <v>4.6300000000000001E-2</v>
      </c>
      <c r="G19" s="39">
        <v>0.06</v>
      </c>
      <c r="H19" s="39">
        <v>0.79590000000000005</v>
      </c>
    </row>
    <row r="20" spans="2:8" x14ac:dyDescent="0.3">
      <c r="B20" s="39" t="s">
        <v>75</v>
      </c>
      <c r="C20" s="39">
        <v>3.8689</v>
      </c>
      <c r="D20" s="39">
        <v>1.8542000000000001</v>
      </c>
      <c r="E20" s="39">
        <v>0.1603</v>
      </c>
      <c r="F20" s="39">
        <v>0.12859999999999999</v>
      </c>
      <c r="G20" s="39">
        <v>0.13339999999999999</v>
      </c>
      <c r="H20" s="39">
        <v>1.5748</v>
      </c>
    </row>
    <row r="21" spans="2:8" x14ac:dyDescent="0.3">
      <c r="B21" s="39" t="s">
        <v>76</v>
      </c>
      <c r="C21" s="39">
        <v>0.60199999999999998</v>
      </c>
      <c r="D21" s="39">
        <v>0.121</v>
      </c>
      <c r="E21" s="39">
        <v>6.0000000000000001E-3</v>
      </c>
      <c r="F21" s="39">
        <v>2.9899999999999999E-2</v>
      </c>
      <c r="G21" s="39">
        <v>4.7999999999999996E-3</v>
      </c>
      <c r="H21" s="39">
        <v>0.1002</v>
      </c>
    </row>
    <row r="22" spans="2:8" x14ac:dyDescent="0.3">
      <c r="B22" s="39" t="s">
        <v>77</v>
      </c>
      <c r="C22" s="39">
        <v>2.8382000000000001</v>
      </c>
      <c r="D22" s="39">
        <v>1.3111999999999999</v>
      </c>
      <c r="E22" s="39">
        <v>3.56E-2</v>
      </c>
      <c r="F22" s="39">
        <v>2.76E-2</v>
      </c>
      <c r="G22" s="39">
        <v>4.0300000000000002E-2</v>
      </c>
      <c r="H22" s="39">
        <v>1.6113</v>
      </c>
    </row>
    <row r="23" spans="2:8" x14ac:dyDescent="0.3">
      <c r="B23" s="39" t="s">
        <v>78</v>
      </c>
      <c r="C23" s="39">
        <v>3.5468999999999999</v>
      </c>
      <c r="D23" s="39">
        <v>1.5620000000000001</v>
      </c>
      <c r="E23" s="39">
        <v>6.7900000000000002E-2</v>
      </c>
      <c r="F23" s="39">
        <v>0.1043</v>
      </c>
      <c r="G23" s="39">
        <v>9.4500000000000001E-2</v>
      </c>
      <c r="H23" s="39">
        <v>2.3294999999999999</v>
      </c>
    </row>
    <row r="24" spans="2:8" x14ac:dyDescent="0.3">
      <c r="B24" s="39" t="s">
        <v>79</v>
      </c>
      <c r="C24" s="39">
        <v>3.7900999999999998</v>
      </c>
      <c r="D24" s="39">
        <v>2.8323999999999998</v>
      </c>
      <c r="E24" s="39">
        <v>2.7799999999999998E-2</v>
      </c>
      <c r="F24" s="39">
        <v>2.06E-2</v>
      </c>
      <c r="G24" s="39">
        <v>3.1199999999999999E-2</v>
      </c>
      <c r="H24" s="39">
        <v>3.9697</v>
      </c>
    </row>
    <row r="25" spans="2:8" x14ac:dyDescent="0.3">
      <c r="B25" s="39" t="s">
        <v>80</v>
      </c>
      <c r="C25" s="39">
        <v>3.7988</v>
      </c>
      <c r="D25" s="39">
        <v>1.6707000000000001</v>
      </c>
      <c r="E25" s="39">
        <v>1.44E-2</v>
      </c>
      <c r="F25" s="39">
        <v>6.0000000000000001E-3</v>
      </c>
      <c r="G25" s="39">
        <v>1.34E-2</v>
      </c>
      <c r="H25" s="39">
        <v>1.1577999999999999</v>
      </c>
    </row>
    <row r="26" spans="2:8" x14ac:dyDescent="0.3">
      <c r="B26" s="39" t="s">
        <v>81</v>
      </c>
      <c r="C26" s="39">
        <v>2.1093999999999999</v>
      </c>
      <c r="D26" s="39">
        <v>0.75919999999999999</v>
      </c>
      <c r="E26" s="39">
        <v>2.12E-2</v>
      </c>
      <c r="F26" s="39">
        <v>2.9899999999999999E-2</v>
      </c>
      <c r="G26" s="39">
        <v>1.3899999999999999E-2</v>
      </c>
      <c r="H26" s="39">
        <v>0.62360000000000004</v>
      </c>
    </row>
    <row r="27" spans="2:8" x14ac:dyDescent="0.3">
      <c r="B27" s="39" t="s">
        <v>82</v>
      </c>
      <c r="C27" s="39">
        <v>1.8062</v>
      </c>
      <c r="D27" s="39">
        <v>0.74350000000000005</v>
      </c>
      <c r="E27" s="39">
        <v>2.12E-2</v>
      </c>
      <c r="F27" s="39">
        <v>2.7400000000000001E-2</v>
      </c>
      <c r="G27" s="39">
        <v>1.7100000000000001E-2</v>
      </c>
      <c r="H27" s="39">
        <v>0.49080000000000001</v>
      </c>
    </row>
    <row r="28" spans="2:8" x14ac:dyDescent="0.3">
      <c r="B28" s="39" t="s">
        <v>83</v>
      </c>
      <c r="C28" s="39">
        <v>2.4131999999999998</v>
      </c>
      <c r="D28" s="39">
        <v>1.3024</v>
      </c>
      <c r="E28" s="39">
        <v>0.10920000000000001</v>
      </c>
      <c r="F28" s="39">
        <v>1.2200000000000001E-2</v>
      </c>
      <c r="G28" s="39">
        <v>6.7599999999999993E-2</v>
      </c>
      <c r="H28" s="39">
        <v>1.2633000000000001</v>
      </c>
    </row>
    <row r="29" spans="2:8" x14ac:dyDescent="0.3">
      <c r="B29" s="39" t="s">
        <v>84</v>
      </c>
      <c r="C29" s="39">
        <v>1.9093</v>
      </c>
      <c r="D29" s="39">
        <v>0.66969999999999996</v>
      </c>
      <c r="E29" s="39">
        <v>2.3199999999999998E-2</v>
      </c>
      <c r="F29" s="39">
        <v>5.1299999999999998E-2</v>
      </c>
      <c r="G29" s="39">
        <v>6.3E-3</v>
      </c>
      <c r="H29" s="39">
        <v>0.44369999999999998</v>
      </c>
    </row>
    <row r="30" spans="2:8" x14ac:dyDescent="0.3">
      <c r="B30" s="39" t="s">
        <v>85</v>
      </c>
      <c r="C30" s="39">
        <v>4.38</v>
      </c>
      <c r="D30" s="39">
        <v>1.4371</v>
      </c>
      <c r="E30" s="39">
        <v>5.4000000000000003E-3</v>
      </c>
      <c r="F30" s="39">
        <v>0.1124</v>
      </c>
      <c r="G30" s="39">
        <v>5.0000000000000001E-3</v>
      </c>
      <c r="H30" s="39">
        <v>2.4371</v>
      </c>
    </row>
    <row r="31" spans="2:8" x14ac:dyDescent="0.3">
      <c r="B31" s="39" t="s">
        <v>86</v>
      </c>
      <c r="C31" s="39">
        <v>3.0327000000000002</v>
      </c>
      <c r="D31" s="39">
        <v>1.1617999999999999</v>
      </c>
      <c r="E31" s="39">
        <v>6.59E-2</v>
      </c>
      <c r="F31" s="39">
        <v>2.87E-2</v>
      </c>
      <c r="G31" s="39">
        <v>7.9200000000000007E-2</v>
      </c>
      <c r="H31" s="39">
        <v>0.77749999999999997</v>
      </c>
    </row>
    <row r="32" spans="2:8" x14ac:dyDescent="0.3">
      <c r="B32" s="39" t="s">
        <v>87</v>
      </c>
      <c r="C32" s="39">
        <v>0.81130000000000002</v>
      </c>
      <c r="D32" s="39">
        <v>0.24030000000000001</v>
      </c>
      <c r="E32" s="39">
        <v>6.7000000000000002E-3</v>
      </c>
      <c r="F32" s="39">
        <v>0.03</v>
      </c>
      <c r="G32" s="39">
        <v>6.1000000000000004E-3</v>
      </c>
      <c r="H32" s="39">
        <v>0.1595</v>
      </c>
    </row>
    <row r="33" spans="2:8" x14ac:dyDescent="0.3">
      <c r="B33" s="39" t="s">
        <v>88</v>
      </c>
      <c r="C33" s="39">
        <v>3.8149000000000002</v>
      </c>
      <c r="D33" s="39">
        <v>1.9393</v>
      </c>
      <c r="E33" s="39">
        <v>0.20610000000000001</v>
      </c>
      <c r="F33" s="39">
        <v>0.1235</v>
      </c>
      <c r="G33" s="39">
        <v>0.1812</v>
      </c>
      <c r="H33" s="39">
        <v>2.0179999999999998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CA69-FFD3-42FF-AF12-189361EB5B99}">
  <dimension ref="A1:M89"/>
  <sheetViews>
    <sheetView tabSelected="1" topLeftCell="B3" workbookViewId="0">
      <selection activeCell="L11" sqref="L10:L11"/>
    </sheetView>
  </sheetViews>
  <sheetFormatPr baseColWidth="10" defaultColWidth="11.44140625" defaultRowHeight="14.4" x14ac:dyDescent="0.3"/>
  <cols>
    <col min="1" max="1" width="34.6640625" bestFit="1" customWidth="1"/>
    <col min="2" max="2" width="17.77734375" customWidth="1"/>
    <col min="3" max="3" width="24" bestFit="1" customWidth="1"/>
    <col min="4" max="4" width="12.33203125" bestFit="1" customWidth="1"/>
    <col min="5" max="5" width="25.88671875" bestFit="1" customWidth="1"/>
    <col min="6" max="6" width="15.21875" customWidth="1"/>
    <col min="7" max="8" width="24.5546875" bestFit="1" customWidth="1"/>
    <col min="9" max="9" width="16.109375" bestFit="1" customWidth="1"/>
    <col min="11" max="11" width="11.44140625" style="39"/>
  </cols>
  <sheetData>
    <row r="1" spans="1:12" x14ac:dyDescent="0.3">
      <c r="A1" s="2" t="s">
        <v>12</v>
      </c>
      <c r="B1" s="22">
        <v>14</v>
      </c>
    </row>
    <row r="2" spans="1:12" x14ac:dyDescent="0.3">
      <c r="A2" s="2" t="s">
        <v>16</v>
      </c>
      <c r="B2" s="22">
        <v>0.14000000000000001</v>
      </c>
    </row>
    <row r="3" spans="1:12" x14ac:dyDescent="0.3">
      <c r="A3" s="2" t="s">
        <v>17</v>
      </c>
      <c r="B3" s="22">
        <v>17000</v>
      </c>
    </row>
    <row r="4" spans="1:12" x14ac:dyDescent="0.3">
      <c r="A4" s="2" t="s">
        <v>18</v>
      </c>
      <c r="B4" s="31">
        <f>0.0000139*2</f>
        <v>2.7800000000000001E-5</v>
      </c>
      <c r="E4" s="2" t="s">
        <v>90</v>
      </c>
      <c r="F4" s="30">
        <v>1.3900000000000001E-5</v>
      </c>
    </row>
    <row r="5" spans="1:12" x14ac:dyDescent="0.3">
      <c r="A5" s="5" t="s">
        <v>19</v>
      </c>
      <c r="B5" s="22">
        <v>0.104</v>
      </c>
      <c r="D5">
        <f>10.4/100</f>
        <v>0.10400000000000001</v>
      </c>
    </row>
    <row r="7" spans="1:12" x14ac:dyDescent="0.3">
      <c r="H7" s="32">
        <v>457537853737373</v>
      </c>
    </row>
    <row r="8" spans="1:12" x14ac:dyDescent="0.3">
      <c r="A8" s="1" t="s">
        <v>3</v>
      </c>
    </row>
    <row r="9" spans="1:12" x14ac:dyDescent="0.3">
      <c r="A9" s="2" t="s">
        <v>13</v>
      </c>
      <c r="B9" s="3">
        <f>MIN(0.13*SQRT(B1),0.28)</f>
        <v>0.28000000000000003</v>
      </c>
    </row>
    <row r="10" spans="1:12" x14ac:dyDescent="0.3">
      <c r="A10" s="2" t="s">
        <v>14</v>
      </c>
      <c r="B10" s="3">
        <f>MIN(0.06*SQRT(B1),0.19)</f>
        <v>0.19</v>
      </c>
    </row>
    <row r="11" spans="1:12" x14ac:dyDescent="0.3">
      <c r="A11" s="1" t="s">
        <v>15</v>
      </c>
    </row>
    <row r="12" spans="1:12" x14ac:dyDescent="0.3">
      <c r="A12" s="2" t="s">
        <v>13</v>
      </c>
      <c r="B12" s="3">
        <f>MIN(0.17*SQRT(B1),0.84)</f>
        <v>0.63608175575157011</v>
      </c>
    </row>
    <row r="13" spans="1:12" x14ac:dyDescent="0.3">
      <c r="A13" s="2" t="s">
        <v>14</v>
      </c>
      <c r="B13" s="3">
        <f>MIN(0.13*SQRT(B1),0.52)</f>
        <v>0.48641546028061239</v>
      </c>
    </row>
    <row r="16" spans="1:12" x14ac:dyDescent="0.3">
      <c r="A16" s="4" t="s">
        <v>0</v>
      </c>
      <c r="B16" s="7" t="s">
        <v>4</v>
      </c>
      <c r="C16" s="7" t="s">
        <v>5</v>
      </c>
      <c r="D16" s="7" t="s">
        <v>6</v>
      </c>
      <c r="E16" s="7" t="s">
        <v>9</v>
      </c>
      <c r="F16" s="7" t="s">
        <v>10</v>
      </c>
      <c r="G16" s="7" t="s">
        <v>7</v>
      </c>
      <c r="H16" s="7" t="s">
        <v>8</v>
      </c>
      <c r="I16" s="7" t="s">
        <v>11</v>
      </c>
      <c r="J16" s="7" t="s">
        <v>1</v>
      </c>
      <c r="K16" s="7" t="s">
        <v>98</v>
      </c>
      <c r="L16" s="7" t="s">
        <v>2</v>
      </c>
    </row>
    <row r="17" spans="1:12" s="6" customFormat="1" x14ac:dyDescent="0.3">
      <c r="A17" s="29" t="str">
        <f>'Resultados por pier'!B5</f>
        <v>M1Y</v>
      </c>
      <c r="B17" s="24">
        <f>'Resultados por pier'!D5</f>
        <v>1.6123000000000001</v>
      </c>
      <c r="C17" s="24">
        <f>'Resultados por pier'!H5</f>
        <v>1.8597999999999999</v>
      </c>
      <c r="D17" s="29">
        <v>3.9</v>
      </c>
      <c r="E17" s="24">
        <f>ABS(B17/D17/$B$2)</f>
        <v>2.9529304029304027</v>
      </c>
      <c r="F17" s="24">
        <f>C17/(B17*D17)</f>
        <v>0.29577113122359039</v>
      </c>
      <c r="G17" s="8">
        <f>100*IF(F17&gt;=1,$B$10,($B$10-$B$9)*(F17)+$B$9)</f>
        <v>25.338059818987691</v>
      </c>
      <c r="H17" s="8">
        <f>100*IF(F17&gt;=1,$B$13,($B$13-$B$12)*(F17)+$B$12)</f>
        <v>59.181478623408083</v>
      </c>
      <c r="I17" s="9">
        <f>IF(H17&lt;=E17,"agregar mas muros",IF(H17&lt;=G17,0.0006,1.1*ABS(B17)/($B$3*$B$2*D17)))</f>
        <v>1.9107196724843785E-4</v>
      </c>
      <c r="J17" s="28">
        <f>$B$4/(I17*$B$2*$B$5)</f>
        <v>9.9927827552959343</v>
      </c>
      <c r="K17" s="38">
        <f>ROUNDUP(J17,0)</f>
        <v>10</v>
      </c>
      <c r="L17" s="7">
        <f>IF(J17&gt;3,3,ROUNDDOWN(J17,0))</f>
        <v>3</v>
      </c>
    </row>
    <row r="18" spans="1:12" s="6" customFormat="1" x14ac:dyDescent="0.3">
      <c r="A18" s="29" t="str">
        <f>'Resultados por pier'!B6</f>
        <v>M2Y</v>
      </c>
      <c r="B18" s="24">
        <f>'Resultados por pier'!D6</f>
        <v>0.89359999999999995</v>
      </c>
      <c r="C18" s="24">
        <f>'Resultados por pier'!H6</f>
        <v>0.61270000000000002</v>
      </c>
      <c r="D18" s="29">
        <v>2.25</v>
      </c>
      <c r="E18" s="24">
        <f t="shared" ref="E18:E31" si="0">ABS(B18/D18/$B$2)</f>
        <v>2.8368253968253963</v>
      </c>
      <c r="F18" s="24">
        <f t="shared" ref="F18:F31" si="1">C18/(B18*D18)</f>
        <v>0.3047349050034816</v>
      </c>
      <c r="G18" s="8">
        <f t="shared" ref="G18:G31" si="2">100*IF(F18&gt;=1,$B$10,($B$10-$B$9)*(F18)+$B$9)</f>
        <v>25.257385854968668</v>
      </c>
      <c r="H18" s="8">
        <f t="shared" ref="H18:H31" si="3">100*IF(F18&gt;=1,$B$13,($B$13-$B$12)*(F18)+$B$12)</f>
        <v>59.047321141900476</v>
      </c>
      <c r="I18" s="9">
        <f t="shared" ref="I18:I31" si="4">IF(H18&lt;=E18,"agregar mas muros",IF(H18&lt;=G18,0.0006,1.1*ABS(B18)/($B$3*$B$2*D18)))</f>
        <v>1.8355929038281981E-4</v>
      </c>
      <c r="J18" s="28">
        <f t="shared" ref="J18:J31" si="5">$B$4/(I18*$B$2*$B$5)</f>
        <v>10.401765311680261</v>
      </c>
      <c r="K18" s="38">
        <f t="shared" ref="K18:K45" si="6">ROUNDUP(J18,0)</f>
        <v>11</v>
      </c>
      <c r="L18" s="7">
        <f t="shared" ref="L18:L31" si="7">IF(J18&gt;3,3,ROUNDDOWN(J18,0))</f>
        <v>3</v>
      </c>
    </row>
    <row r="19" spans="1:12" s="6" customFormat="1" x14ac:dyDescent="0.3">
      <c r="A19" s="29" t="str">
        <f>'Resultados por pier'!B7</f>
        <v>M3Y</v>
      </c>
      <c r="B19" s="24">
        <f>'Resultados por pier'!D7</f>
        <v>1.6081000000000001</v>
      </c>
      <c r="C19" s="24">
        <f>'Resultados por pier'!H7</f>
        <v>1.9031</v>
      </c>
      <c r="D19" s="29">
        <v>3.9</v>
      </c>
      <c r="E19" s="24">
        <f t="shared" si="0"/>
        <v>2.9452380952380954</v>
      </c>
      <c r="F19" s="24">
        <f t="shared" si="1"/>
        <v>0.30344777002323176</v>
      </c>
      <c r="G19" s="8">
        <f t="shared" si="2"/>
        <v>25.268970069790914</v>
      </c>
      <c r="H19" s="8">
        <f t="shared" si="3"/>
        <v>59.066585214326984</v>
      </c>
      <c r="I19" s="9">
        <f t="shared" si="4"/>
        <v>1.9057422969187676E-4</v>
      </c>
      <c r="J19" s="28">
        <f t="shared" si="5"/>
        <v>10.018881684201006</v>
      </c>
      <c r="K19" s="38">
        <f t="shared" si="6"/>
        <v>11</v>
      </c>
      <c r="L19" s="7">
        <f t="shared" si="7"/>
        <v>3</v>
      </c>
    </row>
    <row r="20" spans="1:12" s="6" customFormat="1" x14ac:dyDescent="0.3">
      <c r="A20" s="29" t="str">
        <f>'Resultados por pier'!B8</f>
        <v>M4Y</v>
      </c>
      <c r="B20" s="24">
        <f>'Resultados por pier'!D8</f>
        <v>1.6175999999999999</v>
      </c>
      <c r="C20" s="24">
        <f>'Resultados por pier'!H8</f>
        <v>2.5688</v>
      </c>
      <c r="D20" s="29">
        <v>3.9</v>
      </c>
      <c r="E20" s="24">
        <f t="shared" si="0"/>
        <v>2.9626373626373623</v>
      </c>
      <c r="F20" s="24">
        <f t="shared" si="1"/>
        <v>0.40718760303330037</v>
      </c>
      <c r="G20" s="8">
        <f t="shared" si="2"/>
        <v>24.335311572700295</v>
      </c>
      <c r="H20" s="8">
        <f t="shared" si="3"/>
        <v>57.513949564387715</v>
      </c>
      <c r="I20" s="9">
        <f t="shared" si="4"/>
        <v>1.9170006464124111E-4</v>
      </c>
      <c r="J20" s="28">
        <f t="shared" si="5"/>
        <v>9.9600418127866206</v>
      </c>
      <c r="K20" s="38">
        <f t="shared" si="6"/>
        <v>10</v>
      </c>
      <c r="L20" s="7">
        <f t="shared" si="7"/>
        <v>3</v>
      </c>
    </row>
    <row r="21" spans="1:12" s="6" customFormat="1" x14ac:dyDescent="0.3">
      <c r="A21" s="29" t="str">
        <f>'Resultados por pier'!B9</f>
        <v>M5Y</v>
      </c>
      <c r="B21" s="24">
        <f>'Resultados por pier'!D9</f>
        <v>1.4973000000000001</v>
      </c>
      <c r="C21" s="24">
        <f>'Resultados por pier'!H9</f>
        <v>2.7553000000000001</v>
      </c>
      <c r="D21" s="29">
        <v>3.9</v>
      </c>
      <c r="E21" s="24">
        <f t="shared" si="0"/>
        <v>2.7423076923076923</v>
      </c>
      <c r="F21" s="24">
        <f t="shared" si="1"/>
        <v>0.47184076637092065</v>
      </c>
      <c r="G21" s="8">
        <f t="shared" si="2"/>
        <v>23.753433102661713</v>
      </c>
      <c r="H21" s="8">
        <f t="shared" si="3"/>
        <v>56.546309619665678</v>
      </c>
      <c r="I21" s="9">
        <f t="shared" si="4"/>
        <v>1.7744343891402717E-4</v>
      </c>
      <c r="J21" s="28">
        <f t="shared" si="5"/>
        <v>10.76027759057212</v>
      </c>
      <c r="K21" s="38">
        <f t="shared" si="6"/>
        <v>11</v>
      </c>
      <c r="L21" s="7">
        <f t="shared" si="7"/>
        <v>3</v>
      </c>
    </row>
    <row r="22" spans="1:12" s="6" customFormat="1" x14ac:dyDescent="0.3">
      <c r="A22" s="29" t="str">
        <f>'Resultados por pier'!B10</f>
        <v>M6Y</v>
      </c>
      <c r="B22" s="24">
        <f>'Resultados por pier'!D10</f>
        <v>1.9168000000000001</v>
      </c>
      <c r="C22" s="24">
        <f>'Resultados por pier'!H10</f>
        <v>2.0171999999999999</v>
      </c>
      <c r="D22" s="29">
        <v>3.9</v>
      </c>
      <c r="E22" s="24">
        <f t="shared" si="0"/>
        <v>3.5106227106227106</v>
      </c>
      <c r="F22" s="24">
        <f t="shared" si="1"/>
        <v>0.269840760241428</v>
      </c>
      <c r="G22" s="8">
        <f t="shared" si="2"/>
        <v>25.571433157827151</v>
      </c>
      <c r="H22" s="8">
        <f t="shared" si="3"/>
        <v>59.569568879916865</v>
      </c>
      <c r="I22" s="9">
        <f t="shared" si="4"/>
        <v>2.2715794009911658E-4</v>
      </c>
      <c r="J22" s="28">
        <f t="shared" si="5"/>
        <v>8.4053441341629984</v>
      </c>
      <c r="K22" s="38">
        <f t="shared" si="6"/>
        <v>9</v>
      </c>
      <c r="L22" s="7">
        <f t="shared" si="7"/>
        <v>3</v>
      </c>
    </row>
    <row r="23" spans="1:12" s="6" customFormat="1" x14ac:dyDescent="0.3">
      <c r="A23" s="29" t="str">
        <f>'Resultados por pier'!B11</f>
        <v>M7Y</v>
      </c>
      <c r="B23" s="24">
        <f>'Resultados por pier'!D11</f>
        <v>1.1177999999999999</v>
      </c>
      <c r="C23" s="24">
        <f>'Resultados por pier'!H11</f>
        <v>0.82740000000000002</v>
      </c>
      <c r="D23" s="29">
        <v>2.25</v>
      </c>
      <c r="E23" s="24">
        <f t="shared" si="0"/>
        <v>3.548571428571428</v>
      </c>
      <c r="F23" s="24">
        <f t="shared" si="1"/>
        <v>0.32897954315023564</v>
      </c>
      <c r="G23" s="8">
        <f t="shared" si="2"/>
        <v>25.039184111647884</v>
      </c>
      <c r="H23" s="8">
        <f t="shared" si="3"/>
        <v>58.684460624254633</v>
      </c>
      <c r="I23" s="9">
        <f t="shared" si="4"/>
        <v>2.2961344537815123E-4</v>
      </c>
      <c r="J23" s="28">
        <f t="shared" si="5"/>
        <v>8.3154566850219034</v>
      </c>
      <c r="K23" s="38">
        <f t="shared" si="6"/>
        <v>9</v>
      </c>
      <c r="L23" s="7">
        <f t="shared" si="7"/>
        <v>3</v>
      </c>
    </row>
    <row r="24" spans="1:12" s="6" customFormat="1" x14ac:dyDescent="0.3">
      <c r="A24" s="29" t="str">
        <f>'Resultados por pier'!B12</f>
        <v>M8Y</v>
      </c>
      <c r="B24" s="24">
        <f>'Resultados por pier'!D12</f>
        <v>1.9679</v>
      </c>
      <c r="C24" s="24">
        <f>'Resultados por pier'!H12</f>
        <v>1.9932000000000001</v>
      </c>
      <c r="D24" s="29">
        <v>3.9</v>
      </c>
      <c r="E24" s="24">
        <f t="shared" si="0"/>
        <v>3.6042124542124543</v>
      </c>
      <c r="F24" s="24">
        <f t="shared" si="1"/>
        <v>0.25970675495549728</v>
      </c>
      <c r="G24" s="8">
        <f t="shared" si="2"/>
        <v>25.662639205400527</v>
      </c>
      <c r="H24" s="8">
        <f t="shared" si="3"/>
        <v>59.721240782859709</v>
      </c>
      <c r="I24" s="9">
        <f t="shared" si="4"/>
        <v>2.3321374703727648E-4</v>
      </c>
      <c r="J24" s="28">
        <f t="shared" si="5"/>
        <v>8.1870845248049378</v>
      </c>
      <c r="K24" s="38">
        <f t="shared" si="6"/>
        <v>9</v>
      </c>
      <c r="L24" s="7">
        <f t="shared" si="7"/>
        <v>3</v>
      </c>
    </row>
    <row r="25" spans="1:12" s="6" customFormat="1" x14ac:dyDescent="0.3">
      <c r="A25" s="29" t="str">
        <f>'Resultados por pier'!B13</f>
        <v>M1X</v>
      </c>
      <c r="B25" s="24">
        <f>'Resultados por pier'!D13</f>
        <v>1.5024999999999999</v>
      </c>
      <c r="C25" s="24">
        <f>'Resultados por pier'!H13</f>
        <v>1.0904</v>
      </c>
      <c r="D25" s="29">
        <v>3.3</v>
      </c>
      <c r="E25" s="24">
        <f t="shared" si="0"/>
        <v>3.252164502164502</v>
      </c>
      <c r="F25" s="24">
        <f t="shared" si="1"/>
        <v>0.21991630111430446</v>
      </c>
      <c r="G25" s="8">
        <f t="shared" si="2"/>
        <v>26.02075328997126</v>
      </c>
      <c r="H25" s="8">
        <f t="shared" si="3"/>
        <v>60.316769765011649</v>
      </c>
      <c r="I25" s="9">
        <f t="shared" si="4"/>
        <v>2.1043417366946782E-4</v>
      </c>
      <c r="J25" s="28">
        <f t="shared" si="5"/>
        <v>9.0733393062843977</v>
      </c>
      <c r="K25" s="38">
        <f t="shared" si="6"/>
        <v>10</v>
      </c>
      <c r="L25" s="7">
        <f t="shared" si="7"/>
        <v>3</v>
      </c>
    </row>
    <row r="26" spans="1:12" s="6" customFormat="1" x14ac:dyDescent="0.3">
      <c r="A26" s="29" t="str">
        <f>'Resultados por pier'!B14</f>
        <v>M2X</v>
      </c>
      <c r="B26" s="24">
        <f>'Resultados por pier'!D14</f>
        <v>0.70140000000000002</v>
      </c>
      <c r="C26" s="24">
        <f>'Resultados por pier'!H14</f>
        <v>0.5968</v>
      </c>
      <c r="D26" s="29">
        <v>1.1200000000000001</v>
      </c>
      <c r="E26" s="24">
        <f t="shared" si="0"/>
        <v>4.4732142857142847</v>
      </c>
      <c r="F26" s="24">
        <f t="shared" si="1"/>
        <v>0.75970507963664491</v>
      </c>
      <c r="G26" s="8">
        <f t="shared" si="2"/>
        <v>21.162654283270196</v>
      </c>
      <c r="H26" s="8">
        <f t="shared" si="3"/>
        <v>52.237951083188449</v>
      </c>
      <c r="I26" s="9">
        <f t="shared" si="4"/>
        <v>2.894432773109244E-4</v>
      </c>
      <c r="J26" s="28">
        <f t="shared" si="5"/>
        <v>6.5965970157586931</v>
      </c>
      <c r="K26" s="38">
        <f t="shared" si="6"/>
        <v>7</v>
      </c>
      <c r="L26" s="7">
        <f t="shared" si="7"/>
        <v>3</v>
      </c>
    </row>
    <row r="27" spans="1:12" s="6" customFormat="1" x14ac:dyDescent="0.3">
      <c r="A27" s="29" t="str">
        <f>'Resultados por pier'!B15</f>
        <v>M3X</v>
      </c>
      <c r="B27" s="24">
        <f>'Resultados por pier'!D15</f>
        <v>0.73409999999999997</v>
      </c>
      <c r="C27" s="24">
        <f>'Resultados por pier'!H15</f>
        <v>0.48699999999999999</v>
      </c>
      <c r="D27" s="29">
        <v>0.98</v>
      </c>
      <c r="E27" s="24">
        <f t="shared" si="0"/>
        <v>5.3505830903790077</v>
      </c>
      <c r="F27" s="24">
        <f t="shared" si="1"/>
        <v>0.67693607888598839</v>
      </c>
      <c r="G27" s="8">
        <f t="shared" si="2"/>
        <v>21.907575290026106</v>
      </c>
      <c r="H27" s="8">
        <f t="shared" si="3"/>
        <v>53.47672405540682</v>
      </c>
      <c r="I27" s="9">
        <f t="shared" si="4"/>
        <v>3.4621419996570059E-4</v>
      </c>
      <c r="J27" s="28">
        <f t="shared" si="5"/>
        <v>5.5149114609678564</v>
      </c>
      <c r="K27" s="38">
        <f t="shared" si="6"/>
        <v>6</v>
      </c>
      <c r="L27" s="7">
        <f t="shared" si="7"/>
        <v>3</v>
      </c>
    </row>
    <row r="28" spans="1:12" s="6" customFormat="1" x14ac:dyDescent="0.3">
      <c r="A28" s="29" t="str">
        <f>'Resultados por pier'!B16</f>
        <v>M4X</v>
      </c>
      <c r="B28" s="24">
        <f>'Resultados por pier'!D16</f>
        <v>1.4292</v>
      </c>
      <c r="C28" s="24">
        <f>'Resultados por pier'!H16</f>
        <v>1.3167</v>
      </c>
      <c r="D28" s="29">
        <v>3.3</v>
      </c>
      <c r="E28" s="24">
        <f t="shared" si="0"/>
        <v>3.0935064935064935</v>
      </c>
      <c r="F28" s="24">
        <f t="shared" si="1"/>
        <v>0.27917716204869858</v>
      </c>
      <c r="G28" s="8">
        <f t="shared" si="2"/>
        <v>25.487405541561714</v>
      </c>
      <c r="H28" s="8">
        <f t="shared" si="3"/>
        <v>59.429834412764613</v>
      </c>
      <c r="I28" s="9">
        <f t="shared" si="4"/>
        <v>2.0016806722689077E-4</v>
      </c>
      <c r="J28" s="28">
        <f t="shared" si="5"/>
        <v>9.5386875928437629</v>
      </c>
      <c r="K28" s="38">
        <f t="shared" si="6"/>
        <v>10</v>
      </c>
      <c r="L28" s="7">
        <f t="shared" si="7"/>
        <v>3</v>
      </c>
    </row>
    <row r="29" spans="1:12" s="6" customFormat="1" x14ac:dyDescent="0.3">
      <c r="A29" s="29" t="str">
        <f>'Resultados por pier'!B17</f>
        <v>M5X</v>
      </c>
      <c r="B29" s="24">
        <f>'Resultados por pier'!D17</f>
        <v>1.7835000000000001</v>
      </c>
      <c r="C29" s="24">
        <f>'Resultados por pier'!H17</f>
        <v>2.2806999999999999</v>
      </c>
      <c r="D29" s="29">
        <v>3.82</v>
      </c>
      <c r="E29" s="24">
        <f t="shared" si="0"/>
        <v>3.3348915482423336</v>
      </c>
      <c r="F29" s="24">
        <f t="shared" si="1"/>
        <v>0.33475855610695482</v>
      </c>
      <c r="G29" s="8">
        <f t="shared" si="2"/>
        <v>24.987172995037412</v>
      </c>
      <c r="H29" s="8">
        <f t="shared" si="3"/>
        <v>58.597968278183544</v>
      </c>
      <c r="I29" s="9">
        <f t="shared" si="4"/>
        <v>2.1578710018038631E-4</v>
      </c>
      <c r="J29" s="28">
        <f t="shared" si="5"/>
        <v>8.8482613545691766</v>
      </c>
      <c r="K29" s="38">
        <f t="shared" si="6"/>
        <v>9</v>
      </c>
      <c r="L29" s="7">
        <f t="shared" si="7"/>
        <v>3</v>
      </c>
    </row>
    <row r="30" spans="1:12" s="6" customFormat="1" x14ac:dyDescent="0.3">
      <c r="A30" s="29" t="str">
        <f>'Resultados por pier'!B18</f>
        <v>M6X</v>
      </c>
      <c r="B30" s="24">
        <f>'Resultados por pier'!D18</f>
        <v>0.66049999999999998</v>
      </c>
      <c r="C30" s="24">
        <f>'Resultados por pier'!H18</f>
        <v>0.43880000000000002</v>
      </c>
      <c r="D30" s="29">
        <v>0.98</v>
      </c>
      <c r="E30" s="24">
        <f t="shared" si="0"/>
        <v>4.8141399416909616</v>
      </c>
      <c r="F30" s="24">
        <f t="shared" si="1"/>
        <v>0.67790325819957065</v>
      </c>
      <c r="G30" s="8">
        <f t="shared" si="2"/>
        <v>21.898870676203867</v>
      </c>
      <c r="H30" s="8">
        <f t="shared" si="3"/>
        <v>53.462248640914822</v>
      </c>
      <c r="I30" s="9">
        <f t="shared" si="4"/>
        <v>3.1150317269765048E-4</v>
      </c>
      <c r="J30" s="28">
        <f t="shared" si="5"/>
        <v>6.129442094619991</v>
      </c>
      <c r="K30" s="38">
        <f t="shared" si="6"/>
        <v>7</v>
      </c>
      <c r="L30" s="7">
        <f t="shared" si="7"/>
        <v>3</v>
      </c>
    </row>
    <row r="31" spans="1:12" s="6" customFormat="1" x14ac:dyDescent="0.3">
      <c r="A31" s="29" t="str">
        <f>'Resultados por pier'!B19</f>
        <v>M7X</v>
      </c>
      <c r="B31" s="24">
        <f>'Resultados por pier'!D19</f>
        <v>1.0144</v>
      </c>
      <c r="C31" s="24">
        <f>'Resultados por pier'!H19</f>
        <v>0.79590000000000005</v>
      </c>
      <c r="D31" s="29">
        <v>1.64</v>
      </c>
      <c r="E31" s="24">
        <f>ABS(B31/D31/$B$2)</f>
        <v>4.4181184668989539</v>
      </c>
      <c r="F31" s="24">
        <f t="shared" si="1"/>
        <v>0.47841569208278845</v>
      </c>
      <c r="G31" s="8">
        <f t="shared" si="2"/>
        <v>23.694258771254905</v>
      </c>
      <c r="H31" s="8">
        <f t="shared" si="3"/>
        <v>56.447905142236479</v>
      </c>
      <c r="I31" s="9">
        <f t="shared" si="4"/>
        <v>2.8587825374052066E-4</v>
      </c>
      <c r="J31" s="28">
        <f t="shared" si="5"/>
        <v>6.6788593898215325</v>
      </c>
      <c r="K31" s="38">
        <f t="shared" si="6"/>
        <v>7</v>
      </c>
      <c r="L31" s="7">
        <f t="shared" si="7"/>
        <v>3</v>
      </c>
    </row>
    <row r="32" spans="1:12" s="6" customFormat="1" x14ac:dyDescent="0.3">
      <c r="A32" s="29" t="str">
        <f>'Resultados por pier'!B20</f>
        <v>M8X</v>
      </c>
      <c r="B32" s="24">
        <f>'Resultados por pier'!D20</f>
        <v>1.8542000000000001</v>
      </c>
      <c r="C32" s="24">
        <f>'Resultados por pier'!H20</f>
        <v>1.5748</v>
      </c>
      <c r="D32" s="29">
        <v>5.0999999999999996</v>
      </c>
      <c r="E32" s="24">
        <f t="shared" ref="E32:E45" si="8">ABS(B32/D32/$B$2)</f>
        <v>2.5969187675070029</v>
      </c>
      <c r="F32" s="24">
        <f t="shared" ref="F32:F45" si="9">C32/(B32*D32)</f>
        <v>0.16653236637120603</v>
      </c>
      <c r="G32" s="8">
        <f t="shared" ref="G32:G45" si="10">100*IF(F32&gt;=1,$B$10,($B$10-$B$9)*(F32)+$B$9)</f>
        <v>26.501208702659145</v>
      </c>
      <c r="H32" s="8">
        <f t="shared" ref="H32:H45" si="11">100*IF(F32&gt;=1,$B$13,($B$13-$B$12)*(F32)+$B$12)</f>
        <v>61.115747340077945</v>
      </c>
      <c r="I32" s="9">
        <f t="shared" ref="I32:I45" si="12">IF(H32&lt;=E32,"agregar mas muros",IF(H32&lt;=G32,0.0006,1.1*ABS(B32)/($B$3*$B$2*D32)))</f>
        <v>1.6803592025045315E-4</v>
      </c>
      <c r="J32" s="28">
        <f t="shared" ref="J32:J45" si="13">$B$4/(I32*$B$2*$B$5)</f>
        <v>11.362693503239289</v>
      </c>
      <c r="K32" s="38">
        <f t="shared" si="6"/>
        <v>12</v>
      </c>
      <c r="L32" s="7">
        <f t="shared" ref="L32:L45" si="14">IF(J32&gt;3,3,ROUNDDOWN(J32,0))</f>
        <v>3</v>
      </c>
    </row>
    <row r="33" spans="1:13" s="6" customFormat="1" x14ac:dyDescent="0.3">
      <c r="A33" s="29" t="str">
        <f>'Resultados por pier'!B21</f>
        <v>M9X</v>
      </c>
      <c r="B33" s="24">
        <f>'Resultados por pier'!D21</f>
        <v>0.121</v>
      </c>
      <c r="C33" s="24">
        <f>'Resultados por pier'!H21</f>
        <v>0.1002</v>
      </c>
      <c r="D33" s="29">
        <v>0.37</v>
      </c>
      <c r="E33" s="24">
        <f t="shared" si="8"/>
        <v>2.3359073359073355</v>
      </c>
      <c r="F33" s="24">
        <f t="shared" si="9"/>
        <v>2.238105874469511</v>
      </c>
      <c r="G33" s="8">
        <f t="shared" si="10"/>
        <v>19</v>
      </c>
      <c r="H33" s="8">
        <f t="shared" si="11"/>
        <v>48.641546028061242</v>
      </c>
      <c r="I33" s="9">
        <f t="shared" si="12"/>
        <v>1.5114694526459233E-4</v>
      </c>
      <c r="J33" s="28">
        <f t="shared" si="13"/>
        <v>12.632346991851124</v>
      </c>
      <c r="K33" s="38">
        <f t="shared" si="6"/>
        <v>13</v>
      </c>
      <c r="L33" s="7">
        <f t="shared" si="14"/>
        <v>3</v>
      </c>
    </row>
    <row r="34" spans="1:13" s="6" customFormat="1" x14ac:dyDescent="0.3">
      <c r="A34" s="29" t="str">
        <f>'Resultados por pier'!B22</f>
        <v>M10X</v>
      </c>
      <c r="B34" s="24">
        <f>'Resultados por pier'!D22</f>
        <v>1.3111999999999999</v>
      </c>
      <c r="C34" s="24">
        <f>'Resultados por pier'!H22</f>
        <v>1.6113</v>
      </c>
      <c r="D34" s="29">
        <v>2.3199999999999998</v>
      </c>
      <c r="E34" s="24">
        <f t="shared" si="8"/>
        <v>4.0369458128078817</v>
      </c>
      <c r="F34" s="24">
        <f t="shared" si="9"/>
        <v>0.52968720414045567</v>
      </c>
      <c r="G34" s="8">
        <f t="shared" si="10"/>
        <v>23.2328151627359</v>
      </c>
      <c r="H34" s="8">
        <f t="shared" si="11"/>
        <v>55.680543414949909</v>
      </c>
      <c r="I34" s="9">
        <f t="shared" si="12"/>
        <v>2.6121414082874532E-4</v>
      </c>
      <c r="J34" s="28">
        <f t="shared" si="13"/>
        <v>7.309484292400704</v>
      </c>
      <c r="K34" s="38">
        <f t="shared" si="6"/>
        <v>8</v>
      </c>
      <c r="L34" s="7">
        <f t="shared" si="14"/>
        <v>3</v>
      </c>
    </row>
    <row r="35" spans="1:13" s="6" customFormat="1" x14ac:dyDescent="0.3">
      <c r="A35" s="29" t="str">
        <f>'Resultados por pier'!B23</f>
        <v>M11X</v>
      </c>
      <c r="B35" s="24">
        <f>'Resultados por pier'!D23</f>
        <v>1.5620000000000001</v>
      </c>
      <c r="C35" s="24">
        <f>'Resultados por pier'!H23</f>
        <v>2.3294999999999999</v>
      </c>
      <c r="D35" s="29">
        <v>2.77</v>
      </c>
      <c r="E35" s="24">
        <f t="shared" si="8"/>
        <v>4.0278494069107786</v>
      </c>
      <c r="F35" s="24">
        <f t="shared" si="9"/>
        <v>0.53839611347111216</v>
      </c>
      <c r="G35" s="8">
        <f t="shared" si="10"/>
        <v>23.154434978759991</v>
      </c>
      <c r="H35" s="8">
        <f t="shared" si="11"/>
        <v>55.550200395238733</v>
      </c>
      <c r="I35" s="9">
        <f t="shared" si="12"/>
        <v>2.6062554985893275E-4</v>
      </c>
      <c r="J35" s="28">
        <f t="shared" si="13"/>
        <v>7.3259918698459021</v>
      </c>
      <c r="K35" s="38">
        <f t="shared" si="6"/>
        <v>8</v>
      </c>
      <c r="L35" s="7">
        <f t="shared" si="14"/>
        <v>3</v>
      </c>
      <c r="M35" s="6" t="s">
        <v>89</v>
      </c>
    </row>
    <row r="36" spans="1:13" s="6" customFormat="1" x14ac:dyDescent="0.3">
      <c r="A36" s="29" t="str">
        <f>'Resultados por pier'!B24</f>
        <v>M12X</v>
      </c>
      <c r="B36" s="24">
        <f>'Resultados por pier'!D24</f>
        <v>2.8323999999999998</v>
      </c>
      <c r="C36" s="24">
        <f>'Resultados por pier'!H24</f>
        <v>3.9697</v>
      </c>
      <c r="D36" s="29">
        <v>2.3199999999999998</v>
      </c>
      <c r="E36" s="24">
        <f t="shared" si="8"/>
        <v>8.720443349753694</v>
      </c>
      <c r="F36" s="24">
        <f t="shared" si="9"/>
        <v>0.60410873683339106</v>
      </c>
      <c r="G36" s="8">
        <f t="shared" si="10"/>
        <v>22.563021368499481</v>
      </c>
      <c r="H36" s="8">
        <f t="shared" si="11"/>
        <v>54.566703904807682</v>
      </c>
      <c r="I36" s="9">
        <f t="shared" si="12"/>
        <v>5.6426398145465091E-4</v>
      </c>
      <c r="J36" s="28">
        <f t="shared" si="13"/>
        <v>3.3837719969622242</v>
      </c>
      <c r="K36" s="38">
        <f t="shared" si="6"/>
        <v>4</v>
      </c>
      <c r="L36" s="7">
        <f t="shared" si="14"/>
        <v>3</v>
      </c>
    </row>
    <row r="37" spans="1:13" s="6" customFormat="1" x14ac:dyDescent="0.3">
      <c r="A37" s="29" t="str">
        <f>'Resultados por pier'!B25</f>
        <v>M13X</v>
      </c>
      <c r="B37" s="24">
        <f>'Resultados por pier'!D25</f>
        <v>1.6707000000000001</v>
      </c>
      <c r="C37" s="24">
        <f>'Resultados por pier'!H25</f>
        <v>1.1577999999999999</v>
      </c>
      <c r="D37" s="29">
        <v>3.3</v>
      </c>
      <c r="E37" s="24">
        <f t="shared" si="8"/>
        <v>3.616233766233766</v>
      </c>
      <c r="F37" s="24">
        <f t="shared" si="9"/>
        <v>0.21000088875829584</v>
      </c>
      <c r="G37" s="8">
        <f t="shared" si="10"/>
        <v>26.109992001175343</v>
      </c>
      <c r="H37" s="8">
        <f t="shared" si="11"/>
        <v>60.465170068550734</v>
      </c>
      <c r="I37" s="9">
        <f t="shared" si="12"/>
        <v>2.3399159663865549E-4</v>
      </c>
      <c r="J37" s="28">
        <f t="shared" si="13"/>
        <v>8.1598685028385152</v>
      </c>
      <c r="K37" s="38">
        <f t="shared" si="6"/>
        <v>9</v>
      </c>
      <c r="L37" s="7">
        <f t="shared" si="14"/>
        <v>3</v>
      </c>
    </row>
    <row r="38" spans="1:13" s="6" customFormat="1" x14ac:dyDescent="0.3">
      <c r="A38" s="29" t="str">
        <f>'Resultados por pier'!B26</f>
        <v>M14X</v>
      </c>
      <c r="B38" s="24">
        <f>'Resultados por pier'!D26</f>
        <v>0.75919999999999999</v>
      </c>
      <c r="C38" s="24">
        <f>'Resultados por pier'!H26</f>
        <v>0.62360000000000004</v>
      </c>
      <c r="D38" s="29">
        <v>1.1200000000000001</v>
      </c>
      <c r="E38" s="24">
        <f t="shared" si="8"/>
        <v>4.8418367346938771</v>
      </c>
      <c r="F38" s="24">
        <f t="shared" si="9"/>
        <v>0.73338476591901247</v>
      </c>
      <c r="G38" s="8">
        <f t="shared" si="10"/>
        <v>21.399537106728889</v>
      </c>
      <c r="H38" s="8">
        <f t="shared" si="11"/>
        <v>52.631877468163601</v>
      </c>
      <c r="I38" s="9">
        <f t="shared" si="12"/>
        <v>3.1329531812725089E-4</v>
      </c>
      <c r="J38" s="28">
        <f t="shared" si="13"/>
        <v>6.0943798035473487</v>
      </c>
      <c r="K38" s="38">
        <f t="shared" si="6"/>
        <v>7</v>
      </c>
      <c r="L38" s="7">
        <f t="shared" si="14"/>
        <v>3</v>
      </c>
    </row>
    <row r="39" spans="1:13" s="6" customFormat="1" x14ac:dyDescent="0.3">
      <c r="A39" s="29" t="str">
        <f>'Resultados por pier'!B27</f>
        <v>M15X</v>
      </c>
      <c r="B39" s="24">
        <f>'Resultados por pier'!D27</f>
        <v>0.74350000000000005</v>
      </c>
      <c r="C39" s="24">
        <f>'Resultados por pier'!H27</f>
        <v>0.49080000000000001</v>
      </c>
      <c r="D39" s="29">
        <v>0.98</v>
      </c>
      <c r="E39" s="24">
        <f t="shared" si="8"/>
        <v>5.4190962099125359</v>
      </c>
      <c r="F39" s="24">
        <f t="shared" si="9"/>
        <v>0.67359290723686926</v>
      </c>
      <c r="G39" s="8">
        <f t="shared" si="10"/>
        <v>21.937663834868175</v>
      </c>
      <c r="H39" s="8">
        <f t="shared" si="11"/>
        <v>53.526760066991542</v>
      </c>
      <c r="I39" s="9">
        <f t="shared" si="12"/>
        <v>3.5064740181787004E-4</v>
      </c>
      <c r="J39" s="28">
        <f t="shared" si="13"/>
        <v>5.4451869583006092</v>
      </c>
      <c r="K39" s="38">
        <f t="shared" si="6"/>
        <v>6</v>
      </c>
      <c r="L39" s="7">
        <f t="shared" si="14"/>
        <v>3</v>
      </c>
    </row>
    <row r="40" spans="1:13" s="6" customFormat="1" x14ac:dyDescent="0.3">
      <c r="A40" s="29" t="str">
        <f>'Resultados por pier'!B28</f>
        <v>M16X</v>
      </c>
      <c r="B40" s="24">
        <f>'Resultados por pier'!D28</f>
        <v>1.3024</v>
      </c>
      <c r="C40" s="24">
        <f>'Resultados por pier'!H28</f>
        <v>1.2633000000000001</v>
      </c>
      <c r="D40" s="29">
        <v>3.3</v>
      </c>
      <c r="E40" s="24">
        <f t="shared" si="8"/>
        <v>2.8190476190476188</v>
      </c>
      <c r="F40" s="24">
        <f t="shared" si="9"/>
        <v>0.29393287916015193</v>
      </c>
      <c r="G40" s="8">
        <f t="shared" si="10"/>
        <v>25.354604087558634</v>
      </c>
      <c r="H40" s="8">
        <f t="shared" si="11"/>
        <v>59.208991061055748</v>
      </c>
      <c r="I40" s="9">
        <f t="shared" si="12"/>
        <v>1.8240896358543419E-4</v>
      </c>
      <c r="J40" s="28">
        <f t="shared" si="13"/>
        <v>10.467362029862029</v>
      </c>
      <c r="K40" s="38">
        <f t="shared" si="6"/>
        <v>11</v>
      </c>
      <c r="L40" s="7">
        <f t="shared" si="14"/>
        <v>3</v>
      </c>
    </row>
    <row r="41" spans="1:13" s="6" customFormat="1" x14ac:dyDescent="0.3">
      <c r="A41" s="29" t="str">
        <f>'Resultados por pier'!B29</f>
        <v>M17X</v>
      </c>
      <c r="B41" s="24">
        <f>'Resultados por pier'!D29</f>
        <v>0.66969999999999996</v>
      </c>
      <c r="C41" s="24">
        <f>'Resultados por pier'!H29</f>
        <v>0.44369999999999998</v>
      </c>
      <c r="D41" s="29">
        <v>0.97</v>
      </c>
      <c r="E41" s="24">
        <f t="shared" si="8"/>
        <v>4.9315169366715752</v>
      </c>
      <c r="F41" s="24">
        <f t="shared" si="9"/>
        <v>0.68302625117570726</v>
      </c>
      <c r="G41" s="8">
        <f t="shared" si="10"/>
        <v>21.852763739418634</v>
      </c>
      <c r="H41" s="8">
        <f t="shared" si="11"/>
        <v>53.38557470286861</v>
      </c>
      <c r="I41" s="9">
        <f t="shared" si="12"/>
        <v>3.1909815472580788E-4</v>
      </c>
      <c r="J41" s="28">
        <f t="shared" si="13"/>
        <v>5.9835528067572259</v>
      </c>
      <c r="K41" s="38">
        <f t="shared" si="6"/>
        <v>6</v>
      </c>
      <c r="L41" s="7">
        <f t="shared" si="14"/>
        <v>3</v>
      </c>
    </row>
    <row r="42" spans="1:13" s="6" customFormat="1" x14ac:dyDescent="0.3">
      <c r="A42" s="29" t="str">
        <f>'Resultados por pier'!B30</f>
        <v>M18X</v>
      </c>
      <c r="B42" s="24">
        <f>'Resultados por pier'!D30</f>
        <v>1.4371</v>
      </c>
      <c r="C42" s="24">
        <f>'Resultados por pier'!H30</f>
        <v>2.4371</v>
      </c>
      <c r="D42" s="29">
        <v>3.22</v>
      </c>
      <c r="E42" s="24">
        <f t="shared" si="8"/>
        <v>3.1878881987577636</v>
      </c>
      <c r="F42" s="24">
        <f t="shared" si="9"/>
        <v>0.52666018651260671</v>
      </c>
      <c r="G42" s="8">
        <f t="shared" si="10"/>
        <v>23.260058321386541</v>
      </c>
      <c r="H42" s="8">
        <f t="shared" si="11"/>
        <v>55.72584766641846</v>
      </c>
      <c r="I42" s="9">
        <f t="shared" si="12"/>
        <v>2.0627511874314947E-4</v>
      </c>
      <c r="J42" s="28">
        <f t="shared" si="13"/>
        <v>9.2562819547719677</v>
      </c>
      <c r="K42" s="38">
        <f t="shared" si="6"/>
        <v>10</v>
      </c>
      <c r="L42" s="7">
        <f t="shared" si="14"/>
        <v>3</v>
      </c>
    </row>
    <row r="43" spans="1:13" s="6" customFormat="1" x14ac:dyDescent="0.3">
      <c r="A43" s="29" t="str">
        <f>'Resultados por pier'!B31</f>
        <v>M19X</v>
      </c>
      <c r="B43" s="24">
        <f>'Resultados por pier'!D31</f>
        <v>1.1617999999999999</v>
      </c>
      <c r="C43" s="24">
        <f>'Resultados por pier'!H31</f>
        <v>0.77749999999999997</v>
      </c>
      <c r="D43" s="29">
        <v>1.64</v>
      </c>
      <c r="E43" s="24">
        <f t="shared" si="8"/>
        <v>5.0601045296167237</v>
      </c>
      <c r="F43" s="24">
        <f t="shared" si="9"/>
        <v>0.40806108267658686</v>
      </c>
      <c r="G43" s="8">
        <f t="shared" si="10"/>
        <v>24.327450255910719</v>
      </c>
      <c r="H43" s="8">
        <f t="shared" si="11"/>
        <v>57.50087651814971</v>
      </c>
      <c r="I43" s="9">
        <f t="shared" si="12"/>
        <v>3.2741852838696461E-4</v>
      </c>
      <c r="J43" s="28">
        <f t="shared" si="13"/>
        <v>5.8314985066577414</v>
      </c>
      <c r="K43" s="38">
        <f t="shared" si="6"/>
        <v>6</v>
      </c>
      <c r="L43" s="7">
        <f t="shared" si="14"/>
        <v>3</v>
      </c>
    </row>
    <row r="44" spans="1:13" s="6" customFormat="1" x14ac:dyDescent="0.3">
      <c r="A44" s="29" t="str">
        <f>'Resultados por pier'!B32</f>
        <v>M20X</v>
      </c>
      <c r="B44" s="24">
        <f>'Resultados por pier'!D32</f>
        <v>0.24030000000000001</v>
      </c>
      <c r="C44" s="24">
        <f>'Resultados por pier'!H32</f>
        <v>0.1595</v>
      </c>
      <c r="D44" s="29">
        <v>0.37</v>
      </c>
      <c r="E44" s="24">
        <f t="shared" si="8"/>
        <v>4.6389961389961387</v>
      </c>
      <c r="F44" s="24">
        <f t="shared" si="9"/>
        <v>1.7939287602208951</v>
      </c>
      <c r="G44" s="8">
        <f t="shared" si="10"/>
        <v>19</v>
      </c>
      <c r="H44" s="8">
        <f t="shared" si="11"/>
        <v>48.641546028061242</v>
      </c>
      <c r="I44" s="9">
        <f t="shared" si="12"/>
        <v>3.001703384056325E-4</v>
      </c>
      <c r="J44" s="28">
        <f t="shared" si="13"/>
        <v>6.3608572035538327</v>
      </c>
      <c r="K44" s="38">
        <f t="shared" si="6"/>
        <v>7</v>
      </c>
      <c r="L44" s="7">
        <f t="shared" si="14"/>
        <v>3</v>
      </c>
    </row>
    <row r="45" spans="1:13" s="6" customFormat="1" x14ac:dyDescent="0.3">
      <c r="A45" s="29" t="str">
        <f>'Resultados por pier'!B33</f>
        <v>M21X</v>
      </c>
      <c r="B45" s="24">
        <f>'Resultados por pier'!D33</f>
        <v>1.9393</v>
      </c>
      <c r="C45" s="24">
        <f>'Resultados por pier'!H33</f>
        <v>2.0179999999999998</v>
      </c>
      <c r="D45" s="29">
        <v>5.0999999999999996</v>
      </c>
      <c r="E45" s="24">
        <f t="shared" si="8"/>
        <v>2.7161064425770305</v>
      </c>
      <c r="F45" s="24">
        <f t="shared" si="9"/>
        <v>0.20403561826937755</v>
      </c>
      <c r="G45" s="8">
        <f t="shared" si="10"/>
        <v>26.163679435575602</v>
      </c>
      <c r="H45" s="8">
        <f t="shared" si="11"/>
        <v>60.554450062106589</v>
      </c>
      <c r="I45" s="9">
        <f t="shared" si="12"/>
        <v>1.7574806393145495E-4</v>
      </c>
      <c r="J45" s="28">
        <f t="shared" si="13"/>
        <v>10.864077911466143</v>
      </c>
      <c r="K45" s="38">
        <f t="shared" si="6"/>
        <v>11</v>
      </c>
      <c r="L45" s="7">
        <f t="shared" si="14"/>
        <v>3</v>
      </c>
    </row>
    <row r="46" spans="1:13" s="6" customFormat="1" x14ac:dyDescent="0.3"/>
    <row r="47" spans="1:13" s="6" customFormat="1" x14ac:dyDescent="0.3"/>
    <row r="48" spans="1:13" s="6" customFormat="1" x14ac:dyDescent="0.3"/>
    <row r="49" s="6" customFormat="1" x14ac:dyDescent="0.3"/>
    <row r="50" s="6" customFormat="1" x14ac:dyDescent="0.3"/>
    <row r="51" s="6" customFormat="1" x14ac:dyDescent="0.3"/>
    <row r="52" s="6" customFormat="1" x14ac:dyDescent="0.3"/>
    <row r="53" s="6" customFormat="1" x14ac:dyDescent="0.3"/>
    <row r="54" s="6" customFormat="1" x14ac:dyDescent="0.3"/>
    <row r="55" s="6" customFormat="1" x14ac:dyDescent="0.3"/>
    <row r="56" s="6" customFormat="1" x14ac:dyDescent="0.3"/>
    <row r="57" s="6" customFormat="1" x14ac:dyDescent="0.3"/>
    <row r="58" s="6" customFormat="1" x14ac:dyDescent="0.3"/>
    <row r="59" s="6" customFormat="1" x14ac:dyDescent="0.3"/>
    <row r="60" s="6" customFormat="1" x14ac:dyDescent="0.3"/>
    <row r="61" s="6" customFormat="1" x14ac:dyDescent="0.3"/>
    <row r="62" s="6" customFormat="1" x14ac:dyDescent="0.3"/>
    <row r="63" s="6" customFormat="1" x14ac:dyDescent="0.3"/>
    <row r="64" s="6" customFormat="1" x14ac:dyDescent="0.3"/>
    <row r="65" s="6" customFormat="1" x14ac:dyDescent="0.3"/>
    <row r="66" s="6" customFormat="1" x14ac:dyDescent="0.3"/>
    <row r="67" s="6" customFormat="1" x14ac:dyDescent="0.3"/>
    <row r="68" s="6" customFormat="1" x14ac:dyDescent="0.3"/>
    <row r="69" s="6" customFormat="1" x14ac:dyDescent="0.3"/>
    <row r="70" s="6" customFormat="1" x14ac:dyDescent="0.3"/>
    <row r="71" s="6" customFormat="1" x14ac:dyDescent="0.3"/>
    <row r="72" s="6" customFormat="1" x14ac:dyDescent="0.3"/>
    <row r="73" s="6" customFormat="1" x14ac:dyDescent="0.3"/>
    <row r="74" s="6" customFormat="1" x14ac:dyDescent="0.3"/>
    <row r="75" s="6" customFormat="1" x14ac:dyDescent="0.3"/>
    <row r="76" s="6" customFormat="1" x14ac:dyDescent="0.3"/>
    <row r="77" s="6" customFormat="1" x14ac:dyDescent="0.3"/>
    <row r="78" s="6" customFormat="1" x14ac:dyDescent="0.3"/>
    <row r="79" s="6" customFormat="1" x14ac:dyDescent="0.3"/>
    <row r="80" s="6" customFormat="1" x14ac:dyDescent="0.3"/>
    <row r="81" s="6" customFormat="1" x14ac:dyDescent="0.3"/>
    <row r="82" s="6" customFormat="1" x14ac:dyDescent="0.3"/>
    <row r="83" s="6" customFormat="1" x14ac:dyDescent="0.3"/>
    <row r="84" s="6" customFormat="1" x14ac:dyDescent="0.3"/>
    <row r="85" s="6" customFormat="1" x14ac:dyDescent="0.3"/>
    <row r="86" s="6" customFormat="1" x14ac:dyDescent="0.3"/>
    <row r="87" s="6" customFormat="1" x14ac:dyDescent="0.3"/>
    <row r="88" s="6" customFormat="1" x14ac:dyDescent="0.3"/>
    <row r="89" s="6" customFormat="1" x14ac:dyDescent="0.3"/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D58B-62DD-49B0-8FF5-2F3E018E2753}">
  <dimension ref="B2:D5"/>
  <sheetViews>
    <sheetView workbookViewId="0">
      <selection activeCell="C29" sqref="C29"/>
    </sheetView>
  </sheetViews>
  <sheetFormatPr baseColWidth="10" defaultRowHeight="14.4" x14ac:dyDescent="0.3"/>
  <cols>
    <col min="1" max="2" width="11.5546875" style="6"/>
    <col min="3" max="4" width="20.109375" style="6" bestFit="1" customWidth="1"/>
    <col min="5" max="6" width="11.5546875" style="6"/>
    <col min="7" max="8" width="20.109375" style="6" bestFit="1" customWidth="1"/>
    <col min="9" max="16384" width="11.5546875" style="6"/>
  </cols>
  <sheetData>
    <row r="2" spans="2:4" ht="15" thickBot="1" x14ac:dyDescent="0.35">
      <c r="B2" s="36"/>
      <c r="C2" s="36"/>
      <c r="D2" s="36"/>
    </row>
    <row r="3" spans="2:4" ht="15" thickBot="1" x14ac:dyDescent="0.35">
      <c r="B3" s="37" t="s">
        <v>91</v>
      </c>
      <c r="C3" s="37" t="s">
        <v>94</v>
      </c>
      <c r="D3" s="37" t="s">
        <v>95</v>
      </c>
    </row>
    <row r="4" spans="2:4" x14ac:dyDescent="0.3">
      <c r="B4" s="35" t="s">
        <v>92</v>
      </c>
      <c r="C4" s="33">
        <f>'Resistencia al corte'!B9</f>
        <v>0.28000000000000003</v>
      </c>
      <c r="D4" s="33">
        <f>'Resistencia al corte'!B12</f>
        <v>0.63608175575157011</v>
      </c>
    </row>
    <row r="5" spans="2:4" ht="15" thickBot="1" x14ac:dyDescent="0.35">
      <c r="B5" s="36" t="s">
        <v>93</v>
      </c>
      <c r="C5" s="34">
        <f>'Resistencia al corte'!B10</f>
        <v>0.19</v>
      </c>
      <c r="D5" s="34">
        <f>'Resistencia al corte'!B13</f>
        <v>0.48641546028061239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5F50-745A-40AF-AD65-075F51DE0E61}">
  <dimension ref="B2:C18"/>
  <sheetViews>
    <sheetView topLeftCell="A7" workbookViewId="0">
      <selection activeCell="B35" sqref="B35"/>
    </sheetView>
  </sheetViews>
  <sheetFormatPr baseColWidth="10" defaultColWidth="11.5546875" defaultRowHeight="14.4" x14ac:dyDescent="0.3"/>
  <cols>
    <col min="1" max="1" width="7.44140625" style="6" customWidth="1"/>
    <col min="2" max="2" width="28.6640625" style="6" bestFit="1" customWidth="1"/>
    <col min="3" max="16384" width="11.5546875" style="6"/>
  </cols>
  <sheetData>
    <row r="2" spans="2:3" x14ac:dyDescent="0.3">
      <c r="B2" s="26" t="s">
        <v>23</v>
      </c>
      <c r="C2" s="26"/>
    </row>
    <row r="3" spans="2:3" x14ac:dyDescent="0.3">
      <c r="B3" s="7" t="s">
        <v>20</v>
      </c>
      <c r="C3" s="7">
        <v>1.8</v>
      </c>
    </row>
    <row r="4" spans="2:3" x14ac:dyDescent="0.3">
      <c r="B4" s="7" t="s">
        <v>21</v>
      </c>
      <c r="C4" s="7">
        <v>0.14000000000000001</v>
      </c>
    </row>
    <row r="5" spans="2:3" x14ac:dyDescent="0.3">
      <c r="B5" s="7" t="s">
        <v>22</v>
      </c>
      <c r="C5" s="7">
        <v>1.04</v>
      </c>
    </row>
    <row r="6" spans="2:3" x14ac:dyDescent="0.3">
      <c r="B6" s="7" t="s">
        <v>24</v>
      </c>
      <c r="C6" s="7">
        <v>10</v>
      </c>
    </row>
    <row r="8" spans="2:3" x14ac:dyDescent="0.3">
      <c r="B8" s="26" t="s">
        <v>25</v>
      </c>
      <c r="C8" s="26"/>
    </row>
    <row r="9" spans="2:3" x14ac:dyDescent="0.3">
      <c r="B9" s="7" t="s">
        <v>28</v>
      </c>
      <c r="C9" s="7">
        <v>2.5</v>
      </c>
    </row>
    <row r="10" spans="2:3" x14ac:dyDescent="0.3">
      <c r="B10" s="7" t="s">
        <v>21</v>
      </c>
      <c r="C10" s="7">
        <v>0.14000000000000001</v>
      </c>
    </row>
    <row r="11" spans="2:3" x14ac:dyDescent="0.3">
      <c r="B11" s="7" t="s">
        <v>27</v>
      </c>
      <c r="C11" s="7">
        <v>0.12</v>
      </c>
    </row>
    <row r="12" spans="2:3" x14ac:dyDescent="0.3">
      <c r="B12" s="7" t="s">
        <v>26</v>
      </c>
      <c r="C12" s="7">
        <v>10.49</v>
      </c>
    </row>
    <row r="15" spans="2:3" x14ac:dyDescent="0.3">
      <c r="B15" s="7" t="s">
        <v>47</v>
      </c>
      <c r="C15" s="7">
        <f>C3*C4*C5*1000</f>
        <v>262.0800000000001</v>
      </c>
    </row>
    <row r="16" spans="2:3" x14ac:dyDescent="0.3">
      <c r="B16" s="7" t="s">
        <v>48</v>
      </c>
      <c r="C16" s="7">
        <f>C9*C10*C11*1000</f>
        <v>42</v>
      </c>
    </row>
    <row r="17" spans="2:3" x14ac:dyDescent="0.3">
      <c r="B17" s="10" t="s">
        <v>49</v>
      </c>
      <c r="C17" s="10">
        <f>C15+C16+'Solicitacion cercha madera'!C27*'Solicitacion cercha madera'!C10/'Solicitación timpano'!C6</f>
        <v>307.01562500000011</v>
      </c>
    </row>
    <row r="18" spans="2:3" x14ac:dyDescent="0.3">
      <c r="B18" s="7" t="s">
        <v>53</v>
      </c>
      <c r="C18" s="7">
        <f>'Solicitacion cercha madera'!F22/2*5/C6</f>
        <v>70</v>
      </c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4323-B58A-4472-B8A9-BF42EC749805}">
  <dimension ref="B1:O28"/>
  <sheetViews>
    <sheetView topLeftCell="A4" zoomScaleNormal="100" workbookViewId="0">
      <selection activeCell="C29" sqref="C29"/>
    </sheetView>
  </sheetViews>
  <sheetFormatPr baseColWidth="10" defaultColWidth="11.5546875" defaultRowHeight="14.4" x14ac:dyDescent="0.3"/>
  <cols>
    <col min="1" max="1" width="8.44140625" style="6" customWidth="1"/>
    <col min="2" max="2" width="32.109375" style="6" bestFit="1" customWidth="1"/>
    <col min="3" max="4" width="11.5546875" style="6"/>
    <col min="5" max="5" width="19.88671875" style="6" bestFit="1" customWidth="1"/>
    <col min="6" max="7" width="9" style="6" bestFit="1" customWidth="1"/>
    <col min="8" max="16384" width="11.5546875" style="6"/>
  </cols>
  <sheetData>
    <row r="1" spans="2:15" ht="15" thickBot="1" x14ac:dyDescent="0.35"/>
    <row r="2" spans="2:15" x14ac:dyDescent="0.3">
      <c r="B2" s="27" t="s">
        <v>29</v>
      </c>
      <c r="C2" s="27"/>
      <c r="E2" s="11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2:15" x14ac:dyDescent="0.3">
      <c r="B3" s="20" t="s">
        <v>30</v>
      </c>
      <c r="C3" s="7">
        <v>550</v>
      </c>
      <c r="E3" s="14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2:15" x14ac:dyDescent="0.3">
      <c r="B4" s="20" t="s">
        <v>36</v>
      </c>
      <c r="C4" s="7">
        <v>100</v>
      </c>
      <c r="E4" s="14"/>
      <c r="F4" s="15"/>
      <c r="G4" s="15"/>
      <c r="H4" s="15"/>
      <c r="I4" s="15"/>
      <c r="J4" s="15"/>
      <c r="K4" s="15"/>
      <c r="L4" s="15"/>
      <c r="M4" s="15"/>
      <c r="N4" s="15"/>
      <c r="O4" s="16"/>
    </row>
    <row r="5" spans="2:15" x14ac:dyDescent="0.3">
      <c r="B5" s="20" t="s">
        <v>35</v>
      </c>
      <c r="C5" s="7">
        <v>50</v>
      </c>
      <c r="E5" s="14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2:15" x14ac:dyDescent="0.3">
      <c r="B6" s="21"/>
      <c r="E6" s="14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2:15" x14ac:dyDescent="0.3">
      <c r="B7" s="21"/>
      <c r="E7" s="14"/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2:15" x14ac:dyDescent="0.3">
      <c r="B8" s="20" t="s">
        <v>31</v>
      </c>
      <c r="C8" s="7">
        <v>0.157</v>
      </c>
      <c r="E8" s="14"/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2:15" x14ac:dyDescent="0.3">
      <c r="E9" s="14"/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15" x14ac:dyDescent="0.3">
      <c r="B10" s="7" t="s">
        <v>32</v>
      </c>
      <c r="C10" s="7">
        <v>5</v>
      </c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6"/>
    </row>
    <row r="11" spans="2:15" x14ac:dyDescent="0.3">
      <c r="B11" s="7" t="s">
        <v>33</v>
      </c>
      <c r="C11" s="7">
        <v>8.5399999999999991</v>
      </c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6"/>
    </row>
    <row r="12" spans="2:15" ht="15" thickBot="1" x14ac:dyDescent="0.35">
      <c r="B12" s="7" t="s">
        <v>34</v>
      </c>
      <c r="C12" s="7">
        <f>C11*C5/1000*C4/1000</f>
        <v>4.2699999999999995E-2</v>
      </c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9"/>
    </row>
    <row r="14" spans="2:15" x14ac:dyDescent="0.3">
      <c r="B14" s="23" t="s">
        <v>37</v>
      </c>
      <c r="C14" s="23">
        <v>4</v>
      </c>
    </row>
    <row r="15" spans="2:15" x14ac:dyDescent="0.3">
      <c r="B15" s="7" t="s">
        <v>38</v>
      </c>
      <c r="C15" s="7">
        <f>C11/10</f>
        <v>0.85399999999999987</v>
      </c>
    </row>
    <row r="16" spans="2:15" x14ac:dyDescent="0.3">
      <c r="B16" s="7" t="s">
        <v>39</v>
      </c>
      <c r="C16" s="7">
        <f>C15*C5/1000*C4/1000</f>
        <v>4.2699999999999995E-3</v>
      </c>
    </row>
    <row r="18" spans="2:8" x14ac:dyDescent="0.3">
      <c r="H18" s="6">
        <v>49.59</v>
      </c>
    </row>
    <row r="19" spans="2:8" x14ac:dyDescent="0.3">
      <c r="B19" s="27" t="s">
        <v>40</v>
      </c>
      <c r="C19" s="27"/>
      <c r="E19" s="6" t="s">
        <v>51</v>
      </c>
      <c r="F19" s="25">
        <f>8.4/5*10/6</f>
        <v>2.8000000000000003</v>
      </c>
      <c r="H19" s="6">
        <f>10*8.4</f>
        <v>84</v>
      </c>
    </row>
    <row r="20" spans="2:8" x14ac:dyDescent="0.3">
      <c r="B20" s="7" t="s">
        <v>41</v>
      </c>
      <c r="C20" s="7">
        <f>C3*C8/2</f>
        <v>43.174999999999997</v>
      </c>
      <c r="H20" s="6">
        <f>H18/H19</f>
        <v>0.59035714285714291</v>
      </c>
    </row>
    <row r="21" spans="2:8" x14ac:dyDescent="0.3">
      <c r="B21" s="7" t="s">
        <v>42</v>
      </c>
      <c r="C21" s="24">
        <f>$C$16*$C$3*2*5/2</f>
        <v>11.742499999999998</v>
      </c>
    </row>
    <row r="22" spans="2:8" x14ac:dyDescent="0.3">
      <c r="B22" s="7" t="s">
        <v>43</v>
      </c>
      <c r="C22" s="24">
        <f>C16*C3*5/2</f>
        <v>5.871249999999999</v>
      </c>
      <c r="E22" s="6" t="s">
        <v>50</v>
      </c>
      <c r="F22" s="24">
        <f>F19*100</f>
        <v>280</v>
      </c>
    </row>
    <row r="25" spans="2:8" x14ac:dyDescent="0.3">
      <c r="B25" s="27" t="s">
        <v>46</v>
      </c>
      <c r="C25" s="27"/>
    </row>
    <row r="26" spans="2:8" x14ac:dyDescent="0.3">
      <c r="B26" s="7" t="s">
        <v>44</v>
      </c>
      <c r="C26" s="24">
        <f>C20+C21</f>
        <v>54.917499999999997</v>
      </c>
    </row>
    <row r="27" spans="2:8" x14ac:dyDescent="0.3">
      <c r="B27" s="7" t="s">
        <v>45</v>
      </c>
      <c r="C27" s="24">
        <f>C22</f>
        <v>5.871249999999999</v>
      </c>
    </row>
    <row r="28" spans="2:8" x14ac:dyDescent="0.3">
      <c r="B28" s="7" t="s">
        <v>52</v>
      </c>
      <c r="C28" s="24">
        <f>+F22*6/2</f>
        <v>840</v>
      </c>
    </row>
  </sheetData>
  <mergeCells count="3">
    <mergeCell ref="B2:C2"/>
    <mergeCell ref="B19:C19"/>
    <mergeCell ref="B25:C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632-0BEC-43CE-AA79-0E3620F1F440}">
  <dimension ref="A1"/>
  <sheetViews>
    <sheetView workbookViewId="0">
      <selection activeCell="I22" sqref="I22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Resultados por pier</vt:lpstr>
      <vt:lpstr>Resistencia al corte</vt:lpstr>
      <vt:lpstr>Tablas Informe </vt:lpstr>
      <vt:lpstr>Solicitación timpano</vt:lpstr>
      <vt:lpstr>Solicitacion cercha madera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2018-12-17T20:20:05Z</dcterms:created>
  <dcterms:modified xsi:type="dcterms:W3CDTF">2018-12-23T23:22:47Z</dcterms:modified>
</cp:coreProperties>
</file>