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0" yWindow="-460" windowWidth="33600" windowHeight="20940" tabRatio="871" firstSheet="11" activeTab="16"/>
  </bookViews>
  <sheets>
    <sheet name="1st Run" sheetId="1" r:id="rId1"/>
    <sheet name="2nd Run" sheetId="3" r:id="rId2"/>
    <sheet name="3rd Run" sheetId="5" r:id="rId3"/>
    <sheet name="All Data" sheetId="4" r:id="rId4"/>
    <sheet name="Missing Binaries" sheetId="7" r:id="rId5"/>
    <sheet name="Final Missed Binaries" sheetId="8" r:id="rId6"/>
    <sheet name="Abs Calculations" sheetId="9" r:id="rId7"/>
    <sheet name="All Binaries" sheetId="6" r:id="rId8"/>
    <sheet name="2MASS Binaries" sheetId="21" r:id="rId9"/>
    <sheet name="Isochrone Binaries " sheetId="18" r:id="rId10"/>
    <sheet name="Binary Summary" sheetId="13" r:id="rId11"/>
    <sheet name="All Singles" sheetId="10" r:id="rId12"/>
    <sheet name="2MASS Singles" sheetId="20" r:id="rId13"/>
    <sheet name="Isochrone Singles" sheetId="19" r:id="rId14"/>
    <sheet name="Single Summary" sheetId="14" r:id="rId15"/>
    <sheet name="Cluster Information" sheetId="2" r:id="rId16"/>
    <sheet name="Cluster Summary" sheetId="15" r:id="rId17"/>
    <sheet name="Arg. Suspects" sheetId="22" r:id="rId18"/>
    <sheet name="Complete Binaries w. Flags" sheetId="23" r:id="rId19"/>
    <sheet name="Complete Singles w. Flags" sheetId="24" r:id="rId20"/>
    <sheet name="Complete Binaries w.o. Flags" sheetId="27" r:id="rId21"/>
    <sheet name="Complete Singles w.o. Flags" sheetId="28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5" i="27" l="1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54" i="27"/>
  <c r="P53" i="27"/>
  <c r="P51" i="27"/>
  <c r="P50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24" i="27"/>
  <c r="P23" i="27"/>
  <c r="P20" i="27"/>
  <c r="P21" i="27"/>
  <c r="P19" i="27"/>
  <c r="P18" i="27"/>
  <c r="P5" i="27"/>
  <c r="P6" i="27"/>
  <c r="P7" i="27"/>
  <c r="P8" i="27"/>
  <c r="P9" i="27"/>
  <c r="P10" i="27"/>
  <c r="P11" i="27"/>
  <c r="P12" i="27"/>
  <c r="P13" i="27"/>
  <c r="P14" i="27"/>
  <c r="P15" i="27"/>
  <c r="P16" i="27"/>
  <c r="P4" i="27"/>
  <c r="P3" i="27"/>
  <c r="S3" i="27"/>
  <c r="B18" i="15"/>
  <c r="B15" i="15"/>
  <c r="B12" i="15"/>
  <c r="B9" i="15"/>
  <c r="B6" i="15"/>
  <c r="B3" i="15"/>
  <c r="A257" i="28"/>
  <c r="F256" i="28"/>
  <c r="E256" i="28"/>
  <c r="D256" i="28"/>
  <c r="C256" i="28"/>
  <c r="B256" i="28"/>
  <c r="A256" i="28"/>
  <c r="A255" i="28"/>
  <c r="F254" i="28"/>
  <c r="E254" i="28"/>
  <c r="D254" i="28"/>
  <c r="C254" i="28"/>
  <c r="B254" i="28"/>
  <c r="A254" i="28"/>
  <c r="A253" i="28"/>
  <c r="F252" i="28"/>
  <c r="E252" i="28"/>
  <c r="D252" i="28"/>
  <c r="C252" i="28"/>
  <c r="B252" i="28"/>
  <c r="A252" i="28"/>
  <c r="A251" i="28"/>
  <c r="F250" i="28"/>
  <c r="E250" i="28"/>
  <c r="D250" i="28"/>
  <c r="C250" i="28"/>
  <c r="B250" i="28"/>
  <c r="A250" i="28"/>
  <c r="A249" i="28"/>
  <c r="F248" i="28"/>
  <c r="E248" i="28"/>
  <c r="D248" i="28"/>
  <c r="C248" i="28"/>
  <c r="B248" i="28"/>
  <c r="A248" i="28"/>
  <c r="A247" i="28"/>
  <c r="F246" i="28"/>
  <c r="E246" i="28"/>
  <c r="D246" i="28"/>
  <c r="C246" i="28"/>
  <c r="B246" i="28"/>
  <c r="A246" i="28"/>
  <c r="A245" i="28"/>
  <c r="F244" i="28"/>
  <c r="E244" i="28"/>
  <c r="D244" i="28"/>
  <c r="C244" i="28"/>
  <c r="B244" i="28"/>
  <c r="A244" i="28"/>
  <c r="A243" i="28"/>
  <c r="F242" i="28"/>
  <c r="E242" i="28"/>
  <c r="D242" i="28"/>
  <c r="C242" i="28"/>
  <c r="B242" i="28"/>
  <c r="A242" i="28"/>
  <c r="A241" i="28"/>
  <c r="F240" i="28"/>
  <c r="E240" i="28"/>
  <c r="D240" i="28"/>
  <c r="C240" i="28"/>
  <c r="B240" i="28"/>
  <c r="A240" i="28"/>
  <c r="A239" i="28"/>
  <c r="F238" i="28"/>
  <c r="E238" i="28"/>
  <c r="D238" i="28"/>
  <c r="C238" i="28"/>
  <c r="B238" i="28"/>
  <c r="A238" i="28"/>
  <c r="A237" i="28"/>
  <c r="F236" i="28"/>
  <c r="E236" i="28"/>
  <c r="D236" i="28"/>
  <c r="C236" i="28"/>
  <c r="B236" i="28"/>
  <c r="A236" i="28"/>
  <c r="A235" i="28"/>
  <c r="F234" i="28"/>
  <c r="E234" i="28"/>
  <c r="D234" i="28"/>
  <c r="C234" i="28"/>
  <c r="B234" i="28"/>
  <c r="A234" i="28"/>
  <c r="A233" i="28"/>
  <c r="F232" i="28"/>
  <c r="E232" i="28"/>
  <c r="D232" i="28"/>
  <c r="C232" i="28"/>
  <c r="B232" i="28"/>
  <c r="A232" i="28"/>
  <c r="A231" i="28"/>
  <c r="F230" i="28"/>
  <c r="E230" i="28"/>
  <c r="D230" i="28"/>
  <c r="C230" i="28"/>
  <c r="B230" i="28"/>
  <c r="A230" i="28"/>
  <c r="A229" i="28"/>
  <c r="F228" i="28"/>
  <c r="E228" i="28"/>
  <c r="D228" i="28"/>
  <c r="C228" i="28"/>
  <c r="B228" i="28"/>
  <c r="A228" i="28"/>
  <c r="A227" i="28"/>
  <c r="F226" i="28"/>
  <c r="E226" i="28"/>
  <c r="D226" i="28"/>
  <c r="C226" i="28"/>
  <c r="B226" i="28"/>
  <c r="A226" i="28"/>
  <c r="A225" i="28"/>
  <c r="F224" i="28"/>
  <c r="E224" i="28"/>
  <c r="D224" i="28"/>
  <c r="C224" i="28"/>
  <c r="B224" i="28"/>
  <c r="A224" i="28"/>
  <c r="A223" i="28"/>
  <c r="F222" i="28"/>
  <c r="E222" i="28"/>
  <c r="D222" i="28"/>
  <c r="C222" i="28"/>
  <c r="B222" i="28"/>
  <c r="A222" i="28"/>
  <c r="A221" i="28"/>
  <c r="F220" i="28"/>
  <c r="E220" i="28"/>
  <c r="D220" i="28"/>
  <c r="C220" i="28"/>
  <c r="B220" i="28"/>
  <c r="A220" i="28"/>
  <c r="A219" i="28"/>
  <c r="F218" i="28"/>
  <c r="E218" i="28"/>
  <c r="D218" i="28"/>
  <c r="C218" i="28"/>
  <c r="B218" i="28"/>
  <c r="A218" i="28"/>
  <c r="A217" i="28"/>
  <c r="F216" i="28"/>
  <c r="E216" i="28"/>
  <c r="D216" i="28"/>
  <c r="C216" i="28"/>
  <c r="B216" i="28"/>
  <c r="A216" i="28"/>
  <c r="A215" i="28"/>
  <c r="F214" i="28"/>
  <c r="E214" i="28"/>
  <c r="D214" i="28"/>
  <c r="C214" i="28"/>
  <c r="B214" i="28"/>
  <c r="A214" i="28"/>
  <c r="A213" i="28"/>
  <c r="F212" i="28"/>
  <c r="E212" i="28"/>
  <c r="D212" i="28"/>
  <c r="C212" i="28"/>
  <c r="B212" i="28"/>
  <c r="A212" i="28"/>
  <c r="A211" i="28"/>
  <c r="F210" i="28"/>
  <c r="E210" i="28"/>
  <c r="D210" i="28"/>
  <c r="C210" i="28"/>
  <c r="B210" i="28"/>
  <c r="A210" i="28"/>
  <c r="A209" i="28"/>
  <c r="F208" i="28"/>
  <c r="E208" i="28"/>
  <c r="D208" i="28"/>
  <c r="C208" i="28"/>
  <c r="B208" i="28"/>
  <c r="A208" i="28"/>
  <c r="A207" i="28"/>
  <c r="F206" i="28"/>
  <c r="E206" i="28"/>
  <c r="D206" i="28"/>
  <c r="C206" i="28"/>
  <c r="B206" i="28"/>
  <c r="A206" i="28"/>
  <c r="A205" i="28"/>
  <c r="F204" i="28"/>
  <c r="E204" i="28"/>
  <c r="D204" i="28"/>
  <c r="C204" i="28"/>
  <c r="B204" i="28"/>
  <c r="A204" i="28"/>
  <c r="A203" i="28"/>
  <c r="F202" i="28"/>
  <c r="E202" i="28"/>
  <c r="D202" i="28"/>
  <c r="C202" i="28"/>
  <c r="B202" i="28"/>
  <c r="A202" i="28"/>
  <c r="A200" i="28"/>
  <c r="F199" i="28"/>
  <c r="E199" i="28"/>
  <c r="D199" i="28"/>
  <c r="C199" i="28"/>
  <c r="B199" i="28"/>
  <c r="A199" i="28"/>
  <c r="A198" i="28"/>
  <c r="F197" i="28"/>
  <c r="E197" i="28"/>
  <c r="D197" i="28"/>
  <c r="C197" i="28"/>
  <c r="B197" i="28"/>
  <c r="A197" i="28"/>
  <c r="A196" i="28"/>
  <c r="F195" i="28"/>
  <c r="E195" i="28"/>
  <c r="D195" i="28"/>
  <c r="C195" i="28"/>
  <c r="B195" i="28"/>
  <c r="A195" i="28"/>
  <c r="A194" i="28"/>
  <c r="F193" i="28"/>
  <c r="E193" i="28"/>
  <c r="D193" i="28"/>
  <c r="C193" i="28"/>
  <c r="B193" i="28"/>
  <c r="A193" i="28"/>
  <c r="A192" i="28"/>
  <c r="F191" i="28"/>
  <c r="E191" i="28"/>
  <c r="D191" i="28"/>
  <c r="C191" i="28"/>
  <c r="B191" i="28"/>
  <c r="A191" i="28"/>
  <c r="A190" i="28"/>
  <c r="F189" i="28"/>
  <c r="E189" i="28"/>
  <c r="D189" i="28"/>
  <c r="C189" i="28"/>
  <c r="B189" i="28"/>
  <c r="A189" i="28"/>
  <c r="A188" i="28"/>
  <c r="F187" i="28"/>
  <c r="E187" i="28"/>
  <c r="D187" i="28"/>
  <c r="C187" i="28"/>
  <c r="B187" i="28"/>
  <c r="A187" i="28"/>
  <c r="A186" i="28"/>
  <c r="F185" i="28"/>
  <c r="E185" i="28"/>
  <c r="D185" i="28"/>
  <c r="C185" i="28"/>
  <c r="B185" i="28"/>
  <c r="A185" i="28"/>
  <c r="A184" i="28"/>
  <c r="F183" i="28"/>
  <c r="E183" i="28"/>
  <c r="D183" i="28"/>
  <c r="C183" i="28"/>
  <c r="B183" i="28"/>
  <c r="A183" i="28"/>
  <c r="A182" i="28"/>
  <c r="F181" i="28"/>
  <c r="E181" i="28"/>
  <c r="D181" i="28"/>
  <c r="C181" i="28"/>
  <c r="B181" i="28"/>
  <c r="A181" i="28"/>
  <c r="A180" i="28"/>
  <c r="F179" i="28"/>
  <c r="E179" i="28"/>
  <c r="D179" i="28"/>
  <c r="C179" i="28"/>
  <c r="B179" i="28"/>
  <c r="A179" i="28"/>
  <c r="A178" i="28"/>
  <c r="F177" i="28"/>
  <c r="E177" i="28"/>
  <c r="D177" i="28"/>
  <c r="C177" i="28"/>
  <c r="B177" i="28"/>
  <c r="A177" i="28"/>
  <c r="A176" i="28"/>
  <c r="F175" i="28"/>
  <c r="E175" i="28"/>
  <c r="D175" i="28"/>
  <c r="C175" i="28"/>
  <c r="B175" i="28"/>
  <c r="A175" i="28"/>
  <c r="A174" i="28"/>
  <c r="F173" i="28"/>
  <c r="E173" i="28"/>
  <c r="D173" i="28"/>
  <c r="C173" i="28"/>
  <c r="B173" i="28"/>
  <c r="A173" i="28"/>
  <c r="A172" i="28"/>
  <c r="F171" i="28"/>
  <c r="E171" i="28"/>
  <c r="D171" i="28"/>
  <c r="C171" i="28"/>
  <c r="B171" i="28"/>
  <c r="A171" i="28"/>
  <c r="A170" i="28"/>
  <c r="F169" i="28"/>
  <c r="E169" i="28"/>
  <c r="D169" i="28"/>
  <c r="C169" i="28"/>
  <c r="B169" i="28"/>
  <c r="A169" i="28"/>
  <c r="A168" i="28"/>
  <c r="F167" i="28"/>
  <c r="E167" i="28"/>
  <c r="D167" i="28"/>
  <c r="C167" i="28"/>
  <c r="B167" i="28"/>
  <c r="A167" i="28"/>
  <c r="A166" i="28"/>
  <c r="F165" i="28"/>
  <c r="E165" i="28"/>
  <c r="D165" i="28"/>
  <c r="C165" i="28"/>
  <c r="B165" i="28"/>
  <c r="A165" i="28"/>
  <c r="A164" i="28"/>
  <c r="F163" i="28"/>
  <c r="E163" i="28"/>
  <c r="D163" i="28"/>
  <c r="C163" i="28"/>
  <c r="B163" i="28"/>
  <c r="A163" i="28"/>
  <c r="A162" i="28"/>
  <c r="F161" i="28"/>
  <c r="E161" i="28"/>
  <c r="D161" i="28"/>
  <c r="C161" i="28"/>
  <c r="B161" i="28"/>
  <c r="A161" i="28"/>
  <c r="A160" i="28"/>
  <c r="F159" i="28"/>
  <c r="E159" i="28"/>
  <c r="D159" i="28"/>
  <c r="C159" i="28"/>
  <c r="B159" i="28"/>
  <c r="A159" i="28"/>
  <c r="A157" i="28"/>
  <c r="F156" i="28"/>
  <c r="E156" i="28"/>
  <c r="D156" i="28"/>
  <c r="C156" i="28"/>
  <c r="B156" i="28"/>
  <c r="A156" i="28"/>
  <c r="A155" i="28"/>
  <c r="F154" i="28"/>
  <c r="E154" i="28"/>
  <c r="D154" i="28"/>
  <c r="C154" i="28"/>
  <c r="B154" i="28"/>
  <c r="A154" i="28"/>
  <c r="A153" i="28"/>
  <c r="F152" i="28"/>
  <c r="E152" i="28"/>
  <c r="D152" i="28"/>
  <c r="C152" i="28"/>
  <c r="B152" i="28"/>
  <c r="A152" i="28"/>
  <c r="A151" i="28"/>
  <c r="F150" i="28"/>
  <c r="E150" i="28"/>
  <c r="D150" i="28"/>
  <c r="C150" i="28"/>
  <c r="B150" i="28"/>
  <c r="A150" i="28"/>
  <c r="A149" i="28"/>
  <c r="F148" i="28"/>
  <c r="E148" i="28"/>
  <c r="D148" i="28"/>
  <c r="C148" i="28"/>
  <c r="B148" i="28"/>
  <c r="A148" i="28"/>
  <c r="A147" i="28"/>
  <c r="F146" i="28"/>
  <c r="E146" i="28"/>
  <c r="D146" i="28"/>
  <c r="C146" i="28"/>
  <c r="B146" i="28"/>
  <c r="A146" i="28"/>
  <c r="A145" i="28"/>
  <c r="F144" i="28"/>
  <c r="E144" i="28"/>
  <c r="D144" i="28"/>
  <c r="C144" i="28"/>
  <c r="B144" i="28"/>
  <c r="A144" i="28"/>
  <c r="A143" i="28"/>
  <c r="F142" i="28"/>
  <c r="E142" i="28"/>
  <c r="D142" i="28"/>
  <c r="C142" i="28"/>
  <c r="B142" i="28"/>
  <c r="A142" i="28"/>
  <c r="A141" i="28"/>
  <c r="F140" i="28"/>
  <c r="E140" i="28"/>
  <c r="D140" i="28"/>
  <c r="C140" i="28"/>
  <c r="B140" i="28"/>
  <c r="A140" i="28"/>
  <c r="A139" i="28"/>
  <c r="F138" i="28"/>
  <c r="E138" i="28"/>
  <c r="D138" i="28"/>
  <c r="C138" i="28"/>
  <c r="B138" i="28"/>
  <c r="A138" i="28"/>
  <c r="A137" i="28"/>
  <c r="F136" i="28"/>
  <c r="E136" i="28"/>
  <c r="D136" i="28"/>
  <c r="C136" i="28"/>
  <c r="B136" i="28"/>
  <c r="A136" i="28"/>
  <c r="A135" i="28"/>
  <c r="F134" i="28"/>
  <c r="E134" i="28"/>
  <c r="D134" i="28"/>
  <c r="C134" i="28"/>
  <c r="B134" i="28"/>
  <c r="A134" i="28"/>
  <c r="A133" i="28"/>
  <c r="F132" i="28"/>
  <c r="E132" i="28"/>
  <c r="D132" i="28"/>
  <c r="C132" i="28"/>
  <c r="B132" i="28"/>
  <c r="A132" i="28"/>
  <c r="A131" i="28"/>
  <c r="F130" i="28"/>
  <c r="E130" i="28"/>
  <c r="D130" i="28"/>
  <c r="C130" i="28"/>
  <c r="B130" i="28"/>
  <c r="A130" i="28"/>
  <c r="A129" i="28"/>
  <c r="F128" i="28"/>
  <c r="E128" i="28"/>
  <c r="D128" i="28"/>
  <c r="C128" i="28"/>
  <c r="B128" i="28"/>
  <c r="A128" i="28"/>
  <c r="A127" i="28"/>
  <c r="F126" i="28"/>
  <c r="E126" i="28"/>
  <c r="D126" i="28"/>
  <c r="C126" i="28"/>
  <c r="B126" i="28"/>
  <c r="A126" i="28"/>
  <c r="A125" i="28"/>
  <c r="F124" i="28"/>
  <c r="E124" i="28"/>
  <c r="D124" i="28"/>
  <c r="C124" i="28"/>
  <c r="B124" i="28"/>
  <c r="A124" i="28"/>
  <c r="A123" i="28"/>
  <c r="F122" i="28"/>
  <c r="E122" i="28"/>
  <c r="D122" i="28"/>
  <c r="C122" i="28"/>
  <c r="B122" i="28"/>
  <c r="A122" i="28"/>
  <c r="A121" i="28"/>
  <c r="F120" i="28"/>
  <c r="E120" i="28"/>
  <c r="D120" i="28"/>
  <c r="C120" i="28"/>
  <c r="B120" i="28"/>
  <c r="A120" i="28"/>
  <c r="A119" i="28"/>
  <c r="F118" i="28"/>
  <c r="E118" i="28"/>
  <c r="D118" i="28"/>
  <c r="C118" i="28"/>
  <c r="B118" i="28"/>
  <c r="A118" i="28"/>
  <c r="A117" i="28"/>
  <c r="F116" i="28"/>
  <c r="E116" i="28"/>
  <c r="D116" i="28"/>
  <c r="C116" i="28"/>
  <c r="B116" i="28"/>
  <c r="A116" i="28"/>
  <c r="A115" i="28"/>
  <c r="F114" i="28"/>
  <c r="E114" i="28"/>
  <c r="D114" i="28"/>
  <c r="C114" i="28"/>
  <c r="B114" i="28"/>
  <c r="A114" i="28"/>
  <c r="A113" i="28"/>
  <c r="F112" i="28"/>
  <c r="E112" i="28"/>
  <c r="D112" i="28"/>
  <c r="C112" i="28"/>
  <c r="B112" i="28"/>
  <c r="A112" i="28"/>
  <c r="A111" i="28"/>
  <c r="F110" i="28"/>
  <c r="E110" i="28"/>
  <c r="D110" i="28"/>
  <c r="C110" i="28"/>
  <c r="B110" i="28"/>
  <c r="A110" i="28"/>
  <c r="A108" i="28"/>
  <c r="F107" i="28"/>
  <c r="E107" i="28"/>
  <c r="D107" i="28"/>
  <c r="C107" i="28"/>
  <c r="B107" i="28"/>
  <c r="A107" i="28"/>
  <c r="A106" i="28"/>
  <c r="F105" i="28"/>
  <c r="E105" i="28"/>
  <c r="D105" i="28"/>
  <c r="C105" i="28"/>
  <c r="B105" i="28"/>
  <c r="A105" i="28"/>
  <c r="A104" i="28"/>
  <c r="F103" i="28"/>
  <c r="E103" i="28"/>
  <c r="D103" i="28"/>
  <c r="C103" i="28"/>
  <c r="B103" i="28"/>
  <c r="A103" i="28"/>
  <c r="A102" i="28"/>
  <c r="F101" i="28"/>
  <c r="E101" i="28"/>
  <c r="D101" i="28"/>
  <c r="C101" i="28"/>
  <c r="B101" i="28"/>
  <c r="A101" i="28"/>
  <c r="A100" i="28"/>
  <c r="F99" i="28"/>
  <c r="E99" i="28"/>
  <c r="D99" i="28"/>
  <c r="C99" i="28"/>
  <c r="B99" i="28"/>
  <c r="A99" i="28"/>
  <c r="A98" i="28"/>
  <c r="F97" i="28"/>
  <c r="E97" i="28"/>
  <c r="D97" i="28"/>
  <c r="C97" i="28"/>
  <c r="B97" i="28"/>
  <c r="A97" i="28"/>
  <c r="A96" i="28"/>
  <c r="F95" i="28"/>
  <c r="E95" i="28"/>
  <c r="D95" i="28"/>
  <c r="C95" i="28"/>
  <c r="B95" i="28"/>
  <c r="A95" i="28"/>
  <c r="A94" i="28"/>
  <c r="F93" i="28"/>
  <c r="E93" i="28"/>
  <c r="D93" i="28"/>
  <c r="C93" i="28"/>
  <c r="B93" i="28"/>
  <c r="A93" i="28"/>
  <c r="A92" i="28"/>
  <c r="F91" i="28"/>
  <c r="E91" i="28"/>
  <c r="D91" i="28"/>
  <c r="C91" i="28"/>
  <c r="B91" i="28"/>
  <c r="A91" i="28"/>
  <c r="A90" i="28"/>
  <c r="F89" i="28"/>
  <c r="E89" i="28"/>
  <c r="D89" i="28"/>
  <c r="C89" i="28"/>
  <c r="B89" i="28"/>
  <c r="A89" i="28"/>
  <c r="A88" i="28"/>
  <c r="F87" i="28"/>
  <c r="E87" i="28"/>
  <c r="D87" i="28"/>
  <c r="C87" i="28"/>
  <c r="B87" i="28"/>
  <c r="A87" i="28"/>
  <c r="A86" i="28"/>
  <c r="F85" i="28"/>
  <c r="E85" i="28"/>
  <c r="D85" i="28"/>
  <c r="C85" i="28"/>
  <c r="B85" i="28"/>
  <c r="A85" i="28"/>
  <c r="A84" i="28"/>
  <c r="F83" i="28"/>
  <c r="E83" i="28"/>
  <c r="D83" i="28"/>
  <c r="C83" i="28"/>
  <c r="B83" i="28"/>
  <c r="A83" i="28"/>
  <c r="A82" i="28"/>
  <c r="F81" i="28"/>
  <c r="E81" i="28"/>
  <c r="D81" i="28"/>
  <c r="C81" i="28"/>
  <c r="B81" i="28"/>
  <c r="A81" i="28"/>
  <c r="A80" i="28"/>
  <c r="F79" i="28"/>
  <c r="E79" i="28"/>
  <c r="D79" i="28"/>
  <c r="C79" i="28"/>
  <c r="B79" i="28"/>
  <c r="A79" i="28"/>
  <c r="A78" i="28"/>
  <c r="F77" i="28"/>
  <c r="E77" i="28"/>
  <c r="D77" i="28"/>
  <c r="C77" i="28"/>
  <c r="B77" i="28"/>
  <c r="A77" i="28"/>
  <c r="A76" i="28"/>
  <c r="F75" i="28"/>
  <c r="E75" i="28"/>
  <c r="D75" i="28"/>
  <c r="C75" i="28"/>
  <c r="B75" i="28"/>
  <c r="A75" i="28"/>
  <c r="A74" i="28"/>
  <c r="F73" i="28"/>
  <c r="E73" i="28"/>
  <c r="D73" i="28"/>
  <c r="C73" i="28"/>
  <c r="B73" i="28"/>
  <c r="A73" i="28"/>
  <c r="A72" i="28"/>
  <c r="F71" i="28"/>
  <c r="E71" i="28"/>
  <c r="D71" i="28"/>
  <c r="C71" i="28"/>
  <c r="B71" i="28"/>
  <c r="A71" i="28"/>
  <c r="A70" i="28"/>
  <c r="F69" i="28"/>
  <c r="E69" i="28"/>
  <c r="D69" i="28"/>
  <c r="C69" i="28"/>
  <c r="B69" i="28"/>
  <c r="A69" i="28"/>
  <c r="A68" i="28"/>
  <c r="F67" i="28"/>
  <c r="E67" i="28"/>
  <c r="D67" i="28"/>
  <c r="C67" i="28"/>
  <c r="B67" i="28"/>
  <c r="A67" i="28"/>
  <c r="A66" i="28"/>
  <c r="F65" i="28"/>
  <c r="E65" i="28"/>
  <c r="D65" i="28"/>
  <c r="C65" i="28"/>
  <c r="B65" i="28"/>
  <c r="A65" i="28"/>
  <c r="A64" i="28"/>
  <c r="F63" i="28"/>
  <c r="E63" i="28"/>
  <c r="D63" i="28"/>
  <c r="C63" i="28"/>
  <c r="B63" i="28"/>
  <c r="A63" i="28"/>
  <c r="A62" i="28"/>
  <c r="F61" i="28"/>
  <c r="E61" i="28"/>
  <c r="D61" i="28"/>
  <c r="C61" i="28"/>
  <c r="B61" i="28"/>
  <c r="A61" i="28"/>
  <c r="A60" i="28"/>
  <c r="F59" i="28"/>
  <c r="E59" i="28"/>
  <c r="D59" i="28"/>
  <c r="C59" i="28"/>
  <c r="B59" i="28"/>
  <c r="A59" i="28"/>
  <c r="A58" i="28"/>
  <c r="F57" i="28"/>
  <c r="E57" i="28"/>
  <c r="D57" i="28"/>
  <c r="C57" i="28"/>
  <c r="B57" i="28"/>
  <c r="A57" i="28"/>
  <c r="A56" i="28"/>
  <c r="F55" i="28"/>
  <c r="E55" i="28"/>
  <c r="D55" i="28"/>
  <c r="C55" i="28"/>
  <c r="B55" i="28"/>
  <c r="A55" i="28"/>
  <c r="A54" i="28"/>
  <c r="F53" i="28"/>
  <c r="E53" i="28"/>
  <c r="D53" i="28"/>
  <c r="C53" i="28"/>
  <c r="B53" i="28"/>
  <c r="A53" i="28"/>
  <c r="A51" i="28"/>
  <c r="F50" i="28"/>
  <c r="E50" i="28"/>
  <c r="D50" i="28"/>
  <c r="C50" i="28"/>
  <c r="B50" i="28"/>
  <c r="A50" i="28"/>
  <c r="A49" i="28"/>
  <c r="F48" i="28"/>
  <c r="E48" i="28"/>
  <c r="D48" i="28"/>
  <c r="C48" i="28"/>
  <c r="B48" i="28"/>
  <c r="A48" i="28"/>
  <c r="A47" i="28"/>
  <c r="F46" i="28"/>
  <c r="E46" i="28"/>
  <c r="D46" i="28"/>
  <c r="C46" i="28"/>
  <c r="B46" i="28"/>
  <c r="A46" i="28"/>
  <c r="A45" i="28"/>
  <c r="F44" i="28"/>
  <c r="E44" i="28"/>
  <c r="D44" i="28"/>
  <c r="C44" i="28"/>
  <c r="B44" i="28"/>
  <c r="A44" i="28"/>
  <c r="A42" i="28"/>
  <c r="F41" i="28"/>
  <c r="E41" i="28"/>
  <c r="D41" i="28"/>
  <c r="C41" i="28"/>
  <c r="B41" i="28"/>
  <c r="A41" i="28"/>
  <c r="A40" i="28"/>
  <c r="F39" i="28"/>
  <c r="E39" i="28"/>
  <c r="D39" i="28"/>
  <c r="C39" i="28"/>
  <c r="B39" i="28"/>
  <c r="A39" i="28"/>
  <c r="A38" i="28"/>
  <c r="F37" i="28"/>
  <c r="E37" i="28"/>
  <c r="D37" i="28"/>
  <c r="C37" i="28"/>
  <c r="B37" i="28"/>
  <c r="A37" i="28"/>
  <c r="A36" i="28"/>
  <c r="F35" i="28"/>
  <c r="E35" i="28"/>
  <c r="D35" i="28"/>
  <c r="C35" i="28"/>
  <c r="B35" i="28"/>
  <c r="A35" i="28"/>
  <c r="A34" i="28"/>
  <c r="F33" i="28"/>
  <c r="E33" i="28"/>
  <c r="D33" i="28"/>
  <c r="C33" i="28"/>
  <c r="B33" i="28"/>
  <c r="A33" i="28"/>
  <c r="A32" i="28"/>
  <c r="F31" i="28"/>
  <c r="E31" i="28"/>
  <c r="D31" i="28"/>
  <c r="C31" i="28"/>
  <c r="B31" i="28"/>
  <c r="A31" i="28"/>
  <c r="A30" i="28"/>
  <c r="F29" i="28"/>
  <c r="E29" i="28"/>
  <c r="D29" i="28"/>
  <c r="C29" i="28"/>
  <c r="B29" i="28"/>
  <c r="A29" i="28"/>
  <c r="A28" i="28"/>
  <c r="F27" i="28"/>
  <c r="E27" i="28"/>
  <c r="D27" i="28"/>
  <c r="C27" i="28"/>
  <c r="B27" i="28"/>
  <c r="A27" i="28"/>
  <c r="A26" i="28"/>
  <c r="F25" i="28"/>
  <c r="E25" i="28"/>
  <c r="D25" i="28"/>
  <c r="C25" i="28"/>
  <c r="B25" i="28"/>
  <c r="A25" i="28"/>
  <c r="A24" i="28"/>
  <c r="F23" i="28"/>
  <c r="E23" i="28"/>
  <c r="D23" i="28"/>
  <c r="C23" i="28"/>
  <c r="B23" i="28"/>
  <c r="A23" i="28"/>
  <c r="A22" i="28"/>
  <c r="F21" i="28"/>
  <c r="E21" i="28"/>
  <c r="D21" i="28"/>
  <c r="C21" i="28"/>
  <c r="B21" i="28"/>
  <c r="A21" i="28"/>
  <c r="A20" i="28"/>
  <c r="F19" i="28"/>
  <c r="E19" i="28"/>
  <c r="D19" i="28"/>
  <c r="C19" i="28"/>
  <c r="B19" i="28"/>
  <c r="A19" i="28"/>
  <c r="A18" i="28"/>
  <c r="F17" i="28"/>
  <c r="E17" i="28"/>
  <c r="D17" i="28"/>
  <c r="C17" i="28"/>
  <c r="B17" i="28"/>
  <c r="A17" i="28"/>
  <c r="A16" i="28"/>
  <c r="F15" i="28"/>
  <c r="E15" i="28"/>
  <c r="D15" i="28"/>
  <c r="C15" i="28"/>
  <c r="B15" i="28"/>
  <c r="A15" i="28"/>
  <c r="A14" i="28"/>
  <c r="F13" i="28"/>
  <c r="E13" i="28"/>
  <c r="D13" i="28"/>
  <c r="C13" i="28"/>
  <c r="B13" i="28"/>
  <c r="A13" i="28"/>
  <c r="A12" i="28"/>
  <c r="F11" i="28"/>
  <c r="E11" i="28"/>
  <c r="D11" i="28"/>
  <c r="C11" i="28"/>
  <c r="B11" i="28"/>
  <c r="A11" i="28"/>
  <c r="A10" i="28"/>
  <c r="F9" i="28"/>
  <c r="E9" i="28"/>
  <c r="D9" i="28"/>
  <c r="C9" i="28"/>
  <c r="B9" i="28"/>
  <c r="A9" i="28"/>
  <c r="A8" i="28"/>
  <c r="F7" i="28"/>
  <c r="E7" i="28"/>
  <c r="D7" i="28"/>
  <c r="C7" i="28"/>
  <c r="B7" i="28"/>
  <c r="A7" i="28"/>
  <c r="A6" i="28"/>
  <c r="F5" i="28"/>
  <c r="E5" i="28"/>
  <c r="D5" i="28"/>
  <c r="C5" i="28"/>
  <c r="B5" i="28"/>
  <c r="A5" i="28"/>
  <c r="A4" i="28"/>
  <c r="F3" i="28"/>
  <c r="E3" i="28"/>
  <c r="D3" i="28"/>
  <c r="C3" i="28"/>
  <c r="B3" i="28"/>
  <c r="A3" i="28"/>
  <c r="D256" i="24"/>
  <c r="E256" i="24"/>
  <c r="F256" i="24"/>
  <c r="A256" i="24"/>
  <c r="B256" i="24"/>
  <c r="C256" i="24"/>
  <c r="A257" i="24"/>
  <c r="D250" i="24"/>
  <c r="E250" i="24"/>
  <c r="F250" i="24"/>
  <c r="D252" i="24"/>
  <c r="E252" i="24"/>
  <c r="F252" i="24"/>
  <c r="D254" i="24"/>
  <c r="E254" i="24"/>
  <c r="F254" i="24"/>
  <c r="A250" i="24"/>
  <c r="B250" i="24"/>
  <c r="C250" i="24"/>
  <c r="A251" i="24"/>
  <c r="A252" i="24"/>
  <c r="B252" i="24"/>
  <c r="C252" i="24"/>
  <c r="A253" i="24"/>
  <c r="A254" i="24"/>
  <c r="B254" i="24"/>
  <c r="C254" i="24"/>
  <c r="A255" i="24"/>
  <c r="D248" i="24"/>
  <c r="E248" i="24"/>
  <c r="F248" i="24"/>
  <c r="A248" i="24"/>
  <c r="B248" i="24"/>
  <c r="C248" i="24"/>
  <c r="A249" i="24"/>
  <c r="D199" i="24"/>
  <c r="E199" i="24"/>
  <c r="F199" i="24"/>
  <c r="A199" i="24"/>
  <c r="B199" i="24"/>
  <c r="C199" i="24"/>
  <c r="A200" i="24"/>
  <c r="D197" i="24"/>
  <c r="E197" i="24"/>
  <c r="F197" i="24"/>
  <c r="A197" i="24"/>
  <c r="B197" i="24"/>
  <c r="C197" i="24"/>
  <c r="A198" i="24"/>
  <c r="D195" i="24"/>
  <c r="E195" i="24"/>
  <c r="F195" i="24"/>
  <c r="A195" i="24"/>
  <c r="B195" i="24"/>
  <c r="C195" i="24"/>
  <c r="A196" i="24"/>
  <c r="D193" i="24"/>
  <c r="E193" i="24"/>
  <c r="F193" i="24"/>
  <c r="A193" i="24"/>
  <c r="B193" i="24"/>
  <c r="C193" i="24"/>
  <c r="A194" i="24"/>
  <c r="D191" i="24"/>
  <c r="E191" i="24"/>
  <c r="F191" i="24"/>
  <c r="A191" i="24"/>
  <c r="B191" i="24"/>
  <c r="C191" i="24"/>
  <c r="A192" i="24"/>
  <c r="D189" i="24"/>
  <c r="E189" i="24"/>
  <c r="F189" i="24"/>
  <c r="A189" i="24"/>
  <c r="B189" i="24"/>
  <c r="C189" i="24"/>
  <c r="A190" i="24"/>
  <c r="C50" i="24"/>
  <c r="D50" i="24"/>
  <c r="E50" i="24"/>
  <c r="F50" i="24"/>
  <c r="A50" i="24"/>
  <c r="B50" i="24"/>
  <c r="A51" i="24"/>
  <c r="A53" i="24"/>
  <c r="B53" i="24"/>
  <c r="C53" i="24"/>
  <c r="D53" i="24"/>
  <c r="E53" i="24"/>
  <c r="F53" i="24"/>
  <c r="A26" i="27"/>
  <c r="D26" i="27"/>
  <c r="E26" i="27"/>
  <c r="F26" i="27"/>
  <c r="G26" i="27"/>
  <c r="H26" i="27"/>
  <c r="I26" i="27"/>
  <c r="J26" i="27"/>
  <c r="O26" i="27"/>
  <c r="C25" i="27"/>
  <c r="Q26" i="27"/>
  <c r="A27" i="27"/>
  <c r="B27" i="27"/>
  <c r="C27" i="27"/>
  <c r="D27" i="27"/>
  <c r="E27" i="27"/>
  <c r="F27" i="27"/>
  <c r="G27" i="27"/>
  <c r="H27" i="27"/>
  <c r="I27" i="27"/>
  <c r="J27" i="27"/>
  <c r="G28" i="27"/>
  <c r="K27" i="27"/>
  <c r="H28" i="27"/>
  <c r="L27" i="27"/>
  <c r="I28" i="27"/>
  <c r="M27" i="27"/>
  <c r="J28" i="27"/>
  <c r="N27" i="27"/>
  <c r="O27" i="27"/>
  <c r="Q27" i="27"/>
  <c r="A23" i="27"/>
  <c r="B23" i="27"/>
  <c r="C23" i="27"/>
  <c r="D23" i="27"/>
  <c r="E23" i="27"/>
  <c r="F23" i="27"/>
  <c r="G23" i="27"/>
  <c r="H23" i="27"/>
  <c r="I23" i="27"/>
  <c r="J23" i="27"/>
  <c r="G24" i="27"/>
  <c r="K23" i="27"/>
  <c r="H24" i="27"/>
  <c r="L23" i="27"/>
  <c r="I24" i="27"/>
  <c r="M23" i="27"/>
  <c r="J24" i="27"/>
  <c r="N23" i="27"/>
  <c r="O23" i="27"/>
  <c r="Q23" i="27"/>
  <c r="A18" i="27"/>
  <c r="B18" i="27"/>
  <c r="C18" i="27"/>
  <c r="D18" i="27"/>
  <c r="E18" i="27"/>
  <c r="F18" i="27"/>
  <c r="G18" i="27"/>
  <c r="H18" i="27"/>
  <c r="I18" i="27"/>
  <c r="J18" i="27"/>
  <c r="G19" i="27"/>
  <c r="K18" i="27"/>
  <c r="H19" i="27"/>
  <c r="L18" i="27"/>
  <c r="I19" i="27"/>
  <c r="M18" i="27"/>
  <c r="J19" i="27"/>
  <c r="N18" i="27"/>
  <c r="O18" i="27"/>
  <c r="Q18" i="27"/>
  <c r="A19" i="27"/>
  <c r="D19" i="27"/>
  <c r="E19" i="27"/>
  <c r="F19" i="27"/>
  <c r="O19" i="27"/>
  <c r="Q19" i="27"/>
  <c r="Q72" i="27"/>
  <c r="O72" i="27"/>
  <c r="C71" i="27"/>
  <c r="J72" i="27"/>
  <c r="I72" i="27"/>
  <c r="F72" i="27"/>
  <c r="A72" i="27"/>
  <c r="Q71" i="27"/>
  <c r="O71" i="27"/>
  <c r="J71" i="27"/>
  <c r="N71" i="27"/>
  <c r="I71" i="27"/>
  <c r="M71" i="27"/>
  <c r="H71" i="27"/>
  <c r="G71" i="27"/>
  <c r="F71" i="27"/>
  <c r="E71" i="27"/>
  <c r="D71" i="27"/>
  <c r="B71" i="27"/>
  <c r="A71" i="27"/>
  <c r="Q70" i="27"/>
  <c r="O70" i="27"/>
  <c r="C69" i="27"/>
  <c r="J70" i="27"/>
  <c r="I70" i="27"/>
  <c r="H70" i="27"/>
  <c r="G70" i="27"/>
  <c r="F70" i="27"/>
  <c r="E70" i="27"/>
  <c r="D70" i="27"/>
  <c r="A70" i="27"/>
  <c r="Q69" i="27"/>
  <c r="O69" i="27"/>
  <c r="J69" i="27"/>
  <c r="N69" i="27"/>
  <c r="I69" i="27"/>
  <c r="M69" i="27"/>
  <c r="H69" i="27"/>
  <c r="L69" i="27"/>
  <c r="G69" i="27"/>
  <c r="K69" i="27"/>
  <c r="F69" i="27"/>
  <c r="E69" i="27"/>
  <c r="D69" i="27"/>
  <c r="B69" i="27"/>
  <c r="A69" i="27"/>
  <c r="Q68" i="27"/>
  <c r="O68" i="27"/>
  <c r="C67" i="27"/>
  <c r="J68" i="27"/>
  <c r="I68" i="27"/>
  <c r="F68" i="27"/>
  <c r="A68" i="27"/>
  <c r="Q67" i="27"/>
  <c r="O67" i="27"/>
  <c r="J67" i="27"/>
  <c r="N67" i="27"/>
  <c r="I67" i="27"/>
  <c r="M67" i="27"/>
  <c r="H67" i="27"/>
  <c r="G67" i="27"/>
  <c r="F67" i="27"/>
  <c r="E67" i="27"/>
  <c r="D67" i="27"/>
  <c r="B67" i="27"/>
  <c r="A67" i="27"/>
  <c r="Q66" i="27"/>
  <c r="O66" i="27"/>
  <c r="C65" i="27"/>
  <c r="J66" i="27"/>
  <c r="I66" i="27"/>
  <c r="H66" i="27"/>
  <c r="G66" i="27"/>
  <c r="F66" i="27"/>
  <c r="E66" i="27"/>
  <c r="D66" i="27"/>
  <c r="A66" i="27"/>
  <c r="Q65" i="27"/>
  <c r="O65" i="27"/>
  <c r="J65" i="27"/>
  <c r="N65" i="27"/>
  <c r="I65" i="27"/>
  <c r="M65" i="27"/>
  <c r="H65" i="27"/>
  <c r="L65" i="27"/>
  <c r="G65" i="27"/>
  <c r="K65" i="27"/>
  <c r="F65" i="27"/>
  <c r="E65" i="27"/>
  <c r="D65" i="27"/>
  <c r="B65" i="27"/>
  <c r="A65" i="27"/>
  <c r="Q64" i="27"/>
  <c r="O64" i="27"/>
  <c r="C63" i="27"/>
  <c r="J64" i="27"/>
  <c r="I64" i="27"/>
  <c r="H64" i="27"/>
  <c r="G64" i="27"/>
  <c r="F64" i="27"/>
  <c r="E64" i="27"/>
  <c r="D64" i="27"/>
  <c r="A64" i="27"/>
  <c r="Q63" i="27"/>
  <c r="O63" i="27"/>
  <c r="J63" i="27"/>
  <c r="N63" i="27"/>
  <c r="I63" i="27"/>
  <c r="M63" i="27"/>
  <c r="H63" i="27"/>
  <c r="L63" i="27"/>
  <c r="G63" i="27"/>
  <c r="K63" i="27"/>
  <c r="F63" i="27"/>
  <c r="E63" i="27"/>
  <c r="D63" i="27"/>
  <c r="B63" i="27"/>
  <c r="A63" i="27"/>
  <c r="Q62" i="27"/>
  <c r="O62" i="27"/>
  <c r="C61" i="27"/>
  <c r="J62" i="27"/>
  <c r="I62" i="27"/>
  <c r="H62" i="27"/>
  <c r="G62" i="27"/>
  <c r="F62" i="27"/>
  <c r="E62" i="27"/>
  <c r="D62" i="27"/>
  <c r="A62" i="27"/>
  <c r="Q61" i="27"/>
  <c r="O61" i="27"/>
  <c r="J61" i="27"/>
  <c r="N61" i="27"/>
  <c r="I61" i="27"/>
  <c r="M61" i="27"/>
  <c r="H61" i="27"/>
  <c r="L61" i="27"/>
  <c r="G61" i="27"/>
  <c r="K61" i="27"/>
  <c r="F61" i="27"/>
  <c r="E61" i="27"/>
  <c r="D61" i="27"/>
  <c r="B61" i="27"/>
  <c r="A61" i="27"/>
  <c r="Q60" i="27"/>
  <c r="O60" i="27"/>
  <c r="C59" i="27"/>
  <c r="J60" i="27"/>
  <c r="I60" i="27"/>
  <c r="H60" i="27"/>
  <c r="G60" i="27"/>
  <c r="F60" i="27"/>
  <c r="E60" i="27"/>
  <c r="D60" i="27"/>
  <c r="A60" i="27"/>
  <c r="Q59" i="27"/>
  <c r="O59" i="27"/>
  <c r="J59" i="27"/>
  <c r="N59" i="27"/>
  <c r="I59" i="27"/>
  <c r="M59" i="27"/>
  <c r="H59" i="27"/>
  <c r="L59" i="27"/>
  <c r="G59" i="27"/>
  <c r="K59" i="27"/>
  <c r="F59" i="27"/>
  <c r="E59" i="27"/>
  <c r="D59" i="27"/>
  <c r="B59" i="27"/>
  <c r="A59" i="27"/>
  <c r="Q58" i="27"/>
  <c r="O58" i="27"/>
  <c r="C57" i="27"/>
  <c r="J58" i="27"/>
  <c r="I58" i="27"/>
  <c r="H58" i="27"/>
  <c r="G58" i="27"/>
  <c r="F58" i="27"/>
  <c r="E58" i="27"/>
  <c r="D58" i="27"/>
  <c r="A58" i="27"/>
  <c r="Q57" i="27"/>
  <c r="O57" i="27"/>
  <c r="J57" i="27"/>
  <c r="N57" i="27"/>
  <c r="I57" i="27"/>
  <c r="M57" i="27"/>
  <c r="H57" i="27"/>
  <c r="L57" i="27"/>
  <c r="G57" i="27"/>
  <c r="K57" i="27"/>
  <c r="F57" i="27"/>
  <c r="E57" i="27"/>
  <c r="D57" i="27"/>
  <c r="B57" i="27"/>
  <c r="A57" i="27"/>
  <c r="Q56" i="27"/>
  <c r="O56" i="27"/>
  <c r="C55" i="27"/>
  <c r="J56" i="27"/>
  <c r="I56" i="27"/>
  <c r="H56" i="27"/>
  <c r="G56" i="27"/>
  <c r="F56" i="27"/>
  <c r="E56" i="27"/>
  <c r="D56" i="27"/>
  <c r="A56" i="27"/>
  <c r="Q55" i="27"/>
  <c r="O55" i="27"/>
  <c r="J55" i="27"/>
  <c r="N55" i="27"/>
  <c r="I55" i="27"/>
  <c r="M55" i="27"/>
  <c r="H55" i="27"/>
  <c r="L55" i="27"/>
  <c r="G55" i="27"/>
  <c r="K55" i="27"/>
  <c r="F55" i="27"/>
  <c r="E55" i="27"/>
  <c r="D55" i="27"/>
  <c r="B55" i="27"/>
  <c r="A55" i="27"/>
  <c r="Q54" i="27"/>
  <c r="O54" i="27"/>
  <c r="C53" i="27"/>
  <c r="J54" i="27"/>
  <c r="I54" i="27"/>
  <c r="H54" i="27"/>
  <c r="G54" i="27"/>
  <c r="F54" i="27"/>
  <c r="E54" i="27"/>
  <c r="D54" i="27"/>
  <c r="A54" i="27"/>
  <c r="Q53" i="27"/>
  <c r="O53" i="27"/>
  <c r="J53" i="27"/>
  <c r="N53" i="27"/>
  <c r="I53" i="27"/>
  <c r="M53" i="27"/>
  <c r="H53" i="27"/>
  <c r="L53" i="27"/>
  <c r="G53" i="27"/>
  <c r="K53" i="27"/>
  <c r="F53" i="27"/>
  <c r="E53" i="27"/>
  <c r="D53" i="27"/>
  <c r="B53" i="27"/>
  <c r="A53" i="27"/>
  <c r="Q51" i="27"/>
  <c r="O51" i="27"/>
  <c r="C50" i="27"/>
  <c r="J51" i="27"/>
  <c r="I51" i="27"/>
  <c r="H51" i="27"/>
  <c r="G51" i="27"/>
  <c r="F51" i="27"/>
  <c r="E51" i="27"/>
  <c r="D51" i="27"/>
  <c r="A51" i="27"/>
  <c r="Q50" i="27"/>
  <c r="O50" i="27"/>
  <c r="J50" i="27"/>
  <c r="N50" i="27"/>
  <c r="I50" i="27"/>
  <c r="M50" i="27"/>
  <c r="H50" i="27"/>
  <c r="L50" i="27"/>
  <c r="G50" i="27"/>
  <c r="K50" i="27"/>
  <c r="F50" i="27"/>
  <c r="E50" i="27"/>
  <c r="D50" i="27"/>
  <c r="B50" i="27"/>
  <c r="A50" i="27"/>
  <c r="Q46" i="27"/>
  <c r="O46" i="27"/>
  <c r="C45" i="27"/>
  <c r="J46" i="27"/>
  <c r="I46" i="27"/>
  <c r="H46" i="27"/>
  <c r="G46" i="27"/>
  <c r="F46" i="27"/>
  <c r="E46" i="27"/>
  <c r="D46" i="27"/>
  <c r="A46" i="27"/>
  <c r="Q45" i="27"/>
  <c r="O45" i="27"/>
  <c r="J45" i="27"/>
  <c r="N45" i="27"/>
  <c r="I45" i="27"/>
  <c r="M45" i="27"/>
  <c r="H45" i="27"/>
  <c r="L45" i="27"/>
  <c r="G45" i="27"/>
  <c r="K45" i="27"/>
  <c r="F45" i="27"/>
  <c r="E45" i="27"/>
  <c r="D45" i="27"/>
  <c r="B45" i="27"/>
  <c r="A45" i="27"/>
  <c r="Q44" i="27"/>
  <c r="O44" i="27"/>
  <c r="C43" i="27"/>
  <c r="J44" i="27"/>
  <c r="I44" i="27"/>
  <c r="H44" i="27"/>
  <c r="G44" i="27"/>
  <c r="F44" i="27"/>
  <c r="E44" i="27"/>
  <c r="D44" i="27"/>
  <c r="A44" i="27"/>
  <c r="Q43" i="27"/>
  <c r="O43" i="27"/>
  <c r="J43" i="27"/>
  <c r="N43" i="27"/>
  <c r="I43" i="27"/>
  <c r="M43" i="27"/>
  <c r="H43" i="27"/>
  <c r="L43" i="27"/>
  <c r="G43" i="27"/>
  <c r="K43" i="27"/>
  <c r="F43" i="27"/>
  <c r="E43" i="27"/>
  <c r="D43" i="27"/>
  <c r="B43" i="27"/>
  <c r="A43" i="27"/>
  <c r="Q42" i="27"/>
  <c r="O42" i="27"/>
  <c r="C41" i="27"/>
  <c r="J42" i="27"/>
  <c r="I42" i="27"/>
  <c r="H42" i="27"/>
  <c r="G42" i="27"/>
  <c r="F42" i="27"/>
  <c r="E42" i="27"/>
  <c r="D42" i="27"/>
  <c r="A42" i="27"/>
  <c r="Q41" i="27"/>
  <c r="O41" i="27"/>
  <c r="J41" i="27"/>
  <c r="N41" i="27"/>
  <c r="I41" i="27"/>
  <c r="M41" i="27"/>
  <c r="H41" i="27"/>
  <c r="L41" i="27"/>
  <c r="G41" i="27"/>
  <c r="K41" i="27"/>
  <c r="F41" i="27"/>
  <c r="E41" i="27"/>
  <c r="D41" i="27"/>
  <c r="B41" i="27"/>
  <c r="A41" i="27"/>
  <c r="Q40" i="27"/>
  <c r="O40" i="27"/>
  <c r="C39" i="27"/>
  <c r="J40" i="27"/>
  <c r="I40" i="27"/>
  <c r="H40" i="27"/>
  <c r="G40" i="27"/>
  <c r="F40" i="27"/>
  <c r="E40" i="27"/>
  <c r="D40" i="27"/>
  <c r="A40" i="27"/>
  <c r="Q39" i="27"/>
  <c r="O39" i="27"/>
  <c r="J39" i="27"/>
  <c r="N39" i="27"/>
  <c r="I39" i="27"/>
  <c r="M39" i="27"/>
  <c r="H39" i="27"/>
  <c r="L39" i="27"/>
  <c r="G39" i="27"/>
  <c r="K39" i="27"/>
  <c r="F39" i="27"/>
  <c r="E39" i="27"/>
  <c r="D39" i="27"/>
  <c r="B39" i="27"/>
  <c r="A39" i="27"/>
  <c r="Q38" i="27"/>
  <c r="O38" i="27"/>
  <c r="C37" i="27"/>
  <c r="J38" i="27"/>
  <c r="I38" i="27"/>
  <c r="H38" i="27"/>
  <c r="G38" i="27"/>
  <c r="F38" i="27"/>
  <c r="E38" i="27"/>
  <c r="D38" i="27"/>
  <c r="A38" i="27"/>
  <c r="Q37" i="27"/>
  <c r="O37" i="27"/>
  <c r="J37" i="27"/>
  <c r="N37" i="27"/>
  <c r="I37" i="27"/>
  <c r="M37" i="27"/>
  <c r="H37" i="27"/>
  <c r="L37" i="27"/>
  <c r="G37" i="27"/>
  <c r="K37" i="27"/>
  <c r="F37" i="27"/>
  <c r="E37" i="27"/>
  <c r="D37" i="27"/>
  <c r="B37" i="27"/>
  <c r="A37" i="27"/>
  <c r="Q36" i="27"/>
  <c r="O36" i="27"/>
  <c r="C35" i="27"/>
  <c r="J36" i="27"/>
  <c r="I36" i="27"/>
  <c r="H36" i="27"/>
  <c r="G36" i="27"/>
  <c r="F36" i="27"/>
  <c r="E36" i="27"/>
  <c r="D36" i="27"/>
  <c r="A36" i="27"/>
  <c r="Q35" i="27"/>
  <c r="O35" i="27"/>
  <c r="J35" i="27"/>
  <c r="N35" i="27"/>
  <c r="I35" i="27"/>
  <c r="M35" i="27"/>
  <c r="H35" i="27"/>
  <c r="L35" i="27"/>
  <c r="G35" i="27"/>
  <c r="K35" i="27"/>
  <c r="F35" i="27"/>
  <c r="E35" i="27"/>
  <c r="D35" i="27"/>
  <c r="B35" i="27"/>
  <c r="A35" i="27"/>
  <c r="Q34" i="27"/>
  <c r="O34" i="27"/>
  <c r="C33" i="27"/>
  <c r="J34" i="27"/>
  <c r="I34" i="27"/>
  <c r="H34" i="27"/>
  <c r="G34" i="27"/>
  <c r="F34" i="27"/>
  <c r="E34" i="27"/>
  <c r="D34" i="27"/>
  <c r="A34" i="27"/>
  <c r="Q33" i="27"/>
  <c r="O33" i="27"/>
  <c r="J33" i="27"/>
  <c r="N33" i="27"/>
  <c r="I33" i="27"/>
  <c r="M33" i="27"/>
  <c r="H33" i="27"/>
  <c r="L33" i="27"/>
  <c r="G33" i="27"/>
  <c r="K33" i="27"/>
  <c r="F33" i="27"/>
  <c r="E33" i="27"/>
  <c r="D33" i="27"/>
  <c r="B33" i="27"/>
  <c r="A33" i="27"/>
  <c r="Q32" i="27"/>
  <c r="O32" i="27"/>
  <c r="C31" i="27"/>
  <c r="J32" i="27"/>
  <c r="I32" i="27"/>
  <c r="H32" i="27"/>
  <c r="G32" i="27"/>
  <c r="F32" i="27"/>
  <c r="E32" i="27"/>
  <c r="D32" i="27"/>
  <c r="A32" i="27"/>
  <c r="Q31" i="27"/>
  <c r="O31" i="27"/>
  <c r="J31" i="27"/>
  <c r="N31" i="27"/>
  <c r="I31" i="27"/>
  <c r="M31" i="27"/>
  <c r="H31" i="27"/>
  <c r="L31" i="27"/>
  <c r="G31" i="27"/>
  <c r="K31" i="27"/>
  <c r="F31" i="27"/>
  <c r="E31" i="27"/>
  <c r="D31" i="27"/>
  <c r="B31" i="27"/>
  <c r="A31" i="27"/>
  <c r="Q30" i="27"/>
  <c r="O30" i="27"/>
  <c r="C29" i="27"/>
  <c r="J30" i="27"/>
  <c r="I30" i="27"/>
  <c r="H30" i="27"/>
  <c r="G30" i="27"/>
  <c r="F30" i="27"/>
  <c r="E30" i="27"/>
  <c r="D30" i="27"/>
  <c r="A30" i="27"/>
  <c r="Q29" i="27"/>
  <c r="O29" i="27"/>
  <c r="J29" i="27"/>
  <c r="N29" i="27"/>
  <c r="I29" i="27"/>
  <c r="M29" i="27"/>
  <c r="H29" i="27"/>
  <c r="L29" i="27"/>
  <c r="G29" i="27"/>
  <c r="K29" i="27"/>
  <c r="F29" i="27"/>
  <c r="E29" i="27"/>
  <c r="D29" i="27"/>
  <c r="B29" i="27"/>
  <c r="A29" i="27"/>
  <c r="Q28" i="27"/>
  <c r="O28" i="27"/>
  <c r="F28" i="27"/>
  <c r="E28" i="27"/>
  <c r="D28" i="27"/>
  <c r="A28" i="27"/>
  <c r="Q25" i="27"/>
  <c r="O25" i="27"/>
  <c r="J25" i="27"/>
  <c r="N25" i="27"/>
  <c r="I25" i="27"/>
  <c r="M25" i="27"/>
  <c r="H25" i="27"/>
  <c r="L25" i="27"/>
  <c r="G25" i="27"/>
  <c r="K25" i="27"/>
  <c r="F25" i="27"/>
  <c r="E25" i="27"/>
  <c r="D25" i="27"/>
  <c r="B25" i="27"/>
  <c r="A25" i="27"/>
  <c r="Q24" i="27"/>
  <c r="O24" i="27"/>
  <c r="F24" i="27"/>
  <c r="E24" i="27"/>
  <c r="D24" i="27"/>
  <c r="A24" i="27"/>
  <c r="Q21" i="27"/>
  <c r="O21" i="27"/>
  <c r="C20" i="27"/>
  <c r="J21" i="27"/>
  <c r="I21" i="27"/>
  <c r="H21" i="27"/>
  <c r="G21" i="27"/>
  <c r="F21" i="27"/>
  <c r="E21" i="27"/>
  <c r="D21" i="27"/>
  <c r="A21" i="27"/>
  <c r="Q20" i="27"/>
  <c r="O20" i="27"/>
  <c r="J20" i="27"/>
  <c r="N20" i="27"/>
  <c r="I20" i="27"/>
  <c r="M20" i="27"/>
  <c r="H20" i="27"/>
  <c r="L20" i="27"/>
  <c r="G20" i="27"/>
  <c r="K20" i="27"/>
  <c r="F20" i="27"/>
  <c r="E20" i="27"/>
  <c r="D20" i="27"/>
  <c r="B20" i="27"/>
  <c r="A20" i="27"/>
  <c r="Q16" i="27"/>
  <c r="O16" i="27"/>
  <c r="C15" i="27"/>
  <c r="J16" i="27"/>
  <c r="I16" i="27"/>
  <c r="H16" i="27"/>
  <c r="G16" i="27"/>
  <c r="F16" i="27"/>
  <c r="E16" i="27"/>
  <c r="D16" i="27"/>
  <c r="A16" i="27"/>
  <c r="Q15" i="27"/>
  <c r="O15" i="27"/>
  <c r="J15" i="27"/>
  <c r="N15" i="27"/>
  <c r="I15" i="27"/>
  <c r="M15" i="27"/>
  <c r="H15" i="27"/>
  <c r="L15" i="27"/>
  <c r="G15" i="27"/>
  <c r="K15" i="27"/>
  <c r="F15" i="27"/>
  <c r="E15" i="27"/>
  <c r="D15" i="27"/>
  <c r="B15" i="27"/>
  <c r="A15" i="27"/>
  <c r="Q14" i="27"/>
  <c r="O14" i="27"/>
  <c r="C13" i="27"/>
  <c r="J14" i="27"/>
  <c r="I14" i="27"/>
  <c r="H14" i="27"/>
  <c r="G14" i="27"/>
  <c r="F14" i="27"/>
  <c r="E14" i="27"/>
  <c r="D14" i="27"/>
  <c r="A14" i="27"/>
  <c r="Q13" i="27"/>
  <c r="O13" i="27"/>
  <c r="J13" i="27"/>
  <c r="N13" i="27"/>
  <c r="I13" i="27"/>
  <c r="M13" i="27"/>
  <c r="H13" i="27"/>
  <c r="L13" i="27"/>
  <c r="G13" i="27"/>
  <c r="K13" i="27"/>
  <c r="F13" i="27"/>
  <c r="E13" i="27"/>
  <c r="D13" i="27"/>
  <c r="B13" i="27"/>
  <c r="A13" i="27"/>
  <c r="Q12" i="27"/>
  <c r="O12" i="27"/>
  <c r="C11" i="27"/>
  <c r="J12" i="27"/>
  <c r="I12" i="27"/>
  <c r="H12" i="27"/>
  <c r="G12" i="27"/>
  <c r="F12" i="27"/>
  <c r="E12" i="27"/>
  <c r="D12" i="27"/>
  <c r="A12" i="27"/>
  <c r="Q11" i="27"/>
  <c r="O11" i="27"/>
  <c r="J11" i="27"/>
  <c r="N11" i="27"/>
  <c r="I11" i="27"/>
  <c r="M11" i="27"/>
  <c r="H11" i="27"/>
  <c r="L11" i="27"/>
  <c r="G11" i="27"/>
  <c r="K11" i="27"/>
  <c r="F11" i="27"/>
  <c r="E11" i="27"/>
  <c r="D11" i="27"/>
  <c r="B11" i="27"/>
  <c r="A11" i="27"/>
  <c r="Q10" i="27"/>
  <c r="O10" i="27"/>
  <c r="C9" i="27"/>
  <c r="J10" i="27"/>
  <c r="I10" i="27"/>
  <c r="H10" i="27"/>
  <c r="G10" i="27"/>
  <c r="F10" i="27"/>
  <c r="E10" i="27"/>
  <c r="D10" i="27"/>
  <c r="A10" i="27"/>
  <c r="Q9" i="27"/>
  <c r="O9" i="27"/>
  <c r="J9" i="27"/>
  <c r="N9" i="27"/>
  <c r="I9" i="27"/>
  <c r="M9" i="27"/>
  <c r="H9" i="27"/>
  <c r="L9" i="27"/>
  <c r="G9" i="27"/>
  <c r="K9" i="27"/>
  <c r="F9" i="27"/>
  <c r="E9" i="27"/>
  <c r="D9" i="27"/>
  <c r="B9" i="27"/>
  <c r="A9" i="27"/>
  <c r="Q8" i="27"/>
  <c r="O8" i="27"/>
  <c r="C7" i="27"/>
  <c r="J8" i="27"/>
  <c r="I8" i="27"/>
  <c r="H8" i="27"/>
  <c r="G8" i="27"/>
  <c r="F8" i="27"/>
  <c r="E8" i="27"/>
  <c r="D8" i="27"/>
  <c r="A8" i="27"/>
  <c r="Q7" i="27"/>
  <c r="O7" i="27"/>
  <c r="J7" i="27"/>
  <c r="N7" i="27"/>
  <c r="I7" i="27"/>
  <c r="M7" i="27"/>
  <c r="H7" i="27"/>
  <c r="L7" i="27"/>
  <c r="G7" i="27"/>
  <c r="K7" i="27"/>
  <c r="F7" i="27"/>
  <c r="E7" i="27"/>
  <c r="D7" i="27"/>
  <c r="B7" i="27"/>
  <c r="A7" i="27"/>
  <c r="Q6" i="27"/>
  <c r="O6" i="27"/>
  <c r="C5" i="27"/>
  <c r="J6" i="27"/>
  <c r="I6" i="27"/>
  <c r="H6" i="27"/>
  <c r="G6" i="27"/>
  <c r="F6" i="27"/>
  <c r="E6" i="27"/>
  <c r="D6" i="27"/>
  <c r="A6" i="27"/>
  <c r="Q5" i="27"/>
  <c r="O5" i="27"/>
  <c r="J5" i="27"/>
  <c r="N5" i="27"/>
  <c r="I5" i="27"/>
  <c r="M5" i="27"/>
  <c r="H5" i="27"/>
  <c r="L5" i="27"/>
  <c r="G5" i="27"/>
  <c r="K5" i="27"/>
  <c r="F5" i="27"/>
  <c r="E5" i="27"/>
  <c r="D5" i="27"/>
  <c r="B5" i="27"/>
  <c r="A5" i="27"/>
  <c r="Q4" i="27"/>
  <c r="O4" i="27"/>
  <c r="C3" i="27"/>
  <c r="J4" i="27"/>
  <c r="I4" i="27"/>
  <c r="H4" i="27"/>
  <c r="G4" i="27"/>
  <c r="F4" i="27"/>
  <c r="E4" i="27"/>
  <c r="D4" i="27"/>
  <c r="A4" i="27"/>
  <c r="Q3" i="27"/>
  <c r="O3" i="27"/>
  <c r="J3" i="27"/>
  <c r="N3" i="27"/>
  <c r="I3" i="27"/>
  <c r="M3" i="27"/>
  <c r="H3" i="27"/>
  <c r="L3" i="27"/>
  <c r="G3" i="27"/>
  <c r="K3" i="27"/>
  <c r="F3" i="27"/>
  <c r="E3" i="27"/>
  <c r="D3" i="27"/>
  <c r="B3" i="27"/>
  <c r="A3" i="27"/>
  <c r="N115" i="23"/>
  <c r="N111" i="23"/>
  <c r="N113" i="23"/>
  <c r="N109" i="23"/>
  <c r="N107" i="23"/>
  <c r="N99" i="23"/>
  <c r="N101" i="23"/>
  <c r="N103" i="23"/>
  <c r="N105" i="23"/>
  <c r="N97" i="23"/>
  <c r="N95" i="23"/>
  <c r="N93" i="23"/>
  <c r="N91" i="23"/>
  <c r="N89" i="23"/>
  <c r="N87" i="23"/>
  <c r="N85" i="23"/>
  <c r="N83" i="23"/>
  <c r="N81" i="23"/>
  <c r="N79" i="23"/>
  <c r="N77" i="23"/>
  <c r="N74" i="23"/>
  <c r="N62" i="23"/>
  <c r="N64" i="23"/>
  <c r="N66" i="23"/>
  <c r="N68" i="23"/>
  <c r="N70" i="23"/>
  <c r="N72" i="23"/>
  <c r="N60" i="23"/>
  <c r="N58" i="23"/>
  <c r="N53" i="23"/>
  <c r="N51" i="23"/>
  <c r="N47" i="23"/>
  <c r="N49" i="23"/>
  <c r="N31" i="23"/>
  <c r="N33" i="23"/>
  <c r="N35" i="23"/>
  <c r="N37" i="23"/>
  <c r="N39" i="23"/>
  <c r="N41" i="23"/>
  <c r="N43" i="23"/>
  <c r="N45" i="23"/>
  <c r="N29" i="23"/>
  <c r="N26" i="23"/>
  <c r="N24" i="23"/>
  <c r="N22" i="23"/>
  <c r="N20" i="23"/>
  <c r="N18" i="23"/>
  <c r="N5" i="23"/>
  <c r="N7" i="23"/>
  <c r="N9" i="23"/>
  <c r="N11" i="23"/>
  <c r="N13" i="23"/>
  <c r="N15" i="23"/>
  <c r="N3" i="23"/>
  <c r="J65" i="23"/>
  <c r="J67" i="23"/>
  <c r="J69" i="23"/>
  <c r="J71" i="23"/>
  <c r="J73" i="23"/>
  <c r="J116" i="23"/>
  <c r="J100" i="23"/>
  <c r="J96" i="23"/>
  <c r="L109" i="18"/>
  <c r="L93" i="18"/>
  <c r="L89" i="18"/>
  <c r="L67" i="18"/>
  <c r="L65" i="18"/>
  <c r="L63" i="18"/>
  <c r="L61" i="18"/>
  <c r="L59" i="18"/>
  <c r="O81" i="23"/>
  <c r="C81" i="23"/>
  <c r="P81" i="23"/>
  <c r="O82" i="23"/>
  <c r="P82" i="23"/>
  <c r="O83" i="23"/>
  <c r="C83" i="23"/>
  <c r="P83" i="23"/>
  <c r="O84" i="23"/>
  <c r="P84" i="23"/>
  <c r="O85" i="23"/>
  <c r="C85" i="23"/>
  <c r="P85" i="23"/>
  <c r="O86" i="23"/>
  <c r="P86" i="23"/>
  <c r="O87" i="23"/>
  <c r="C87" i="23"/>
  <c r="P87" i="23"/>
  <c r="O88" i="23"/>
  <c r="P88" i="23"/>
  <c r="O89" i="23"/>
  <c r="C89" i="23"/>
  <c r="P89" i="23"/>
  <c r="O90" i="23"/>
  <c r="P90" i="23"/>
  <c r="O91" i="23"/>
  <c r="C91" i="23"/>
  <c r="P91" i="23"/>
  <c r="O92" i="23"/>
  <c r="P92" i="23"/>
  <c r="O93" i="23"/>
  <c r="C93" i="23"/>
  <c r="P93" i="23"/>
  <c r="O94" i="23"/>
  <c r="P94" i="23"/>
  <c r="O95" i="23"/>
  <c r="C95" i="23"/>
  <c r="P95" i="23"/>
  <c r="O96" i="23"/>
  <c r="P96" i="23"/>
  <c r="O97" i="23"/>
  <c r="C97" i="23"/>
  <c r="P97" i="23"/>
  <c r="O98" i="23"/>
  <c r="P98" i="23"/>
  <c r="O99" i="23"/>
  <c r="C99" i="23"/>
  <c r="P99" i="23"/>
  <c r="O100" i="23"/>
  <c r="P100" i="23"/>
  <c r="O101" i="23"/>
  <c r="C101" i="23"/>
  <c r="P101" i="23"/>
  <c r="O102" i="23"/>
  <c r="P102" i="23"/>
  <c r="O103" i="23"/>
  <c r="C103" i="23"/>
  <c r="P103" i="23"/>
  <c r="O104" i="23"/>
  <c r="P104" i="23"/>
  <c r="O105" i="23"/>
  <c r="C105" i="23"/>
  <c r="P105" i="23"/>
  <c r="O106" i="23"/>
  <c r="P106" i="23"/>
  <c r="O107" i="23"/>
  <c r="C107" i="23"/>
  <c r="P107" i="23"/>
  <c r="O108" i="23"/>
  <c r="P108" i="23"/>
  <c r="O109" i="23"/>
  <c r="C109" i="23"/>
  <c r="P109" i="23"/>
  <c r="O110" i="23"/>
  <c r="P110" i="23"/>
  <c r="O111" i="23"/>
  <c r="C111" i="23"/>
  <c r="P111" i="23"/>
  <c r="O112" i="23"/>
  <c r="P112" i="23"/>
  <c r="O113" i="23"/>
  <c r="C113" i="23"/>
  <c r="P113" i="23"/>
  <c r="O114" i="23"/>
  <c r="P114" i="23"/>
  <c r="O115" i="23"/>
  <c r="C115" i="23"/>
  <c r="P115" i="23"/>
  <c r="O116" i="23"/>
  <c r="P116" i="23"/>
  <c r="O80" i="23"/>
  <c r="C79" i="23"/>
  <c r="P80" i="23"/>
  <c r="O79" i="23"/>
  <c r="P79" i="23"/>
  <c r="O78" i="23"/>
  <c r="C77" i="23"/>
  <c r="P78" i="23"/>
  <c r="O77" i="23"/>
  <c r="P77" i="23"/>
  <c r="O62" i="23"/>
  <c r="C62" i="23"/>
  <c r="P62" i="23"/>
  <c r="O63" i="23"/>
  <c r="P63" i="23"/>
  <c r="O64" i="23"/>
  <c r="C64" i="23"/>
  <c r="P64" i="23"/>
  <c r="O65" i="23"/>
  <c r="P65" i="23"/>
  <c r="O66" i="23"/>
  <c r="C66" i="23"/>
  <c r="P66" i="23"/>
  <c r="O67" i="23"/>
  <c r="P67" i="23"/>
  <c r="O68" i="23"/>
  <c r="C68" i="23"/>
  <c r="P68" i="23"/>
  <c r="O69" i="23"/>
  <c r="P69" i="23"/>
  <c r="O70" i="23"/>
  <c r="C70" i="23"/>
  <c r="P70" i="23"/>
  <c r="O71" i="23"/>
  <c r="P71" i="23"/>
  <c r="O72" i="23"/>
  <c r="C72" i="23"/>
  <c r="P72" i="23"/>
  <c r="O73" i="23"/>
  <c r="P73" i="23"/>
  <c r="O74" i="23"/>
  <c r="C74" i="23"/>
  <c r="P74" i="23"/>
  <c r="O75" i="23"/>
  <c r="P75" i="23"/>
  <c r="O61" i="23"/>
  <c r="C60" i="23"/>
  <c r="P61" i="23"/>
  <c r="O60" i="23"/>
  <c r="P60" i="23"/>
  <c r="O59" i="23"/>
  <c r="C58" i="23"/>
  <c r="P59" i="23"/>
  <c r="O58" i="23"/>
  <c r="P58" i="23"/>
  <c r="O31" i="23"/>
  <c r="C31" i="23"/>
  <c r="P31" i="23"/>
  <c r="O32" i="23"/>
  <c r="P32" i="23"/>
  <c r="O33" i="23"/>
  <c r="C33" i="23"/>
  <c r="P33" i="23"/>
  <c r="O34" i="23"/>
  <c r="P34" i="23"/>
  <c r="O35" i="23"/>
  <c r="C35" i="23"/>
  <c r="P35" i="23"/>
  <c r="O36" i="23"/>
  <c r="P36" i="23"/>
  <c r="O37" i="23"/>
  <c r="C37" i="23"/>
  <c r="P37" i="23"/>
  <c r="O38" i="23"/>
  <c r="P38" i="23"/>
  <c r="O39" i="23"/>
  <c r="C39" i="23"/>
  <c r="P39" i="23"/>
  <c r="O40" i="23"/>
  <c r="P40" i="23"/>
  <c r="O41" i="23"/>
  <c r="C41" i="23"/>
  <c r="P41" i="23"/>
  <c r="O42" i="23"/>
  <c r="P42" i="23"/>
  <c r="O43" i="23"/>
  <c r="C43" i="23"/>
  <c r="P43" i="23"/>
  <c r="O44" i="23"/>
  <c r="P44" i="23"/>
  <c r="O45" i="23"/>
  <c r="C45" i="23"/>
  <c r="P45" i="23"/>
  <c r="O46" i="23"/>
  <c r="P46" i="23"/>
  <c r="O47" i="23"/>
  <c r="C47" i="23"/>
  <c r="P47" i="23"/>
  <c r="O48" i="23"/>
  <c r="P48" i="23"/>
  <c r="O49" i="23"/>
  <c r="C49" i="23"/>
  <c r="P49" i="23"/>
  <c r="O50" i="23"/>
  <c r="P50" i="23"/>
  <c r="O51" i="23"/>
  <c r="C51" i="23"/>
  <c r="P51" i="23"/>
  <c r="O52" i="23"/>
  <c r="P52" i="23"/>
  <c r="O53" i="23"/>
  <c r="C53" i="23"/>
  <c r="P53" i="23"/>
  <c r="O54" i="23"/>
  <c r="P54" i="23"/>
  <c r="O30" i="23"/>
  <c r="C29" i="23"/>
  <c r="P30" i="23"/>
  <c r="O29" i="23"/>
  <c r="P29" i="23"/>
  <c r="O19" i="23"/>
  <c r="C18" i="23"/>
  <c r="P19" i="23"/>
  <c r="O18" i="23"/>
  <c r="P18" i="23"/>
  <c r="O20" i="23"/>
  <c r="C20" i="23"/>
  <c r="P20" i="23"/>
  <c r="O21" i="23"/>
  <c r="P21" i="23"/>
  <c r="O22" i="23"/>
  <c r="C22" i="23"/>
  <c r="P22" i="23"/>
  <c r="O23" i="23"/>
  <c r="P23" i="23"/>
  <c r="O24" i="23"/>
  <c r="C24" i="23"/>
  <c r="P24" i="23"/>
  <c r="O25" i="23"/>
  <c r="P25" i="23"/>
  <c r="O26" i="23"/>
  <c r="C26" i="23"/>
  <c r="P26" i="23"/>
  <c r="O27" i="23"/>
  <c r="P27" i="23"/>
  <c r="O10" i="23"/>
  <c r="C9" i="23"/>
  <c r="P10" i="23"/>
  <c r="O9" i="23"/>
  <c r="P9" i="23"/>
  <c r="O8" i="23"/>
  <c r="C7" i="23"/>
  <c r="P8" i="23"/>
  <c r="O7" i="23"/>
  <c r="P7" i="23"/>
  <c r="O11" i="23"/>
  <c r="C11" i="23"/>
  <c r="P11" i="23"/>
  <c r="O12" i="23"/>
  <c r="P12" i="23"/>
  <c r="O13" i="23"/>
  <c r="C13" i="23"/>
  <c r="P13" i="23"/>
  <c r="O14" i="23"/>
  <c r="P14" i="23"/>
  <c r="O15" i="23"/>
  <c r="C15" i="23"/>
  <c r="P15" i="23"/>
  <c r="O16" i="23"/>
  <c r="P16" i="23"/>
  <c r="O6" i="23"/>
  <c r="C5" i="23"/>
  <c r="P6" i="23"/>
  <c r="O4" i="23"/>
  <c r="C3" i="23"/>
  <c r="P4" i="23"/>
  <c r="O5" i="23"/>
  <c r="P5" i="23"/>
  <c r="O3" i="23"/>
  <c r="P3" i="23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L97" i="18"/>
  <c r="I109" i="21"/>
  <c r="I108" i="21"/>
  <c r="G107" i="21"/>
  <c r="H107" i="21"/>
  <c r="I107" i="21"/>
  <c r="G106" i="21"/>
  <c r="H106" i="21"/>
  <c r="I106" i="21"/>
  <c r="G105" i="21"/>
  <c r="H105" i="21"/>
  <c r="I105" i="21"/>
  <c r="G104" i="21"/>
  <c r="H104" i="21"/>
  <c r="I104" i="21"/>
  <c r="G103" i="21"/>
  <c r="H103" i="21"/>
  <c r="I103" i="21"/>
  <c r="G102" i="21"/>
  <c r="H102" i="21"/>
  <c r="I102" i="21"/>
  <c r="G101" i="21"/>
  <c r="H101" i="21"/>
  <c r="I101" i="21"/>
  <c r="G100" i="21"/>
  <c r="H100" i="21"/>
  <c r="I100" i="21"/>
  <c r="G99" i="21"/>
  <c r="H99" i="21"/>
  <c r="I99" i="21"/>
  <c r="G98" i="21"/>
  <c r="H98" i="21"/>
  <c r="I98" i="21"/>
  <c r="G97" i="21"/>
  <c r="H97" i="21"/>
  <c r="I97" i="21"/>
  <c r="G96" i="21"/>
  <c r="H96" i="21"/>
  <c r="I96" i="21"/>
  <c r="G95" i="21"/>
  <c r="H95" i="21"/>
  <c r="I95" i="21"/>
  <c r="G94" i="21"/>
  <c r="H94" i="21"/>
  <c r="I94" i="21"/>
  <c r="I93" i="21"/>
  <c r="I92" i="21"/>
  <c r="G91" i="21"/>
  <c r="H91" i="21"/>
  <c r="I91" i="21"/>
  <c r="G90" i="21"/>
  <c r="H90" i="21"/>
  <c r="I90" i="21"/>
  <c r="I89" i="21"/>
  <c r="I88" i="21"/>
  <c r="G87" i="21"/>
  <c r="H87" i="21"/>
  <c r="I87" i="21"/>
  <c r="G86" i="21"/>
  <c r="H86" i="21"/>
  <c r="I86" i="21"/>
  <c r="G85" i="21"/>
  <c r="H85" i="21"/>
  <c r="I85" i="21"/>
  <c r="G84" i="21"/>
  <c r="H84" i="21"/>
  <c r="I84" i="21"/>
  <c r="G83" i="21"/>
  <c r="H83" i="21"/>
  <c r="I83" i="21"/>
  <c r="G82" i="21"/>
  <c r="H82" i="21"/>
  <c r="I82" i="21"/>
  <c r="G81" i="21"/>
  <c r="H81" i="21"/>
  <c r="I81" i="21"/>
  <c r="G80" i="21"/>
  <c r="H80" i="21"/>
  <c r="I80" i="21"/>
  <c r="G79" i="21"/>
  <c r="H79" i="21"/>
  <c r="I79" i="21"/>
  <c r="G78" i="21"/>
  <c r="H78" i="21"/>
  <c r="I78" i="21"/>
  <c r="I32" i="6"/>
  <c r="J32" i="6"/>
  <c r="H32" i="6"/>
  <c r="G75" i="21"/>
  <c r="H75" i="21"/>
  <c r="I75" i="21"/>
  <c r="G74" i="21"/>
  <c r="H74" i="21"/>
  <c r="I74" i="21"/>
  <c r="G73" i="21"/>
  <c r="H73" i="21"/>
  <c r="I73" i="21"/>
  <c r="G72" i="21"/>
  <c r="H72" i="21"/>
  <c r="I72" i="21"/>
  <c r="G71" i="21"/>
  <c r="H71" i="21"/>
  <c r="I71" i="21"/>
  <c r="G70" i="21"/>
  <c r="H70" i="21"/>
  <c r="I70" i="21"/>
  <c r="K18" i="6"/>
  <c r="L18" i="6"/>
  <c r="M18" i="6"/>
  <c r="J71" i="21"/>
  <c r="K19" i="6"/>
  <c r="K71" i="21"/>
  <c r="L19" i="6"/>
  <c r="L71" i="21"/>
  <c r="M19" i="6"/>
  <c r="G69" i="21"/>
  <c r="H69" i="21"/>
  <c r="I69" i="21"/>
  <c r="G68" i="21"/>
  <c r="H68" i="21"/>
  <c r="I68" i="21"/>
  <c r="I67" i="21"/>
  <c r="I66" i="21"/>
  <c r="I65" i="21"/>
  <c r="I64" i="21"/>
  <c r="I63" i="21"/>
  <c r="I62" i="21"/>
  <c r="I61" i="21"/>
  <c r="I60" i="21"/>
  <c r="I59" i="21"/>
  <c r="I58" i="21"/>
  <c r="G55" i="21"/>
  <c r="H55" i="21"/>
  <c r="I55" i="21"/>
  <c r="G54" i="21"/>
  <c r="H54" i="21"/>
  <c r="I54" i="21"/>
  <c r="G53" i="21"/>
  <c r="H53" i="21"/>
  <c r="I53" i="21"/>
  <c r="G52" i="21"/>
  <c r="H52" i="21"/>
  <c r="I52" i="21"/>
  <c r="G51" i="21"/>
  <c r="H51" i="21"/>
  <c r="I51" i="21"/>
  <c r="G50" i="21"/>
  <c r="H50" i="21"/>
  <c r="I50" i="21"/>
  <c r="G49" i="21"/>
  <c r="H49" i="21"/>
  <c r="I49" i="21"/>
  <c r="G48" i="21"/>
  <c r="H48" i="21"/>
  <c r="I48" i="21"/>
  <c r="G47" i="21"/>
  <c r="H47" i="21"/>
  <c r="I47" i="21"/>
  <c r="G46" i="21"/>
  <c r="H46" i="21"/>
  <c r="I46" i="21"/>
  <c r="G45" i="21"/>
  <c r="H45" i="21"/>
  <c r="I45" i="21"/>
  <c r="G44" i="21"/>
  <c r="H44" i="21"/>
  <c r="I44" i="21"/>
  <c r="K171" i="6"/>
  <c r="L171" i="6"/>
  <c r="M171" i="6"/>
  <c r="J45" i="21"/>
  <c r="K172" i="6"/>
  <c r="K45" i="21"/>
  <c r="L172" i="6"/>
  <c r="L45" i="21"/>
  <c r="M172" i="6"/>
  <c r="G43" i="21"/>
  <c r="H43" i="21"/>
  <c r="I43" i="21"/>
  <c r="G42" i="21"/>
  <c r="H42" i="21"/>
  <c r="I42" i="21"/>
  <c r="K168" i="6"/>
  <c r="L168" i="6"/>
  <c r="M168" i="6"/>
  <c r="J43" i="21"/>
  <c r="K169" i="6"/>
  <c r="K43" i="21"/>
  <c r="L169" i="6"/>
  <c r="L43" i="21"/>
  <c r="M169" i="6"/>
  <c r="J170" i="6"/>
  <c r="I170" i="6"/>
  <c r="H170" i="6"/>
  <c r="G41" i="21"/>
  <c r="H41" i="21"/>
  <c r="I41" i="21"/>
  <c r="G40" i="21"/>
  <c r="H40" i="21"/>
  <c r="I40" i="21"/>
  <c r="G39" i="21"/>
  <c r="H39" i="21"/>
  <c r="I39" i="21"/>
  <c r="G38" i="21"/>
  <c r="H38" i="21"/>
  <c r="I38" i="21"/>
  <c r="G37" i="21"/>
  <c r="H37" i="21"/>
  <c r="I37" i="21"/>
  <c r="G36" i="21"/>
  <c r="H36" i="21"/>
  <c r="I36" i="21"/>
  <c r="G35" i="21"/>
  <c r="H35" i="21"/>
  <c r="I35" i="21"/>
  <c r="G34" i="21"/>
  <c r="H34" i="21"/>
  <c r="I34" i="21"/>
  <c r="G33" i="21"/>
  <c r="H33" i="21"/>
  <c r="I33" i="21"/>
  <c r="G32" i="21"/>
  <c r="H32" i="21"/>
  <c r="I32" i="21"/>
  <c r="G31" i="21"/>
  <c r="H31" i="21"/>
  <c r="I31" i="21"/>
  <c r="G30" i="21"/>
  <c r="H30" i="21"/>
  <c r="I30" i="21"/>
  <c r="K144" i="6"/>
  <c r="L144" i="6"/>
  <c r="M144" i="6"/>
  <c r="K145" i="6"/>
  <c r="L145" i="6"/>
  <c r="M145" i="6"/>
  <c r="G29" i="21"/>
  <c r="H29" i="21"/>
  <c r="I29" i="21"/>
  <c r="G28" i="21"/>
  <c r="H28" i="21"/>
  <c r="I28" i="21"/>
  <c r="G27" i="21"/>
  <c r="H27" i="21"/>
  <c r="I27" i="21"/>
  <c r="G26" i="21"/>
  <c r="H26" i="21"/>
  <c r="I26" i="21"/>
  <c r="H191" i="6"/>
  <c r="G25" i="21"/>
  <c r="I191" i="6"/>
  <c r="H25" i="21"/>
  <c r="J191" i="6"/>
  <c r="I25" i="21"/>
  <c r="G24" i="21"/>
  <c r="H24" i="21"/>
  <c r="I24" i="21"/>
  <c r="H188" i="6"/>
  <c r="G23" i="21"/>
  <c r="I188" i="6"/>
  <c r="H23" i="21"/>
  <c r="J188" i="6"/>
  <c r="I23" i="21"/>
  <c r="H186" i="6"/>
  <c r="G22" i="21"/>
  <c r="I186" i="6"/>
  <c r="H22" i="21"/>
  <c r="J186" i="6"/>
  <c r="I22" i="21"/>
  <c r="H124" i="6"/>
  <c r="G21" i="21"/>
  <c r="I124" i="6"/>
  <c r="H21" i="21"/>
  <c r="J124" i="6"/>
  <c r="I21" i="21"/>
  <c r="G20" i="21"/>
  <c r="H20" i="21"/>
  <c r="I20" i="21"/>
  <c r="G19" i="21"/>
  <c r="H19" i="21"/>
  <c r="I19" i="21"/>
  <c r="G18" i="21"/>
  <c r="H18" i="21"/>
  <c r="I18" i="21"/>
  <c r="K113" i="6"/>
  <c r="L113" i="6"/>
  <c r="M113" i="6"/>
  <c r="J19" i="21"/>
  <c r="K114" i="6"/>
  <c r="K19" i="21"/>
  <c r="L114" i="6"/>
  <c r="L19" i="21"/>
  <c r="M114" i="6"/>
  <c r="J112" i="6"/>
  <c r="I17" i="21"/>
  <c r="I112" i="6"/>
  <c r="H17" i="21"/>
  <c r="G17" i="21"/>
  <c r="G16" i="21"/>
  <c r="H16" i="21"/>
  <c r="I16" i="21"/>
  <c r="G15" i="21"/>
  <c r="H15" i="21"/>
  <c r="I15" i="21"/>
  <c r="G14" i="21"/>
  <c r="H14" i="21"/>
  <c r="I14" i="21"/>
  <c r="K64" i="6"/>
  <c r="L64" i="6"/>
  <c r="M64" i="6"/>
  <c r="J15" i="21"/>
  <c r="K65" i="6"/>
  <c r="K15" i="21"/>
  <c r="L65" i="6"/>
  <c r="L15" i="21"/>
  <c r="M65" i="6"/>
  <c r="H17" i="6"/>
  <c r="G13" i="21"/>
  <c r="I17" i="6"/>
  <c r="H13" i="21"/>
  <c r="J17" i="6"/>
  <c r="I13" i="21"/>
  <c r="H15" i="6"/>
  <c r="G12" i="21"/>
  <c r="I15" i="6"/>
  <c r="H12" i="21"/>
  <c r="J15" i="6"/>
  <c r="I12" i="21"/>
  <c r="H14" i="6"/>
  <c r="G11" i="21"/>
  <c r="I14" i="6"/>
  <c r="H11" i="21"/>
  <c r="J14" i="6"/>
  <c r="I11" i="21"/>
  <c r="H12" i="6"/>
  <c r="G10" i="21"/>
  <c r="I12" i="6"/>
  <c r="H10" i="21"/>
  <c r="J12" i="6"/>
  <c r="I10" i="21"/>
  <c r="H63" i="6"/>
  <c r="G7" i="21"/>
  <c r="I63" i="6"/>
  <c r="H7" i="21"/>
  <c r="J63" i="6"/>
  <c r="I7" i="21"/>
  <c r="H61" i="6"/>
  <c r="G6" i="21"/>
  <c r="I61" i="6"/>
  <c r="H6" i="21"/>
  <c r="J61" i="6"/>
  <c r="I6" i="21"/>
  <c r="P9" i="6"/>
  <c r="O9" i="6"/>
  <c r="K9" i="6"/>
  <c r="L9" i="6"/>
  <c r="M9" i="6"/>
  <c r="G8" i="21"/>
  <c r="J9" i="21"/>
  <c r="K10" i="6"/>
  <c r="H8" i="21"/>
  <c r="K9" i="21"/>
  <c r="L10" i="6"/>
  <c r="I8" i="21"/>
  <c r="L9" i="21"/>
  <c r="M10" i="6"/>
  <c r="H11" i="6"/>
  <c r="I11" i="6"/>
  <c r="J11" i="6"/>
  <c r="H9" i="6"/>
  <c r="I9" i="6"/>
  <c r="J9" i="6"/>
  <c r="H8" i="6"/>
  <c r="G5" i="21"/>
  <c r="I8" i="6"/>
  <c r="H5" i="21"/>
  <c r="J8" i="6"/>
  <c r="I5" i="21"/>
  <c r="H6" i="6"/>
  <c r="G4" i="21"/>
  <c r="I6" i="6"/>
  <c r="H4" i="21"/>
  <c r="J6" i="6"/>
  <c r="I4" i="21"/>
  <c r="H5" i="6"/>
  <c r="G3" i="21"/>
  <c r="I5" i="6"/>
  <c r="H3" i="21"/>
  <c r="J5" i="6"/>
  <c r="I3" i="21"/>
  <c r="H3" i="6"/>
  <c r="G2" i="21"/>
  <c r="I3" i="6"/>
  <c r="H2" i="21"/>
  <c r="J3" i="6"/>
  <c r="I2" i="21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7" i="23"/>
  <c r="J98" i="23"/>
  <c r="J99" i="23"/>
  <c r="J101" i="23"/>
  <c r="J102" i="23"/>
  <c r="J103" i="23"/>
  <c r="J104" i="23"/>
  <c r="J105" i="23"/>
  <c r="J106" i="23"/>
  <c r="J107" i="23"/>
  <c r="J108" i="23"/>
  <c r="J109" i="23"/>
  <c r="J110" i="23"/>
  <c r="J111" i="23"/>
  <c r="J112" i="23"/>
  <c r="J113" i="23"/>
  <c r="J114" i="23"/>
  <c r="J115" i="23"/>
  <c r="J58" i="23"/>
  <c r="J59" i="23"/>
  <c r="J60" i="23"/>
  <c r="J61" i="23"/>
  <c r="J62" i="23"/>
  <c r="J63" i="23"/>
  <c r="J64" i="23"/>
  <c r="J66" i="23"/>
  <c r="J68" i="23"/>
  <c r="J70" i="23"/>
  <c r="J72" i="23"/>
  <c r="J74" i="23"/>
  <c r="J75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18" i="23"/>
  <c r="J19" i="23"/>
  <c r="J20" i="23"/>
  <c r="J21" i="23"/>
  <c r="J22" i="23"/>
  <c r="J23" i="23"/>
  <c r="J24" i="23"/>
  <c r="J25" i="23"/>
  <c r="J26" i="23"/>
  <c r="J27" i="23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K71" i="18"/>
  <c r="L47" i="18"/>
  <c r="L46" i="18"/>
  <c r="L29" i="18"/>
  <c r="L17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60" i="18"/>
  <c r="M62" i="18"/>
  <c r="M64" i="18"/>
  <c r="M66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90" i="18"/>
  <c r="M91" i="18"/>
  <c r="M92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2" i="18"/>
  <c r="K46" i="18"/>
  <c r="L71" i="18"/>
  <c r="L108" i="18"/>
  <c r="L107" i="18"/>
  <c r="L106" i="18"/>
  <c r="L105" i="18"/>
  <c r="L104" i="18"/>
  <c r="L103" i="18"/>
  <c r="L102" i="18"/>
  <c r="L101" i="18"/>
  <c r="L100" i="18"/>
  <c r="L99" i="18"/>
  <c r="L98" i="18"/>
  <c r="L96" i="18"/>
  <c r="L95" i="18"/>
  <c r="L94" i="18"/>
  <c r="L92" i="18"/>
  <c r="L91" i="18"/>
  <c r="L90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0" i="18"/>
  <c r="L69" i="18"/>
  <c r="L68" i="18"/>
  <c r="L66" i="18"/>
  <c r="L64" i="18"/>
  <c r="L62" i="18"/>
  <c r="L60" i="18"/>
  <c r="L58" i="18"/>
  <c r="L57" i="18"/>
  <c r="L56" i="18"/>
  <c r="L55" i="18"/>
  <c r="L54" i="18"/>
  <c r="L53" i="18"/>
  <c r="L52" i="18"/>
  <c r="L51" i="18"/>
  <c r="L50" i="18"/>
  <c r="L49" i="18"/>
  <c r="L48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8" i="18"/>
  <c r="L27" i="18"/>
  <c r="L26" i="18"/>
  <c r="L25" i="18"/>
  <c r="L24" i="18"/>
  <c r="L23" i="18"/>
  <c r="L22" i="18"/>
  <c r="L21" i="18"/>
  <c r="L20" i="18"/>
  <c r="L19" i="18"/>
  <c r="L18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AH95" i="18"/>
  <c r="AC95" i="18"/>
  <c r="X95" i="18"/>
  <c r="AH77" i="18"/>
  <c r="AH71" i="18"/>
  <c r="AC77" i="18"/>
  <c r="AC71" i="18"/>
  <c r="X77" i="18"/>
  <c r="X71" i="18"/>
  <c r="X57" i="18"/>
  <c r="AH56" i="18"/>
  <c r="AH57" i="18"/>
  <c r="AH42" i="18"/>
  <c r="AH43" i="18"/>
  <c r="AH44" i="18"/>
  <c r="AH45" i="18"/>
  <c r="AH46" i="18"/>
  <c r="AH47" i="18"/>
  <c r="AC55" i="18"/>
  <c r="AC56" i="18"/>
  <c r="AC57" i="18"/>
  <c r="AC43" i="18"/>
  <c r="AC44" i="18"/>
  <c r="AC45" i="18"/>
  <c r="AC46" i="18"/>
  <c r="AC47" i="18"/>
  <c r="AC48" i="18"/>
  <c r="AC49" i="18"/>
  <c r="AC50" i="18"/>
  <c r="AC51" i="18"/>
  <c r="AH19" i="18"/>
  <c r="AH15" i="18"/>
  <c r="AH8" i="18"/>
  <c r="AH9" i="18"/>
  <c r="AC19" i="18"/>
  <c r="AC10" i="18"/>
  <c r="AC11" i="18"/>
  <c r="AC12" i="18"/>
  <c r="AC13" i="18"/>
  <c r="AC14" i="18"/>
  <c r="AC15" i="18"/>
  <c r="AC9" i="18"/>
  <c r="X42" i="18"/>
  <c r="X43" i="18"/>
  <c r="X44" i="18"/>
  <c r="X45" i="18"/>
  <c r="X19" i="18"/>
  <c r="X20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K47" i="18"/>
  <c r="K29" i="18"/>
  <c r="K17" i="18"/>
  <c r="AF57" i="18"/>
  <c r="AG57" i="18"/>
  <c r="AA57" i="18"/>
  <c r="AB57" i="18"/>
  <c r="W57" i="18"/>
  <c r="V57" i="18"/>
  <c r="AF45" i="18"/>
  <c r="AG45" i="18"/>
  <c r="AF43" i="18"/>
  <c r="AG43" i="18"/>
  <c r="AA45" i="18"/>
  <c r="AB45" i="18"/>
  <c r="AA43" i="18"/>
  <c r="AB43" i="18"/>
  <c r="W45" i="18"/>
  <c r="V45" i="18"/>
  <c r="W43" i="18"/>
  <c r="V43" i="18"/>
  <c r="G9" i="21"/>
  <c r="H9" i="21"/>
  <c r="I9" i="21"/>
  <c r="G18" i="13"/>
  <c r="D18" i="23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G127" i="21"/>
  <c r="G139" i="21"/>
  <c r="G112" i="21"/>
  <c r="H112" i="21"/>
  <c r="I112" i="21"/>
  <c r="G113" i="21"/>
  <c r="H113" i="21"/>
  <c r="I113" i="21"/>
  <c r="G114" i="21"/>
  <c r="H114" i="21"/>
  <c r="I114" i="21"/>
  <c r="G115" i="21"/>
  <c r="H115" i="21"/>
  <c r="I115" i="21"/>
  <c r="G116" i="21"/>
  <c r="H116" i="21"/>
  <c r="I116" i="21"/>
  <c r="G117" i="21"/>
  <c r="H117" i="21"/>
  <c r="I117" i="21"/>
  <c r="G118" i="21"/>
  <c r="H118" i="21"/>
  <c r="I118" i="21"/>
  <c r="G119" i="21"/>
  <c r="H119" i="21"/>
  <c r="I119" i="21"/>
  <c r="G120" i="21"/>
  <c r="H120" i="21"/>
  <c r="I120" i="21"/>
  <c r="G121" i="21"/>
  <c r="H121" i="21"/>
  <c r="I121" i="21"/>
  <c r="G122" i="21"/>
  <c r="H122" i="21"/>
  <c r="I122" i="21"/>
  <c r="G123" i="21"/>
  <c r="H123" i="21"/>
  <c r="I123" i="21"/>
  <c r="G124" i="21"/>
  <c r="H124" i="21"/>
  <c r="I124" i="21"/>
  <c r="G125" i="21"/>
  <c r="H125" i="21"/>
  <c r="I125" i="21"/>
  <c r="G126" i="21"/>
  <c r="H126" i="21"/>
  <c r="I126" i="21"/>
  <c r="H127" i="21"/>
  <c r="I127" i="21"/>
  <c r="G128" i="21"/>
  <c r="H128" i="21"/>
  <c r="I128" i="21"/>
  <c r="G129" i="21"/>
  <c r="H129" i="21"/>
  <c r="I129" i="21"/>
  <c r="G130" i="21"/>
  <c r="H130" i="21"/>
  <c r="I130" i="21"/>
  <c r="G131" i="21"/>
  <c r="H131" i="21"/>
  <c r="I131" i="21"/>
  <c r="G132" i="21"/>
  <c r="H132" i="21"/>
  <c r="I132" i="21"/>
  <c r="G133" i="21"/>
  <c r="H133" i="21"/>
  <c r="I133" i="21"/>
  <c r="G134" i="21"/>
  <c r="H134" i="21"/>
  <c r="I134" i="21"/>
  <c r="G135" i="21"/>
  <c r="H135" i="21"/>
  <c r="I135" i="21"/>
  <c r="G136" i="21"/>
  <c r="H136" i="21"/>
  <c r="I136" i="21"/>
  <c r="G137" i="21"/>
  <c r="H137" i="21"/>
  <c r="I137" i="21"/>
  <c r="G138" i="21"/>
  <c r="H138" i="21"/>
  <c r="I138" i="21"/>
  <c r="H139" i="21"/>
  <c r="I139" i="21"/>
  <c r="G140" i="21"/>
  <c r="H140" i="21"/>
  <c r="I140" i="21"/>
  <c r="G141" i="21"/>
  <c r="H141" i="21"/>
  <c r="I141" i="21"/>
  <c r="G142" i="21"/>
  <c r="H142" i="21"/>
  <c r="I142" i="21"/>
  <c r="G143" i="21"/>
  <c r="H143" i="21"/>
  <c r="I143" i="21"/>
  <c r="G144" i="21"/>
  <c r="H144" i="21"/>
  <c r="I144" i="21"/>
  <c r="G145" i="21"/>
  <c r="H145" i="21"/>
  <c r="I145" i="21"/>
  <c r="G146" i="21"/>
  <c r="H146" i="21"/>
  <c r="I146" i="21"/>
  <c r="G147" i="21"/>
  <c r="H147" i="21"/>
  <c r="I147" i="21"/>
  <c r="G148" i="21"/>
  <c r="H148" i="21"/>
  <c r="I148" i="21"/>
  <c r="G149" i="21"/>
  <c r="H149" i="21"/>
  <c r="I149" i="21"/>
  <c r="G150" i="21"/>
  <c r="H150" i="21"/>
  <c r="I150" i="21"/>
  <c r="G151" i="21"/>
  <c r="H151" i="21"/>
  <c r="I151" i="21"/>
  <c r="G152" i="21"/>
  <c r="H152" i="21"/>
  <c r="I152" i="21"/>
  <c r="G153" i="21"/>
  <c r="H153" i="21"/>
  <c r="I153" i="21"/>
  <c r="G154" i="21"/>
  <c r="H154" i="21"/>
  <c r="I154" i="21"/>
  <c r="G155" i="21"/>
  <c r="H155" i="21"/>
  <c r="I155" i="21"/>
  <c r="G156" i="21"/>
  <c r="H156" i="21"/>
  <c r="I156" i="21"/>
  <c r="G157" i="21"/>
  <c r="H157" i="21"/>
  <c r="I157" i="21"/>
  <c r="G158" i="21"/>
  <c r="H158" i="21"/>
  <c r="I158" i="21"/>
  <c r="G159" i="21"/>
  <c r="H159" i="21"/>
  <c r="I159" i="21"/>
  <c r="G160" i="21"/>
  <c r="H160" i="21"/>
  <c r="I160" i="21"/>
  <c r="G161" i="21"/>
  <c r="H161" i="21"/>
  <c r="I161" i="21"/>
  <c r="G162" i="21"/>
  <c r="H162" i="21"/>
  <c r="I162" i="21"/>
  <c r="G163" i="21"/>
  <c r="H163" i="21"/>
  <c r="I163" i="21"/>
  <c r="G164" i="21"/>
  <c r="H164" i="21"/>
  <c r="I164" i="21"/>
  <c r="G165" i="21"/>
  <c r="H165" i="21"/>
  <c r="I165" i="21"/>
  <c r="G166" i="21"/>
  <c r="H166" i="21"/>
  <c r="I166" i="21"/>
  <c r="G167" i="21"/>
  <c r="H167" i="21"/>
  <c r="I167" i="21"/>
  <c r="G168" i="21"/>
  <c r="H168" i="21"/>
  <c r="I168" i="21"/>
  <c r="G169" i="21"/>
  <c r="H169" i="21"/>
  <c r="I169" i="21"/>
  <c r="G170" i="21"/>
  <c r="H170" i="21"/>
  <c r="I170" i="21"/>
  <c r="G171" i="21"/>
  <c r="H171" i="21"/>
  <c r="I171" i="21"/>
  <c r="G172" i="21"/>
  <c r="H172" i="21"/>
  <c r="I172" i="21"/>
  <c r="G173" i="21"/>
  <c r="H173" i="21"/>
  <c r="I173" i="21"/>
  <c r="G174" i="21"/>
  <c r="H174" i="21"/>
  <c r="I174" i="21"/>
  <c r="G175" i="21"/>
  <c r="H175" i="21"/>
  <c r="I175" i="21"/>
  <c r="G176" i="21"/>
  <c r="H176" i="21"/>
  <c r="I176" i="21"/>
  <c r="G177" i="21"/>
  <c r="H177" i="21"/>
  <c r="I177" i="21"/>
  <c r="G178" i="21"/>
  <c r="H178" i="21"/>
  <c r="I178" i="21"/>
  <c r="G179" i="21"/>
  <c r="H179" i="21"/>
  <c r="I179" i="21"/>
  <c r="G180" i="21"/>
  <c r="H180" i="21"/>
  <c r="I180" i="21"/>
  <c r="G181" i="21"/>
  <c r="H181" i="21"/>
  <c r="I181" i="21"/>
  <c r="G182" i="21"/>
  <c r="H182" i="21"/>
  <c r="I182" i="21"/>
  <c r="G183" i="21"/>
  <c r="H183" i="21"/>
  <c r="I183" i="21"/>
  <c r="G184" i="21"/>
  <c r="H184" i="21"/>
  <c r="I184" i="21"/>
  <c r="G185" i="21"/>
  <c r="H185" i="21"/>
  <c r="I185" i="21"/>
  <c r="G186" i="21"/>
  <c r="H186" i="21"/>
  <c r="I186" i="21"/>
  <c r="G187" i="21"/>
  <c r="H187" i="21"/>
  <c r="I187" i="21"/>
  <c r="G188" i="21"/>
  <c r="H188" i="21"/>
  <c r="I188" i="21"/>
  <c r="G189" i="21"/>
  <c r="H189" i="21"/>
  <c r="I189" i="21"/>
  <c r="G190" i="21"/>
  <c r="H190" i="21"/>
  <c r="I190" i="21"/>
  <c r="G191" i="21"/>
  <c r="H191" i="21"/>
  <c r="I191" i="21"/>
  <c r="G192" i="21"/>
  <c r="H192" i="21"/>
  <c r="I192" i="21"/>
  <c r="G193" i="21"/>
  <c r="H193" i="21"/>
  <c r="I193" i="21"/>
  <c r="G194" i="21"/>
  <c r="H194" i="21"/>
  <c r="I194" i="21"/>
  <c r="G195" i="21"/>
  <c r="H195" i="21"/>
  <c r="I195" i="21"/>
  <c r="G196" i="21"/>
  <c r="H196" i="21"/>
  <c r="I196" i="21"/>
  <c r="G197" i="21"/>
  <c r="H197" i="21"/>
  <c r="I197" i="21"/>
  <c r="G198" i="21"/>
  <c r="H198" i="21"/>
  <c r="I198" i="21"/>
  <c r="G199" i="21"/>
  <c r="H199" i="21"/>
  <c r="I199" i="21"/>
  <c r="G200" i="21"/>
  <c r="H200" i="21"/>
  <c r="I200" i="21"/>
  <c r="G201" i="21"/>
  <c r="H201" i="21"/>
  <c r="I201" i="21"/>
  <c r="G202" i="21"/>
  <c r="H202" i="21"/>
  <c r="I202" i="21"/>
  <c r="G203" i="21"/>
  <c r="H203" i="21"/>
  <c r="I203" i="21"/>
  <c r="G204" i="21"/>
  <c r="H204" i="21"/>
  <c r="I204" i="21"/>
  <c r="G205" i="21"/>
  <c r="H205" i="21"/>
  <c r="I205" i="21"/>
  <c r="G206" i="21"/>
  <c r="H206" i="21"/>
  <c r="I206" i="21"/>
  <c r="G207" i="21"/>
  <c r="H207" i="21"/>
  <c r="I207" i="21"/>
  <c r="G208" i="21"/>
  <c r="H208" i="21"/>
  <c r="I208" i="21"/>
  <c r="G209" i="21"/>
  <c r="H209" i="21"/>
  <c r="I209" i="21"/>
  <c r="G210" i="21"/>
  <c r="H210" i="21"/>
  <c r="I210" i="21"/>
  <c r="G211" i="21"/>
  <c r="H211" i="21"/>
  <c r="I211" i="21"/>
  <c r="G212" i="21"/>
  <c r="H212" i="21"/>
  <c r="I212" i="21"/>
  <c r="G213" i="21"/>
  <c r="H213" i="21"/>
  <c r="I213" i="21"/>
  <c r="G214" i="21"/>
  <c r="H214" i="21"/>
  <c r="I214" i="21"/>
  <c r="G215" i="21"/>
  <c r="H215" i="21"/>
  <c r="I215" i="21"/>
  <c r="G216" i="21"/>
  <c r="H216" i="21"/>
  <c r="I216" i="21"/>
  <c r="G217" i="21"/>
  <c r="H217" i="21"/>
  <c r="I217" i="21"/>
  <c r="G218" i="21"/>
  <c r="H218" i="21"/>
  <c r="I218" i="21"/>
  <c r="G219" i="21"/>
  <c r="H219" i="21"/>
  <c r="I219" i="21"/>
  <c r="H77" i="21"/>
  <c r="I77" i="21"/>
  <c r="G77" i="21"/>
  <c r="H57" i="21"/>
  <c r="I57" i="21"/>
  <c r="G57" i="21"/>
  <c r="E2" i="18"/>
  <c r="E112" i="18"/>
  <c r="F2" i="18"/>
  <c r="F112" i="18"/>
  <c r="G2" i="18"/>
  <c r="G112" i="18"/>
  <c r="J3" i="21"/>
  <c r="E3" i="18"/>
  <c r="E113" i="18"/>
  <c r="K3" i="21"/>
  <c r="F3" i="18"/>
  <c r="F113" i="18"/>
  <c r="L3" i="21"/>
  <c r="G3" i="18"/>
  <c r="G113" i="18"/>
  <c r="E4" i="18"/>
  <c r="E114" i="18"/>
  <c r="F4" i="18"/>
  <c r="F114" i="18"/>
  <c r="G4" i="18"/>
  <c r="G114" i="18"/>
  <c r="J5" i="21"/>
  <c r="E5" i="18"/>
  <c r="E115" i="18"/>
  <c r="K5" i="21"/>
  <c r="F5" i="18"/>
  <c r="F115" i="18"/>
  <c r="L5" i="21"/>
  <c r="G5" i="18"/>
  <c r="G115" i="18"/>
  <c r="E6" i="18"/>
  <c r="E116" i="18"/>
  <c r="F6" i="18"/>
  <c r="F116" i="18"/>
  <c r="G6" i="18"/>
  <c r="G116" i="18"/>
  <c r="J7" i="21"/>
  <c r="E7" i="18"/>
  <c r="E117" i="18"/>
  <c r="K7" i="21"/>
  <c r="F7" i="18"/>
  <c r="F117" i="18"/>
  <c r="L7" i="21"/>
  <c r="G7" i="18"/>
  <c r="G117" i="18"/>
  <c r="E8" i="18"/>
  <c r="E118" i="18"/>
  <c r="F8" i="18"/>
  <c r="F118" i="18"/>
  <c r="G8" i="18"/>
  <c r="G118" i="18"/>
  <c r="E9" i="18"/>
  <c r="E119" i="18"/>
  <c r="F9" i="18"/>
  <c r="F119" i="18"/>
  <c r="G9" i="18"/>
  <c r="G119" i="18"/>
  <c r="E10" i="18"/>
  <c r="E120" i="18"/>
  <c r="F10" i="18"/>
  <c r="F120" i="18"/>
  <c r="G10" i="18"/>
  <c r="G120" i="18"/>
  <c r="J11" i="21"/>
  <c r="E11" i="18"/>
  <c r="E121" i="18"/>
  <c r="K11" i="21"/>
  <c r="F11" i="18"/>
  <c r="F121" i="18"/>
  <c r="L11" i="21"/>
  <c r="G11" i="18"/>
  <c r="G121" i="18"/>
  <c r="E12" i="18"/>
  <c r="E122" i="18"/>
  <c r="F12" i="18"/>
  <c r="F122" i="18"/>
  <c r="G12" i="18"/>
  <c r="G122" i="18"/>
  <c r="J13" i="21"/>
  <c r="E13" i="18"/>
  <c r="E123" i="18"/>
  <c r="K13" i="21"/>
  <c r="F13" i="18"/>
  <c r="F123" i="18"/>
  <c r="L13" i="21"/>
  <c r="G13" i="18"/>
  <c r="G123" i="18"/>
  <c r="E14" i="18"/>
  <c r="E124" i="18"/>
  <c r="F14" i="18"/>
  <c r="F124" i="18"/>
  <c r="G14" i="18"/>
  <c r="G124" i="18"/>
  <c r="E15" i="18"/>
  <c r="E125" i="18"/>
  <c r="F15" i="18"/>
  <c r="F125" i="18"/>
  <c r="G15" i="18"/>
  <c r="G125" i="18"/>
  <c r="E16" i="18"/>
  <c r="E126" i="18"/>
  <c r="F16" i="18"/>
  <c r="F126" i="18"/>
  <c r="G16" i="18"/>
  <c r="G126" i="18"/>
  <c r="J17" i="21"/>
  <c r="E17" i="18"/>
  <c r="E127" i="18"/>
  <c r="K17" i="21"/>
  <c r="F17" i="18"/>
  <c r="F127" i="18"/>
  <c r="L17" i="21"/>
  <c r="G17" i="18"/>
  <c r="G127" i="18"/>
  <c r="E18" i="18"/>
  <c r="E128" i="18"/>
  <c r="F18" i="18"/>
  <c r="F128" i="18"/>
  <c r="G18" i="18"/>
  <c r="G128" i="18"/>
  <c r="E19" i="18"/>
  <c r="E129" i="18"/>
  <c r="F19" i="18"/>
  <c r="F129" i="18"/>
  <c r="G19" i="18"/>
  <c r="G129" i="18"/>
  <c r="E20" i="18"/>
  <c r="E130" i="18"/>
  <c r="F20" i="18"/>
  <c r="F130" i="18"/>
  <c r="G20" i="18"/>
  <c r="G130" i="18"/>
  <c r="J21" i="21"/>
  <c r="E21" i="18"/>
  <c r="E131" i="18"/>
  <c r="K21" i="21"/>
  <c r="F21" i="18"/>
  <c r="F131" i="18"/>
  <c r="L21" i="21"/>
  <c r="G21" i="18"/>
  <c r="G131" i="18"/>
  <c r="E22" i="18"/>
  <c r="E132" i="18"/>
  <c r="F22" i="18"/>
  <c r="F132" i="18"/>
  <c r="G22" i="18"/>
  <c r="G132" i="18"/>
  <c r="J23" i="21"/>
  <c r="E23" i="18"/>
  <c r="E133" i="18"/>
  <c r="K23" i="21"/>
  <c r="F23" i="18"/>
  <c r="F133" i="18"/>
  <c r="L23" i="21"/>
  <c r="G23" i="18"/>
  <c r="G133" i="18"/>
  <c r="E24" i="18"/>
  <c r="E134" i="18"/>
  <c r="F24" i="18"/>
  <c r="F134" i="18"/>
  <c r="G24" i="18"/>
  <c r="G134" i="18"/>
  <c r="J25" i="21"/>
  <c r="E25" i="18"/>
  <c r="E135" i="18"/>
  <c r="K25" i="21"/>
  <c r="F25" i="18"/>
  <c r="F135" i="18"/>
  <c r="L25" i="21"/>
  <c r="G25" i="18"/>
  <c r="G135" i="18"/>
  <c r="E26" i="18"/>
  <c r="E136" i="18"/>
  <c r="F26" i="18"/>
  <c r="F136" i="18"/>
  <c r="G26" i="18"/>
  <c r="G136" i="18"/>
  <c r="J27" i="21"/>
  <c r="E27" i="18"/>
  <c r="E137" i="18"/>
  <c r="K27" i="21"/>
  <c r="F27" i="18"/>
  <c r="F137" i="18"/>
  <c r="L27" i="21"/>
  <c r="G27" i="18"/>
  <c r="G137" i="18"/>
  <c r="E28" i="18"/>
  <c r="E138" i="18"/>
  <c r="F28" i="18"/>
  <c r="F138" i="18"/>
  <c r="G28" i="18"/>
  <c r="G138" i="18"/>
  <c r="J29" i="21"/>
  <c r="E29" i="18"/>
  <c r="E139" i="18"/>
  <c r="K29" i="21"/>
  <c r="F29" i="18"/>
  <c r="F139" i="18"/>
  <c r="L29" i="21"/>
  <c r="G29" i="18"/>
  <c r="G139" i="18"/>
  <c r="E30" i="18"/>
  <c r="E140" i="18"/>
  <c r="F30" i="18"/>
  <c r="F140" i="18"/>
  <c r="G30" i="18"/>
  <c r="G140" i="18"/>
  <c r="J31" i="21"/>
  <c r="E31" i="18"/>
  <c r="E141" i="18"/>
  <c r="K31" i="21"/>
  <c r="F31" i="18"/>
  <c r="F141" i="18"/>
  <c r="L31" i="21"/>
  <c r="G31" i="18"/>
  <c r="G141" i="18"/>
  <c r="E32" i="18"/>
  <c r="E142" i="18"/>
  <c r="F32" i="18"/>
  <c r="F142" i="18"/>
  <c r="G32" i="18"/>
  <c r="G142" i="18"/>
  <c r="J33" i="21"/>
  <c r="E33" i="18"/>
  <c r="E143" i="18"/>
  <c r="K33" i="21"/>
  <c r="F33" i="18"/>
  <c r="F143" i="18"/>
  <c r="L33" i="21"/>
  <c r="G33" i="18"/>
  <c r="G143" i="18"/>
  <c r="E34" i="18"/>
  <c r="E144" i="18"/>
  <c r="F34" i="18"/>
  <c r="F144" i="18"/>
  <c r="G34" i="18"/>
  <c r="G144" i="18"/>
  <c r="J35" i="21"/>
  <c r="E35" i="18"/>
  <c r="E145" i="18"/>
  <c r="K35" i="21"/>
  <c r="F35" i="18"/>
  <c r="F145" i="18"/>
  <c r="L35" i="21"/>
  <c r="G35" i="18"/>
  <c r="G145" i="18"/>
  <c r="E36" i="18"/>
  <c r="E146" i="18"/>
  <c r="F36" i="18"/>
  <c r="F146" i="18"/>
  <c r="G36" i="18"/>
  <c r="G146" i="18"/>
  <c r="J37" i="21"/>
  <c r="E37" i="18"/>
  <c r="E147" i="18"/>
  <c r="K37" i="21"/>
  <c r="F37" i="18"/>
  <c r="F147" i="18"/>
  <c r="L37" i="21"/>
  <c r="G37" i="18"/>
  <c r="G147" i="18"/>
  <c r="E38" i="18"/>
  <c r="E148" i="18"/>
  <c r="F38" i="18"/>
  <c r="F148" i="18"/>
  <c r="G38" i="18"/>
  <c r="G148" i="18"/>
  <c r="J39" i="21"/>
  <c r="E39" i="18"/>
  <c r="E149" i="18"/>
  <c r="K39" i="21"/>
  <c r="F39" i="18"/>
  <c r="F149" i="18"/>
  <c r="L39" i="21"/>
  <c r="G39" i="18"/>
  <c r="G149" i="18"/>
  <c r="E40" i="18"/>
  <c r="E150" i="18"/>
  <c r="F40" i="18"/>
  <c r="F150" i="18"/>
  <c r="G40" i="18"/>
  <c r="G150" i="18"/>
  <c r="J41" i="21"/>
  <c r="E41" i="18"/>
  <c r="E151" i="18"/>
  <c r="K41" i="21"/>
  <c r="F41" i="18"/>
  <c r="F151" i="18"/>
  <c r="L41" i="21"/>
  <c r="G41" i="18"/>
  <c r="G151" i="18"/>
  <c r="E42" i="18"/>
  <c r="E152" i="18"/>
  <c r="F42" i="18"/>
  <c r="F152" i="18"/>
  <c r="G42" i="18"/>
  <c r="G152" i="18"/>
  <c r="E43" i="18"/>
  <c r="E153" i="18"/>
  <c r="F43" i="18"/>
  <c r="F153" i="18"/>
  <c r="G43" i="18"/>
  <c r="G153" i="18"/>
  <c r="E44" i="18"/>
  <c r="E154" i="18"/>
  <c r="F44" i="18"/>
  <c r="F154" i="18"/>
  <c r="G44" i="18"/>
  <c r="G154" i="18"/>
  <c r="E45" i="18"/>
  <c r="E155" i="18"/>
  <c r="F45" i="18"/>
  <c r="F155" i="18"/>
  <c r="G45" i="18"/>
  <c r="G155" i="18"/>
  <c r="E46" i="18"/>
  <c r="E156" i="18"/>
  <c r="F46" i="18"/>
  <c r="F156" i="18"/>
  <c r="G46" i="18"/>
  <c r="G156" i="18"/>
  <c r="J47" i="21"/>
  <c r="E47" i="18"/>
  <c r="E157" i="18"/>
  <c r="K47" i="21"/>
  <c r="F47" i="18"/>
  <c r="F157" i="18"/>
  <c r="L47" i="21"/>
  <c r="G47" i="18"/>
  <c r="G157" i="18"/>
  <c r="E48" i="18"/>
  <c r="E158" i="18"/>
  <c r="F48" i="18"/>
  <c r="F158" i="18"/>
  <c r="G48" i="18"/>
  <c r="G158" i="18"/>
  <c r="J49" i="21"/>
  <c r="E49" i="18"/>
  <c r="E159" i="18"/>
  <c r="K49" i="21"/>
  <c r="F49" i="18"/>
  <c r="F159" i="18"/>
  <c r="L49" i="21"/>
  <c r="G49" i="18"/>
  <c r="G159" i="18"/>
  <c r="E50" i="18"/>
  <c r="E160" i="18"/>
  <c r="F50" i="18"/>
  <c r="F160" i="18"/>
  <c r="G50" i="18"/>
  <c r="G160" i="18"/>
  <c r="J51" i="21"/>
  <c r="E51" i="18"/>
  <c r="E161" i="18"/>
  <c r="K51" i="21"/>
  <c r="F51" i="18"/>
  <c r="F161" i="18"/>
  <c r="L51" i="21"/>
  <c r="G51" i="18"/>
  <c r="G161" i="18"/>
  <c r="E52" i="18"/>
  <c r="E162" i="18"/>
  <c r="F52" i="18"/>
  <c r="F162" i="18"/>
  <c r="G52" i="18"/>
  <c r="G162" i="18"/>
  <c r="J53" i="21"/>
  <c r="E53" i="18"/>
  <c r="E163" i="18"/>
  <c r="K53" i="21"/>
  <c r="F53" i="18"/>
  <c r="F163" i="18"/>
  <c r="L53" i="21"/>
  <c r="G53" i="18"/>
  <c r="G163" i="18"/>
  <c r="E54" i="18"/>
  <c r="E164" i="18"/>
  <c r="F54" i="18"/>
  <c r="F164" i="18"/>
  <c r="G54" i="18"/>
  <c r="G164" i="18"/>
  <c r="J55" i="21"/>
  <c r="E55" i="18"/>
  <c r="E165" i="18"/>
  <c r="K55" i="21"/>
  <c r="F55" i="18"/>
  <c r="F165" i="18"/>
  <c r="L55" i="21"/>
  <c r="G55" i="18"/>
  <c r="G165" i="18"/>
  <c r="E56" i="18"/>
  <c r="E166" i="18"/>
  <c r="F56" i="18"/>
  <c r="F166" i="18"/>
  <c r="G56" i="18"/>
  <c r="G166" i="18"/>
  <c r="E57" i="18"/>
  <c r="E167" i="18"/>
  <c r="F57" i="18"/>
  <c r="F167" i="18"/>
  <c r="G57" i="18"/>
  <c r="G167" i="18"/>
  <c r="E58" i="18"/>
  <c r="E168" i="18"/>
  <c r="F58" i="18"/>
  <c r="F168" i="18"/>
  <c r="G58" i="18"/>
  <c r="G168" i="18"/>
  <c r="E169" i="18"/>
  <c r="F169" i="18"/>
  <c r="L59" i="21"/>
  <c r="G59" i="18"/>
  <c r="G169" i="18"/>
  <c r="E60" i="18"/>
  <c r="E170" i="18"/>
  <c r="F60" i="18"/>
  <c r="F170" i="18"/>
  <c r="G60" i="18"/>
  <c r="G170" i="18"/>
  <c r="E171" i="18"/>
  <c r="F171" i="18"/>
  <c r="L61" i="21"/>
  <c r="G61" i="18"/>
  <c r="G171" i="18"/>
  <c r="E62" i="18"/>
  <c r="E172" i="18"/>
  <c r="F62" i="18"/>
  <c r="F172" i="18"/>
  <c r="G62" i="18"/>
  <c r="G172" i="18"/>
  <c r="E173" i="18"/>
  <c r="F173" i="18"/>
  <c r="L63" i="21"/>
  <c r="G63" i="18"/>
  <c r="G173" i="18"/>
  <c r="E64" i="18"/>
  <c r="E174" i="18"/>
  <c r="F64" i="18"/>
  <c r="F174" i="18"/>
  <c r="G64" i="18"/>
  <c r="G174" i="18"/>
  <c r="E175" i="18"/>
  <c r="F175" i="18"/>
  <c r="L65" i="21"/>
  <c r="G65" i="18"/>
  <c r="G175" i="18"/>
  <c r="E66" i="18"/>
  <c r="E176" i="18"/>
  <c r="F66" i="18"/>
  <c r="F176" i="18"/>
  <c r="G66" i="18"/>
  <c r="G176" i="18"/>
  <c r="E177" i="18"/>
  <c r="F177" i="18"/>
  <c r="L67" i="21"/>
  <c r="G67" i="18"/>
  <c r="G177" i="18"/>
  <c r="E68" i="18"/>
  <c r="E178" i="18"/>
  <c r="F68" i="18"/>
  <c r="F178" i="18"/>
  <c r="G68" i="18"/>
  <c r="G178" i="18"/>
  <c r="J69" i="21"/>
  <c r="E69" i="18"/>
  <c r="E179" i="18"/>
  <c r="K69" i="21"/>
  <c r="F69" i="18"/>
  <c r="F179" i="18"/>
  <c r="L69" i="21"/>
  <c r="G69" i="18"/>
  <c r="G179" i="18"/>
  <c r="E70" i="18"/>
  <c r="E180" i="18"/>
  <c r="F70" i="18"/>
  <c r="F180" i="18"/>
  <c r="G70" i="18"/>
  <c r="G180" i="18"/>
  <c r="E71" i="18"/>
  <c r="E181" i="18"/>
  <c r="F71" i="18"/>
  <c r="F181" i="18"/>
  <c r="G71" i="18"/>
  <c r="G181" i="18"/>
  <c r="E72" i="18"/>
  <c r="E182" i="18"/>
  <c r="F72" i="18"/>
  <c r="F182" i="18"/>
  <c r="G72" i="18"/>
  <c r="G182" i="18"/>
  <c r="J73" i="21"/>
  <c r="E73" i="18"/>
  <c r="E183" i="18"/>
  <c r="K73" i="21"/>
  <c r="F73" i="18"/>
  <c r="F183" i="18"/>
  <c r="L73" i="21"/>
  <c r="G73" i="18"/>
  <c r="G183" i="18"/>
  <c r="E74" i="18"/>
  <c r="E184" i="18"/>
  <c r="F74" i="18"/>
  <c r="F184" i="18"/>
  <c r="G74" i="18"/>
  <c r="G184" i="18"/>
  <c r="J75" i="21"/>
  <c r="E75" i="18"/>
  <c r="E185" i="18"/>
  <c r="K75" i="21"/>
  <c r="F75" i="18"/>
  <c r="F185" i="18"/>
  <c r="L75" i="21"/>
  <c r="G75" i="18"/>
  <c r="G185" i="18"/>
  <c r="E76" i="18"/>
  <c r="E186" i="18"/>
  <c r="F76" i="18"/>
  <c r="F186" i="18"/>
  <c r="G76" i="18"/>
  <c r="G186" i="18"/>
  <c r="E77" i="18"/>
  <c r="E187" i="18"/>
  <c r="F77" i="18"/>
  <c r="F187" i="18"/>
  <c r="G77" i="18"/>
  <c r="G187" i="18"/>
  <c r="E78" i="18"/>
  <c r="E188" i="18"/>
  <c r="F78" i="18"/>
  <c r="F188" i="18"/>
  <c r="G78" i="18"/>
  <c r="G188" i="18"/>
  <c r="J79" i="21"/>
  <c r="E79" i="18"/>
  <c r="E189" i="18"/>
  <c r="K79" i="21"/>
  <c r="F79" i="18"/>
  <c r="F189" i="18"/>
  <c r="L79" i="21"/>
  <c r="G79" i="18"/>
  <c r="G189" i="18"/>
  <c r="E80" i="18"/>
  <c r="E190" i="18"/>
  <c r="F80" i="18"/>
  <c r="F190" i="18"/>
  <c r="G80" i="18"/>
  <c r="G190" i="18"/>
  <c r="J81" i="21"/>
  <c r="E81" i="18"/>
  <c r="E191" i="18"/>
  <c r="K81" i="21"/>
  <c r="F81" i="18"/>
  <c r="F191" i="18"/>
  <c r="L81" i="21"/>
  <c r="G81" i="18"/>
  <c r="G191" i="18"/>
  <c r="E82" i="18"/>
  <c r="E192" i="18"/>
  <c r="F82" i="18"/>
  <c r="F192" i="18"/>
  <c r="G82" i="18"/>
  <c r="G192" i="18"/>
  <c r="J83" i="21"/>
  <c r="E83" i="18"/>
  <c r="E193" i="18"/>
  <c r="K83" i="21"/>
  <c r="F83" i="18"/>
  <c r="F193" i="18"/>
  <c r="L83" i="21"/>
  <c r="G83" i="18"/>
  <c r="G193" i="18"/>
  <c r="E84" i="18"/>
  <c r="E194" i="18"/>
  <c r="F84" i="18"/>
  <c r="F194" i="18"/>
  <c r="G84" i="18"/>
  <c r="G194" i="18"/>
  <c r="J85" i="21"/>
  <c r="E85" i="18"/>
  <c r="E195" i="18"/>
  <c r="K85" i="21"/>
  <c r="F85" i="18"/>
  <c r="F195" i="18"/>
  <c r="L85" i="21"/>
  <c r="G85" i="18"/>
  <c r="G195" i="18"/>
  <c r="E86" i="18"/>
  <c r="E196" i="18"/>
  <c r="F86" i="18"/>
  <c r="F196" i="18"/>
  <c r="G86" i="18"/>
  <c r="G196" i="18"/>
  <c r="J87" i="21"/>
  <c r="E87" i="18"/>
  <c r="E197" i="18"/>
  <c r="K87" i="21"/>
  <c r="F87" i="18"/>
  <c r="F197" i="18"/>
  <c r="L87" i="21"/>
  <c r="G87" i="18"/>
  <c r="G197" i="18"/>
  <c r="E88" i="18"/>
  <c r="E198" i="18"/>
  <c r="F88" i="18"/>
  <c r="F198" i="18"/>
  <c r="G88" i="18"/>
  <c r="G198" i="18"/>
  <c r="E199" i="18"/>
  <c r="F199" i="18"/>
  <c r="L89" i="21"/>
  <c r="G89" i="18"/>
  <c r="G199" i="18"/>
  <c r="E90" i="18"/>
  <c r="E200" i="18"/>
  <c r="F90" i="18"/>
  <c r="F200" i="18"/>
  <c r="G90" i="18"/>
  <c r="G200" i="18"/>
  <c r="J91" i="21"/>
  <c r="E91" i="18"/>
  <c r="E201" i="18"/>
  <c r="K91" i="21"/>
  <c r="F91" i="18"/>
  <c r="F201" i="18"/>
  <c r="L91" i="21"/>
  <c r="G91" i="18"/>
  <c r="G201" i="18"/>
  <c r="E92" i="18"/>
  <c r="E202" i="18"/>
  <c r="F92" i="18"/>
  <c r="F202" i="18"/>
  <c r="G92" i="18"/>
  <c r="G202" i="18"/>
  <c r="E203" i="18"/>
  <c r="F203" i="18"/>
  <c r="L93" i="21"/>
  <c r="G93" i="18"/>
  <c r="G203" i="18"/>
  <c r="E94" i="18"/>
  <c r="E204" i="18"/>
  <c r="F94" i="18"/>
  <c r="F204" i="18"/>
  <c r="G94" i="18"/>
  <c r="G204" i="18"/>
  <c r="J95" i="21"/>
  <c r="E95" i="18"/>
  <c r="E205" i="18"/>
  <c r="K95" i="21"/>
  <c r="F95" i="18"/>
  <c r="F205" i="18"/>
  <c r="L95" i="21"/>
  <c r="G95" i="18"/>
  <c r="G205" i="18"/>
  <c r="E96" i="18"/>
  <c r="E206" i="18"/>
  <c r="F96" i="18"/>
  <c r="F206" i="18"/>
  <c r="G96" i="18"/>
  <c r="G206" i="18"/>
  <c r="J97" i="21"/>
  <c r="E97" i="18"/>
  <c r="E207" i="18"/>
  <c r="K97" i="21"/>
  <c r="F97" i="18"/>
  <c r="F207" i="18"/>
  <c r="L97" i="21"/>
  <c r="G97" i="18"/>
  <c r="G207" i="18"/>
  <c r="E98" i="18"/>
  <c r="E208" i="18"/>
  <c r="F98" i="18"/>
  <c r="F208" i="18"/>
  <c r="G98" i="18"/>
  <c r="G208" i="18"/>
  <c r="J99" i="21"/>
  <c r="E99" i="18"/>
  <c r="E209" i="18"/>
  <c r="K99" i="21"/>
  <c r="F99" i="18"/>
  <c r="F209" i="18"/>
  <c r="L99" i="21"/>
  <c r="G99" i="18"/>
  <c r="G209" i="18"/>
  <c r="E100" i="18"/>
  <c r="E210" i="18"/>
  <c r="F100" i="18"/>
  <c r="F210" i="18"/>
  <c r="G100" i="18"/>
  <c r="G210" i="18"/>
  <c r="J101" i="21"/>
  <c r="E101" i="18"/>
  <c r="E211" i="18"/>
  <c r="K101" i="21"/>
  <c r="F101" i="18"/>
  <c r="F211" i="18"/>
  <c r="L101" i="21"/>
  <c r="G101" i="18"/>
  <c r="G211" i="18"/>
  <c r="E102" i="18"/>
  <c r="E212" i="18"/>
  <c r="F102" i="18"/>
  <c r="F212" i="18"/>
  <c r="G102" i="18"/>
  <c r="G212" i="18"/>
  <c r="J103" i="21"/>
  <c r="E103" i="18"/>
  <c r="E213" i="18"/>
  <c r="K103" i="21"/>
  <c r="F103" i="18"/>
  <c r="F213" i="18"/>
  <c r="L103" i="21"/>
  <c r="G103" i="18"/>
  <c r="G213" i="18"/>
  <c r="E104" i="18"/>
  <c r="E214" i="18"/>
  <c r="F104" i="18"/>
  <c r="F214" i="18"/>
  <c r="G104" i="18"/>
  <c r="G214" i="18"/>
  <c r="J105" i="21"/>
  <c r="E105" i="18"/>
  <c r="E215" i="18"/>
  <c r="K105" i="21"/>
  <c r="F105" i="18"/>
  <c r="F215" i="18"/>
  <c r="L105" i="21"/>
  <c r="G105" i="18"/>
  <c r="G215" i="18"/>
  <c r="E106" i="18"/>
  <c r="E216" i="18"/>
  <c r="F106" i="18"/>
  <c r="F216" i="18"/>
  <c r="G106" i="18"/>
  <c r="G216" i="18"/>
  <c r="J107" i="21"/>
  <c r="E107" i="18"/>
  <c r="E217" i="18"/>
  <c r="K107" i="21"/>
  <c r="F107" i="18"/>
  <c r="F217" i="18"/>
  <c r="L107" i="21"/>
  <c r="G107" i="18"/>
  <c r="G217" i="18"/>
  <c r="E108" i="18"/>
  <c r="E218" i="18"/>
  <c r="F108" i="18"/>
  <c r="F218" i="18"/>
  <c r="G108" i="18"/>
  <c r="G218" i="18"/>
  <c r="E219" i="18"/>
  <c r="F219" i="18"/>
  <c r="L109" i="21"/>
  <c r="G109" i="18"/>
  <c r="G219" i="18"/>
  <c r="H103" i="6"/>
  <c r="N42" i="21"/>
  <c r="N18" i="21"/>
  <c r="G95" i="13"/>
  <c r="H99" i="13"/>
  <c r="I116" i="13"/>
  <c r="I115" i="13"/>
  <c r="H115" i="13"/>
  <c r="G115" i="13"/>
  <c r="I114" i="13"/>
  <c r="H114" i="13"/>
  <c r="G114" i="13"/>
  <c r="I113" i="13"/>
  <c r="H113" i="13"/>
  <c r="G113" i="13"/>
  <c r="I112" i="13"/>
  <c r="H112" i="13"/>
  <c r="G112" i="13"/>
  <c r="I111" i="13"/>
  <c r="H111" i="13"/>
  <c r="G111" i="13"/>
  <c r="I110" i="13"/>
  <c r="H110" i="13"/>
  <c r="G110" i="13"/>
  <c r="I109" i="13"/>
  <c r="H109" i="13"/>
  <c r="G109" i="13"/>
  <c r="I108" i="13"/>
  <c r="H108" i="13"/>
  <c r="G108" i="13"/>
  <c r="I107" i="13"/>
  <c r="H107" i="13"/>
  <c r="G107" i="13"/>
  <c r="I106" i="13"/>
  <c r="H106" i="13"/>
  <c r="G106" i="13"/>
  <c r="I105" i="13"/>
  <c r="H105" i="13"/>
  <c r="G105" i="13"/>
  <c r="I104" i="13"/>
  <c r="H104" i="13"/>
  <c r="G104" i="13"/>
  <c r="I103" i="13"/>
  <c r="H103" i="13"/>
  <c r="G103" i="13"/>
  <c r="I102" i="13"/>
  <c r="H102" i="13"/>
  <c r="G102" i="13"/>
  <c r="I101" i="13"/>
  <c r="H101" i="13"/>
  <c r="G101" i="13"/>
  <c r="I100" i="13"/>
  <c r="I99" i="13"/>
  <c r="G99" i="13"/>
  <c r="I98" i="13"/>
  <c r="H98" i="13"/>
  <c r="G98" i="13"/>
  <c r="I97" i="13"/>
  <c r="H97" i="13"/>
  <c r="G97" i="13"/>
  <c r="I96" i="13"/>
  <c r="I95" i="13"/>
  <c r="H95" i="13"/>
  <c r="I94" i="13"/>
  <c r="H94" i="13"/>
  <c r="G94" i="13"/>
  <c r="I93" i="13"/>
  <c r="H93" i="13"/>
  <c r="G93" i="13"/>
  <c r="I92" i="13"/>
  <c r="H92" i="13"/>
  <c r="G92" i="13"/>
  <c r="I91" i="13"/>
  <c r="H91" i="13"/>
  <c r="G91" i="13"/>
  <c r="I90" i="13"/>
  <c r="H90" i="13"/>
  <c r="G90" i="13"/>
  <c r="I89" i="13"/>
  <c r="H89" i="13"/>
  <c r="G89" i="13"/>
  <c r="I88" i="13"/>
  <c r="H88" i="13"/>
  <c r="G88" i="13"/>
  <c r="I87" i="13"/>
  <c r="H87" i="13"/>
  <c r="G87" i="13"/>
  <c r="I86" i="13"/>
  <c r="H86" i="13"/>
  <c r="G86" i="13"/>
  <c r="I85" i="13"/>
  <c r="H85" i="13"/>
  <c r="G85" i="13"/>
  <c r="I84" i="13"/>
  <c r="H84" i="13"/>
  <c r="G84" i="13"/>
  <c r="I83" i="13"/>
  <c r="H83" i="13"/>
  <c r="G83" i="13"/>
  <c r="I82" i="13"/>
  <c r="H82" i="13"/>
  <c r="G82" i="13"/>
  <c r="I81" i="13"/>
  <c r="H81" i="13"/>
  <c r="G81" i="13"/>
  <c r="I80" i="13"/>
  <c r="H80" i="13"/>
  <c r="G80" i="13"/>
  <c r="I79" i="13"/>
  <c r="H79" i="13"/>
  <c r="G79" i="13"/>
  <c r="I78" i="13"/>
  <c r="H78" i="13"/>
  <c r="G78" i="13"/>
  <c r="I77" i="13"/>
  <c r="H77" i="13"/>
  <c r="G77" i="13"/>
  <c r="G58" i="13"/>
  <c r="H58" i="13"/>
  <c r="I58" i="13"/>
  <c r="G59" i="13"/>
  <c r="H59" i="13"/>
  <c r="I59" i="13"/>
  <c r="G60" i="13"/>
  <c r="H60" i="13"/>
  <c r="I60" i="13"/>
  <c r="G61" i="13"/>
  <c r="H61" i="13"/>
  <c r="I61" i="13"/>
  <c r="G62" i="13"/>
  <c r="H62" i="13"/>
  <c r="I62" i="13"/>
  <c r="G63" i="13"/>
  <c r="H63" i="13"/>
  <c r="I63" i="13"/>
  <c r="G64" i="13"/>
  <c r="H64" i="13"/>
  <c r="I64" i="13"/>
  <c r="I65" i="13"/>
  <c r="G66" i="13"/>
  <c r="H66" i="13"/>
  <c r="I66" i="13"/>
  <c r="I67" i="13"/>
  <c r="G68" i="13"/>
  <c r="H68" i="13"/>
  <c r="I68" i="13"/>
  <c r="I69" i="13"/>
  <c r="G70" i="13"/>
  <c r="H70" i="13"/>
  <c r="I70" i="13"/>
  <c r="I71" i="13"/>
  <c r="G72" i="13"/>
  <c r="H72" i="13"/>
  <c r="I72" i="13"/>
  <c r="I73" i="13"/>
  <c r="G74" i="13"/>
  <c r="H74" i="13"/>
  <c r="I74" i="13"/>
  <c r="G75" i="13"/>
  <c r="H75" i="13"/>
  <c r="I75" i="13"/>
  <c r="I54" i="13"/>
  <c r="H54" i="13"/>
  <c r="G54" i="13"/>
  <c r="I53" i="13"/>
  <c r="H53" i="13"/>
  <c r="G53" i="13"/>
  <c r="I52" i="13"/>
  <c r="H52" i="13"/>
  <c r="G52" i="13"/>
  <c r="I51" i="13"/>
  <c r="H51" i="13"/>
  <c r="G51" i="13"/>
  <c r="I50" i="13"/>
  <c r="H50" i="13"/>
  <c r="G50" i="13"/>
  <c r="I49" i="13"/>
  <c r="H49" i="13"/>
  <c r="G49" i="13"/>
  <c r="I48" i="13"/>
  <c r="H48" i="13"/>
  <c r="G48" i="13"/>
  <c r="I47" i="13"/>
  <c r="H47" i="13"/>
  <c r="G47" i="13"/>
  <c r="I46" i="13"/>
  <c r="H46" i="13"/>
  <c r="G46" i="13"/>
  <c r="I45" i="13"/>
  <c r="H45" i="13"/>
  <c r="G45" i="13"/>
  <c r="I44" i="13"/>
  <c r="H44" i="13"/>
  <c r="G44" i="13"/>
  <c r="I43" i="13"/>
  <c r="H43" i="13"/>
  <c r="G43" i="13"/>
  <c r="I42" i="13"/>
  <c r="H42" i="13"/>
  <c r="G42" i="13"/>
  <c r="I41" i="13"/>
  <c r="H41" i="13"/>
  <c r="G41" i="13"/>
  <c r="I40" i="13"/>
  <c r="H40" i="13"/>
  <c r="G40" i="13"/>
  <c r="I39" i="13"/>
  <c r="H39" i="13"/>
  <c r="G39" i="13"/>
  <c r="I38" i="13"/>
  <c r="H38" i="13"/>
  <c r="G38" i="13"/>
  <c r="I37" i="13"/>
  <c r="H37" i="13"/>
  <c r="G37" i="13"/>
  <c r="I36" i="13"/>
  <c r="H36" i="13"/>
  <c r="G36" i="13"/>
  <c r="I35" i="13"/>
  <c r="H35" i="13"/>
  <c r="G35" i="13"/>
  <c r="I34" i="13"/>
  <c r="H34" i="13"/>
  <c r="G34" i="13"/>
  <c r="I33" i="13"/>
  <c r="H33" i="13"/>
  <c r="G33" i="13"/>
  <c r="I32" i="13"/>
  <c r="H32" i="13"/>
  <c r="G32" i="13"/>
  <c r="I31" i="13"/>
  <c r="H31" i="13"/>
  <c r="G31" i="13"/>
  <c r="I30" i="13"/>
  <c r="H30" i="13"/>
  <c r="G30" i="13"/>
  <c r="I29" i="13"/>
  <c r="H29" i="13"/>
  <c r="G29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I16" i="13"/>
  <c r="H16" i="13"/>
  <c r="G16" i="13"/>
  <c r="I15" i="13"/>
  <c r="H15" i="13"/>
  <c r="G15" i="13"/>
  <c r="I14" i="13"/>
  <c r="H14" i="13"/>
  <c r="G14" i="13"/>
  <c r="I13" i="13"/>
  <c r="H13" i="13"/>
  <c r="G13" i="13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" i="13"/>
  <c r="H7" i="13"/>
  <c r="G7" i="13"/>
  <c r="I6" i="13"/>
  <c r="H6" i="13"/>
  <c r="G6" i="13"/>
  <c r="I5" i="13"/>
  <c r="H5" i="13"/>
  <c r="G5" i="13"/>
  <c r="I4" i="13"/>
  <c r="H4" i="13"/>
  <c r="G4" i="13"/>
  <c r="I3" i="13"/>
  <c r="H3" i="13"/>
  <c r="G3" i="13"/>
  <c r="L13" i="8"/>
  <c r="K13" i="8"/>
  <c r="J13" i="8"/>
  <c r="I13" i="8"/>
  <c r="H13" i="8"/>
  <c r="J12" i="8"/>
  <c r="I12" i="8"/>
  <c r="H12" i="8"/>
  <c r="L12" i="8"/>
  <c r="K12" i="8"/>
  <c r="L32" i="8"/>
  <c r="P30" i="6"/>
  <c r="K32" i="8"/>
  <c r="O30" i="6"/>
  <c r="K30" i="6"/>
  <c r="L30" i="6"/>
  <c r="M30" i="6"/>
  <c r="H32" i="8"/>
  <c r="G76" i="21"/>
  <c r="J77" i="21"/>
  <c r="K31" i="6"/>
  <c r="I32" i="8"/>
  <c r="H76" i="21"/>
  <c r="K77" i="21"/>
  <c r="L31" i="6"/>
  <c r="J32" i="8"/>
  <c r="I76" i="21"/>
  <c r="L77" i="21"/>
  <c r="M31" i="6"/>
  <c r="H33" i="8"/>
  <c r="I33" i="8"/>
  <c r="J33" i="8"/>
  <c r="J30" i="6"/>
  <c r="I30" i="6"/>
  <c r="H30" i="6"/>
  <c r="L91" i="8"/>
  <c r="P101" i="6"/>
  <c r="K91" i="8"/>
  <c r="O101" i="6"/>
  <c r="J91" i="8"/>
  <c r="I56" i="21"/>
  <c r="L57" i="21"/>
  <c r="M102" i="6"/>
  <c r="I91" i="8"/>
  <c r="H56" i="21"/>
  <c r="K57" i="21"/>
  <c r="L102" i="6"/>
  <c r="H91" i="8"/>
  <c r="G56" i="21"/>
  <c r="J57" i="21"/>
  <c r="K102" i="6"/>
  <c r="M101" i="6"/>
  <c r="L101" i="6"/>
  <c r="K101" i="6"/>
  <c r="J103" i="6"/>
  <c r="I103" i="6"/>
  <c r="H101" i="6"/>
  <c r="I101" i="6"/>
  <c r="J101" i="6"/>
  <c r="I92" i="8"/>
  <c r="J92" i="8"/>
  <c r="G21" i="23"/>
  <c r="G20" i="23"/>
  <c r="K20" i="23"/>
  <c r="N4" i="18"/>
  <c r="O4" i="18"/>
  <c r="P4" i="18"/>
  <c r="Q4" i="18"/>
  <c r="S4" i="18"/>
  <c r="N6" i="18"/>
  <c r="O6" i="18"/>
  <c r="P6" i="18"/>
  <c r="Q6" i="18"/>
  <c r="S6" i="18"/>
  <c r="N8" i="18"/>
  <c r="O8" i="18"/>
  <c r="P8" i="18"/>
  <c r="Q8" i="18"/>
  <c r="S8" i="18"/>
  <c r="N10" i="18"/>
  <c r="O10" i="18"/>
  <c r="P10" i="18"/>
  <c r="Q10" i="18"/>
  <c r="S10" i="18"/>
  <c r="N12" i="18"/>
  <c r="O12" i="18"/>
  <c r="P12" i="18"/>
  <c r="Q12" i="18"/>
  <c r="S12" i="18"/>
  <c r="N14" i="18"/>
  <c r="O14" i="18"/>
  <c r="P14" i="18"/>
  <c r="Q14" i="18"/>
  <c r="S14" i="18"/>
  <c r="N16" i="18"/>
  <c r="O16" i="18"/>
  <c r="P16" i="18"/>
  <c r="Q16" i="18"/>
  <c r="S16" i="18"/>
  <c r="N18" i="18"/>
  <c r="O18" i="18"/>
  <c r="P18" i="18"/>
  <c r="Q18" i="18"/>
  <c r="S18" i="18"/>
  <c r="N20" i="18"/>
  <c r="O20" i="18"/>
  <c r="P20" i="18"/>
  <c r="Q20" i="18"/>
  <c r="S20" i="18"/>
  <c r="N22" i="18"/>
  <c r="O22" i="18"/>
  <c r="P22" i="18"/>
  <c r="Q22" i="18"/>
  <c r="S22" i="18"/>
  <c r="N24" i="18"/>
  <c r="O24" i="18"/>
  <c r="P24" i="18"/>
  <c r="Q24" i="18"/>
  <c r="S24" i="18"/>
  <c r="N26" i="18"/>
  <c r="O26" i="18"/>
  <c r="P26" i="18"/>
  <c r="Q26" i="18"/>
  <c r="S26" i="18"/>
  <c r="N28" i="18"/>
  <c r="O28" i="18"/>
  <c r="P28" i="18"/>
  <c r="Q28" i="18"/>
  <c r="S28" i="18"/>
  <c r="N30" i="18"/>
  <c r="O30" i="18"/>
  <c r="P30" i="18"/>
  <c r="Q30" i="18"/>
  <c r="S30" i="18"/>
  <c r="N32" i="18"/>
  <c r="O32" i="18"/>
  <c r="P32" i="18"/>
  <c r="Q32" i="18"/>
  <c r="S32" i="18"/>
  <c r="N34" i="18"/>
  <c r="O34" i="18"/>
  <c r="P34" i="18"/>
  <c r="Q34" i="18"/>
  <c r="S34" i="18"/>
  <c r="N36" i="18"/>
  <c r="O36" i="18"/>
  <c r="P36" i="18"/>
  <c r="Q36" i="18"/>
  <c r="S36" i="18"/>
  <c r="N38" i="18"/>
  <c r="O38" i="18"/>
  <c r="P38" i="18"/>
  <c r="Q38" i="18"/>
  <c r="S38" i="18"/>
  <c r="N40" i="18"/>
  <c r="O40" i="18"/>
  <c r="P40" i="18"/>
  <c r="Q40" i="18"/>
  <c r="S40" i="18"/>
  <c r="N42" i="18"/>
  <c r="O42" i="18"/>
  <c r="P42" i="18"/>
  <c r="Q42" i="18"/>
  <c r="S42" i="18"/>
  <c r="N44" i="18"/>
  <c r="O44" i="18"/>
  <c r="P44" i="18"/>
  <c r="Q44" i="18"/>
  <c r="S44" i="18"/>
  <c r="N46" i="18"/>
  <c r="O46" i="18"/>
  <c r="P46" i="18"/>
  <c r="Q46" i="18"/>
  <c r="S46" i="18"/>
  <c r="N48" i="18"/>
  <c r="O48" i="18"/>
  <c r="P48" i="18"/>
  <c r="Q48" i="18"/>
  <c r="S48" i="18"/>
  <c r="N50" i="18"/>
  <c r="O50" i="18"/>
  <c r="P50" i="18"/>
  <c r="Q50" i="18"/>
  <c r="S50" i="18"/>
  <c r="N52" i="18"/>
  <c r="O52" i="18"/>
  <c r="P52" i="18"/>
  <c r="Q52" i="18"/>
  <c r="S52" i="18"/>
  <c r="N54" i="18"/>
  <c r="O54" i="18"/>
  <c r="P54" i="18"/>
  <c r="Q54" i="18"/>
  <c r="S54" i="18"/>
  <c r="N56" i="18"/>
  <c r="O56" i="18"/>
  <c r="P56" i="18"/>
  <c r="Q56" i="18"/>
  <c r="S56" i="18"/>
  <c r="N68" i="18"/>
  <c r="O68" i="18"/>
  <c r="P68" i="18"/>
  <c r="Q68" i="18"/>
  <c r="S68" i="18"/>
  <c r="N70" i="18"/>
  <c r="O70" i="18"/>
  <c r="P70" i="18"/>
  <c r="Q70" i="18"/>
  <c r="S70" i="18"/>
  <c r="N72" i="18"/>
  <c r="O72" i="18"/>
  <c r="P72" i="18"/>
  <c r="Q72" i="18"/>
  <c r="S72" i="18"/>
  <c r="N74" i="18"/>
  <c r="O74" i="18"/>
  <c r="P74" i="18"/>
  <c r="Q74" i="18"/>
  <c r="S74" i="18"/>
  <c r="N76" i="18"/>
  <c r="O76" i="18"/>
  <c r="P76" i="18"/>
  <c r="Q76" i="18"/>
  <c r="S76" i="18"/>
  <c r="N78" i="18"/>
  <c r="O78" i="18"/>
  <c r="P78" i="18"/>
  <c r="Q78" i="18"/>
  <c r="S78" i="18"/>
  <c r="N80" i="18"/>
  <c r="O80" i="18"/>
  <c r="P80" i="18"/>
  <c r="Q80" i="18"/>
  <c r="S80" i="18"/>
  <c r="N82" i="18"/>
  <c r="O82" i="18"/>
  <c r="P82" i="18"/>
  <c r="Q82" i="18"/>
  <c r="S82" i="18"/>
  <c r="N84" i="18"/>
  <c r="O84" i="18"/>
  <c r="P84" i="18"/>
  <c r="Q84" i="18"/>
  <c r="S84" i="18"/>
  <c r="N86" i="18"/>
  <c r="O86" i="18"/>
  <c r="P86" i="18"/>
  <c r="Q86" i="18"/>
  <c r="S86" i="18"/>
  <c r="N90" i="18"/>
  <c r="O90" i="18"/>
  <c r="P90" i="18"/>
  <c r="Q90" i="18"/>
  <c r="S90" i="18"/>
  <c r="N94" i="18"/>
  <c r="O94" i="18"/>
  <c r="P94" i="18"/>
  <c r="Q94" i="18"/>
  <c r="S94" i="18"/>
  <c r="N96" i="18"/>
  <c r="O96" i="18"/>
  <c r="P96" i="18"/>
  <c r="Q96" i="18"/>
  <c r="S96" i="18"/>
  <c r="N98" i="18"/>
  <c r="O98" i="18"/>
  <c r="P98" i="18"/>
  <c r="Q98" i="18"/>
  <c r="S98" i="18"/>
  <c r="N100" i="18"/>
  <c r="O100" i="18"/>
  <c r="P100" i="18"/>
  <c r="Q100" i="18"/>
  <c r="S100" i="18"/>
  <c r="N102" i="18"/>
  <c r="O102" i="18"/>
  <c r="P102" i="18"/>
  <c r="Q102" i="18"/>
  <c r="S102" i="18"/>
  <c r="N104" i="18"/>
  <c r="O104" i="18"/>
  <c r="P104" i="18"/>
  <c r="Q104" i="18"/>
  <c r="S104" i="18"/>
  <c r="N106" i="18"/>
  <c r="O106" i="18"/>
  <c r="P106" i="18"/>
  <c r="Q106" i="18"/>
  <c r="S106" i="18"/>
  <c r="N2" i="18"/>
  <c r="O2" i="18"/>
  <c r="P2" i="18"/>
  <c r="Q2" i="18"/>
  <c r="S2" i="18"/>
  <c r="R18" i="18"/>
  <c r="R20" i="18"/>
  <c r="R22" i="18"/>
  <c r="R24" i="18"/>
  <c r="R26" i="18"/>
  <c r="R28" i="18"/>
  <c r="R30" i="18"/>
  <c r="R32" i="18"/>
  <c r="R34" i="18"/>
  <c r="R36" i="18"/>
  <c r="R38" i="18"/>
  <c r="R40" i="18"/>
  <c r="R42" i="18"/>
  <c r="R44" i="18"/>
  <c r="R46" i="18"/>
  <c r="R48" i="18"/>
  <c r="R50" i="18"/>
  <c r="R52" i="18"/>
  <c r="R54" i="18"/>
  <c r="R56" i="18"/>
  <c r="R68" i="18"/>
  <c r="R70" i="18"/>
  <c r="R72" i="18"/>
  <c r="R74" i="18"/>
  <c r="R76" i="18"/>
  <c r="R78" i="18"/>
  <c r="R80" i="18"/>
  <c r="R82" i="18"/>
  <c r="R84" i="18"/>
  <c r="R86" i="18"/>
  <c r="R90" i="18"/>
  <c r="R94" i="18"/>
  <c r="R96" i="18"/>
  <c r="R98" i="18"/>
  <c r="R100" i="18"/>
  <c r="R102" i="18"/>
  <c r="R104" i="18"/>
  <c r="R106" i="18"/>
  <c r="R16" i="18"/>
  <c r="R4" i="18"/>
  <c r="R6" i="18"/>
  <c r="R8" i="18"/>
  <c r="R10" i="18"/>
  <c r="R12" i="18"/>
  <c r="R14" i="18"/>
  <c r="R2" i="18"/>
  <c r="P88" i="18"/>
  <c r="P92" i="18"/>
  <c r="P108" i="18"/>
  <c r="P58" i="18"/>
  <c r="P60" i="18"/>
  <c r="P62" i="18"/>
  <c r="P64" i="18"/>
  <c r="P66" i="18"/>
  <c r="G82" i="23"/>
  <c r="G81" i="23"/>
  <c r="K81" i="23"/>
  <c r="H82" i="23"/>
  <c r="H81" i="23"/>
  <c r="L81" i="23"/>
  <c r="I82" i="23"/>
  <c r="I81" i="23"/>
  <c r="M81" i="23"/>
  <c r="G84" i="23"/>
  <c r="G83" i="23"/>
  <c r="K83" i="23"/>
  <c r="H84" i="23"/>
  <c r="H83" i="23"/>
  <c r="L83" i="23"/>
  <c r="I84" i="23"/>
  <c r="I83" i="23"/>
  <c r="M83" i="23"/>
  <c r="G86" i="23"/>
  <c r="G85" i="23"/>
  <c r="K85" i="23"/>
  <c r="H86" i="23"/>
  <c r="H85" i="23"/>
  <c r="L85" i="23"/>
  <c r="I86" i="23"/>
  <c r="I85" i="23"/>
  <c r="M85" i="23"/>
  <c r="G88" i="23"/>
  <c r="G87" i="23"/>
  <c r="K87" i="23"/>
  <c r="H88" i="23"/>
  <c r="H87" i="23"/>
  <c r="L87" i="23"/>
  <c r="I88" i="23"/>
  <c r="I87" i="23"/>
  <c r="M87" i="23"/>
  <c r="G90" i="23"/>
  <c r="G89" i="23"/>
  <c r="K89" i="23"/>
  <c r="H90" i="23"/>
  <c r="H89" i="23"/>
  <c r="L89" i="23"/>
  <c r="I90" i="23"/>
  <c r="I89" i="23"/>
  <c r="M89" i="23"/>
  <c r="G92" i="23"/>
  <c r="G91" i="23"/>
  <c r="K91" i="23"/>
  <c r="H92" i="23"/>
  <c r="H91" i="23"/>
  <c r="L91" i="23"/>
  <c r="I92" i="23"/>
  <c r="I91" i="23"/>
  <c r="M91" i="23"/>
  <c r="G94" i="23"/>
  <c r="G93" i="23"/>
  <c r="K93" i="23"/>
  <c r="H94" i="23"/>
  <c r="H93" i="23"/>
  <c r="L93" i="23"/>
  <c r="I94" i="23"/>
  <c r="I93" i="23"/>
  <c r="M93" i="23"/>
  <c r="I96" i="23"/>
  <c r="I95" i="23"/>
  <c r="M95" i="23"/>
  <c r="G98" i="23"/>
  <c r="G97" i="23"/>
  <c r="K97" i="23"/>
  <c r="H98" i="23"/>
  <c r="H97" i="23"/>
  <c r="L97" i="23"/>
  <c r="I98" i="23"/>
  <c r="I97" i="23"/>
  <c r="M97" i="23"/>
  <c r="I100" i="23"/>
  <c r="I99" i="23"/>
  <c r="M99" i="23"/>
  <c r="G102" i="23"/>
  <c r="G101" i="23"/>
  <c r="K101" i="23"/>
  <c r="H102" i="23"/>
  <c r="H101" i="23"/>
  <c r="L101" i="23"/>
  <c r="I102" i="23"/>
  <c r="I101" i="23"/>
  <c r="M101" i="23"/>
  <c r="G104" i="23"/>
  <c r="G103" i="23"/>
  <c r="K103" i="23"/>
  <c r="H104" i="23"/>
  <c r="H103" i="23"/>
  <c r="L103" i="23"/>
  <c r="I104" i="23"/>
  <c r="I103" i="23"/>
  <c r="M103" i="23"/>
  <c r="G106" i="23"/>
  <c r="G105" i="23"/>
  <c r="K105" i="23"/>
  <c r="H106" i="23"/>
  <c r="H105" i="23"/>
  <c r="L105" i="23"/>
  <c r="I106" i="23"/>
  <c r="I105" i="23"/>
  <c r="M105" i="23"/>
  <c r="G108" i="23"/>
  <c r="G107" i="23"/>
  <c r="K107" i="23"/>
  <c r="H108" i="23"/>
  <c r="H107" i="23"/>
  <c r="L107" i="23"/>
  <c r="I108" i="23"/>
  <c r="I107" i="23"/>
  <c r="M107" i="23"/>
  <c r="G110" i="23"/>
  <c r="G109" i="23"/>
  <c r="K109" i="23"/>
  <c r="H110" i="23"/>
  <c r="H109" i="23"/>
  <c r="L109" i="23"/>
  <c r="I110" i="23"/>
  <c r="I109" i="23"/>
  <c r="M109" i="23"/>
  <c r="G112" i="23"/>
  <c r="G111" i="23"/>
  <c r="K111" i="23"/>
  <c r="H112" i="23"/>
  <c r="H111" i="23"/>
  <c r="L111" i="23"/>
  <c r="I112" i="23"/>
  <c r="I111" i="23"/>
  <c r="M111" i="23"/>
  <c r="G114" i="23"/>
  <c r="G113" i="23"/>
  <c r="K113" i="23"/>
  <c r="H114" i="23"/>
  <c r="H113" i="23"/>
  <c r="L113" i="23"/>
  <c r="I114" i="23"/>
  <c r="I113" i="23"/>
  <c r="M113" i="23"/>
  <c r="I116" i="23"/>
  <c r="I115" i="23"/>
  <c r="M115" i="23"/>
  <c r="I80" i="23"/>
  <c r="I79" i="23"/>
  <c r="M79" i="23"/>
  <c r="H80" i="23"/>
  <c r="H79" i="23"/>
  <c r="L79" i="23"/>
  <c r="G80" i="23"/>
  <c r="G79" i="23"/>
  <c r="K79" i="23"/>
  <c r="I78" i="23"/>
  <c r="I77" i="23"/>
  <c r="M77" i="23"/>
  <c r="H78" i="23"/>
  <c r="H77" i="23"/>
  <c r="L77" i="23"/>
  <c r="G78" i="23"/>
  <c r="G77" i="23"/>
  <c r="K77" i="23"/>
  <c r="G63" i="23"/>
  <c r="G62" i="23"/>
  <c r="K62" i="23"/>
  <c r="H63" i="23"/>
  <c r="H62" i="23"/>
  <c r="L62" i="23"/>
  <c r="I63" i="23"/>
  <c r="I62" i="23"/>
  <c r="M62" i="23"/>
  <c r="I65" i="23"/>
  <c r="I64" i="23"/>
  <c r="M64" i="23"/>
  <c r="I67" i="23"/>
  <c r="I66" i="23"/>
  <c r="M66" i="23"/>
  <c r="I69" i="23"/>
  <c r="I68" i="23"/>
  <c r="M68" i="23"/>
  <c r="I71" i="23"/>
  <c r="I70" i="23"/>
  <c r="M70" i="23"/>
  <c r="I73" i="23"/>
  <c r="I72" i="23"/>
  <c r="M72" i="23"/>
  <c r="G75" i="23"/>
  <c r="G74" i="23"/>
  <c r="K74" i="23"/>
  <c r="H75" i="23"/>
  <c r="H74" i="23"/>
  <c r="L74" i="23"/>
  <c r="I75" i="23"/>
  <c r="I74" i="23"/>
  <c r="M74" i="23"/>
  <c r="I61" i="23"/>
  <c r="I60" i="23"/>
  <c r="M60" i="23"/>
  <c r="H61" i="23"/>
  <c r="H60" i="23"/>
  <c r="L60" i="23"/>
  <c r="G61" i="23"/>
  <c r="G60" i="23"/>
  <c r="K60" i="23"/>
  <c r="I59" i="23"/>
  <c r="I58" i="23"/>
  <c r="M58" i="23"/>
  <c r="H59" i="23"/>
  <c r="H58" i="23"/>
  <c r="L58" i="23"/>
  <c r="G59" i="23"/>
  <c r="G58" i="23"/>
  <c r="K58" i="23"/>
  <c r="G34" i="23"/>
  <c r="G33" i="23"/>
  <c r="K33" i="23"/>
  <c r="H34" i="23"/>
  <c r="H33" i="23"/>
  <c r="L33" i="23"/>
  <c r="I34" i="23"/>
  <c r="I33" i="23"/>
  <c r="M33" i="23"/>
  <c r="G36" i="23"/>
  <c r="G35" i="23"/>
  <c r="K35" i="23"/>
  <c r="H36" i="23"/>
  <c r="H35" i="23"/>
  <c r="L35" i="23"/>
  <c r="I36" i="23"/>
  <c r="I35" i="23"/>
  <c r="M35" i="23"/>
  <c r="G38" i="23"/>
  <c r="G37" i="23"/>
  <c r="K37" i="23"/>
  <c r="H38" i="23"/>
  <c r="H37" i="23"/>
  <c r="L37" i="23"/>
  <c r="I38" i="23"/>
  <c r="I37" i="23"/>
  <c r="M37" i="23"/>
  <c r="G40" i="23"/>
  <c r="G39" i="23"/>
  <c r="K39" i="23"/>
  <c r="H40" i="23"/>
  <c r="H39" i="23"/>
  <c r="L39" i="23"/>
  <c r="I40" i="23"/>
  <c r="I39" i="23"/>
  <c r="M39" i="23"/>
  <c r="G42" i="23"/>
  <c r="G41" i="23"/>
  <c r="K41" i="23"/>
  <c r="H42" i="23"/>
  <c r="H41" i="23"/>
  <c r="L41" i="23"/>
  <c r="I42" i="23"/>
  <c r="I41" i="23"/>
  <c r="M41" i="23"/>
  <c r="G44" i="23"/>
  <c r="G43" i="23"/>
  <c r="K43" i="23"/>
  <c r="H44" i="23"/>
  <c r="H43" i="23"/>
  <c r="L43" i="23"/>
  <c r="I44" i="23"/>
  <c r="I43" i="23"/>
  <c r="M43" i="23"/>
  <c r="G46" i="23"/>
  <c r="G45" i="23"/>
  <c r="K45" i="23"/>
  <c r="H46" i="23"/>
  <c r="H45" i="23"/>
  <c r="L45" i="23"/>
  <c r="I46" i="23"/>
  <c r="I45" i="23"/>
  <c r="M45" i="23"/>
  <c r="G48" i="23"/>
  <c r="G47" i="23"/>
  <c r="K47" i="23"/>
  <c r="H48" i="23"/>
  <c r="H47" i="23"/>
  <c r="L47" i="23"/>
  <c r="I48" i="23"/>
  <c r="I47" i="23"/>
  <c r="M47" i="23"/>
  <c r="G50" i="23"/>
  <c r="G49" i="23"/>
  <c r="K49" i="23"/>
  <c r="H50" i="23"/>
  <c r="H49" i="23"/>
  <c r="L49" i="23"/>
  <c r="I50" i="23"/>
  <c r="I49" i="23"/>
  <c r="M49" i="23"/>
  <c r="G52" i="23"/>
  <c r="G51" i="23"/>
  <c r="K51" i="23"/>
  <c r="H52" i="23"/>
  <c r="H51" i="23"/>
  <c r="L51" i="23"/>
  <c r="I52" i="23"/>
  <c r="I51" i="23"/>
  <c r="M51" i="23"/>
  <c r="G54" i="23"/>
  <c r="G53" i="23"/>
  <c r="K53" i="23"/>
  <c r="H54" i="23"/>
  <c r="H53" i="23"/>
  <c r="L53" i="23"/>
  <c r="I54" i="23"/>
  <c r="I53" i="23"/>
  <c r="M53" i="23"/>
  <c r="I32" i="23"/>
  <c r="I31" i="23"/>
  <c r="M31" i="23"/>
  <c r="H32" i="23"/>
  <c r="H31" i="23"/>
  <c r="L31" i="23"/>
  <c r="G32" i="23"/>
  <c r="G31" i="23"/>
  <c r="K31" i="23"/>
  <c r="I30" i="23"/>
  <c r="I29" i="23"/>
  <c r="M29" i="23"/>
  <c r="H30" i="23"/>
  <c r="H29" i="23"/>
  <c r="L29" i="23"/>
  <c r="G30" i="23"/>
  <c r="G29" i="23"/>
  <c r="K29" i="23"/>
  <c r="G23" i="23"/>
  <c r="G22" i="23"/>
  <c r="K22" i="23"/>
  <c r="H23" i="23"/>
  <c r="H22" i="23"/>
  <c r="L22" i="23"/>
  <c r="I23" i="23"/>
  <c r="I22" i="23"/>
  <c r="M22" i="23"/>
  <c r="G25" i="23"/>
  <c r="G24" i="23"/>
  <c r="K24" i="23"/>
  <c r="H25" i="23"/>
  <c r="H24" i="23"/>
  <c r="L24" i="23"/>
  <c r="I25" i="23"/>
  <c r="I24" i="23"/>
  <c r="M24" i="23"/>
  <c r="G27" i="23"/>
  <c r="G26" i="23"/>
  <c r="K26" i="23"/>
  <c r="H27" i="23"/>
  <c r="H26" i="23"/>
  <c r="L26" i="23"/>
  <c r="I27" i="23"/>
  <c r="I26" i="23"/>
  <c r="M26" i="23"/>
  <c r="I21" i="23"/>
  <c r="I20" i="23"/>
  <c r="M20" i="23"/>
  <c r="H21" i="23"/>
  <c r="H20" i="23"/>
  <c r="L20" i="23"/>
  <c r="I19" i="23"/>
  <c r="I18" i="23"/>
  <c r="M18" i="23"/>
  <c r="H19" i="23"/>
  <c r="H18" i="23"/>
  <c r="L18" i="23"/>
  <c r="G19" i="23"/>
  <c r="G18" i="23"/>
  <c r="K18" i="23"/>
  <c r="G8" i="23"/>
  <c r="G7" i="23"/>
  <c r="K7" i="23"/>
  <c r="H8" i="23"/>
  <c r="H7" i="23"/>
  <c r="L7" i="23"/>
  <c r="I8" i="23"/>
  <c r="I7" i="23"/>
  <c r="M7" i="23"/>
  <c r="G10" i="23"/>
  <c r="G9" i="23"/>
  <c r="K9" i="23"/>
  <c r="H10" i="23"/>
  <c r="H9" i="23"/>
  <c r="L9" i="23"/>
  <c r="I10" i="23"/>
  <c r="I9" i="23"/>
  <c r="M9" i="23"/>
  <c r="G12" i="23"/>
  <c r="G11" i="23"/>
  <c r="K11" i="23"/>
  <c r="H12" i="23"/>
  <c r="H11" i="23"/>
  <c r="L11" i="23"/>
  <c r="I12" i="23"/>
  <c r="I11" i="23"/>
  <c r="M11" i="23"/>
  <c r="G14" i="23"/>
  <c r="G13" i="23"/>
  <c r="K13" i="23"/>
  <c r="H14" i="23"/>
  <c r="H13" i="23"/>
  <c r="L13" i="23"/>
  <c r="I14" i="23"/>
  <c r="I13" i="23"/>
  <c r="M13" i="23"/>
  <c r="G16" i="23"/>
  <c r="G15" i="23"/>
  <c r="K15" i="23"/>
  <c r="H16" i="23"/>
  <c r="H15" i="23"/>
  <c r="L15" i="23"/>
  <c r="I16" i="23"/>
  <c r="I15" i="23"/>
  <c r="M15" i="23"/>
  <c r="I6" i="23"/>
  <c r="I5" i="23"/>
  <c r="M5" i="23"/>
  <c r="H6" i="23"/>
  <c r="H5" i="23"/>
  <c r="L5" i="23"/>
  <c r="G6" i="23"/>
  <c r="G5" i="23"/>
  <c r="K5" i="23"/>
  <c r="H4" i="23"/>
  <c r="H3" i="23"/>
  <c r="L3" i="23"/>
  <c r="I4" i="23"/>
  <c r="I3" i="23"/>
  <c r="M3" i="23"/>
  <c r="G4" i="23"/>
  <c r="G3" i="23"/>
  <c r="K3" i="23"/>
  <c r="D77" i="23"/>
  <c r="E77" i="23"/>
  <c r="F77" i="23"/>
  <c r="D78" i="23"/>
  <c r="E78" i="23"/>
  <c r="F78" i="23"/>
  <c r="D79" i="23"/>
  <c r="E79" i="23"/>
  <c r="F79" i="23"/>
  <c r="D80" i="23"/>
  <c r="E80" i="23"/>
  <c r="F80" i="23"/>
  <c r="D81" i="23"/>
  <c r="E81" i="23"/>
  <c r="F81" i="23"/>
  <c r="D82" i="23"/>
  <c r="E82" i="23"/>
  <c r="F82" i="23"/>
  <c r="D83" i="23"/>
  <c r="E83" i="23"/>
  <c r="F83" i="23"/>
  <c r="D84" i="23"/>
  <c r="E84" i="23"/>
  <c r="F84" i="23"/>
  <c r="D85" i="23"/>
  <c r="E85" i="23"/>
  <c r="F85" i="23"/>
  <c r="D86" i="23"/>
  <c r="E86" i="23"/>
  <c r="F86" i="23"/>
  <c r="D87" i="23"/>
  <c r="E87" i="23"/>
  <c r="F87" i="23"/>
  <c r="D88" i="23"/>
  <c r="E88" i="23"/>
  <c r="F88" i="23"/>
  <c r="D89" i="23"/>
  <c r="E89" i="23"/>
  <c r="F89" i="23"/>
  <c r="D90" i="23"/>
  <c r="E90" i="23"/>
  <c r="F90" i="23"/>
  <c r="D91" i="23"/>
  <c r="E91" i="23"/>
  <c r="F91" i="23"/>
  <c r="D92" i="23"/>
  <c r="E92" i="23"/>
  <c r="F92" i="23"/>
  <c r="D93" i="23"/>
  <c r="E93" i="23"/>
  <c r="F93" i="23"/>
  <c r="D94" i="23"/>
  <c r="E94" i="23"/>
  <c r="F94" i="23"/>
  <c r="D95" i="23"/>
  <c r="E95" i="23"/>
  <c r="F95" i="23"/>
  <c r="F96" i="23"/>
  <c r="D97" i="23"/>
  <c r="E97" i="23"/>
  <c r="F97" i="23"/>
  <c r="D98" i="23"/>
  <c r="E98" i="23"/>
  <c r="F98" i="23"/>
  <c r="D99" i="23"/>
  <c r="E99" i="23"/>
  <c r="F99" i="23"/>
  <c r="F100" i="23"/>
  <c r="D101" i="23"/>
  <c r="E101" i="23"/>
  <c r="F101" i="23"/>
  <c r="D102" i="23"/>
  <c r="E102" i="23"/>
  <c r="F102" i="23"/>
  <c r="D103" i="23"/>
  <c r="E103" i="23"/>
  <c r="F103" i="23"/>
  <c r="D104" i="23"/>
  <c r="E104" i="23"/>
  <c r="F104" i="23"/>
  <c r="D105" i="23"/>
  <c r="E105" i="23"/>
  <c r="F105" i="23"/>
  <c r="D106" i="23"/>
  <c r="E106" i="23"/>
  <c r="F106" i="23"/>
  <c r="D107" i="23"/>
  <c r="E107" i="23"/>
  <c r="F107" i="23"/>
  <c r="D108" i="23"/>
  <c r="E108" i="23"/>
  <c r="F108" i="23"/>
  <c r="D109" i="23"/>
  <c r="E109" i="23"/>
  <c r="F109" i="23"/>
  <c r="D110" i="23"/>
  <c r="E110" i="23"/>
  <c r="F110" i="23"/>
  <c r="D111" i="23"/>
  <c r="E111" i="23"/>
  <c r="F111" i="23"/>
  <c r="D112" i="23"/>
  <c r="E112" i="23"/>
  <c r="F112" i="23"/>
  <c r="D113" i="23"/>
  <c r="E113" i="23"/>
  <c r="F113" i="23"/>
  <c r="D114" i="23"/>
  <c r="E114" i="23"/>
  <c r="F114" i="23"/>
  <c r="D115" i="23"/>
  <c r="E115" i="23"/>
  <c r="F115" i="23"/>
  <c r="F116" i="23"/>
  <c r="D58" i="23"/>
  <c r="E58" i="23"/>
  <c r="F58" i="23"/>
  <c r="D59" i="23"/>
  <c r="E59" i="23"/>
  <c r="F59" i="23"/>
  <c r="D60" i="23"/>
  <c r="E60" i="23"/>
  <c r="F60" i="23"/>
  <c r="D61" i="23"/>
  <c r="E61" i="23"/>
  <c r="F61" i="23"/>
  <c r="D62" i="23"/>
  <c r="E62" i="23"/>
  <c r="F62" i="23"/>
  <c r="D63" i="23"/>
  <c r="E63" i="23"/>
  <c r="F63" i="23"/>
  <c r="D64" i="23"/>
  <c r="E64" i="23"/>
  <c r="F64" i="23"/>
  <c r="F65" i="23"/>
  <c r="D66" i="23"/>
  <c r="E66" i="23"/>
  <c r="F66" i="23"/>
  <c r="F67" i="23"/>
  <c r="D68" i="23"/>
  <c r="E68" i="23"/>
  <c r="F68" i="23"/>
  <c r="F69" i="23"/>
  <c r="D70" i="23"/>
  <c r="E70" i="23"/>
  <c r="F70" i="23"/>
  <c r="F71" i="23"/>
  <c r="D72" i="23"/>
  <c r="E72" i="23"/>
  <c r="F72" i="23"/>
  <c r="F73" i="23"/>
  <c r="D74" i="23"/>
  <c r="E74" i="23"/>
  <c r="F74" i="23"/>
  <c r="D75" i="23"/>
  <c r="E75" i="23"/>
  <c r="F75" i="23"/>
  <c r="D29" i="23"/>
  <c r="E29" i="23"/>
  <c r="F29" i="23"/>
  <c r="D30" i="23"/>
  <c r="E30" i="23"/>
  <c r="F30" i="23"/>
  <c r="D31" i="23"/>
  <c r="E31" i="23"/>
  <c r="F31" i="23"/>
  <c r="D32" i="23"/>
  <c r="E32" i="23"/>
  <c r="F32" i="23"/>
  <c r="D33" i="23"/>
  <c r="E33" i="23"/>
  <c r="F33" i="23"/>
  <c r="D34" i="23"/>
  <c r="E34" i="23"/>
  <c r="F34" i="23"/>
  <c r="D35" i="23"/>
  <c r="E35" i="23"/>
  <c r="F35" i="23"/>
  <c r="D36" i="23"/>
  <c r="E36" i="23"/>
  <c r="F36" i="23"/>
  <c r="D37" i="23"/>
  <c r="E37" i="23"/>
  <c r="F37" i="23"/>
  <c r="D38" i="23"/>
  <c r="E38" i="23"/>
  <c r="F38" i="23"/>
  <c r="D39" i="23"/>
  <c r="E39" i="23"/>
  <c r="F39" i="23"/>
  <c r="D40" i="23"/>
  <c r="E40" i="23"/>
  <c r="F40" i="23"/>
  <c r="D41" i="23"/>
  <c r="E41" i="23"/>
  <c r="F41" i="23"/>
  <c r="D42" i="23"/>
  <c r="E42" i="23"/>
  <c r="F42" i="23"/>
  <c r="D43" i="23"/>
  <c r="E43" i="23"/>
  <c r="F43" i="23"/>
  <c r="D44" i="23"/>
  <c r="E44" i="23"/>
  <c r="F44" i="23"/>
  <c r="D45" i="23"/>
  <c r="E45" i="23"/>
  <c r="F45" i="23"/>
  <c r="D46" i="23"/>
  <c r="E46" i="23"/>
  <c r="F46" i="23"/>
  <c r="D47" i="23"/>
  <c r="E47" i="23"/>
  <c r="F47" i="23"/>
  <c r="D48" i="23"/>
  <c r="E48" i="23"/>
  <c r="F48" i="23"/>
  <c r="D49" i="23"/>
  <c r="E49" i="23"/>
  <c r="F49" i="23"/>
  <c r="D50" i="23"/>
  <c r="E50" i="23"/>
  <c r="F50" i="23"/>
  <c r="D51" i="23"/>
  <c r="E51" i="23"/>
  <c r="F51" i="23"/>
  <c r="D52" i="23"/>
  <c r="E52" i="23"/>
  <c r="F52" i="23"/>
  <c r="D53" i="23"/>
  <c r="E53" i="23"/>
  <c r="F53" i="23"/>
  <c r="D54" i="23"/>
  <c r="E54" i="23"/>
  <c r="F54" i="23"/>
  <c r="E18" i="23"/>
  <c r="F18" i="23"/>
  <c r="D19" i="23"/>
  <c r="E19" i="23"/>
  <c r="F19" i="23"/>
  <c r="D20" i="23"/>
  <c r="E20" i="23"/>
  <c r="F20" i="23"/>
  <c r="D21" i="23"/>
  <c r="E21" i="23"/>
  <c r="F21" i="23"/>
  <c r="D22" i="23"/>
  <c r="E22" i="23"/>
  <c r="F22" i="23"/>
  <c r="D23" i="23"/>
  <c r="E23" i="23"/>
  <c r="F23" i="23"/>
  <c r="D24" i="23"/>
  <c r="E24" i="23"/>
  <c r="F24" i="23"/>
  <c r="D25" i="23"/>
  <c r="E25" i="23"/>
  <c r="F25" i="23"/>
  <c r="D26" i="23"/>
  <c r="E26" i="23"/>
  <c r="F26" i="23"/>
  <c r="D27" i="23"/>
  <c r="E27" i="23"/>
  <c r="F27" i="23"/>
  <c r="D3" i="23"/>
  <c r="E3" i="23"/>
  <c r="F3" i="23"/>
  <c r="D4" i="23"/>
  <c r="E4" i="23"/>
  <c r="F4" i="23"/>
  <c r="D5" i="23"/>
  <c r="E5" i="23"/>
  <c r="F5" i="23"/>
  <c r="D6" i="23"/>
  <c r="E6" i="23"/>
  <c r="F6" i="23"/>
  <c r="D7" i="23"/>
  <c r="E7" i="23"/>
  <c r="F7" i="23"/>
  <c r="D8" i="23"/>
  <c r="E8" i="23"/>
  <c r="F8" i="23"/>
  <c r="D9" i="23"/>
  <c r="E9" i="23"/>
  <c r="F9" i="23"/>
  <c r="D10" i="23"/>
  <c r="E10" i="23"/>
  <c r="F10" i="23"/>
  <c r="D11" i="23"/>
  <c r="E11" i="23"/>
  <c r="F11" i="23"/>
  <c r="D12" i="23"/>
  <c r="E12" i="23"/>
  <c r="F12" i="23"/>
  <c r="D13" i="23"/>
  <c r="E13" i="23"/>
  <c r="F13" i="23"/>
  <c r="D14" i="23"/>
  <c r="E14" i="23"/>
  <c r="F14" i="23"/>
  <c r="D15" i="23"/>
  <c r="E15" i="23"/>
  <c r="F15" i="23"/>
  <c r="D16" i="23"/>
  <c r="E16" i="23"/>
  <c r="F16" i="23"/>
  <c r="D202" i="24"/>
  <c r="E202" i="24"/>
  <c r="F202" i="24"/>
  <c r="D204" i="24"/>
  <c r="E204" i="24"/>
  <c r="F204" i="24"/>
  <c r="D206" i="24"/>
  <c r="E206" i="24"/>
  <c r="F206" i="24"/>
  <c r="D208" i="24"/>
  <c r="E208" i="24"/>
  <c r="F208" i="24"/>
  <c r="D210" i="24"/>
  <c r="E210" i="24"/>
  <c r="F210" i="24"/>
  <c r="D212" i="24"/>
  <c r="E212" i="24"/>
  <c r="F212" i="24"/>
  <c r="D214" i="24"/>
  <c r="E214" i="24"/>
  <c r="F214" i="24"/>
  <c r="D216" i="24"/>
  <c r="E216" i="24"/>
  <c r="F216" i="24"/>
  <c r="D218" i="24"/>
  <c r="E218" i="24"/>
  <c r="F218" i="24"/>
  <c r="D220" i="24"/>
  <c r="E220" i="24"/>
  <c r="F220" i="24"/>
  <c r="D222" i="24"/>
  <c r="E222" i="24"/>
  <c r="F222" i="24"/>
  <c r="D224" i="24"/>
  <c r="E224" i="24"/>
  <c r="F224" i="24"/>
  <c r="D226" i="24"/>
  <c r="E226" i="24"/>
  <c r="F226" i="24"/>
  <c r="D228" i="24"/>
  <c r="E228" i="24"/>
  <c r="F228" i="24"/>
  <c r="D230" i="24"/>
  <c r="E230" i="24"/>
  <c r="F230" i="24"/>
  <c r="D232" i="24"/>
  <c r="E232" i="24"/>
  <c r="F232" i="24"/>
  <c r="D234" i="24"/>
  <c r="E234" i="24"/>
  <c r="F234" i="24"/>
  <c r="D236" i="24"/>
  <c r="E236" i="24"/>
  <c r="F236" i="24"/>
  <c r="D238" i="24"/>
  <c r="E238" i="24"/>
  <c r="F238" i="24"/>
  <c r="D240" i="24"/>
  <c r="E240" i="24"/>
  <c r="F240" i="24"/>
  <c r="D242" i="24"/>
  <c r="E242" i="24"/>
  <c r="F242" i="24"/>
  <c r="D244" i="24"/>
  <c r="E244" i="24"/>
  <c r="F244" i="24"/>
  <c r="D246" i="24"/>
  <c r="E246" i="24"/>
  <c r="F246" i="24"/>
  <c r="A202" i="24"/>
  <c r="B202" i="24"/>
  <c r="C202" i="24"/>
  <c r="A203" i="24"/>
  <c r="A204" i="24"/>
  <c r="B204" i="24"/>
  <c r="C204" i="24"/>
  <c r="A205" i="24"/>
  <c r="A206" i="24"/>
  <c r="B206" i="24"/>
  <c r="C206" i="24"/>
  <c r="A207" i="24"/>
  <c r="A208" i="24"/>
  <c r="B208" i="24"/>
  <c r="C208" i="24"/>
  <c r="A209" i="24"/>
  <c r="A210" i="24"/>
  <c r="B210" i="24"/>
  <c r="C210" i="24"/>
  <c r="A211" i="24"/>
  <c r="A212" i="24"/>
  <c r="B212" i="24"/>
  <c r="C212" i="24"/>
  <c r="A213" i="24"/>
  <c r="A214" i="24"/>
  <c r="B214" i="24"/>
  <c r="C214" i="24"/>
  <c r="A215" i="24"/>
  <c r="A216" i="24"/>
  <c r="B216" i="24"/>
  <c r="C216" i="24"/>
  <c r="A217" i="24"/>
  <c r="A218" i="24"/>
  <c r="B218" i="24"/>
  <c r="C218" i="24"/>
  <c r="A219" i="24"/>
  <c r="A220" i="24"/>
  <c r="B220" i="24"/>
  <c r="C220" i="24"/>
  <c r="A221" i="24"/>
  <c r="A222" i="24"/>
  <c r="B222" i="24"/>
  <c r="C222" i="24"/>
  <c r="A223" i="24"/>
  <c r="A224" i="24"/>
  <c r="B224" i="24"/>
  <c r="C224" i="24"/>
  <c r="A225" i="24"/>
  <c r="A226" i="24"/>
  <c r="B226" i="24"/>
  <c r="C226" i="24"/>
  <c r="A227" i="24"/>
  <c r="A228" i="24"/>
  <c r="B228" i="24"/>
  <c r="C228" i="24"/>
  <c r="A229" i="24"/>
  <c r="A230" i="24"/>
  <c r="B230" i="24"/>
  <c r="C230" i="24"/>
  <c r="A231" i="24"/>
  <c r="A232" i="24"/>
  <c r="B232" i="24"/>
  <c r="C232" i="24"/>
  <c r="A233" i="24"/>
  <c r="A234" i="24"/>
  <c r="B234" i="24"/>
  <c r="C234" i="24"/>
  <c r="A235" i="24"/>
  <c r="A236" i="24"/>
  <c r="B236" i="24"/>
  <c r="C236" i="24"/>
  <c r="A237" i="24"/>
  <c r="A238" i="24"/>
  <c r="B238" i="24"/>
  <c r="C238" i="24"/>
  <c r="A239" i="24"/>
  <c r="A240" i="24"/>
  <c r="B240" i="24"/>
  <c r="C240" i="24"/>
  <c r="A241" i="24"/>
  <c r="A242" i="24"/>
  <c r="B242" i="24"/>
  <c r="C242" i="24"/>
  <c r="A243" i="24"/>
  <c r="A244" i="24"/>
  <c r="B244" i="24"/>
  <c r="C244" i="24"/>
  <c r="A245" i="24"/>
  <c r="A246" i="24"/>
  <c r="B246" i="24"/>
  <c r="C246" i="24"/>
  <c r="A247" i="24"/>
  <c r="D159" i="24"/>
  <c r="E159" i="24"/>
  <c r="F159" i="24"/>
  <c r="D161" i="24"/>
  <c r="E161" i="24"/>
  <c r="F161" i="24"/>
  <c r="D163" i="24"/>
  <c r="E163" i="24"/>
  <c r="F163" i="24"/>
  <c r="D165" i="24"/>
  <c r="E165" i="24"/>
  <c r="F165" i="24"/>
  <c r="D167" i="24"/>
  <c r="E167" i="24"/>
  <c r="F167" i="24"/>
  <c r="D169" i="24"/>
  <c r="E169" i="24"/>
  <c r="F169" i="24"/>
  <c r="D171" i="24"/>
  <c r="E171" i="24"/>
  <c r="F171" i="24"/>
  <c r="D173" i="24"/>
  <c r="E173" i="24"/>
  <c r="F173" i="24"/>
  <c r="D175" i="24"/>
  <c r="E175" i="24"/>
  <c r="F175" i="24"/>
  <c r="D177" i="24"/>
  <c r="E177" i="24"/>
  <c r="F177" i="24"/>
  <c r="D179" i="24"/>
  <c r="E179" i="24"/>
  <c r="F179" i="24"/>
  <c r="D181" i="24"/>
  <c r="E181" i="24"/>
  <c r="F181" i="24"/>
  <c r="D183" i="24"/>
  <c r="E183" i="24"/>
  <c r="F183" i="24"/>
  <c r="D185" i="24"/>
  <c r="E185" i="24"/>
  <c r="F185" i="24"/>
  <c r="D187" i="24"/>
  <c r="E187" i="24"/>
  <c r="F187" i="24"/>
  <c r="A159" i="24"/>
  <c r="B159" i="24"/>
  <c r="C159" i="24"/>
  <c r="A160" i="24"/>
  <c r="A161" i="24"/>
  <c r="B161" i="24"/>
  <c r="C161" i="24"/>
  <c r="A162" i="24"/>
  <c r="A163" i="24"/>
  <c r="B163" i="24"/>
  <c r="C163" i="24"/>
  <c r="A164" i="24"/>
  <c r="A165" i="24"/>
  <c r="B165" i="24"/>
  <c r="C165" i="24"/>
  <c r="A166" i="24"/>
  <c r="A167" i="24"/>
  <c r="B167" i="24"/>
  <c r="C167" i="24"/>
  <c r="A168" i="24"/>
  <c r="A169" i="24"/>
  <c r="B169" i="24"/>
  <c r="C169" i="24"/>
  <c r="A170" i="24"/>
  <c r="A171" i="24"/>
  <c r="B171" i="24"/>
  <c r="C171" i="24"/>
  <c r="A172" i="24"/>
  <c r="A173" i="24"/>
  <c r="B173" i="24"/>
  <c r="C173" i="24"/>
  <c r="A174" i="24"/>
  <c r="A175" i="24"/>
  <c r="B175" i="24"/>
  <c r="C175" i="24"/>
  <c r="A176" i="24"/>
  <c r="A177" i="24"/>
  <c r="B177" i="24"/>
  <c r="C177" i="24"/>
  <c r="A178" i="24"/>
  <c r="A179" i="24"/>
  <c r="B179" i="24"/>
  <c r="C179" i="24"/>
  <c r="A180" i="24"/>
  <c r="A181" i="24"/>
  <c r="B181" i="24"/>
  <c r="C181" i="24"/>
  <c r="A182" i="24"/>
  <c r="A183" i="24"/>
  <c r="B183" i="24"/>
  <c r="C183" i="24"/>
  <c r="A184" i="24"/>
  <c r="A185" i="24"/>
  <c r="B185" i="24"/>
  <c r="C185" i="24"/>
  <c r="A186" i="24"/>
  <c r="A187" i="24"/>
  <c r="B187" i="24"/>
  <c r="C187" i="24"/>
  <c r="A188" i="24"/>
  <c r="D110" i="24"/>
  <c r="E110" i="24"/>
  <c r="F110" i="24"/>
  <c r="D112" i="24"/>
  <c r="E112" i="24"/>
  <c r="F112" i="24"/>
  <c r="D114" i="24"/>
  <c r="E114" i="24"/>
  <c r="F114" i="24"/>
  <c r="D116" i="24"/>
  <c r="E116" i="24"/>
  <c r="F116" i="24"/>
  <c r="D118" i="24"/>
  <c r="E118" i="24"/>
  <c r="F118" i="24"/>
  <c r="D120" i="24"/>
  <c r="E120" i="24"/>
  <c r="F120" i="24"/>
  <c r="D122" i="24"/>
  <c r="E122" i="24"/>
  <c r="F122" i="24"/>
  <c r="D124" i="24"/>
  <c r="E124" i="24"/>
  <c r="F124" i="24"/>
  <c r="D126" i="24"/>
  <c r="E126" i="24"/>
  <c r="F126" i="24"/>
  <c r="D128" i="24"/>
  <c r="E128" i="24"/>
  <c r="F128" i="24"/>
  <c r="D130" i="24"/>
  <c r="E130" i="24"/>
  <c r="F130" i="24"/>
  <c r="D132" i="24"/>
  <c r="E132" i="24"/>
  <c r="F132" i="24"/>
  <c r="D134" i="24"/>
  <c r="E134" i="24"/>
  <c r="F134" i="24"/>
  <c r="D136" i="24"/>
  <c r="E136" i="24"/>
  <c r="F136" i="24"/>
  <c r="D138" i="24"/>
  <c r="E138" i="24"/>
  <c r="F138" i="24"/>
  <c r="D140" i="24"/>
  <c r="E140" i="24"/>
  <c r="F140" i="24"/>
  <c r="D142" i="24"/>
  <c r="E142" i="24"/>
  <c r="F142" i="24"/>
  <c r="D144" i="24"/>
  <c r="E144" i="24"/>
  <c r="F144" i="24"/>
  <c r="D146" i="24"/>
  <c r="E146" i="24"/>
  <c r="F146" i="24"/>
  <c r="D148" i="24"/>
  <c r="E148" i="24"/>
  <c r="F148" i="24"/>
  <c r="D150" i="24"/>
  <c r="E150" i="24"/>
  <c r="F150" i="24"/>
  <c r="D152" i="24"/>
  <c r="E152" i="24"/>
  <c r="F152" i="24"/>
  <c r="D154" i="24"/>
  <c r="E154" i="24"/>
  <c r="F154" i="24"/>
  <c r="D156" i="24"/>
  <c r="E156" i="24"/>
  <c r="F156" i="24"/>
  <c r="A110" i="24"/>
  <c r="B110" i="24"/>
  <c r="C110" i="24"/>
  <c r="A111" i="24"/>
  <c r="A112" i="24"/>
  <c r="B112" i="24"/>
  <c r="C112" i="24"/>
  <c r="A113" i="24"/>
  <c r="A99" i="10"/>
  <c r="A112" i="14"/>
  <c r="A114" i="24"/>
  <c r="B99" i="10"/>
  <c r="B112" i="14"/>
  <c r="B114" i="24"/>
  <c r="D99" i="10"/>
  <c r="C112" i="14"/>
  <c r="C114" i="24"/>
  <c r="A100" i="10"/>
  <c r="A113" i="14"/>
  <c r="A115" i="24"/>
  <c r="A116" i="24"/>
  <c r="B116" i="24"/>
  <c r="C116" i="24"/>
  <c r="A117" i="24"/>
  <c r="A118" i="24"/>
  <c r="B118" i="24"/>
  <c r="C118" i="24"/>
  <c r="A119" i="24"/>
  <c r="A120" i="24"/>
  <c r="B120" i="24"/>
  <c r="C120" i="24"/>
  <c r="A121" i="24"/>
  <c r="A122" i="24"/>
  <c r="B122" i="24"/>
  <c r="C122" i="24"/>
  <c r="A123" i="24"/>
  <c r="A124" i="24"/>
  <c r="B124" i="24"/>
  <c r="C124" i="24"/>
  <c r="A125" i="24"/>
  <c r="A126" i="24"/>
  <c r="B126" i="24"/>
  <c r="C126" i="24"/>
  <c r="A127" i="24"/>
  <c r="A128" i="24"/>
  <c r="B128" i="24"/>
  <c r="C128" i="24"/>
  <c r="A129" i="24"/>
  <c r="A130" i="24"/>
  <c r="B130" i="24"/>
  <c r="C130" i="24"/>
  <c r="A131" i="24"/>
  <c r="A132" i="24"/>
  <c r="B132" i="24"/>
  <c r="C132" i="24"/>
  <c r="A133" i="24"/>
  <c r="A134" i="24"/>
  <c r="B134" i="24"/>
  <c r="C134" i="24"/>
  <c r="A135" i="24"/>
  <c r="A136" i="24"/>
  <c r="B136" i="24"/>
  <c r="C136" i="24"/>
  <c r="A137" i="24"/>
  <c r="A138" i="24"/>
  <c r="B138" i="24"/>
  <c r="C138" i="24"/>
  <c r="A139" i="24"/>
  <c r="A140" i="24"/>
  <c r="B140" i="24"/>
  <c r="C140" i="24"/>
  <c r="A141" i="24"/>
  <c r="A142" i="24"/>
  <c r="B142" i="24"/>
  <c r="C142" i="24"/>
  <c r="A143" i="24"/>
  <c r="A144" i="24"/>
  <c r="B144" i="24"/>
  <c r="C144" i="24"/>
  <c r="A145" i="24"/>
  <c r="A146" i="24"/>
  <c r="B146" i="24"/>
  <c r="C146" i="24"/>
  <c r="A147" i="24"/>
  <c r="A148" i="24"/>
  <c r="B148" i="24"/>
  <c r="C148" i="24"/>
  <c r="A149" i="24"/>
  <c r="A150" i="24"/>
  <c r="B150" i="24"/>
  <c r="C150" i="24"/>
  <c r="A151" i="24"/>
  <c r="A152" i="24"/>
  <c r="B152" i="24"/>
  <c r="C152" i="24"/>
  <c r="A153" i="24"/>
  <c r="A154" i="24"/>
  <c r="B154" i="24"/>
  <c r="C154" i="24"/>
  <c r="A155" i="24"/>
  <c r="A156" i="24"/>
  <c r="B156" i="24"/>
  <c r="C156" i="24"/>
  <c r="A157" i="24"/>
  <c r="D55" i="24"/>
  <c r="E55" i="24"/>
  <c r="F55" i="24"/>
  <c r="D57" i="24"/>
  <c r="E57" i="24"/>
  <c r="F57" i="24"/>
  <c r="D59" i="24"/>
  <c r="E59" i="24"/>
  <c r="F59" i="24"/>
  <c r="D61" i="24"/>
  <c r="E61" i="24"/>
  <c r="F61" i="24"/>
  <c r="D63" i="24"/>
  <c r="E63" i="24"/>
  <c r="F63" i="24"/>
  <c r="D65" i="24"/>
  <c r="E65" i="24"/>
  <c r="F65" i="24"/>
  <c r="D67" i="24"/>
  <c r="E67" i="24"/>
  <c r="F67" i="24"/>
  <c r="D69" i="24"/>
  <c r="E69" i="24"/>
  <c r="F69" i="24"/>
  <c r="D71" i="24"/>
  <c r="E71" i="24"/>
  <c r="F71" i="24"/>
  <c r="D73" i="24"/>
  <c r="E73" i="24"/>
  <c r="F73" i="24"/>
  <c r="D75" i="24"/>
  <c r="E75" i="24"/>
  <c r="F75" i="24"/>
  <c r="D77" i="24"/>
  <c r="E77" i="24"/>
  <c r="F77" i="24"/>
  <c r="D79" i="24"/>
  <c r="E79" i="24"/>
  <c r="F79" i="24"/>
  <c r="D81" i="24"/>
  <c r="E81" i="24"/>
  <c r="F81" i="24"/>
  <c r="D83" i="24"/>
  <c r="E83" i="24"/>
  <c r="F83" i="24"/>
  <c r="D85" i="24"/>
  <c r="E85" i="24"/>
  <c r="F85" i="24"/>
  <c r="D87" i="24"/>
  <c r="E87" i="24"/>
  <c r="F87" i="24"/>
  <c r="D89" i="24"/>
  <c r="E89" i="24"/>
  <c r="F89" i="24"/>
  <c r="D91" i="24"/>
  <c r="E91" i="24"/>
  <c r="F91" i="24"/>
  <c r="D93" i="24"/>
  <c r="E93" i="24"/>
  <c r="F93" i="24"/>
  <c r="D95" i="24"/>
  <c r="E95" i="24"/>
  <c r="F95" i="24"/>
  <c r="D97" i="24"/>
  <c r="E97" i="24"/>
  <c r="F97" i="24"/>
  <c r="D99" i="24"/>
  <c r="E99" i="24"/>
  <c r="F99" i="24"/>
  <c r="D101" i="24"/>
  <c r="E101" i="24"/>
  <c r="F101" i="24"/>
  <c r="D103" i="24"/>
  <c r="E103" i="24"/>
  <c r="F103" i="24"/>
  <c r="D105" i="24"/>
  <c r="E105" i="24"/>
  <c r="F105" i="24"/>
  <c r="D107" i="24"/>
  <c r="E107" i="24"/>
  <c r="F107" i="24"/>
  <c r="A54" i="24"/>
  <c r="A55" i="24"/>
  <c r="B55" i="24"/>
  <c r="C55" i="24"/>
  <c r="A56" i="24"/>
  <c r="A57" i="24"/>
  <c r="B57" i="24"/>
  <c r="C57" i="24"/>
  <c r="A58" i="24"/>
  <c r="A59" i="24"/>
  <c r="B59" i="24"/>
  <c r="C59" i="24"/>
  <c r="A60" i="24"/>
  <c r="A61" i="24"/>
  <c r="B61" i="24"/>
  <c r="C61" i="24"/>
  <c r="A62" i="24"/>
  <c r="A63" i="24"/>
  <c r="B63" i="24"/>
  <c r="C63" i="24"/>
  <c r="A64" i="24"/>
  <c r="A65" i="24"/>
  <c r="B65" i="24"/>
  <c r="C65" i="24"/>
  <c r="A66" i="24"/>
  <c r="A67" i="24"/>
  <c r="B67" i="24"/>
  <c r="C67" i="24"/>
  <c r="A68" i="24"/>
  <c r="A69" i="24"/>
  <c r="B69" i="24"/>
  <c r="C69" i="24"/>
  <c r="A70" i="24"/>
  <c r="A71" i="24"/>
  <c r="B71" i="24"/>
  <c r="C71" i="24"/>
  <c r="A72" i="24"/>
  <c r="A73" i="24"/>
  <c r="B73" i="24"/>
  <c r="C73" i="24"/>
  <c r="A74" i="24"/>
  <c r="A75" i="24"/>
  <c r="B75" i="24"/>
  <c r="C75" i="24"/>
  <c r="A76" i="24"/>
  <c r="A77" i="24"/>
  <c r="B77" i="24"/>
  <c r="C77" i="24"/>
  <c r="A78" i="24"/>
  <c r="A79" i="24"/>
  <c r="B79" i="24"/>
  <c r="C79" i="24"/>
  <c r="A80" i="24"/>
  <c r="A81" i="24"/>
  <c r="B81" i="24"/>
  <c r="C81" i="24"/>
  <c r="A82" i="24"/>
  <c r="A83" i="24"/>
  <c r="B83" i="24"/>
  <c r="C83" i="24"/>
  <c r="A84" i="24"/>
  <c r="A85" i="24"/>
  <c r="B85" i="24"/>
  <c r="C85" i="24"/>
  <c r="A86" i="24"/>
  <c r="A87" i="24"/>
  <c r="B87" i="24"/>
  <c r="C87" i="24"/>
  <c r="A88" i="24"/>
  <c r="A89" i="24"/>
  <c r="B89" i="24"/>
  <c r="C89" i="24"/>
  <c r="A90" i="24"/>
  <c r="A91" i="24"/>
  <c r="B91" i="24"/>
  <c r="C91" i="24"/>
  <c r="A92" i="24"/>
  <c r="A93" i="24"/>
  <c r="B93" i="24"/>
  <c r="C93" i="24"/>
  <c r="A94" i="24"/>
  <c r="A95" i="24"/>
  <c r="B95" i="24"/>
  <c r="C95" i="24"/>
  <c r="A96" i="24"/>
  <c r="A97" i="24"/>
  <c r="B97" i="24"/>
  <c r="C97" i="24"/>
  <c r="A98" i="24"/>
  <c r="A99" i="24"/>
  <c r="B99" i="24"/>
  <c r="C99" i="24"/>
  <c r="A100" i="24"/>
  <c r="A101" i="24"/>
  <c r="B101" i="24"/>
  <c r="C101" i="24"/>
  <c r="A102" i="24"/>
  <c r="A103" i="24"/>
  <c r="B103" i="24"/>
  <c r="C103" i="24"/>
  <c r="A104" i="24"/>
  <c r="A105" i="24"/>
  <c r="B105" i="24"/>
  <c r="C105" i="24"/>
  <c r="A106" i="24"/>
  <c r="A107" i="24"/>
  <c r="B107" i="24"/>
  <c r="C107" i="24"/>
  <c r="A108" i="24"/>
  <c r="D44" i="24"/>
  <c r="E44" i="24"/>
  <c r="F44" i="24"/>
  <c r="D46" i="24"/>
  <c r="E46" i="24"/>
  <c r="F46" i="24"/>
  <c r="D48" i="24"/>
  <c r="E48" i="24"/>
  <c r="F48" i="24"/>
  <c r="A44" i="24"/>
  <c r="B44" i="24"/>
  <c r="C44" i="24"/>
  <c r="A45" i="24"/>
  <c r="A46" i="24"/>
  <c r="B46" i="24"/>
  <c r="C46" i="24"/>
  <c r="A47" i="24"/>
  <c r="A48" i="24"/>
  <c r="B48" i="24"/>
  <c r="C48" i="24"/>
  <c r="A49" i="24"/>
  <c r="A49" i="14"/>
  <c r="C48" i="14"/>
  <c r="B48" i="14"/>
  <c r="A48" i="14"/>
  <c r="A47" i="14"/>
  <c r="C46" i="14"/>
  <c r="B46" i="14"/>
  <c r="A46" i="14"/>
  <c r="A45" i="14"/>
  <c r="C44" i="14"/>
  <c r="B44" i="14"/>
  <c r="A44" i="14"/>
  <c r="D3" i="24"/>
  <c r="E3" i="24"/>
  <c r="F3" i="24"/>
  <c r="D5" i="24"/>
  <c r="E5" i="24"/>
  <c r="F5" i="24"/>
  <c r="D7" i="24"/>
  <c r="E7" i="24"/>
  <c r="F7" i="24"/>
  <c r="D9" i="24"/>
  <c r="E9" i="24"/>
  <c r="F9" i="24"/>
  <c r="D11" i="24"/>
  <c r="E11" i="24"/>
  <c r="F11" i="24"/>
  <c r="D13" i="24"/>
  <c r="E13" i="24"/>
  <c r="F13" i="24"/>
  <c r="D15" i="24"/>
  <c r="E15" i="24"/>
  <c r="F15" i="24"/>
  <c r="D17" i="24"/>
  <c r="E17" i="24"/>
  <c r="F17" i="24"/>
  <c r="D19" i="24"/>
  <c r="E19" i="24"/>
  <c r="F19" i="24"/>
  <c r="D21" i="24"/>
  <c r="E21" i="24"/>
  <c r="F21" i="24"/>
  <c r="D23" i="24"/>
  <c r="E23" i="24"/>
  <c r="F23" i="24"/>
  <c r="D25" i="24"/>
  <c r="E25" i="24"/>
  <c r="F25" i="24"/>
  <c r="D27" i="24"/>
  <c r="E27" i="24"/>
  <c r="F27" i="24"/>
  <c r="D29" i="24"/>
  <c r="E29" i="24"/>
  <c r="F29" i="24"/>
  <c r="D31" i="24"/>
  <c r="E31" i="24"/>
  <c r="F31" i="24"/>
  <c r="D33" i="24"/>
  <c r="E33" i="24"/>
  <c r="F33" i="24"/>
  <c r="D35" i="24"/>
  <c r="E35" i="24"/>
  <c r="F35" i="24"/>
  <c r="D37" i="24"/>
  <c r="E37" i="24"/>
  <c r="F37" i="24"/>
  <c r="D39" i="24"/>
  <c r="E39" i="24"/>
  <c r="F39" i="24"/>
  <c r="D41" i="24"/>
  <c r="E41" i="24"/>
  <c r="F41" i="24"/>
  <c r="A3" i="14"/>
  <c r="A3" i="24"/>
  <c r="B3" i="14"/>
  <c r="B3" i="24"/>
  <c r="C3" i="14"/>
  <c r="C3" i="24"/>
  <c r="A4" i="14"/>
  <c r="A4" i="24"/>
  <c r="A5" i="14"/>
  <c r="A5" i="24"/>
  <c r="B5" i="14"/>
  <c r="B5" i="24"/>
  <c r="C5" i="14"/>
  <c r="C5" i="24"/>
  <c r="A6" i="14"/>
  <c r="A6" i="24"/>
  <c r="A7" i="14"/>
  <c r="A7" i="24"/>
  <c r="B7" i="14"/>
  <c r="B7" i="24"/>
  <c r="C7" i="14"/>
  <c r="C7" i="24"/>
  <c r="A8" i="14"/>
  <c r="A8" i="24"/>
  <c r="A9" i="14"/>
  <c r="A9" i="24"/>
  <c r="B9" i="14"/>
  <c r="B9" i="24"/>
  <c r="C9" i="14"/>
  <c r="C9" i="24"/>
  <c r="A10" i="14"/>
  <c r="A10" i="24"/>
  <c r="A11" i="14"/>
  <c r="A11" i="24"/>
  <c r="B11" i="14"/>
  <c r="B11" i="24"/>
  <c r="C11" i="14"/>
  <c r="C11" i="24"/>
  <c r="A12" i="14"/>
  <c r="A12" i="24"/>
  <c r="A13" i="14"/>
  <c r="A13" i="24"/>
  <c r="B13" i="14"/>
  <c r="B13" i="24"/>
  <c r="C13" i="14"/>
  <c r="C13" i="24"/>
  <c r="A14" i="14"/>
  <c r="A14" i="24"/>
  <c r="A15" i="14"/>
  <c r="A15" i="24"/>
  <c r="B15" i="14"/>
  <c r="B15" i="24"/>
  <c r="C15" i="14"/>
  <c r="C15" i="24"/>
  <c r="A16" i="14"/>
  <c r="A16" i="24"/>
  <c r="A17" i="14"/>
  <c r="A17" i="24"/>
  <c r="B17" i="14"/>
  <c r="B17" i="24"/>
  <c r="C17" i="14"/>
  <c r="C17" i="24"/>
  <c r="A18" i="14"/>
  <c r="A18" i="24"/>
  <c r="A19" i="14"/>
  <c r="A19" i="24"/>
  <c r="B19" i="14"/>
  <c r="B19" i="24"/>
  <c r="C19" i="14"/>
  <c r="C19" i="24"/>
  <c r="A20" i="14"/>
  <c r="A20" i="24"/>
  <c r="A21" i="14"/>
  <c r="A21" i="24"/>
  <c r="B21" i="14"/>
  <c r="B21" i="24"/>
  <c r="C21" i="14"/>
  <c r="C21" i="24"/>
  <c r="A22" i="14"/>
  <c r="A22" i="24"/>
  <c r="A23" i="14"/>
  <c r="A23" i="24"/>
  <c r="B23" i="14"/>
  <c r="B23" i="24"/>
  <c r="C23" i="14"/>
  <c r="C23" i="24"/>
  <c r="A24" i="14"/>
  <c r="A24" i="24"/>
  <c r="A25" i="14"/>
  <c r="A25" i="24"/>
  <c r="B25" i="14"/>
  <c r="B25" i="24"/>
  <c r="C25" i="14"/>
  <c r="C25" i="24"/>
  <c r="A26" i="14"/>
  <c r="A26" i="24"/>
  <c r="A27" i="14"/>
  <c r="A27" i="24"/>
  <c r="B27" i="14"/>
  <c r="B27" i="24"/>
  <c r="C27" i="14"/>
  <c r="C27" i="24"/>
  <c r="A28" i="14"/>
  <c r="A28" i="24"/>
  <c r="A29" i="14"/>
  <c r="A29" i="24"/>
  <c r="B29" i="14"/>
  <c r="B29" i="24"/>
  <c r="C29" i="14"/>
  <c r="C29" i="24"/>
  <c r="A30" i="14"/>
  <c r="A30" i="24"/>
  <c r="A31" i="14"/>
  <c r="A31" i="24"/>
  <c r="B31" i="14"/>
  <c r="B31" i="24"/>
  <c r="C31" i="14"/>
  <c r="C31" i="24"/>
  <c r="A32" i="14"/>
  <c r="A32" i="24"/>
  <c r="A33" i="14"/>
  <c r="A33" i="24"/>
  <c r="B33" i="14"/>
  <c r="B33" i="24"/>
  <c r="C33" i="14"/>
  <c r="C33" i="24"/>
  <c r="A34" i="14"/>
  <c r="A34" i="24"/>
  <c r="A35" i="14"/>
  <c r="A35" i="24"/>
  <c r="B35" i="14"/>
  <c r="B35" i="24"/>
  <c r="C35" i="14"/>
  <c r="C35" i="24"/>
  <c r="A36" i="14"/>
  <c r="A36" i="24"/>
  <c r="A37" i="14"/>
  <c r="A37" i="24"/>
  <c r="B37" i="14"/>
  <c r="B37" i="24"/>
  <c r="C37" i="14"/>
  <c r="C37" i="24"/>
  <c r="A38" i="14"/>
  <c r="A38" i="24"/>
  <c r="A39" i="14"/>
  <c r="A39" i="24"/>
  <c r="B39" i="14"/>
  <c r="B39" i="24"/>
  <c r="C39" i="14"/>
  <c r="C39" i="24"/>
  <c r="A40" i="14"/>
  <c r="A40" i="24"/>
  <c r="A41" i="14"/>
  <c r="A41" i="24"/>
  <c r="B41" i="14"/>
  <c r="B41" i="24"/>
  <c r="C41" i="14"/>
  <c r="C41" i="24"/>
  <c r="A42" i="14"/>
  <c r="A42" i="24"/>
  <c r="O18" i="6"/>
  <c r="J77" i="13"/>
  <c r="K77" i="13"/>
  <c r="Q77" i="23"/>
  <c r="J78" i="13"/>
  <c r="K78" i="13"/>
  <c r="Q78" i="23"/>
  <c r="O24" i="6"/>
  <c r="J79" i="13"/>
  <c r="K79" i="13"/>
  <c r="Q79" i="23"/>
  <c r="O26" i="6"/>
  <c r="J80" i="13"/>
  <c r="K80" i="13"/>
  <c r="Q80" i="23"/>
  <c r="O27" i="6"/>
  <c r="J81" i="13"/>
  <c r="K81" i="13"/>
  <c r="Q81" i="23"/>
  <c r="O29" i="6"/>
  <c r="J82" i="13"/>
  <c r="K82" i="13"/>
  <c r="Q82" i="23"/>
  <c r="J83" i="13"/>
  <c r="K83" i="13"/>
  <c r="Q83" i="23"/>
  <c r="O32" i="6"/>
  <c r="J84" i="13"/>
  <c r="K84" i="13"/>
  <c r="Q84" i="23"/>
  <c r="O33" i="6"/>
  <c r="J85" i="13"/>
  <c r="K85" i="13"/>
  <c r="Q85" i="23"/>
  <c r="O35" i="6"/>
  <c r="J86" i="13"/>
  <c r="K86" i="13"/>
  <c r="Q86" i="23"/>
  <c r="O36" i="6"/>
  <c r="J87" i="13"/>
  <c r="K87" i="13"/>
  <c r="Q87" i="23"/>
  <c r="O38" i="6"/>
  <c r="J88" i="13"/>
  <c r="K88" i="13"/>
  <c r="Q88" i="23"/>
  <c r="O39" i="6"/>
  <c r="J89" i="13"/>
  <c r="K89" i="13"/>
  <c r="Q89" i="23"/>
  <c r="O41" i="6"/>
  <c r="J90" i="13"/>
  <c r="K90" i="13"/>
  <c r="Q90" i="23"/>
  <c r="O42" i="6"/>
  <c r="J91" i="13"/>
  <c r="K91" i="13"/>
  <c r="Q91" i="23"/>
  <c r="O44" i="6"/>
  <c r="J92" i="13"/>
  <c r="K92" i="13"/>
  <c r="Q92" i="23"/>
  <c r="O45" i="6"/>
  <c r="J93" i="13"/>
  <c r="K93" i="13"/>
  <c r="Q93" i="23"/>
  <c r="O47" i="6"/>
  <c r="J94" i="13"/>
  <c r="K94" i="13"/>
  <c r="Q94" i="23"/>
  <c r="O48" i="6"/>
  <c r="J95" i="13"/>
  <c r="K95" i="13"/>
  <c r="Q95" i="23"/>
  <c r="O50" i="6"/>
  <c r="J96" i="13"/>
  <c r="K96" i="13"/>
  <c r="Q96" i="23"/>
  <c r="J97" i="13"/>
  <c r="K97" i="13"/>
  <c r="Q97" i="23"/>
  <c r="O53" i="6"/>
  <c r="J98" i="13"/>
  <c r="K98" i="13"/>
  <c r="Q98" i="23"/>
  <c r="J99" i="13"/>
  <c r="K99" i="13"/>
  <c r="Q99" i="23"/>
  <c r="O56" i="6"/>
  <c r="J100" i="13"/>
  <c r="K100" i="13"/>
  <c r="Q100" i="23"/>
  <c r="O58" i="6"/>
  <c r="J101" i="13"/>
  <c r="P58" i="6"/>
  <c r="K101" i="13"/>
  <c r="Q101" i="23"/>
  <c r="J102" i="13"/>
  <c r="K102" i="13"/>
  <c r="Q102" i="23"/>
  <c r="J103" i="13"/>
  <c r="K103" i="13"/>
  <c r="Q103" i="23"/>
  <c r="O69" i="6"/>
  <c r="J104" i="13"/>
  <c r="K104" i="13"/>
  <c r="Q104" i="23"/>
  <c r="O70" i="6"/>
  <c r="J105" i="13"/>
  <c r="K105" i="13"/>
  <c r="Q105" i="23"/>
  <c r="O72" i="6"/>
  <c r="J106" i="13"/>
  <c r="K106" i="13"/>
  <c r="Q106" i="23"/>
  <c r="J107" i="13"/>
  <c r="K107" i="13"/>
  <c r="Q107" i="23"/>
  <c r="O75" i="6"/>
  <c r="J108" i="13"/>
  <c r="K108" i="13"/>
  <c r="Q108" i="23"/>
  <c r="O76" i="6"/>
  <c r="J109" i="13"/>
  <c r="K109" i="13"/>
  <c r="Q109" i="23"/>
  <c r="O78" i="6"/>
  <c r="J110" i="13"/>
  <c r="K110" i="13"/>
  <c r="Q110" i="23"/>
  <c r="J111" i="13"/>
  <c r="K111" i="13"/>
  <c r="Q111" i="23"/>
  <c r="O81" i="6"/>
  <c r="J112" i="13"/>
  <c r="K112" i="13"/>
  <c r="Q112" i="23"/>
  <c r="J113" i="13"/>
  <c r="K113" i="13"/>
  <c r="Q113" i="23"/>
  <c r="O84" i="6"/>
  <c r="J114" i="13"/>
  <c r="K114" i="13"/>
  <c r="Q114" i="23"/>
  <c r="O85" i="6"/>
  <c r="J115" i="13"/>
  <c r="K115" i="13"/>
  <c r="Q115" i="23"/>
  <c r="O87" i="6"/>
  <c r="J116" i="13"/>
  <c r="K116" i="13"/>
  <c r="Q116" i="23"/>
  <c r="G95" i="23"/>
  <c r="H95" i="23"/>
  <c r="G99" i="23"/>
  <c r="H99" i="23"/>
  <c r="G115" i="23"/>
  <c r="H115" i="23"/>
  <c r="A77" i="13"/>
  <c r="A77" i="23"/>
  <c r="B77" i="13"/>
  <c r="B77" i="23"/>
  <c r="C77" i="13"/>
  <c r="A78" i="13"/>
  <c r="A78" i="23"/>
  <c r="A79" i="13"/>
  <c r="A79" i="23"/>
  <c r="B79" i="13"/>
  <c r="B79" i="23"/>
  <c r="C79" i="13"/>
  <c r="A80" i="13"/>
  <c r="A80" i="23"/>
  <c r="A81" i="13"/>
  <c r="A81" i="23"/>
  <c r="B81" i="13"/>
  <c r="B81" i="23"/>
  <c r="C81" i="13"/>
  <c r="A82" i="13"/>
  <c r="A82" i="23"/>
  <c r="A83" i="13"/>
  <c r="A83" i="23"/>
  <c r="B83" i="13"/>
  <c r="B83" i="23"/>
  <c r="C83" i="13"/>
  <c r="A84" i="13"/>
  <c r="A84" i="23"/>
  <c r="A85" i="13"/>
  <c r="A85" i="23"/>
  <c r="B85" i="13"/>
  <c r="B85" i="23"/>
  <c r="C85" i="13"/>
  <c r="A86" i="13"/>
  <c r="A86" i="23"/>
  <c r="A87" i="13"/>
  <c r="A87" i="23"/>
  <c r="B87" i="13"/>
  <c r="B87" i="23"/>
  <c r="C87" i="13"/>
  <c r="A88" i="13"/>
  <c r="A88" i="23"/>
  <c r="A89" i="13"/>
  <c r="A89" i="23"/>
  <c r="B89" i="13"/>
  <c r="B89" i="23"/>
  <c r="C89" i="13"/>
  <c r="A90" i="13"/>
  <c r="A90" i="23"/>
  <c r="A91" i="13"/>
  <c r="A91" i="23"/>
  <c r="B91" i="13"/>
  <c r="B91" i="23"/>
  <c r="C91" i="13"/>
  <c r="A92" i="13"/>
  <c r="A92" i="23"/>
  <c r="A93" i="13"/>
  <c r="A93" i="23"/>
  <c r="B93" i="13"/>
  <c r="B93" i="23"/>
  <c r="C93" i="13"/>
  <c r="A94" i="13"/>
  <c r="A94" i="23"/>
  <c r="A95" i="13"/>
  <c r="A95" i="23"/>
  <c r="B95" i="13"/>
  <c r="B95" i="23"/>
  <c r="C95" i="13"/>
  <c r="A96" i="13"/>
  <c r="A96" i="23"/>
  <c r="A97" i="13"/>
  <c r="A97" i="23"/>
  <c r="B97" i="13"/>
  <c r="B97" i="23"/>
  <c r="C97" i="13"/>
  <c r="A98" i="13"/>
  <c r="A98" i="23"/>
  <c r="A99" i="13"/>
  <c r="A99" i="23"/>
  <c r="B99" i="13"/>
  <c r="B99" i="23"/>
  <c r="C99" i="13"/>
  <c r="A100" i="13"/>
  <c r="A100" i="23"/>
  <c r="A101" i="13"/>
  <c r="A101" i="23"/>
  <c r="B101" i="13"/>
  <c r="B101" i="23"/>
  <c r="C101" i="13"/>
  <c r="A102" i="13"/>
  <c r="A102" i="23"/>
  <c r="A103" i="13"/>
  <c r="A103" i="23"/>
  <c r="B103" i="13"/>
  <c r="B103" i="23"/>
  <c r="C103" i="13"/>
  <c r="A104" i="13"/>
  <c r="A104" i="23"/>
  <c r="A105" i="13"/>
  <c r="A105" i="23"/>
  <c r="B105" i="13"/>
  <c r="B105" i="23"/>
  <c r="C105" i="13"/>
  <c r="A106" i="13"/>
  <c r="A106" i="23"/>
  <c r="A107" i="13"/>
  <c r="A107" i="23"/>
  <c r="B107" i="13"/>
  <c r="B107" i="23"/>
  <c r="C107" i="13"/>
  <c r="A108" i="13"/>
  <c r="A108" i="23"/>
  <c r="A109" i="13"/>
  <c r="A109" i="23"/>
  <c r="B109" i="13"/>
  <c r="B109" i="23"/>
  <c r="C109" i="13"/>
  <c r="A110" i="13"/>
  <c r="A110" i="23"/>
  <c r="A111" i="13"/>
  <c r="A111" i="23"/>
  <c r="B111" i="13"/>
  <c r="B111" i="23"/>
  <c r="C111" i="13"/>
  <c r="A112" i="13"/>
  <c r="A112" i="23"/>
  <c r="A113" i="13"/>
  <c r="A113" i="23"/>
  <c r="B113" i="13"/>
  <c r="B113" i="23"/>
  <c r="C113" i="13"/>
  <c r="A114" i="13"/>
  <c r="A114" i="23"/>
  <c r="A115" i="13"/>
  <c r="A115" i="23"/>
  <c r="B115" i="13"/>
  <c r="B115" i="23"/>
  <c r="C115" i="13"/>
  <c r="A116" i="13"/>
  <c r="A116" i="23"/>
  <c r="O92" i="6"/>
  <c r="J58" i="13"/>
  <c r="K58" i="13"/>
  <c r="Q58" i="23"/>
  <c r="J59" i="13"/>
  <c r="K59" i="13"/>
  <c r="Q59" i="23"/>
  <c r="O95" i="6"/>
  <c r="J60" i="13"/>
  <c r="K60" i="13"/>
  <c r="Q60" i="23"/>
  <c r="O97" i="6"/>
  <c r="J61" i="13"/>
  <c r="K61" i="13"/>
  <c r="Q61" i="23"/>
  <c r="J62" i="13"/>
  <c r="K62" i="13"/>
  <c r="Q62" i="23"/>
  <c r="O103" i="6"/>
  <c r="J63" i="13"/>
  <c r="K63" i="13"/>
  <c r="Q63" i="23"/>
  <c r="O104" i="6"/>
  <c r="J64" i="13"/>
  <c r="K64" i="13"/>
  <c r="Q64" i="23"/>
  <c r="O106" i="6"/>
  <c r="J65" i="13"/>
  <c r="K65" i="13"/>
  <c r="Q65" i="23"/>
  <c r="O107" i="6"/>
  <c r="J66" i="13"/>
  <c r="K66" i="13"/>
  <c r="Q66" i="23"/>
  <c r="O109" i="6"/>
  <c r="J67" i="13"/>
  <c r="K67" i="13"/>
  <c r="Q67" i="23"/>
  <c r="J68" i="13"/>
  <c r="K68" i="13"/>
  <c r="Q68" i="23"/>
  <c r="O121" i="6"/>
  <c r="J69" i="13"/>
  <c r="K69" i="13"/>
  <c r="Q69" i="23"/>
  <c r="J70" i="13"/>
  <c r="K70" i="13"/>
  <c r="Q70" i="23"/>
  <c r="O127" i="6"/>
  <c r="J71" i="13"/>
  <c r="K71" i="13"/>
  <c r="Q71" i="23"/>
  <c r="J72" i="13"/>
  <c r="K72" i="13"/>
  <c r="Q72" i="23"/>
  <c r="O130" i="6"/>
  <c r="J73" i="13"/>
  <c r="K73" i="13"/>
  <c r="Q73" i="23"/>
  <c r="O183" i="6"/>
  <c r="J74" i="13"/>
  <c r="K74" i="13"/>
  <c r="Q74" i="23"/>
  <c r="O185" i="6"/>
  <c r="J75" i="13"/>
  <c r="K75" i="13"/>
  <c r="Q75" i="23"/>
  <c r="G64" i="23"/>
  <c r="H64" i="23"/>
  <c r="G66" i="23"/>
  <c r="H66" i="23"/>
  <c r="G68" i="23"/>
  <c r="H68" i="23"/>
  <c r="G70" i="23"/>
  <c r="H70" i="23"/>
  <c r="G72" i="23"/>
  <c r="H72" i="23"/>
  <c r="A58" i="13"/>
  <c r="A58" i="23"/>
  <c r="B58" i="13"/>
  <c r="B58" i="23"/>
  <c r="C58" i="13"/>
  <c r="A59" i="13"/>
  <c r="A59" i="23"/>
  <c r="A60" i="13"/>
  <c r="A60" i="23"/>
  <c r="B60" i="13"/>
  <c r="B60" i="23"/>
  <c r="C60" i="13"/>
  <c r="A61" i="13"/>
  <c r="A61" i="23"/>
  <c r="A62" i="13"/>
  <c r="A62" i="23"/>
  <c r="B62" i="13"/>
  <c r="B62" i="23"/>
  <c r="C62" i="13"/>
  <c r="A63" i="13"/>
  <c r="A63" i="23"/>
  <c r="A64" i="13"/>
  <c r="A64" i="23"/>
  <c r="B64" i="13"/>
  <c r="B64" i="23"/>
  <c r="C64" i="13"/>
  <c r="A65" i="13"/>
  <c r="A65" i="23"/>
  <c r="A66" i="13"/>
  <c r="A66" i="23"/>
  <c r="B66" i="13"/>
  <c r="B66" i="23"/>
  <c r="C66" i="13"/>
  <c r="A67" i="13"/>
  <c r="A67" i="23"/>
  <c r="A68" i="13"/>
  <c r="A68" i="23"/>
  <c r="B68" i="13"/>
  <c r="B68" i="23"/>
  <c r="C68" i="13"/>
  <c r="A69" i="13"/>
  <c r="A69" i="23"/>
  <c r="A70" i="13"/>
  <c r="A70" i="23"/>
  <c r="B70" i="13"/>
  <c r="B70" i="23"/>
  <c r="C70" i="13"/>
  <c r="A71" i="13"/>
  <c r="A71" i="23"/>
  <c r="A72" i="13"/>
  <c r="A72" i="23"/>
  <c r="B72" i="13"/>
  <c r="B72" i="23"/>
  <c r="C72" i="13"/>
  <c r="A73" i="13"/>
  <c r="A73" i="23"/>
  <c r="A74" i="13"/>
  <c r="A74" i="23"/>
  <c r="B74" i="13"/>
  <c r="B74" i="23"/>
  <c r="C74" i="13"/>
  <c r="A75" i="13"/>
  <c r="A75" i="23"/>
  <c r="O141" i="6"/>
  <c r="J29" i="13"/>
  <c r="K29" i="13"/>
  <c r="Q29" i="23"/>
  <c r="O143" i="6"/>
  <c r="J30" i="13"/>
  <c r="K30" i="13"/>
  <c r="Q30" i="23"/>
  <c r="O144" i="6"/>
  <c r="J31" i="13"/>
  <c r="K31" i="13"/>
  <c r="Q31" i="23"/>
  <c r="O146" i="6"/>
  <c r="J32" i="13"/>
  <c r="P146" i="6"/>
  <c r="K32" i="13"/>
  <c r="Q32" i="23"/>
  <c r="O147" i="6"/>
  <c r="J33" i="13"/>
  <c r="K33" i="13"/>
  <c r="Q33" i="23"/>
  <c r="O149" i="6"/>
  <c r="J34" i="13"/>
  <c r="K34" i="13"/>
  <c r="Q34" i="23"/>
  <c r="O150" i="6"/>
  <c r="J35" i="13"/>
  <c r="K35" i="13"/>
  <c r="Q35" i="23"/>
  <c r="O152" i="6"/>
  <c r="J36" i="13"/>
  <c r="K36" i="13"/>
  <c r="Q36" i="23"/>
  <c r="O153" i="6"/>
  <c r="J37" i="13"/>
  <c r="K37" i="13"/>
  <c r="Q37" i="23"/>
  <c r="O155" i="6"/>
  <c r="J38" i="13"/>
  <c r="K38" i="13"/>
  <c r="Q38" i="23"/>
  <c r="O156" i="6"/>
  <c r="J39" i="13"/>
  <c r="K39" i="13"/>
  <c r="Q39" i="23"/>
  <c r="O158" i="6"/>
  <c r="J40" i="13"/>
  <c r="K40" i="13"/>
  <c r="Q40" i="23"/>
  <c r="O162" i="6"/>
  <c r="J41" i="13"/>
  <c r="K41" i="13"/>
  <c r="Q41" i="23"/>
  <c r="O164" i="6"/>
  <c r="J42" i="13"/>
  <c r="K42" i="13"/>
  <c r="Q42" i="23"/>
  <c r="O165" i="6"/>
  <c r="J43" i="13"/>
  <c r="K43" i="13"/>
  <c r="Q43" i="23"/>
  <c r="O167" i="6"/>
  <c r="J44" i="13"/>
  <c r="K44" i="13"/>
  <c r="Q44" i="23"/>
  <c r="O168" i="6"/>
  <c r="J45" i="13"/>
  <c r="K45" i="13"/>
  <c r="Q45" i="23"/>
  <c r="J46" i="13"/>
  <c r="K46" i="13"/>
  <c r="Q46" i="23"/>
  <c r="O171" i="6"/>
  <c r="J47" i="13"/>
  <c r="K47" i="13"/>
  <c r="Q47" i="23"/>
  <c r="O173" i="6"/>
  <c r="J48" i="13"/>
  <c r="K48" i="13"/>
  <c r="Q48" i="23"/>
  <c r="O174" i="6"/>
  <c r="J49" i="13"/>
  <c r="P174" i="6"/>
  <c r="K49" i="13"/>
  <c r="Q49" i="23"/>
  <c r="O176" i="6"/>
  <c r="J50" i="13"/>
  <c r="K50" i="13"/>
  <c r="Q50" i="23"/>
  <c r="O177" i="6"/>
  <c r="J51" i="13"/>
  <c r="K51" i="13"/>
  <c r="Q51" i="23"/>
  <c r="O179" i="6"/>
  <c r="J52" i="13"/>
  <c r="K52" i="13"/>
  <c r="Q52" i="23"/>
  <c r="O180" i="6"/>
  <c r="J53" i="13"/>
  <c r="K53" i="13"/>
  <c r="Q53" i="23"/>
  <c r="J54" i="13"/>
  <c r="K54" i="13"/>
  <c r="Q54" i="23"/>
  <c r="A29" i="13"/>
  <c r="A29" i="23"/>
  <c r="B29" i="13"/>
  <c r="B29" i="23"/>
  <c r="C29" i="13"/>
  <c r="A30" i="13"/>
  <c r="A30" i="23"/>
  <c r="A31" i="13"/>
  <c r="A31" i="23"/>
  <c r="B31" i="13"/>
  <c r="B31" i="23"/>
  <c r="C31" i="13"/>
  <c r="A32" i="13"/>
  <c r="A32" i="23"/>
  <c r="A33" i="13"/>
  <c r="A33" i="23"/>
  <c r="B33" i="13"/>
  <c r="B33" i="23"/>
  <c r="C33" i="13"/>
  <c r="A34" i="13"/>
  <c r="A34" i="23"/>
  <c r="A35" i="13"/>
  <c r="A35" i="23"/>
  <c r="B35" i="13"/>
  <c r="B35" i="23"/>
  <c r="C35" i="13"/>
  <c r="A36" i="13"/>
  <c r="A36" i="23"/>
  <c r="A37" i="13"/>
  <c r="A37" i="23"/>
  <c r="B37" i="13"/>
  <c r="B37" i="23"/>
  <c r="C37" i="13"/>
  <c r="A38" i="13"/>
  <c r="A38" i="23"/>
  <c r="A39" i="13"/>
  <c r="A39" i="23"/>
  <c r="B39" i="13"/>
  <c r="B39" i="23"/>
  <c r="C39" i="13"/>
  <c r="A40" i="13"/>
  <c r="A40" i="23"/>
  <c r="A41" i="13"/>
  <c r="A41" i="23"/>
  <c r="B41" i="13"/>
  <c r="B41" i="23"/>
  <c r="C41" i="13"/>
  <c r="A42" i="13"/>
  <c r="A42" i="23"/>
  <c r="A43" i="13"/>
  <c r="A43" i="23"/>
  <c r="B43" i="13"/>
  <c r="B43" i="23"/>
  <c r="C43" i="13"/>
  <c r="A44" i="13"/>
  <c r="A44" i="23"/>
  <c r="A45" i="13"/>
  <c r="A45" i="23"/>
  <c r="B45" i="13"/>
  <c r="B45" i="23"/>
  <c r="C45" i="13"/>
  <c r="A46" i="13"/>
  <c r="A46" i="23"/>
  <c r="A47" i="13"/>
  <c r="A47" i="23"/>
  <c r="B47" i="13"/>
  <c r="B47" i="23"/>
  <c r="C47" i="13"/>
  <c r="A48" i="13"/>
  <c r="A48" i="23"/>
  <c r="A49" i="13"/>
  <c r="A49" i="23"/>
  <c r="B49" i="13"/>
  <c r="B49" i="23"/>
  <c r="C49" i="13"/>
  <c r="A50" i="13"/>
  <c r="A50" i="23"/>
  <c r="A51" i="13"/>
  <c r="A51" i="23"/>
  <c r="B51" i="13"/>
  <c r="B51" i="23"/>
  <c r="C51" i="13"/>
  <c r="A52" i="13"/>
  <c r="A52" i="23"/>
  <c r="A53" i="13"/>
  <c r="A53" i="23"/>
  <c r="B53" i="13"/>
  <c r="B53" i="23"/>
  <c r="C53" i="13"/>
  <c r="A54" i="13"/>
  <c r="A54" i="23"/>
  <c r="K18" i="13"/>
  <c r="Q18" i="23"/>
  <c r="O110" i="6"/>
  <c r="O112" i="6"/>
  <c r="J19" i="13"/>
  <c r="K19" i="13"/>
  <c r="Q19" i="23"/>
  <c r="O113" i="6"/>
  <c r="J20" i="13"/>
  <c r="P113" i="6"/>
  <c r="K20" i="13"/>
  <c r="Q20" i="23"/>
  <c r="J21" i="13"/>
  <c r="K21" i="13"/>
  <c r="Q21" i="23"/>
  <c r="J22" i="13"/>
  <c r="K22" i="13"/>
  <c r="Q22" i="23"/>
  <c r="O124" i="6"/>
  <c r="J23" i="13"/>
  <c r="K23" i="13"/>
  <c r="Q23" i="23"/>
  <c r="O186" i="6"/>
  <c r="J24" i="13"/>
  <c r="K24" i="13"/>
  <c r="Q24" i="23"/>
  <c r="O188" i="6"/>
  <c r="J25" i="13"/>
  <c r="P188" i="6"/>
  <c r="K25" i="13"/>
  <c r="Q25" i="23"/>
  <c r="J26" i="13"/>
  <c r="K26" i="13"/>
  <c r="Q26" i="23"/>
  <c r="O191" i="6"/>
  <c r="J27" i="13"/>
  <c r="K27" i="13"/>
  <c r="Q27" i="23"/>
  <c r="A18" i="13"/>
  <c r="A18" i="23"/>
  <c r="B18" i="13"/>
  <c r="B18" i="23"/>
  <c r="C18" i="13"/>
  <c r="A19" i="13"/>
  <c r="A19" i="23"/>
  <c r="A20" i="13"/>
  <c r="A20" i="23"/>
  <c r="B20" i="13"/>
  <c r="B20" i="23"/>
  <c r="C20" i="13"/>
  <c r="A21" i="13"/>
  <c r="A21" i="23"/>
  <c r="A22" i="13"/>
  <c r="A22" i="23"/>
  <c r="B22" i="13"/>
  <c r="B22" i="23"/>
  <c r="C22" i="13"/>
  <c r="A23" i="13"/>
  <c r="A23" i="23"/>
  <c r="A24" i="13"/>
  <c r="A24" i="23"/>
  <c r="B24" i="13"/>
  <c r="B24" i="23"/>
  <c r="C24" i="13"/>
  <c r="A25" i="13"/>
  <c r="A25" i="23"/>
  <c r="A26" i="13"/>
  <c r="A26" i="23"/>
  <c r="B26" i="13"/>
  <c r="B26" i="23"/>
  <c r="C26" i="13"/>
  <c r="A27" i="13"/>
  <c r="A27" i="23"/>
  <c r="O3" i="6"/>
  <c r="J3" i="13"/>
  <c r="K3" i="13"/>
  <c r="Q3" i="23"/>
  <c r="O5" i="6"/>
  <c r="J4" i="13"/>
  <c r="K4" i="13"/>
  <c r="Q4" i="23"/>
  <c r="O6" i="6"/>
  <c r="J5" i="13"/>
  <c r="K5" i="13"/>
  <c r="Q5" i="23"/>
  <c r="O8" i="6"/>
  <c r="J6" i="13"/>
  <c r="K6" i="13"/>
  <c r="Q6" i="23"/>
  <c r="O61" i="6"/>
  <c r="J7" i="13"/>
  <c r="K7" i="13"/>
  <c r="Q7" i="23"/>
  <c r="O63" i="6"/>
  <c r="J8" i="13"/>
  <c r="K8" i="13"/>
  <c r="Q8" i="23"/>
  <c r="J9" i="13"/>
  <c r="K9" i="13"/>
  <c r="Q9" i="23"/>
  <c r="O11" i="6"/>
  <c r="J10" i="13"/>
  <c r="K10" i="13"/>
  <c r="Q10" i="23"/>
  <c r="O12" i="6"/>
  <c r="J11" i="13"/>
  <c r="K11" i="13"/>
  <c r="Q11" i="23"/>
  <c r="O14" i="6"/>
  <c r="J12" i="13"/>
  <c r="K12" i="13"/>
  <c r="Q12" i="23"/>
  <c r="O15" i="6"/>
  <c r="J13" i="13"/>
  <c r="K13" i="13"/>
  <c r="Q13" i="23"/>
  <c r="O17" i="6"/>
  <c r="J14" i="13"/>
  <c r="K14" i="13"/>
  <c r="Q14" i="23"/>
  <c r="J15" i="13"/>
  <c r="K15" i="13"/>
  <c r="Q15" i="23"/>
  <c r="O66" i="6"/>
  <c r="J16" i="13"/>
  <c r="P66" i="6"/>
  <c r="K16" i="13"/>
  <c r="Q16" i="23"/>
  <c r="A3" i="13"/>
  <c r="A3" i="23"/>
  <c r="B3" i="13"/>
  <c r="B3" i="23"/>
  <c r="C3" i="13"/>
  <c r="A4" i="13"/>
  <c r="A4" i="23"/>
  <c r="A5" i="13"/>
  <c r="A5" i="23"/>
  <c r="B5" i="13"/>
  <c r="B5" i="23"/>
  <c r="C5" i="13"/>
  <c r="A6" i="13"/>
  <c r="A6" i="23"/>
  <c r="A7" i="13"/>
  <c r="A7" i="23"/>
  <c r="B7" i="13"/>
  <c r="B7" i="23"/>
  <c r="C7" i="13"/>
  <c r="A8" i="13"/>
  <c r="A8" i="23"/>
  <c r="A9" i="13"/>
  <c r="A9" i="23"/>
  <c r="B9" i="13"/>
  <c r="B9" i="23"/>
  <c r="C9" i="13"/>
  <c r="A10" i="13"/>
  <c r="A10" i="23"/>
  <c r="A11" i="13"/>
  <c r="A11" i="23"/>
  <c r="B11" i="13"/>
  <c r="B11" i="23"/>
  <c r="C11" i="13"/>
  <c r="A12" i="13"/>
  <c r="A12" i="23"/>
  <c r="A13" i="13"/>
  <c r="A13" i="23"/>
  <c r="B13" i="13"/>
  <c r="B13" i="23"/>
  <c r="C13" i="13"/>
  <c r="A14" i="13"/>
  <c r="A14" i="23"/>
  <c r="A15" i="13"/>
  <c r="A15" i="23"/>
  <c r="B15" i="13"/>
  <c r="B15" i="23"/>
  <c r="C15" i="13"/>
  <c r="A16" i="13"/>
  <c r="A16" i="23"/>
  <c r="A13" i="22"/>
  <c r="B13" i="22"/>
  <c r="C13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23" i="22"/>
  <c r="A24" i="22"/>
  <c r="A25" i="22"/>
  <c r="A26" i="22"/>
  <c r="A27" i="22"/>
  <c r="A28" i="22"/>
  <c r="A29" i="22"/>
  <c r="A30" i="22"/>
  <c r="A10" i="22"/>
  <c r="A11" i="22"/>
  <c r="A12" i="22"/>
  <c r="A14" i="22"/>
  <c r="A15" i="22"/>
  <c r="A16" i="22"/>
  <c r="A17" i="22"/>
  <c r="A18" i="22"/>
  <c r="A19" i="22"/>
  <c r="A6" i="22"/>
  <c r="A7" i="22"/>
  <c r="A8" i="22"/>
  <c r="A3" i="22"/>
  <c r="A4" i="22"/>
  <c r="B43" i="22"/>
  <c r="C43" i="22"/>
  <c r="B42" i="22"/>
  <c r="C42" i="22"/>
  <c r="B41" i="22"/>
  <c r="C41" i="22"/>
  <c r="B40" i="22"/>
  <c r="C40" i="22"/>
  <c r="B39" i="22"/>
  <c r="C39" i="22"/>
  <c r="B38" i="22"/>
  <c r="C38" i="22"/>
  <c r="B37" i="22"/>
  <c r="C37" i="22"/>
  <c r="B36" i="22"/>
  <c r="C36" i="22"/>
  <c r="B35" i="22"/>
  <c r="C35" i="22"/>
  <c r="B34" i="22"/>
  <c r="C34" i="22"/>
  <c r="B33" i="22"/>
  <c r="C33" i="22"/>
  <c r="B32" i="22"/>
  <c r="C32" i="22"/>
  <c r="B30" i="22"/>
  <c r="C30" i="22"/>
  <c r="B29" i="22"/>
  <c r="C29" i="22"/>
  <c r="B28" i="22"/>
  <c r="C28" i="22"/>
  <c r="B27" i="22"/>
  <c r="C27" i="22"/>
  <c r="B26" i="22"/>
  <c r="C26" i="22"/>
  <c r="B25" i="22"/>
  <c r="C25" i="22"/>
  <c r="B24" i="22"/>
  <c r="C24" i="22"/>
  <c r="B23" i="22"/>
  <c r="C23" i="22"/>
  <c r="B19" i="22"/>
  <c r="C19" i="22"/>
  <c r="B18" i="22"/>
  <c r="C18" i="22"/>
  <c r="B17" i="22"/>
  <c r="C17" i="22"/>
  <c r="B16" i="22"/>
  <c r="C16" i="22"/>
  <c r="B15" i="22"/>
  <c r="C15" i="22"/>
  <c r="B14" i="22"/>
  <c r="C14" i="22"/>
  <c r="B12" i="22"/>
  <c r="C12" i="22"/>
  <c r="B11" i="22"/>
  <c r="C11" i="22"/>
  <c r="B10" i="22"/>
  <c r="C10" i="22"/>
  <c r="B8" i="22"/>
  <c r="C8" i="22"/>
  <c r="B7" i="22"/>
  <c r="C7" i="22"/>
  <c r="B6" i="22"/>
  <c r="C6" i="22"/>
  <c r="B4" i="22"/>
  <c r="C4" i="22"/>
  <c r="B3" i="22"/>
  <c r="C3" i="22"/>
  <c r="N6" i="21"/>
  <c r="N8" i="21"/>
  <c r="N10" i="21"/>
  <c r="N12" i="21"/>
  <c r="N14" i="21"/>
  <c r="N16" i="21"/>
  <c r="N20" i="21"/>
  <c r="N22" i="21"/>
  <c r="N24" i="21"/>
  <c r="N26" i="21"/>
  <c r="N28" i="21"/>
  <c r="N30" i="21"/>
  <c r="N32" i="21"/>
  <c r="N34" i="21"/>
  <c r="N36" i="21"/>
  <c r="N38" i="21"/>
  <c r="N40" i="21"/>
  <c r="N44" i="21"/>
  <c r="N46" i="21"/>
  <c r="N48" i="21"/>
  <c r="N50" i="21"/>
  <c r="N52" i="21"/>
  <c r="N54" i="21"/>
  <c r="N56" i="21"/>
  <c r="N58" i="21"/>
  <c r="N60" i="21"/>
  <c r="N62" i="21"/>
  <c r="N64" i="21"/>
  <c r="N66" i="21"/>
  <c r="N68" i="21"/>
  <c r="N70" i="21"/>
  <c r="N72" i="21"/>
  <c r="N74" i="21"/>
  <c r="N76" i="21"/>
  <c r="N78" i="21"/>
  <c r="N80" i="21"/>
  <c r="N82" i="21"/>
  <c r="N84" i="21"/>
  <c r="N86" i="21"/>
  <c r="N88" i="21"/>
  <c r="N90" i="21"/>
  <c r="N92" i="21"/>
  <c r="N94" i="21"/>
  <c r="N96" i="21"/>
  <c r="N98" i="21"/>
  <c r="N100" i="21"/>
  <c r="N102" i="21"/>
  <c r="N104" i="21"/>
  <c r="N106" i="21"/>
  <c r="N108" i="21"/>
  <c r="N4" i="21"/>
  <c r="N2" i="21"/>
  <c r="K9" i="18"/>
  <c r="M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A232" i="14"/>
  <c r="B232" i="14"/>
  <c r="C232" i="14"/>
  <c r="A233" i="14"/>
  <c r="D46" i="14"/>
  <c r="AF6" i="18"/>
  <c r="AG6" i="18"/>
  <c r="AF7" i="18"/>
  <c r="AG7" i="18"/>
  <c r="AA6" i="18"/>
  <c r="AB6" i="18"/>
  <c r="AA7" i="18"/>
  <c r="AB7" i="18"/>
  <c r="V6" i="18"/>
  <c r="W6" i="18"/>
  <c r="V7" i="18"/>
  <c r="W7" i="18"/>
  <c r="AF10" i="18"/>
  <c r="AG10" i="18"/>
  <c r="AH10" i="18"/>
  <c r="AH6" i="18"/>
  <c r="AH7" i="18"/>
  <c r="AC6" i="18"/>
  <c r="AC7" i="18"/>
  <c r="K6" i="18"/>
  <c r="K7" i="18"/>
  <c r="L7" i="13"/>
  <c r="D7" i="13"/>
  <c r="E7" i="13"/>
  <c r="F7" i="13"/>
  <c r="D8" i="13"/>
  <c r="E8" i="13"/>
  <c r="F8" i="13"/>
  <c r="L6" i="21"/>
  <c r="K6" i="21"/>
  <c r="J6" i="21"/>
  <c r="G173" i="14"/>
  <c r="C173" i="14"/>
  <c r="B173" i="14"/>
  <c r="A173" i="14"/>
  <c r="A174" i="14"/>
  <c r="H85" i="20"/>
  <c r="D173" i="14"/>
  <c r="I85" i="20"/>
  <c r="E173" i="14"/>
  <c r="J85" i="20"/>
  <c r="F173" i="14"/>
  <c r="E3" i="15"/>
  <c r="E4" i="15"/>
  <c r="E6" i="15"/>
  <c r="E7" i="15"/>
  <c r="E9" i="15"/>
  <c r="E10" i="15"/>
  <c r="E12" i="15"/>
  <c r="E13" i="15"/>
  <c r="E15" i="15"/>
  <c r="E16" i="15"/>
  <c r="E18" i="15"/>
  <c r="E19" i="15"/>
  <c r="K16" i="18"/>
  <c r="K18" i="18"/>
  <c r="K19" i="18"/>
  <c r="K20" i="18"/>
  <c r="K21" i="18"/>
  <c r="K22" i="18"/>
  <c r="K23" i="18"/>
  <c r="K24" i="18"/>
  <c r="K25" i="18"/>
  <c r="H92" i="20"/>
  <c r="D188" i="14"/>
  <c r="I92" i="20"/>
  <c r="E188" i="14"/>
  <c r="J92" i="20"/>
  <c r="F188" i="14"/>
  <c r="H77" i="20"/>
  <c r="D157" i="14"/>
  <c r="I77" i="20"/>
  <c r="E157" i="14"/>
  <c r="J77" i="20"/>
  <c r="F157" i="14"/>
  <c r="H52" i="20"/>
  <c r="D105" i="14"/>
  <c r="I52" i="20"/>
  <c r="E105" i="14"/>
  <c r="J52" i="20"/>
  <c r="F105" i="14"/>
  <c r="H22" i="20"/>
  <c r="D44" i="14"/>
  <c r="I22" i="20"/>
  <c r="E44" i="14"/>
  <c r="J22" i="20"/>
  <c r="F44" i="14"/>
  <c r="H78" i="20"/>
  <c r="D159" i="14"/>
  <c r="I78" i="20"/>
  <c r="E159" i="14"/>
  <c r="J78" i="20"/>
  <c r="F159" i="14"/>
  <c r="H79" i="20"/>
  <c r="D161" i="14"/>
  <c r="I79" i="20"/>
  <c r="E161" i="14"/>
  <c r="J79" i="20"/>
  <c r="F161" i="14"/>
  <c r="H80" i="20"/>
  <c r="D163" i="14"/>
  <c r="I80" i="20"/>
  <c r="E163" i="14"/>
  <c r="J80" i="20"/>
  <c r="F163" i="14"/>
  <c r="H81" i="20"/>
  <c r="D165" i="14"/>
  <c r="I81" i="20"/>
  <c r="E165" i="14"/>
  <c r="J81" i="20"/>
  <c r="F165" i="14"/>
  <c r="H82" i="20"/>
  <c r="D167" i="14"/>
  <c r="I82" i="20"/>
  <c r="E167" i="14"/>
  <c r="J82" i="20"/>
  <c r="F167" i="14"/>
  <c r="H83" i="20"/>
  <c r="D169" i="14"/>
  <c r="I83" i="20"/>
  <c r="E169" i="14"/>
  <c r="J83" i="20"/>
  <c r="F169" i="14"/>
  <c r="H84" i="20"/>
  <c r="D171" i="14"/>
  <c r="I84" i="20"/>
  <c r="E171" i="14"/>
  <c r="J84" i="20"/>
  <c r="F171" i="14"/>
  <c r="H86" i="20"/>
  <c r="D175" i="14"/>
  <c r="I86" i="20"/>
  <c r="E175" i="14"/>
  <c r="J86" i="20"/>
  <c r="F175" i="14"/>
  <c r="H87" i="20"/>
  <c r="D177" i="14"/>
  <c r="I87" i="20"/>
  <c r="E177" i="14"/>
  <c r="J87" i="20"/>
  <c r="F177" i="14"/>
  <c r="H88" i="20"/>
  <c r="D179" i="14"/>
  <c r="I88" i="20"/>
  <c r="E179" i="14"/>
  <c r="J88" i="20"/>
  <c r="F179" i="14"/>
  <c r="H89" i="20"/>
  <c r="D181" i="14"/>
  <c r="I89" i="20"/>
  <c r="E181" i="14"/>
  <c r="J89" i="20"/>
  <c r="F181" i="14"/>
  <c r="H90" i="20"/>
  <c r="D183" i="14"/>
  <c r="I90" i="20"/>
  <c r="E183" i="14"/>
  <c r="J90" i="20"/>
  <c r="F183" i="14"/>
  <c r="H91" i="20"/>
  <c r="D185" i="14"/>
  <c r="I91" i="20"/>
  <c r="E185" i="14"/>
  <c r="J91" i="20"/>
  <c r="F185" i="14"/>
  <c r="H93" i="20"/>
  <c r="D190" i="14"/>
  <c r="I93" i="20"/>
  <c r="E190" i="14"/>
  <c r="J93" i="20"/>
  <c r="F190" i="14"/>
  <c r="H94" i="20"/>
  <c r="D192" i="14"/>
  <c r="I94" i="20"/>
  <c r="E192" i="14"/>
  <c r="J94" i="20"/>
  <c r="F192" i="14"/>
  <c r="H95" i="20"/>
  <c r="D194" i="14"/>
  <c r="I95" i="20"/>
  <c r="E194" i="14"/>
  <c r="J95" i="20"/>
  <c r="F194" i="14"/>
  <c r="H96" i="20"/>
  <c r="D196" i="14"/>
  <c r="I96" i="20"/>
  <c r="E196" i="14"/>
  <c r="J96" i="20"/>
  <c r="F196" i="14"/>
  <c r="H97" i="20"/>
  <c r="D198" i="14"/>
  <c r="I97" i="20"/>
  <c r="E198" i="14"/>
  <c r="J97" i="20"/>
  <c r="F198" i="14"/>
  <c r="H98" i="20"/>
  <c r="D200" i="14"/>
  <c r="I98" i="20"/>
  <c r="E200" i="14"/>
  <c r="J98" i="20"/>
  <c r="F200" i="14"/>
  <c r="H99" i="20"/>
  <c r="D202" i="14"/>
  <c r="I99" i="20"/>
  <c r="E202" i="14"/>
  <c r="J99" i="20"/>
  <c r="F202" i="14"/>
  <c r="H100" i="20"/>
  <c r="D204" i="14"/>
  <c r="I100" i="20"/>
  <c r="E204" i="14"/>
  <c r="J100" i="20"/>
  <c r="F204" i="14"/>
  <c r="H101" i="20"/>
  <c r="D206" i="14"/>
  <c r="I101" i="20"/>
  <c r="E206" i="14"/>
  <c r="J101" i="20"/>
  <c r="F206" i="14"/>
  <c r="H102" i="20"/>
  <c r="D208" i="14"/>
  <c r="I102" i="20"/>
  <c r="E208" i="14"/>
  <c r="J102" i="20"/>
  <c r="F208" i="14"/>
  <c r="H103" i="20"/>
  <c r="D210" i="14"/>
  <c r="I103" i="20"/>
  <c r="E210" i="14"/>
  <c r="J103" i="20"/>
  <c r="F210" i="14"/>
  <c r="H104" i="20"/>
  <c r="D212" i="14"/>
  <c r="I104" i="20"/>
  <c r="E212" i="14"/>
  <c r="J104" i="20"/>
  <c r="F212" i="14"/>
  <c r="H105" i="20"/>
  <c r="D214" i="14"/>
  <c r="I105" i="20"/>
  <c r="E214" i="14"/>
  <c r="J105" i="20"/>
  <c r="F214" i="14"/>
  <c r="H106" i="20"/>
  <c r="D216" i="14"/>
  <c r="I106" i="20"/>
  <c r="E216" i="14"/>
  <c r="J106" i="20"/>
  <c r="F216" i="14"/>
  <c r="H107" i="20"/>
  <c r="D218" i="14"/>
  <c r="I107" i="20"/>
  <c r="E218" i="14"/>
  <c r="J107" i="20"/>
  <c r="F218" i="14"/>
  <c r="H108" i="20"/>
  <c r="D220" i="14"/>
  <c r="I108" i="20"/>
  <c r="E220" i="14"/>
  <c r="J108" i="20"/>
  <c r="F220" i="14"/>
  <c r="H109" i="20"/>
  <c r="D222" i="14"/>
  <c r="I109" i="20"/>
  <c r="E222" i="14"/>
  <c r="J109" i="20"/>
  <c r="F222" i="14"/>
  <c r="H110" i="20"/>
  <c r="D224" i="14"/>
  <c r="I110" i="20"/>
  <c r="E224" i="14"/>
  <c r="J110" i="20"/>
  <c r="F224" i="14"/>
  <c r="H111" i="20"/>
  <c r="D226" i="14"/>
  <c r="I111" i="20"/>
  <c r="E226" i="14"/>
  <c r="J111" i="20"/>
  <c r="F226" i="14"/>
  <c r="H112" i="20"/>
  <c r="D228" i="14"/>
  <c r="I112" i="20"/>
  <c r="E228" i="14"/>
  <c r="J112" i="20"/>
  <c r="F228" i="14"/>
  <c r="H113" i="20"/>
  <c r="D230" i="14"/>
  <c r="I113" i="20"/>
  <c r="E230" i="14"/>
  <c r="J113" i="20"/>
  <c r="F230" i="14"/>
  <c r="H114" i="20"/>
  <c r="D232" i="14"/>
  <c r="I114" i="20"/>
  <c r="E232" i="14"/>
  <c r="J114" i="20"/>
  <c r="F232" i="14"/>
  <c r="Y85" i="19"/>
  <c r="Z85" i="19"/>
  <c r="AA85" i="19"/>
  <c r="T85" i="19"/>
  <c r="U85" i="19"/>
  <c r="V85" i="19"/>
  <c r="K85" i="19"/>
  <c r="L85" i="19"/>
  <c r="O85" i="19"/>
  <c r="P85" i="19"/>
  <c r="Q85" i="19"/>
  <c r="C85" i="19"/>
  <c r="D85" i="19"/>
  <c r="E85" i="19"/>
  <c r="F85" i="19"/>
  <c r="G85" i="19"/>
  <c r="H53" i="20"/>
  <c r="D108" i="14"/>
  <c r="I53" i="20"/>
  <c r="E108" i="14"/>
  <c r="J53" i="20"/>
  <c r="F108" i="14"/>
  <c r="H54" i="20"/>
  <c r="D110" i="14"/>
  <c r="I54" i="20"/>
  <c r="E110" i="14"/>
  <c r="J54" i="20"/>
  <c r="F110" i="14"/>
  <c r="H55" i="20"/>
  <c r="D112" i="14"/>
  <c r="I55" i="20"/>
  <c r="E112" i="14"/>
  <c r="J55" i="20"/>
  <c r="F112" i="14"/>
  <c r="H56" i="20"/>
  <c r="D114" i="14"/>
  <c r="I56" i="20"/>
  <c r="E114" i="14"/>
  <c r="J56" i="20"/>
  <c r="F114" i="14"/>
  <c r="H57" i="20"/>
  <c r="D116" i="14"/>
  <c r="I57" i="20"/>
  <c r="E116" i="14"/>
  <c r="J57" i="20"/>
  <c r="F116" i="14"/>
  <c r="H58" i="20"/>
  <c r="D118" i="14"/>
  <c r="I58" i="20"/>
  <c r="E118" i="14"/>
  <c r="J58" i="20"/>
  <c r="F118" i="14"/>
  <c r="H59" i="20"/>
  <c r="D120" i="14"/>
  <c r="I59" i="20"/>
  <c r="E120" i="14"/>
  <c r="J59" i="20"/>
  <c r="F120" i="14"/>
  <c r="H60" i="20"/>
  <c r="D122" i="14"/>
  <c r="I60" i="20"/>
  <c r="E122" i="14"/>
  <c r="J60" i="20"/>
  <c r="F122" i="14"/>
  <c r="H61" i="20"/>
  <c r="D124" i="14"/>
  <c r="I61" i="20"/>
  <c r="E124" i="14"/>
  <c r="J61" i="20"/>
  <c r="F124" i="14"/>
  <c r="H62" i="20"/>
  <c r="D126" i="14"/>
  <c r="I62" i="20"/>
  <c r="E126" i="14"/>
  <c r="J62" i="20"/>
  <c r="F126" i="14"/>
  <c r="H63" i="20"/>
  <c r="D128" i="14"/>
  <c r="I63" i="20"/>
  <c r="E128" i="14"/>
  <c r="J63" i="20"/>
  <c r="F128" i="14"/>
  <c r="H64" i="20"/>
  <c r="D130" i="14"/>
  <c r="I64" i="20"/>
  <c r="E130" i="14"/>
  <c r="J64" i="20"/>
  <c r="F130" i="14"/>
  <c r="H65" i="20"/>
  <c r="D132" i="14"/>
  <c r="I65" i="20"/>
  <c r="E132" i="14"/>
  <c r="J65" i="20"/>
  <c r="F132" i="14"/>
  <c r="H66" i="20"/>
  <c r="D134" i="14"/>
  <c r="I66" i="20"/>
  <c r="E134" i="14"/>
  <c r="J66" i="20"/>
  <c r="F134" i="14"/>
  <c r="H67" i="20"/>
  <c r="D136" i="14"/>
  <c r="I67" i="20"/>
  <c r="E136" i="14"/>
  <c r="J67" i="20"/>
  <c r="F136" i="14"/>
  <c r="H68" i="20"/>
  <c r="D138" i="14"/>
  <c r="I68" i="20"/>
  <c r="E138" i="14"/>
  <c r="J68" i="20"/>
  <c r="F138" i="14"/>
  <c r="H69" i="20"/>
  <c r="D140" i="14"/>
  <c r="I69" i="20"/>
  <c r="E140" i="14"/>
  <c r="J69" i="20"/>
  <c r="F140" i="14"/>
  <c r="H70" i="20"/>
  <c r="D142" i="14"/>
  <c r="I70" i="20"/>
  <c r="E142" i="14"/>
  <c r="J70" i="20"/>
  <c r="F142" i="14"/>
  <c r="H71" i="20"/>
  <c r="D144" i="14"/>
  <c r="I71" i="20"/>
  <c r="E144" i="14"/>
  <c r="J71" i="20"/>
  <c r="F144" i="14"/>
  <c r="H72" i="20"/>
  <c r="D146" i="14"/>
  <c r="I72" i="20"/>
  <c r="E146" i="14"/>
  <c r="J72" i="20"/>
  <c r="F146" i="14"/>
  <c r="H73" i="20"/>
  <c r="D148" i="14"/>
  <c r="I73" i="20"/>
  <c r="E148" i="14"/>
  <c r="J73" i="20"/>
  <c r="F148" i="14"/>
  <c r="H74" i="20"/>
  <c r="D150" i="14"/>
  <c r="I74" i="20"/>
  <c r="E150" i="14"/>
  <c r="J74" i="20"/>
  <c r="F150" i="14"/>
  <c r="H75" i="20"/>
  <c r="D152" i="14"/>
  <c r="I75" i="20"/>
  <c r="E152" i="14"/>
  <c r="J75" i="20"/>
  <c r="F152" i="14"/>
  <c r="H76" i="20"/>
  <c r="D154" i="14"/>
  <c r="I76" i="20"/>
  <c r="E154" i="14"/>
  <c r="J76" i="20"/>
  <c r="F154" i="14"/>
  <c r="H25" i="20"/>
  <c r="D51" i="14"/>
  <c r="I25" i="20"/>
  <c r="E51" i="14"/>
  <c r="J25" i="20"/>
  <c r="F51" i="14"/>
  <c r="H26" i="20"/>
  <c r="D53" i="14"/>
  <c r="I26" i="20"/>
  <c r="E53" i="14"/>
  <c r="J26" i="20"/>
  <c r="F53" i="14"/>
  <c r="H27" i="20"/>
  <c r="D55" i="14"/>
  <c r="I27" i="20"/>
  <c r="E55" i="14"/>
  <c r="J27" i="20"/>
  <c r="F55" i="14"/>
  <c r="H28" i="20"/>
  <c r="D57" i="14"/>
  <c r="I28" i="20"/>
  <c r="E57" i="14"/>
  <c r="J28" i="20"/>
  <c r="F57" i="14"/>
  <c r="H29" i="20"/>
  <c r="D59" i="14"/>
  <c r="I29" i="20"/>
  <c r="E59" i="14"/>
  <c r="J29" i="20"/>
  <c r="F59" i="14"/>
  <c r="H30" i="20"/>
  <c r="D61" i="14"/>
  <c r="I30" i="20"/>
  <c r="E61" i="14"/>
  <c r="J30" i="20"/>
  <c r="F61" i="14"/>
  <c r="H31" i="20"/>
  <c r="D63" i="14"/>
  <c r="I31" i="20"/>
  <c r="E63" i="14"/>
  <c r="J31" i="20"/>
  <c r="F63" i="14"/>
  <c r="H32" i="20"/>
  <c r="D65" i="14"/>
  <c r="I32" i="20"/>
  <c r="E65" i="14"/>
  <c r="J32" i="20"/>
  <c r="F65" i="14"/>
  <c r="H33" i="20"/>
  <c r="D67" i="14"/>
  <c r="I33" i="20"/>
  <c r="E67" i="14"/>
  <c r="J33" i="20"/>
  <c r="F67" i="14"/>
  <c r="H34" i="20"/>
  <c r="D69" i="14"/>
  <c r="I34" i="20"/>
  <c r="E69" i="14"/>
  <c r="J34" i="20"/>
  <c r="F69" i="14"/>
  <c r="H35" i="20"/>
  <c r="D71" i="14"/>
  <c r="I35" i="20"/>
  <c r="E71" i="14"/>
  <c r="J35" i="20"/>
  <c r="F71" i="14"/>
  <c r="H36" i="20"/>
  <c r="D73" i="14"/>
  <c r="I36" i="20"/>
  <c r="E73" i="14"/>
  <c r="J36" i="20"/>
  <c r="F73" i="14"/>
  <c r="H37" i="20"/>
  <c r="D75" i="14"/>
  <c r="I37" i="20"/>
  <c r="E75" i="14"/>
  <c r="J37" i="20"/>
  <c r="F75" i="14"/>
  <c r="H38" i="20"/>
  <c r="D77" i="14"/>
  <c r="I38" i="20"/>
  <c r="E77" i="14"/>
  <c r="J38" i="20"/>
  <c r="F77" i="14"/>
  <c r="H39" i="20"/>
  <c r="D79" i="14"/>
  <c r="I39" i="20"/>
  <c r="E79" i="14"/>
  <c r="J39" i="20"/>
  <c r="F79" i="14"/>
  <c r="H40" i="20"/>
  <c r="D81" i="14"/>
  <c r="I40" i="20"/>
  <c r="E81" i="14"/>
  <c r="J40" i="20"/>
  <c r="F81" i="14"/>
  <c r="H41" i="20"/>
  <c r="D83" i="14"/>
  <c r="I41" i="20"/>
  <c r="E83" i="14"/>
  <c r="J41" i="20"/>
  <c r="F83" i="14"/>
  <c r="H42" i="20"/>
  <c r="D85" i="14"/>
  <c r="I42" i="20"/>
  <c r="E85" i="14"/>
  <c r="J42" i="20"/>
  <c r="F85" i="14"/>
  <c r="H43" i="20"/>
  <c r="D87" i="14"/>
  <c r="I43" i="20"/>
  <c r="E87" i="14"/>
  <c r="J43" i="20"/>
  <c r="F87" i="14"/>
  <c r="H44" i="20"/>
  <c r="D89" i="14"/>
  <c r="I44" i="20"/>
  <c r="E89" i="14"/>
  <c r="J44" i="20"/>
  <c r="F89" i="14"/>
  <c r="H45" i="20"/>
  <c r="D91" i="14"/>
  <c r="I45" i="20"/>
  <c r="E91" i="14"/>
  <c r="J45" i="20"/>
  <c r="F91" i="14"/>
  <c r="H46" i="20"/>
  <c r="D93" i="14"/>
  <c r="I46" i="20"/>
  <c r="E93" i="14"/>
  <c r="J46" i="20"/>
  <c r="F93" i="14"/>
  <c r="H47" i="20"/>
  <c r="D95" i="14"/>
  <c r="I47" i="20"/>
  <c r="E95" i="14"/>
  <c r="J47" i="20"/>
  <c r="F95" i="14"/>
  <c r="H48" i="20"/>
  <c r="D97" i="14"/>
  <c r="I48" i="20"/>
  <c r="E97" i="14"/>
  <c r="J48" i="20"/>
  <c r="F97" i="14"/>
  <c r="H49" i="20"/>
  <c r="D99" i="14"/>
  <c r="I49" i="20"/>
  <c r="E99" i="14"/>
  <c r="J49" i="20"/>
  <c r="F99" i="14"/>
  <c r="H50" i="20"/>
  <c r="D101" i="14"/>
  <c r="I50" i="20"/>
  <c r="E101" i="14"/>
  <c r="J50" i="20"/>
  <c r="F101" i="14"/>
  <c r="H51" i="20"/>
  <c r="D103" i="14"/>
  <c r="I51" i="20"/>
  <c r="E103" i="14"/>
  <c r="J51" i="20"/>
  <c r="F103" i="14"/>
  <c r="H23" i="20"/>
  <c r="I23" i="20"/>
  <c r="E46" i="14"/>
  <c r="J23" i="20"/>
  <c r="F46" i="14"/>
  <c r="H24" i="20"/>
  <c r="D48" i="14"/>
  <c r="I24" i="20"/>
  <c r="E48" i="14"/>
  <c r="J24" i="20"/>
  <c r="F48" i="14"/>
  <c r="H2" i="20"/>
  <c r="D3" i="14"/>
  <c r="I2" i="20"/>
  <c r="E3" i="14"/>
  <c r="J2" i="20"/>
  <c r="F3" i="14"/>
  <c r="H3" i="20"/>
  <c r="D5" i="14"/>
  <c r="I3" i="20"/>
  <c r="E5" i="14"/>
  <c r="J3" i="20"/>
  <c r="F5" i="14"/>
  <c r="H4" i="20"/>
  <c r="D7" i="14"/>
  <c r="I4" i="20"/>
  <c r="E7" i="14"/>
  <c r="J4" i="20"/>
  <c r="F7" i="14"/>
  <c r="H5" i="20"/>
  <c r="D9" i="14"/>
  <c r="I5" i="20"/>
  <c r="E9" i="14"/>
  <c r="J5" i="20"/>
  <c r="F9" i="14"/>
  <c r="H6" i="20"/>
  <c r="D11" i="14"/>
  <c r="I6" i="20"/>
  <c r="E11" i="14"/>
  <c r="J6" i="20"/>
  <c r="F11" i="14"/>
  <c r="H7" i="20"/>
  <c r="D13" i="14"/>
  <c r="I7" i="20"/>
  <c r="E13" i="14"/>
  <c r="J7" i="20"/>
  <c r="F13" i="14"/>
  <c r="H8" i="20"/>
  <c r="D15" i="14"/>
  <c r="I8" i="20"/>
  <c r="E15" i="14"/>
  <c r="J8" i="20"/>
  <c r="F15" i="14"/>
  <c r="H9" i="20"/>
  <c r="D17" i="14"/>
  <c r="I9" i="20"/>
  <c r="E17" i="14"/>
  <c r="J9" i="20"/>
  <c r="F17" i="14"/>
  <c r="H10" i="20"/>
  <c r="D19" i="14"/>
  <c r="I10" i="20"/>
  <c r="E19" i="14"/>
  <c r="J10" i="20"/>
  <c r="F19" i="14"/>
  <c r="H11" i="20"/>
  <c r="D21" i="14"/>
  <c r="I11" i="20"/>
  <c r="E21" i="14"/>
  <c r="J11" i="20"/>
  <c r="F21" i="14"/>
  <c r="H12" i="20"/>
  <c r="D23" i="14"/>
  <c r="I12" i="20"/>
  <c r="E23" i="14"/>
  <c r="J12" i="20"/>
  <c r="F23" i="14"/>
  <c r="H13" i="20"/>
  <c r="D25" i="14"/>
  <c r="I13" i="20"/>
  <c r="E25" i="14"/>
  <c r="J13" i="20"/>
  <c r="F25" i="14"/>
  <c r="H14" i="20"/>
  <c r="D27" i="14"/>
  <c r="I14" i="20"/>
  <c r="E27" i="14"/>
  <c r="J14" i="20"/>
  <c r="F27" i="14"/>
  <c r="H15" i="20"/>
  <c r="D29" i="14"/>
  <c r="I15" i="20"/>
  <c r="E29" i="14"/>
  <c r="J15" i="20"/>
  <c r="F29" i="14"/>
  <c r="H16" i="20"/>
  <c r="D31" i="14"/>
  <c r="I16" i="20"/>
  <c r="E31" i="14"/>
  <c r="J16" i="20"/>
  <c r="F31" i="14"/>
  <c r="H17" i="20"/>
  <c r="D33" i="14"/>
  <c r="I17" i="20"/>
  <c r="E33" i="14"/>
  <c r="J17" i="20"/>
  <c r="F33" i="14"/>
  <c r="H18" i="20"/>
  <c r="D35" i="14"/>
  <c r="I18" i="20"/>
  <c r="E35" i="14"/>
  <c r="J18" i="20"/>
  <c r="F35" i="14"/>
  <c r="H19" i="20"/>
  <c r="D37" i="14"/>
  <c r="I19" i="20"/>
  <c r="E37" i="14"/>
  <c r="J19" i="20"/>
  <c r="F37" i="14"/>
  <c r="H20" i="20"/>
  <c r="D39" i="14"/>
  <c r="I20" i="20"/>
  <c r="E39" i="14"/>
  <c r="J20" i="20"/>
  <c r="F39" i="14"/>
  <c r="H21" i="20"/>
  <c r="D41" i="14"/>
  <c r="I21" i="20"/>
  <c r="E41" i="14"/>
  <c r="J21" i="20"/>
  <c r="F41" i="14"/>
  <c r="L96" i="21"/>
  <c r="F104" i="13"/>
  <c r="J70" i="21"/>
  <c r="D77" i="13"/>
  <c r="K70" i="21"/>
  <c r="E77" i="13"/>
  <c r="L70" i="21"/>
  <c r="F77" i="13"/>
  <c r="D78" i="13"/>
  <c r="E78" i="13"/>
  <c r="F78" i="13"/>
  <c r="J72" i="21"/>
  <c r="D79" i="13"/>
  <c r="K72" i="21"/>
  <c r="E79" i="13"/>
  <c r="L72" i="21"/>
  <c r="F79" i="13"/>
  <c r="D80" i="13"/>
  <c r="E80" i="13"/>
  <c r="F80" i="13"/>
  <c r="J74" i="21"/>
  <c r="D81" i="13"/>
  <c r="K74" i="21"/>
  <c r="E81" i="13"/>
  <c r="L74" i="21"/>
  <c r="F81" i="13"/>
  <c r="D82" i="13"/>
  <c r="E82" i="13"/>
  <c r="F82" i="13"/>
  <c r="J76" i="21"/>
  <c r="D83" i="13"/>
  <c r="K76" i="21"/>
  <c r="E83" i="13"/>
  <c r="L76" i="21"/>
  <c r="F83" i="13"/>
  <c r="D84" i="13"/>
  <c r="E84" i="13"/>
  <c r="F84" i="13"/>
  <c r="J78" i="21"/>
  <c r="D85" i="13"/>
  <c r="K78" i="21"/>
  <c r="E85" i="13"/>
  <c r="L78" i="21"/>
  <c r="F85" i="13"/>
  <c r="D86" i="13"/>
  <c r="E86" i="13"/>
  <c r="F86" i="13"/>
  <c r="J80" i="21"/>
  <c r="D87" i="13"/>
  <c r="K80" i="21"/>
  <c r="E87" i="13"/>
  <c r="L80" i="21"/>
  <c r="F87" i="13"/>
  <c r="D88" i="13"/>
  <c r="E88" i="13"/>
  <c r="F88" i="13"/>
  <c r="J82" i="21"/>
  <c r="D89" i="13"/>
  <c r="K82" i="21"/>
  <c r="E89" i="13"/>
  <c r="L82" i="21"/>
  <c r="F89" i="13"/>
  <c r="D90" i="13"/>
  <c r="E90" i="13"/>
  <c r="F90" i="13"/>
  <c r="J84" i="21"/>
  <c r="D91" i="13"/>
  <c r="K84" i="21"/>
  <c r="E91" i="13"/>
  <c r="L84" i="21"/>
  <c r="F91" i="13"/>
  <c r="D92" i="13"/>
  <c r="E92" i="13"/>
  <c r="F92" i="13"/>
  <c r="J86" i="21"/>
  <c r="D93" i="13"/>
  <c r="K86" i="21"/>
  <c r="E93" i="13"/>
  <c r="L86" i="21"/>
  <c r="F93" i="13"/>
  <c r="D94" i="13"/>
  <c r="E94" i="13"/>
  <c r="F94" i="13"/>
  <c r="J88" i="21"/>
  <c r="D95" i="13"/>
  <c r="K88" i="21"/>
  <c r="E95" i="13"/>
  <c r="L88" i="21"/>
  <c r="F95" i="13"/>
  <c r="F96" i="13"/>
  <c r="J90" i="21"/>
  <c r="D97" i="13"/>
  <c r="K90" i="21"/>
  <c r="E97" i="13"/>
  <c r="L90" i="21"/>
  <c r="F97" i="13"/>
  <c r="D98" i="13"/>
  <c r="E98" i="13"/>
  <c r="F98" i="13"/>
  <c r="J92" i="21"/>
  <c r="D99" i="13"/>
  <c r="K92" i="21"/>
  <c r="E99" i="13"/>
  <c r="L92" i="21"/>
  <c r="F99" i="13"/>
  <c r="F100" i="13"/>
  <c r="J94" i="21"/>
  <c r="D101" i="13"/>
  <c r="K94" i="21"/>
  <c r="E101" i="13"/>
  <c r="L94" i="21"/>
  <c r="F101" i="13"/>
  <c r="D102" i="13"/>
  <c r="E102" i="13"/>
  <c r="F102" i="13"/>
  <c r="J96" i="21"/>
  <c r="D103" i="13"/>
  <c r="K96" i="21"/>
  <c r="E103" i="13"/>
  <c r="F103" i="13"/>
  <c r="D104" i="13"/>
  <c r="E104" i="13"/>
  <c r="J98" i="21"/>
  <c r="D105" i="13"/>
  <c r="K98" i="21"/>
  <c r="E105" i="13"/>
  <c r="L98" i="21"/>
  <c r="F105" i="13"/>
  <c r="D106" i="13"/>
  <c r="E106" i="13"/>
  <c r="F106" i="13"/>
  <c r="J100" i="21"/>
  <c r="D107" i="13"/>
  <c r="K100" i="21"/>
  <c r="E107" i="13"/>
  <c r="L100" i="21"/>
  <c r="F107" i="13"/>
  <c r="D108" i="13"/>
  <c r="E108" i="13"/>
  <c r="F108" i="13"/>
  <c r="J102" i="21"/>
  <c r="D109" i="13"/>
  <c r="K102" i="21"/>
  <c r="E109" i="13"/>
  <c r="L102" i="21"/>
  <c r="F109" i="13"/>
  <c r="D110" i="13"/>
  <c r="E110" i="13"/>
  <c r="F110" i="13"/>
  <c r="J104" i="21"/>
  <c r="D111" i="13"/>
  <c r="K104" i="21"/>
  <c r="E111" i="13"/>
  <c r="L104" i="21"/>
  <c r="F111" i="13"/>
  <c r="D112" i="13"/>
  <c r="E112" i="13"/>
  <c r="F112" i="13"/>
  <c r="J106" i="21"/>
  <c r="D113" i="13"/>
  <c r="K106" i="21"/>
  <c r="E113" i="13"/>
  <c r="L106" i="21"/>
  <c r="F113" i="13"/>
  <c r="D114" i="13"/>
  <c r="E114" i="13"/>
  <c r="F114" i="13"/>
  <c r="J108" i="21"/>
  <c r="D115" i="13"/>
  <c r="K108" i="21"/>
  <c r="E115" i="13"/>
  <c r="L108" i="21"/>
  <c r="F115" i="13"/>
  <c r="F116" i="13"/>
  <c r="J52" i="21"/>
  <c r="D58" i="13"/>
  <c r="K52" i="21"/>
  <c r="E58" i="13"/>
  <c r="L52" i="21"/>
  <c r="F58" i="13"/>
  <c r="D59" i="13"/>
  <c r="E59" i="13"/>
  <c r="F59" i="13"/>
  <c r="J54" i="21"/>
  <c r="D60" i="13"/>
  <c r="K54" i="21"/>
  <c r="E60" i="13"/>
  <c r="L54" i="21"/>
  <c r="F60" i="13"/>
  <c r="D61" i="13"/>
  <c r="E61" i="13"/>
  <c r="F61" i="13"/>
  <c r="J56" i="21"/>
  <c r="D62" i="13"/>
  <c r="K56" i="21"/>
  <c r="E62" i="13"/>
  <c r="L56" i="21"/>
  <c r="F62" i="13"/>
  <c r="D63" i="13"/>
  <c r="E63" i="13"/>
  <c r="F63" i="13"/>
  <c r="J58" i="21"/>
  <c r="D64" i="13"/>
  <c r="K58" i="21"/>
  <c r="E64" i="13"/>
  <c r="L58" i="21"/>
  <c r="F64" i="13"/>
  <c r="F65" i="13"/>
  <c r="J60" i="21"/>
  <c r="D66" i="13"/>
  <c r="K60" i="21"/>
  <c r="E66" i="13"/>
  <c r="L60" i="21"/>
  <c r="F66" i="13"/>
  <c r="F67" i="13"/>
  <c r="J62" i="21"/>
  <c r="D68" i="13"/>
  <c r="K62" i="21"/>
  <c r="E68" i="13"/>
  <c r="L62" i="21"/>
  <c r="F68" i="13"/>
  <c r="F69" i="13"/>
  <c r="J64" i="21"/>
  <c r="D70" i="13"/>
  <c r="K64" i="21"/>
  <c r="E70" i="13"/>
  <c r="L64" i="21"/>
  <c r="F70" i="13"/>
  <c r="F71" i="13"/>
  <c r="J66" i="21"/>
  <c r="D72" i="13"/>
  <c r="K66" i="21"/>
  <c r="E72" i="13"/>
  <c r="L66" i="21"/>
  <c r="F72" i="13"/>
  <c r="F73" i="13"/>
  <c r="J68" i="21"/>
  <c r="D74" i="13"/>
  <c r="K68" i="21"/>
  <c r="E74" i="13"/>
  <c r="L68" i="21"/>
  <c r="F74" i="13"/>
  <c r="D75" i="13"/>
  <c r="E75" i="13"/>
  <c r="F75" i="13"/>
  <c r="J26" i="21"/>
  <c r="D29" i="13"/>
  <c r="K26" i="21"/>
  <c r="E29" i="13"/>
  <c r="L26" i="21"/>
  <c r="F29" i="13"/>
  <c r="D30" i="13"/>
  <c r="E30" i="13"/>
  <c r="F30" i="13"/>
  <c r="J28" i="21"/>
  <c r="D31" i="13"/>
  <c r="K28" i="21"/>
  <c r="E31" i="13"/>
  <c r="L28" i="21"/>
  <c r="F31" i="13"/>
  <c r="D32" i="13"/>
  <c r="E32" i="13"/>
  <c r="F32" i="13"/>
  <c r="J30" i="21"/>
  <c r="D33" i="13"/>
  <c r="K30" i="21"/>
  <c r="E33" i="13"/>
  <c r="L30" i="21"/>
  <c r="F33" i="13"/>
  <c r="D34" i="13"/>
  <c r="E34" i="13"/>
  <c r="F34" i="13"/>
  <c r="J32" i="21"/>
  <c r="D35" i="13"/>
  <c r="K32" i="21"/>
  <c r="E35" i="13"/>
  <c r="L32" i="21"/>
  <c r="F35" i="13"/>
  <c r="D36" i="13"/>
  <c r="E36" i="13"/>
  <c r="F36" i="13"/>
  <c r="J34" i="21"/>
  <c r="D37" i="13"/>
  <c r="K34" i="21"/>
  <c r="E37" i="13"/>
  <c r="L34" i="21"/>
  <c r="F37" i="13"/>
  <c r="D38" i="13"/>
  <c r="E38" i="13"/>
  <c r="F38" i="13"/>
  <c r="J36" i="21"/>
  <c r="D39" i="13"/>
  <c r="K36" i="21"/>
  <c r="E39" i="13"/>
  <c r="L36" i="21"/>
  <c r="F39" i="13"/>
  <c r="D40" i="13"/>
  <c r="E40" i="13"/>
  <c r="F40" i="13"/>
  <c r="J38" i="21"/>
  <c r="D41" i="13"/>
  <c r="K38" i="21"/>
  <c r="E41" i="13"/>
  <c r="L38" i="21"/>
  <c r="F41" i="13"/>
  <c r="D42" i="13"/>
  <c r="E42" i="13"/>
  <c r="F42" i="13"/>
  <c r="J40" i="21"/>
  <c r="D43" i="13"/>
  <c r="K40" i="21"/>
  <c r="E43" i="13"/>
  <c r="L40" i="21"/>
  <c r="F43" i="13"/>
  <c r="D44" i="13"/>
  <c r="E44" i="13"/>
  <c r="F44" i="13"/>
  <c r="J42" i="21"/>
  <c r="D45" i="13"/>
  <c r="K42" i="21"/>
  <c r="E45" i="13"/>
  <c r="L42" i="21"/>
  <c r="F45" i="13"/>
  <c r="D46" i="13"/>
  <c r="E46" i="13"/>
  <c r="F46" i="13"/>
  <c r="J44" i="21"/>
  <c r="D47" i="13"/>
  <c r="K44" i="21"/>
  <c r="E47" i="13"/>
  <c r="L44" i="21"/>
  <c r="F47" i="13"/>
  <c r="D48" i="13"/>
  <c r="E48" i="13"/>
  <c r="F48" i="13"/>
  <c r="J46" i="21"/>
  <c r="D49" i="13"/>
  <c r="K46" i="21"/>
  <c r="E49" i="13"/>
  <c r="L46" i="21"/>
  <c r="F49" i="13"/>
  <c r="D50" i="13"/>
  <c r="E50" i="13"/>
  <c r="F50" i="13"/>
  <c r="J48" i="21"/>
  <c r="D51" i="13"/>
  <c r="K48" i="21"/>
  <c r="E51" i="13"/>
  <c r="L48" i="21"/>
  <c r="F51" i="13"/>
  <c r="D52" i="13"/>
  <c r="E52" i="13"/>
  <c r="F52" i="13"/>
  <c r="J50" i="21"/>
  <c r="D53" i="13"/>
  <c r="K50" i="21"/>
  <c r="E53" i="13"/>
  <c r="L50" i="21"/>
  <c r="F53" i="13"/>
  <c r="D54" i="13"/>
  <c r="E54" i="13"/>
  <c r="F54" i="13"/>
  <c r="J16" i="21"/>
  <c r="D18" i="13"/>
  <c r="K16" i="21"/>
  <c r="E18" i="13"/>
  <c r="L16" i="21"/>
  <c r="F18" i="13"/>
  <c r="D19" i="13"/>
  <c r="E19" i="13"/>
  <c r="F19" i="13"/>
  <c r="J18" i="21"/>
  <c r="D20" i="13"/>
  <c r="K18" i="21"/>
  <c r="E20" i="13"/>
  <c r="L18" i="21"/>
  <c r="F20" i="13"/>
  <c r="D21" i="13"/>
  <c r="E21" i="13"/>
  <c r="F21" i="13"/>
  <c r="J20" i="21"/>
  <c r="D22" i="13"/>
  <c r="K20" i="21"/>
  <c r="E22" i="13"/>
  <c r="L20" i="21"/>
  <c r="F22" i="13"/>
  <c r="D23" i="13"/>
  <c r="E23" i="13"/>
  <c r="F23" i="13"/>
  <c r="J22" i="21"/>
  <c r="D24" i="13"/>
  <c r="K22" i="21"/>
  <c r="E24" i="13"/>
  <c r="L22" i="21"/>
  <c r="F24" i="13"/>
  <c r="D25" i="13"/>
  <c r="E25" i="13"/>
  <c r="F25" i="13"/>
  <c r="J24" i="21"/>
  <c r="D26" i="13"/>
  <c r="K24" i="21"/>
  <c r="E26" i="13"/>
  <c r="L24" i="21"/>
  <c r="F26" i="13"/>
  <c r="D27" i="13"/>
  <c r="E27" i="13"/>
  <c r="F27" i="13"/>
  <c r="J2" i="21"/>
  <c r="D3" i="13"/>
  <c r="K2" i="21"/>
  <c r="E3" i="13"/>
  <c r="L2" i="21"/>
  <c r="F3" i="13"/>
  <c r="D4" i="13"/>
  <c r="E4" i="13"/>
  <c r="F4" i="13"/>
  <c r="J4" i="21"/>
  <c r="D5" i="13"/>
  <c r="K4" i="21"/>
  <c r="E5" i="13"/>
  <c r="L4" i="21"/>
  <c r="F5" i="13"/>
  <c r="D6" i="13"/>
  <c r="E6" i="13"/>
  <c r="F6" i="13"/>
  <c r="J8" i="21"/>
  <c r="D9" i="13"/>
  <c r="K8" i="21"/>
  <c r="E9" i="13"/>
  <c r="L8" i="21"/>
  <c r="F9" i="13"/>
  <c r="D10" i="13"/>
  <c r="E10" i="13"/>
  <c r="F10" i="13"/>
  <c r="J10" i="21"/>
  <c r="D11" i="13"/>
  <c r="K10" i="21"/>
  <c r="E11" i="13"/>
  <c r="L10" i="21"/>
  <c r="F11" i="13"/>
  <c r="D12" i="13"/>
  <c r="E12" i="13"/>
  <c r="F12" i="13"/>
  <c r="J12" i="21"/>
  <c r="D13" i="13"/>
  <c r="K12" i="21"/>
  <c r="E13" i="13"/>
  <c r="L12" i="21"/>
  <c r="F13" i="13"/>
  <c r="D14" i="13"/>
  <c r="E14" i="13"/>
  <c r="F14" i="13"/>
  <c r="J14" i="21"/>
  <c r="D15" i="13"/>
  <c r="K14" i="21"/>
  <c r="E15" i="13"/>
  <c r="L14" i="21"/>
  <c r="F15" i="13"/>
  <c r="D16" i="13"/>
  <c r="E16" i="13"/>
  <c r="F16" i="13"/>
  <c r="Y3" i="19"/>
  <c r="Z3" i="19"/>
  <c r="AA3" i="19"/>
  <c r="Y4" i="19"/>
  <c r="Z4" i="19"/>
  <c r="AA4" i="19"/>
  <c r="Y5" i="19"/>
  <c r="Z5" i="19"/>
  <c r="AA5" i="19"/>
  <c r="Y6" i="19"/>
  <c r="Z6" i="19"/>
  <c r="AA6" i="19"/>
  <c r="Y7" i="19"/>
  <c r="Z7" i="19"/>
  <c r="AA7" i="19"/>
  <c r="Y8" i="19"/>
  <c r="Z8" i="19"/>
  <c r="AA8" i="19"/>
  <c r="Y9" i="19"/>
  <c r="Z9" i="19"/>
  <c r="AA9" i="19"/>
  <c r="Y10" i="19"/>
  <c r="Z10" i="19"/>
  <c r="AA10" i="19"/>
  <c r="Y11" i="19"/>
  <c r="Z11" i="19"/>
  <c r="AA11" i="19"/>
  <c r="Y12" i="19"/>
  <c r="Z12" i="19"/>
  <c r="AA12" i="19"/>
  <c r="Y13" i="19"/>
  <c r="Z13" i="19"/>
  <c r="AA13" i="19"/>
  <c r="Y14" i="19"/>
  <c r="Z14" i="19"/>
  <c r="AA14" i="19"/>
  <c r="Y15" i="19"/>
  <c r="Z15" i="19"/>
  <c r="AA15" i="19"/>
  <c r="Y16" i="19"/>
  <c r="Z16" i="19"/>
  <c r="AA16" i="19"/>
  <c r="Y17" i="19"/>
  <c r="Z17" i="19"/>
  <c r="AA17" i="19"/>
  <c r="Y18" i="19"/>
  <c r="Z18" i="19"/>
  <c r="AA18" i="19"/>
  <c r="Y19" i="19"/>
  <c r="Z19" i="19"/>
  <c r="AA19" i="19"/>
  <c r="Y20" i="19"/>
  <c r="Z20" i="19"/>
  <c r="AA20" i="19"/>
  <c r="Y21" i="19"/>
  <c r="Z21" i="19"/>
  <c r="AA21" i="19"/>
  <c r="Y22" i="19"/>
  <c r="Z22" i="19"/>
  <c r="AA22" i="19"/>
  <c r="Y23" i="19"/>
  <c r="Z23" i="19"/>
  <c r="AA23" i="19"/>
  <c r="Y24" i="19"/>
  <c r="Z24" i="19"/>
  <c r="AA24" i="19"/>
  <c r="Y25" i="19"/>
  <c r="Z25" i="19"/>
  <c r="AA25" i="19"/>
  <c r="Y26" i="19"/>
  <c r="Z26" i="19"/>
  <c r="AA26" i="19"/>
  <c r="Y27" i="19"/>
  <c r="Z27" i="19"/>
  <c r="AA27" i="19"/>
  <c r="Y28" i="19"/>
  <c r="Z28" i="19"/>
  <c r="AA28" i="19"/>
  <c r="Y29" i="19"/>
  <c r="Z29" i="19"/>
  <c r="AA29" i="19"/>
  <c r="Y30" i="19"/>
  <c r="Z30" i="19"/>
  <c r="AA30" i="19"/>
  <c r="Y31" i="19"/>
  <c r="Z31" i="19"/>
  <c r="AA31" i="19"/>
  <c r="Y32" i="19"/>
  <c r="Z32" i="19"/>
  <c r="AA32" i="19"/>
  <c r="Y33" i="19"/>
  <c r="Z33" i="19"/>
  <c r="AA33" i="19"/>
  <c r="Y34" i="19"/>
  <c r="Z34" i="19"/>
  <c r="AA34" i="19"/>
  <c r="Y35" i="19"/>
  <c r="Z35" i="19"/>
  <c r="AA35" i="19"/>
  <c r="Y36" i="19"/>
  <c r="Z36" i="19"/>
  <c r="AA36" i="19"/>
  <c r="Y37" i="19"/>
  <c r="Z37" i="19"/>
  <c r="AA37" i="19"/>
  <c r="Y38" i="19"/>
  <c r="Z38" i="19"/>
  <c r="AA38" i="19"/>
  <c r="Y39" i="19"/>
  <c r="Z39" i="19"/>
  <c r="AA39" i="19"/>
  <c r="Y40" i="19"/>
  <c r="Z40" i="19"/>
  <c r="AA40" i="19"/>
  <c r="Y41" i="19"/>
  <c r="Z41" i="19"/>
  <c r="AA41" i="19"/>
  <c r="Y42" i="19"/>
  <c r="Z42" i="19"/>
  <c r="AA42" i="19"/>
  <c r="Y43" i="19"/>
  <c r="Z43" i="19"/>
  <c r="AA43" i="19"/>
  <c r="Y44" i="19"/>
  <c r="Z44" i="19"/>
  <c r="AA44" i="19"/>
  <c r="Y45" i="19"/>
  <c r="Z45" i="19"/>
  <c r="AA45" i="19"/>
  <c r="Y46" i="19"/>
  <c r="Z46" i="19"/>
  <c r="AA46" i="19"/>
  <c r="Y47" i="19"/>
  <c r="Z47" i="19"/>
  <c r="AA47" i="19"/>
  <c r="Y48" i="19"/>
  <c r="Z48" i="19"/>
  <c r="AA48" i="19"/>
  <c r="Y49" i="19"/>
  <c r="Z49" i="19"/>
  <c r="AA49" i="19"/>
  <c r="Y50" i="19"/>
  <c r="Z50" i="19"/>
  <c r="AA50" i="19"/>
  <c r="Y51" i="19"/>
  <c r="Z51" i="19"/>
  <c r="AA51" i="19"/>
  <c r="Y52" i="19"/>
  <c r="Z52" i="19"/>
  <c r="AA52" i="19"/>
  <c r="Y53" i="19"/>
  <c r="Z53" i="19"/>
  <c r="AA53" i="19"/>
  <c r="Y54" i="19"/>
  <c r="Z54" i="19"/>
  <c r="AA54" i="19"/>
  <c r="Y55" i="19"/>
  <c r="Z55" i="19"/>
  <c r="AA55" i="19"/>
  <c r="Y56" i="19"/>
  <c r="Z56" i="19"/>
  <c r="AA56" i="19"/>
  <c r="Y57" i="19"/>
  <c r="Z57" i="19"/>
  <c r="AA57" i="19"/>
  <c r="Y58" i="19"/>
  <c r="Z58" i="19"/>
  <c r="AA58" i="19"/>
  <c r="Y59" i="19"/>
  <c r="Z59" i="19"/>
  <c r="AA59" i="19"/>
  <c r="Y60" i="19"/>
  <c r="Z60" i="19"/>
  <c r="AA60" i="19"/>
  <c r="Y61" i="19"/>
  <c r="Z61" i="19"/>
  <c r="AA61" i="19"/>
  <c r="Y62" i="19"/>
  <c r="Z62" i="19"/>
  <c r="AA62" i="19"/>
  <c r="Y63" i="19"/>
  <c r="Z63" i="19"/>
  <c r="AA63" i="19"/>
  <c r="Y64" i="19"/>
  <c r="Z64" i="19"/>
  <c r="AA64" i="19"/>
  <c r="Y65" i="19"/>
  <c r="Z65" i="19"/>
  <c r="AA65" i="19"/>
  <c r="Y66" i="19"/>
  <c r="Z66" i="19"/>
  <c r="AA66" i="19"/>
  <c r="Y67" i="19"/>
  <c r="Z67" i="19"/>
  <c r="AA67" i="19"/>
  <c r="Y68" i="19"/>
  <c r="Z68" i="19"/>
  <c r="AA68" i="19"/>
  <c r="Y69" i="19"/>
  <c r="Z69" i="19"/>
  <c r="AA69" i="19"/>
  <c r="Y70" i="19"/>
  <c r="Z70" i="19"/>
  <c r="AA70" i="19"/>
  <c r="Y71" i="19"/>
  <c r="Z71" i="19"/>
  <c r="AA71" i="19"/>
  <c r="Y72" i="19"/>
  <c r="Z72" i="19"/>
  <c r="AA72" i="19"/>
  <c r="Y73" i="19"/>
  <c r="Z73" i="19"/>
  <c r="AA73" i="19"/>
  <c r="Y74" i="19"/>
  <c r="Z74" i="19"/>
  <c r="AA74" i="19"/>
  <c r="Y75" i="19"/>
  <c r="Z75" i="19"/>
  <c r="AA75" i="19"/>
  <c r="Y76" i="19"/>
  <c r="Z76" i="19"/>
  <c r="AA76" i="19"/>
  <c r="Y77" i="19"/>
  <c r="Z77" i="19"/>
  <c r="AA77" i="19"/>
  <c r="Y78" i="19"/>
  <c r="Z78" i="19"/>
  <c r="AA78" i="19"/>
  <c r="Y79" i="19"/>
  <c r="Z79" i="19"/>
  <c r="AA79" i="19"/>
  <c r="Y80" i="19"/>
  <c r="Z80" i="19"/>
  <c r="AA80" i="19"/>
  <c r="Y81" i="19"/>
  <c r="Z81" i="19"/>
  <c r="AA81" i="19"/>
  <c r="Y82" i="19"/>
  <c r="Z82" i="19"/>
  <c r="AA82" i="19"/>
  <c r="Y83" i="19"/>
  <c r="Z83" i="19"/>
  <c r="AA83" i="19"/>
  <c r="Y84" i="19"/>
  <c r="Z84" i="19"/>
  <c r="AA84" i="19"/>
  <c r="Y86" i="19"/>
  <c r="Z86" i="19"/>
  <c r="AA86" i="19"/>
  <c r="Y87" i="19"/>
  <c r="Z87" i="19"/>
  <c r="AA87" i="19"/>
  <c r="Y88" i="19"/>
  <c r="Z88" i="19"/>
  <c r="AA88" i="19"/>
  <c r="Y89" i="19"/>
  <c r="Z89" i="19"/>
  <c r="AA89" i="19"/>
  <c r="Y90" i="19"/>
  <c r="Z90" i="19"/>
  <c r="AA90" i="19"/>
  <c r="Y91" i="19"/>
  <c r="Z91" i="19"/>
  <c r="AA91" i="19"/>
  <c r="Y92" i="19"/>
  <c r="Z92" i="19"/>
  <c r="AA92" i="19"/>
  <c r="Y93" i="19"/>
  <c r="Z93" i="19"/>
  <c r="AA93" i="19"/>
  <c r="Y94" i="19"/>
  <c r="Z94" i="19"/>
  <c r="AA94" i="19"/>
  <c r="Y95" i="19"/>
  <c r="Z95" i="19"/>
  <c r="AA95" i="19"/>
  <c r="Y96" i="19"/>
  <c r="Z96" i="19"/>
  <c r="AA96" i="19"/>
  <c r="Y97" i="19"/>
  <c r="Z97" i="19"/>
  <c r="AA97" i="19"/>
  <c r="Y98" i="19"/>
  <c r="Z98" i="19"/>
  <c r="AA98" i="19"/>
  <c r="Y99" i="19"/>
  <c r="Z99" i="19"/>
  <c r="AA99" i="19"/>
  <c r="Y100" i="19"/>
  <c r="Z100" i="19"/>
  <c r="AA100" i="19"/>
  <c r="Y101" i="19"/>
  <c r="Z101" i="19"/>
  <c r="AA101" i="19"/>
  <c r="Y102" i="19"/>
  <c r="Z102" i="19"/>
  <c r="AA102" i="19"/>
  <c r="Y103" i="19"/>
  <c r="Z103" i="19"/>
  <c r="AA103" i="19"/>
  <c r="Y104" i="19"/>
  <c r="Z104" i="19"/>
  <c r="AA104" i="19"/>
  <c r="Y105" i="19"/>
  <c r="Z105" i="19"/>
  <c r="AA105" i="19"/>
  <c r="Y106" i="19"/>
  <c r="Z106" i="19"/>
  <c r="AA106" i="19"/>
  <c r="Y107" i="19"/>
  <c r="Z107" i="19"/>
  <c r="AA107" i="19"/>
  <c r="Y108" i="19"/>
  <c r="Z108" i="19"/>
  <c r="AA108" i="19"/>
  <c r="Y109" i="19"/>
  <c r="Z109" i="19"/>
  <c r="AA109" i="19"/>
  <c r="Y110" i="19"/>
  <c r="Z110" i="19"/>
  <c r="AA110" i="19"/>
  <c r="Y111" i="19"/>
  <c r="Z111" i="19"/>
  <c r="AA111" i="19"/>
  <c r="Y112" i="19"/>
  <c r="Z112" i="19"/>
  <c r="AA112" i="19"/>
  <c r="Y113" i="19"/>
  <c r="Z113" i="19"/>
  <c r="AA113" i="19"/>
  <c r="Y114" i="19"/>
  <c r="Z114" i="19"/>
  <c r="AA114" i="19"/>
  <c r="T3" i="19"/>
  <c r="U3" i="19"/>
  <c r="V3" i="19"/>
  <c r="T4" i="19"/>
  <c r="U4" i="19"/>
  <c r="V4" i="19"/>
  <c r="T5" i="19"/>
  <c r="U5" i="19"/>
  <c r="V5" i="19"/>
  <c r="T6" i="19"/>
  <c r="U6" i="19"/>
  <c r="V6" i="19"/>
  <c r="T7" i="19"/>
  <c r="U7" i="19"/>
  <c r="V7" i="19"/>
  <c r="T8" i="19"/>
  <c r="U8" i="19"/>
  <c r="V8" i="19"/>
  <c r="T9" i="19"/>
  <c r="U9" i="19"/>
  <c r="V9" i="19"/>
  <c r="T10" i="19"/>
  <c r="U10" i="19"/>
  <c r="V10" i="19"/>
  <c r="T11" i="19"/>
  <c r="U11" i="19"/>
  <c r="V11" i="19"/>
  <c r="T12" i="19"/>
  <c r="U12" i="19"/>
  <c r="V12" i="19"/>
  <c r="T13" i="19"/>
  <c r="U13" i="19"/>
  <c r="V13" i="19"/>
  <c r="T14" i="19"/>
  <c r="U14" i="19"/>
  <c r="V14" i="19"/>
  <c r="T15" i="19"/>
  <c r="U15" i="19"/>
  <c r="V15" i="19"/>
  <c r="T16" i="19"/>
  <c r="U16" i="19"/>
  <c r="V16" i="19"/>
  <c r="T17" i="19"/>
  <c r="U17" i="19"/>
  <c r="V17" i="19"/>
  <c r="T18" i="19"/>
  <c r="U18" i="19"/>
  <c r="V18" i="19"/>
  <c r="T19" i="19"/>
  <c r="U19" i="19"/>
  <c r="V19" i="19"/>
  <c r="T20" i="19"/>
  <c r="U20" i="19"/>
  <c r="V20" i="19"/>
  <c r="T21" i="19"/>
  <c r="U21" i="19"/>
  <c r="V21" i="19"/>
  <c r="T22" i="19"/>
  <c r="U22" i="19"/>
  <c r="V22" i="19"/>
  <c r="T23" i="19"/>
  <c r="U23" i="19"/>
  <c r="V23" i="19"/>
  <c r="T24" i="19"/>
  <c r="U24" i="19"/>
  <c r="V24" i="19"/>
  <c r="T25" i="19"/>
  <c r="U25" i="19"/>
  <c r="V25" i="19"/>
  <c r="T26" i="19"/>
  <c r="U26" i="19"/>
  <c r="V26" i="19"/>
  <c r="T27" i="19"/>
  <c r="U27" i="19"/>
  <c r="V27" i="19"/>
  <c r="T28" i="19"/>
  <c r="U28" i="19"/>
  <c r="V28" i="19"/>
  <c r="T29" i="19"/>
  <c r="U29" i="19"/>
  <c r="V29" i="19"/>
  <c r="T30" i="19"/>
  <c r="U30" i="19"/>
  <c r="V30" i="19"/>
  <c r="T31" i="19"/>
  <c r="U31" i="19"/>
  <c r="V31" i="19"/>
  <c r="T32" i="19"/>
  <c r="U32" i="19"/>
  <c r="V32" i="19"/>
  <c r="T33" i="19"/>
  <c r="U33" i="19"/>
  <c r="V33" i="19"/>
  <c r="T34" i="19"/>
  <c r="U34" i="19"/>
  <c r="V34" i="19"/>
  <c r="T35" i="19"/>
  <c r="U35" i="19"/>
  <c r="V35" i="19"/>
  <c r="T36" i="19"/>
  <c r="U36" i="19"/>
  <c r="V36" i="19"/>
  <c r="T37" i="19"/>
  <c r="U37" i="19"/>
  <c r="V37" i="19"/>
  <c r="T38" i="19"/>
  <c r="U38" i="19"/>
  <c r="V38" i="19"/>
  <c r="T39" i="19"/>
  <c r="U39" i="19"/>
  <c r="V39" i="19"/>
  <c r="T40" i="19"/>
  <c r="U40" i="19"/>
  <c r="V40" i="19"/>
  <c r="T41" i="19"/>
  <c r="U41" i="19"/>
  <c r="V41" i="19"/>
  <c r="T42" i="19"/>
  <c r="U42" i="19"/>
  <c r="V42" i="19"/>
  <c r="T43" i="19"/>
  <c r="U43" i="19"/>
  <c r="V43" i="19"/>
  <c r="T44" i="19"/>
  <c r="U44" i="19"/>
  <c r="V44" i="19"/>
  <c r="T45" i="19"/>
  <c r="U45" i="19"/>
  <c r="V45" i="19"/>
  <c r="T46" i="19"/>
  <c r="U46" i="19"/>
  <c r="V46" i="19"/>
  <c r="T47" i="19"/>
  <c r="U47" i="19"/>
  <c r="V47" i="19"/>
  <c r="T48" i="19"/>
  <c r="U48" i="19"/>
  <c r="V48" i="19"/>
  <c r="T49" i="19"/>
  <c r="U49" i="19"/>
  <c r="V49" i="19"/>
  <c r="T50" i="19"/>
  <c r="U50" i="19"/>
  <c r="V50" i="19"/>
  <c r="T51" i="19"/>
  <c r="U51" i="19"/>
  <c r="V51" i="19"/>
  <c r="T52" i="19"/>
  <c r="U52" i="19"/>
  <c r="V52" i="19"/>
  <c r="T53" i="19"/>
  <c r="U53" i="19"/>
  <c r="V53" i="19"/>
  <c r="T54" i="19"/>
  <c r="U54" i="19"/>
  <c r="V54" i="19"/>
  <c r="T55" i="19"/>
  <c r="U55" i="19"/>
  <c r="V55" i="19"/>
  <c r="T56" i="19"/>
  <c r="U56" i="19"/>
  <c r="V56" i="19"/>
  <c r="T57" i="19"/>
  <c r="U57" i="19"/>
  <c r="V57" i="19"/>
  <c r="T58" i="19"/>
  <c r="U58" i="19"/>
  <c r="V58" i="19"/>
  <c r="T59" i="19"/>
  <c r="U59" i="19"/>
  <c r="V59" i="19"/>
  <c r="T60" i="19"/>
  <c r="U60" i="19"/>
  <c r="V60" i="19"/>
  <c r="T61" i="19"/>
  <c r="U61" i="19"/>
  <c r="V61" i="19"/>
  <c r="T62" i="19"/>
  <c r="U62" i="19"/>
  <c r="V62" i="19"/>
  <c r="T63" i="19"/>
  <c r="U63" i="19"/>
  <c r="V63" i="19"/>
  <c r="T64" i="19"/>
  <c r="U64" i="19"/>
  <c r="V64" i="19"/>
  <c r="T65" i="19"/>
  <c r="U65" i="19"/>
  <c r="V65" i="19"/>
  <c r="T66" i="19"/>
  <c r="U66" i="19"/>
  <c r="V66" i="19"/>
  <c r="T67" i="19"/>
  <c r="U67" i="19"/>
  <c r="V67" i="19"/>
  <c r="T68" i="19"/>
  <c r="U68" i="19"/>
  <c r="V68" i="19"/>
  <c r="T69" i="19"/>
  <c r="U69" i="19"/>
  <c r="V69" i="19"/>
  <c r="T70" i="19"/>
  <c r="U70" i="19"/>
  <c r="V70" i="19"/>
  <c r="T71" i="19"/>
  <c r="U71" i="19"/>
  <c r="V71" i="19"/>
  <c r="T72" i="19"/>
  <c r="U72" i="19"/>
  <c r="V72" i="19"/>
  <c r="T73" i="19"/>
  <c r="U73" i="19"/>
  <c r="V73" i="19"/>
  <c r="T74" i="19"/>
  <c r="U74" i="19"/>
  <c r="V74" i="19"/>
  <c r="T75" i="19"/>
  <c r="U75" i="19"/>
  <c r="V75" i="19"/>
  <c r="T76" i="19"/>
  <c r="U76" i="19"/>
  <c r="V76" i="19"/>
  <c r="T77" i="19"/>
  <c r="U77" i="19"/>
  <c r="V77" i="19"/>
  <c r="T78" i="19"/>
  <c r="U78" i="19"/>
  <c r="V78" i="19"/>
  <c r="T79" i="19"/>
  <c r="U79" i="19"/>
  <c r="V79" i="19"/>
  <c r="T80" i="19"/>
  <c r="U80" i="19"/>
  <c r="V80" i="19"/>
  <c r="T81" i="19"/>
  <c r="U81" i="19"/>
  <c r="V81" i="19"/>
  <c r="T82" i="19"/>
  <c r="U82" i="19"/>
  <c r="V82" i="19"/>
  <c r="T83" i="19"/>
  <c r="U83" i="19"/>
  <c r="V83" i="19"/>
  <c r="T84" i="19"/>
  <c r="U84" i="19"/>
  <c r="V84" i="19"/>
  <c r="T86" i="19"/>
  <c r="U86" i="19"/>
  <c r="V86" i="19"/>
  <c r="T87" i="19"/>
  <c r="U87" i="19"/>
  <c r="V87" i="19"/>
  <c r="T88" i="19"/>
  <c r="U88" i="19"/>
  <c r="V88" i="19"/>
  <c r="T89" i="19"/>
  <c r="U89" i="19"/>
  <c r="V89" i="19"/>
  <c r="T90" i="19"/>
  <c r="U90" i="19"/>
  <c r="V90" i="19"/>
  <c r="T91" i="19"/>
  <c r="U91" i="19"/>
  <c r="V91" i="19"/>
  <c r="T92" i="19"/>
  <c r="U92" i="19"/>
  <c r="V92" i="19"/>
  <c r="T93" i="19"/>
  <c r="U93" i="19"/>
  <c r="V93" i="19"/>
  <c r="T94" i="19"/>
  <c r="U94" i="19"/>
  <c r="V94" i="19"/>
  <c r="T95" i="19"/>
  <c r="U95" i="19"/>
  <c r="V95" i="19"/>
  <c r="T96" i="19"/>
  <c r="U96" i="19"/>
  <c r="V96" i="19"/>
  <c r="T97" i="19"/>
  <c r="U97" i="19"/>
  <c r="V97" i="19"/>
  <c r="T98" i="19"/>
  <c r="U98" i="19"/>
  <c r="V98" i="19"/>
  <c r="T99" i="19"/>
  <c r="U99" i="19"/>
  <c r="V99" i="19"/>
  <c r="T100" i="19"/>
  <c r="U100" i="19"/>
  <c r="V100" i="19"/>
  <c r="T101" i="19"/>
  <c r="U101" i="19"/>
  <c r="V101" i="19"/>
  <c r="T102" i="19"/>
  <c r="U102" i="19"/>
  <c r="V102" i="19"/>
  <c r="T103" i="19"/>
  <c r="U103" i="19"/>
  <c r="V103" i="19"/>
  <c r="T104" i="19"/>
  <c r="U104" i="19"/>
  <c r="V104" i="19"/>
  <c r="T105" i="19"/>
  <c r="U105" i="19"/>
  <c r="V105" i="19"/>
  <c r="T106" i="19"/>
  <c r="U106" i="19"/>
  <c r="V106" i="19"/>
  <c r="T107" i="19"/>
  <c r="U107" i="19"/>
  <c r="V107" i="19"/>
  <c r="T108" i="19"/>
  <c r="U108" i="19"/>
  <c r="V108" i="19"/>
  <c r="T109" i="19"/>
  <c r="U109" i="19"/>
  <c r="V109" i="19"/>
  <c r="T110" i="19"/>
  <c r="U110" i="19"/>
  <c r="V110" i="19"/>
  <c r="T111" i="19"/>
  <c r="U111" i="19"/>
  <c r="V111" i="19"/>
  <c r="T112" i="19"/>
  <c r="U112" i="19"/>
  <c r="V112" i="19"/>
  <c r="T113" i="19"/>
  <c r="U113" i="19"/>
  <c r="V113" i="19"/>
  <c r="T114" i="19"/>
  <c r="U114" i="19"/>
  <c r="V114" i="19"/>
  <c r="O3" i="19"/>
  <c r="P3" i="19"/>
  <c r="Q3" i="19"/>
  <c r="O4" i="19"/>
  <c r="P4" i="19"/>
  <c r="Q4" i="19"/>
  <c r="O5" i="19"/>
  <c r="P5" i="19"/>
  <c r="Q5" i="19"/>
  <c r="O6" i="19"/>
  <c r="P6" i="19"/>
  <c r="Q6" i="19"/>
  <c r="O7" i="19"/>
  <c r="P7" i="19"/>
  <c r="Q7" i="19"/>
  <c r="O8" i="19"/>
  <c r="P8" i="19"/>
  <c r="Q8" i="19"/>
  <c r="O9" i="19"/>
  <c r="P9" i="19"/>
  <c r="Q9" i="19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/>
  <c r="O28" i="19"/>
  <c r="P28" i="19"/>
  <c r="Q28" i="19"/>
  <c r="O29" i="19"/>
  <c r="P29" i="19"/>
  <c r="Q29" i="19"/>
  <c r="O30" i="19"/>
  <c r="P30" i="19"/>
  <c r="Q30" i="19"/>
  <c r="O31" i="19"/>
  <c r="P31" i="19"/>
  <c r="Q31" i="19"/>
  <c r="O32" i="19"/>
  <c r="P32" i="19"/>
  <c r="Q32" i="19"/>
  <c r="O33" i="19"/>
  <c r="P33" i="19"/>
  <c r="Q33" i="19"/>
  <c r="O34" i="19"/>
  <c r="P34" i="19"/>
  <c r="Q34" i="19"/>
  <c r="O35" i="19"/>
  <c r="P35" i="19"/>
  <c r="Q35" i="19"/>
  <c r="O36" i="19"/>
  <c r="P36" i="19"/>
  <c r="Q36" i="19"/>
  <c r="O37" i="19"/>
  <c r="P37" i="19"/>
  <c r="Q37" i="19"/>
  <c r="O38" i="19"/>
  <c r="P38" i="19"/>
  <c r="Q38" i="19"/>
  <c r="O39" i="19"/>
  <c r="P39" i="19"/>
  <c r="Q39" i="19"/>
  <c r="O40" i="19"/>
  <c r="P40" i="19"/>
  <c r="Q40" i="19"/>
  <c r="O41" i="19"/>
  <c r="P41" i="19"/>
  <c r="Q41" i="19"/>
  <c r="O42" i="19"/>
  <c r="P42" i="19"/>
  <c r="Q42" i="19"/>
  <c r="O43" i="19"/>
  <c r="P43" i="19"/>
  <c r="Q43" i="19"/>
  <c r="O44" i="19"/>
  <c r="P44" i="19"/>
  <c r="Q44" i="19"/>
  <c r="O45" i="19"/>
  <c r="P45" i="19"/>
  <c r="Q45" i="19"/>
  <c r="O46" i="19"/>
  <c r="P46" i="19"/>
  <c r="Q46" i="19"/>
  <c r="O47" i="19"/>
  <c r="P47" i="19"/>
  <c r="Q47" i="19"/>
  <c r="O48" i="19"/>
  <c r="P48" i="19"/>
  <c r="Q48" i="19"/>
  <c r="O49" i="19"/>
  <c r="P49" i="19"/>
  <c r="Q49" i="19"/>
  <c r="O50" i="19"/>
  <c r="P50" i="19"/>
  <c r="Q50" i="19"/>
  <c r="O51" i="19"/>
  <c r="P51" i="19"/>
  <c r="Q51" i="19"/>
  <c r="O52" i="19"/>
  <c r="P52" i="19"/>
  <c r="Q52" i="19"/>
  <c r="O53" i="19"/>
  <c r="P53" i="19"/>
  <c r="Q53" i="19"/>
  <c r="O54" i="19"/>
  <c r="P54" i="19"/>
  <c r="Q54" i="19"/>
  <c r="O55" i="19"/>
  <c r="P55" i="19"/>
  <c r="Q55" i="19"/>
  <c r="O56" i="19"/>
  <c r="P56" i="19"/>
  <c r="Q56" i="19"/>
  <c r="O57" i="19"/>
  <c r="P57" i="19"/>
  <c r="Q57" i="19"/>
  <c r="O58" i="19"/>
  <c r="P58" i="19"/>
  <c r="Q58" i="19"/>
  <c r="O59" i="19"/>
  <c r="P59" i="19"/>
  <c r="Q59" i="19"/>
  <c r="O60" i="19"/>
  <c r="P60" i="19"/>
  <c r="Q60" i="19"/>
  <c r="O61" i="19"/>
  <c r="P61" i="19"/>
  <c r="Q61" i="19"/>
  <c r="O62" i="19"/>
  <c r="P62" i="19"/>
  <c r="Q62" i="19"/>
  <c r="O63" i="19"/>
  <c r="P63" i="19"/>
  <c r="Q63" i="19"/>
  <c r="O64" i="19"/>
  <c r="P64" i="19"/>
  <c r="Q64" i="19"/>
  <c r="O65" i="19"/>
  <c r="P65" i="19"/>
  <c r="Q65" i="19"/>
  <c r="O66" i="19"/>
  <c r="P66" i="19"/>
  <c r="Q66" i="19"/>
  <c r="O67" i="19"/>
  <c r="P67" i="19"/>
  <c r="Q67" i="19"/>
  <c r="O68" i="19"/>
  <c r="P68" i="19"/>
  <c r="Q68" i="19"/>
  <c r="O69" i="19"/>
  <c r="P69" i="19"/>
  <c r="Q69" i="19"/>
  <c r="O70" i="19"/>
  <c r="P70" i="19"/>
  <c r="Q70" i="19"/>
  <c r="O71" i="19"/>
  <c r="P71" i="19"/>
  <c r="Q71" i="19"/>
  <c r="O72" i="19"/>
  <c r="P72" i="19"/>
  <c r="Q72" i="19"/>
  <c r="O73" i="19"/>
  <c r="P73" i="19"/>
  <c r="Q73" i="19"/>
  <c r="O74" i="19"/>
  <c r="P74" i="19"/>
  <c r="Q74" i="19"/>
  <c r="O75" i="19"/>
  <c r="P75" i="19"/>
  <c r="Q75" i="19"/>
  <c r="O76" i="19"/>
  <c r="P76" i="19"/>
  <c r="Q76" i="19"/>
  <c r="O77" i="19"/>
  <c r="P77" i="19"/>
  <c r="Q77" i="19"/>
  <c r="O78" i="19"/>
  <c r="P78" i="19"/>
  <c r="Q78" i="19"/>
  <c r="O79" i="19"/>
  <c r="P79" i="19"/>
  <c r="Q79" i="19"/>
  <c r="O80" i="19"/>
  <c r="P80" i="19"/>
  <c r="Q80" i="19"/>
  <c r="O81" i="19"/>
  <c r="P81" i="19"/>
  <c r="Q81" i="19"/>
  <c r="O82" i="19"/>
  <c r="P82" i="19"/>
  <c r="Q82" i="19"/>
  <c r="O83" i="19"/>
  <c r="P83" i="19"/>
  <c r="Q83" i="19"/>
  <c r="O84" i="19"/>
  <c r="P84" i="19"/>
  <c r="Q84" i="19"/>
  <c r="O86" i="19"/>
  <c r="P86" i="19"/>
  <c r="Q86" i="19"/>
  <c r="O87" i="19"/>
  <c r="P87" i="19"/>
  <c r="Q87" i="19"/>
  <c r="O88" i="19"/>
  <c r="P88" i="19"/>
  <c r="Q88" i="19"/>
  <c r="O89" i="19"/>
  <c r="P89" i="19"/>
  <c r="Q89" i="19"/>
  <c r="O90" i="19"/>
  <c r="P90" i="19"/>
  <c r="Q90" i="19"/>
  <c r="O91" i="19"/>
  <c r="P91" i="19"/>
  <c r="Q91" i="19"/>
  <c r="O92" i="19"/>
  <c r="P92" i="19"/>
  <c r="Q92" i="19"/>
  <c r="O93" i="19"/>
  <c r="P93" i="19"/>
  <c r="Q93" i="19"/>
  <c r="O94" i="19"/>
  <c r="P94" i="19"/>
  <c r="Q94" i="19"/>
  <c r="O95" i="19"/>
  <c r="P95" i="19"/>
  <c r="Q95" i="19"/>
  <c r="O96" i="19"/>
  <c r="P96" i="19"/>
  <c r="Q96" i="19"/>
  <c r="O97" i="19"/>
  <c r="P97" i="19"/>
  <c r="Q97" i="19"/>
  <c r="O98" i="19"/>
  <c r="P98" i="19"/>
  <c r="Q98" i="19"/>
  <c r="O99" i="19"/>
  <c r="P99" i="19"/>
  <c r="Q99" i="19"/>
  <c r="O100" i="19"/>
  <c r="P100" i="19"/>
  <c r="Q100" i="19"/>
  <c r="O101" i="19"/>
  <c r="P101" i="19"/>
  <c r="Q101" i="19"/>
  <c r="O102" i="19"/>
  <c r="P102" i="19"/>
  <c r="Q102" i="19"/>
  <c r="O103" i="19"/>
  <c r="P103" i="19"/>
  <c r="Q103" i="19"/>
  <c r="O104" i="19"/>
  <c r="P104" i="19"/>
  <c r="Q104" i="19"/>
  <c r="O105" i="19"/>
  <c r="P105" i="19"/>
  <c r="Q105" i="19"/>
  <c r="O106" i="19"/>
  <c r="P106" i="19"/>
  <c r="Q106" i="19"/>
  <c r="O107" i="19"/>
  <c r="P107" i="19"/>
  <c r="Q107" i="19"/>
  <c r="O108" i="19"/>
  <c r="P108" i="19"/>
  <c r="Q108" i="19"/>
  <c r="O109" i="19"/>
  <c r="P109" i="19"/>
  <c r="Q109" i="19"/>
  <c r="O110" i="19"/>
  <c r="P110" i="19"/>
  <c r="Q110" i="19"/>
  <c r="O111" i="19"/>
  <c r="P111" i="19"/>
  <c r="Q111" i="19"/>
  <c r="O112" i="19"/>
  <c r="P112" i="19"/>
  <c r="Q112" i="19"/>
  <c r="O113" i="19"/>
  <c r="P113" i="19"/>
  <c r="Q113" i="19"/>
  <c r="O114" i="19"/>
  <c r="P114" i="19"/>
  <c r="Q114" i="19"/>
  <c r="Y2" i="19"/>
  <c r="Z2" i="19"/>
  <c r="AA2" i="19"/>
  <c r="T2" i="19"/>
  <c r="U2" i="19"/>
  <c r="V2" i="19"/>
  <c r="O2" i="19"/>
  <c r="P2" i="19"/>
  <c r="Q2" i="19"/>
  <c r="AF3" i="18"/>
  <c r="AG3" i="18"/>
  <c r="AH3" i="18"/>
  <c r="AF4" i="18"/>
  <c r="AG4" i="18"/>
  <c r="AH4" i="18"/>
  <c r="AF5" i="18"/>
  <c r="AG5" i="18"/>
  <c r="AH5" i="18"/>
  <c r="AF8" i="18"/>
  <c r="AG8" i="18"/>
  <c r="AF9" i="18"/>
  <c r="AG9" i="18"/>
  <c r="AF11" i="18"/>
  <c r="AG11" i="18"/>
  <c r="AH11" i="18"/>
  <c r="AF12" i="18"/>
  <c r="AG12" i="18"/>
  <c r="AH12" i="18"/>
  <c r="AF13" i="18"/>
  <c r="AG13" i="18"/>
  <c r="AH13" i="18"/>
  <c r="AF14" i="18"/>
  <c r="AG14" i="18"/>
  <c r="AH14" i="18"/>
  <c r="AF15" i="18"/>
  <c r="AG15" i="18"/>
  <c r="AF16" i="18"/>
  <c r="AG16" i="18"/>
  <c r="AH16" i="18"/>
  <c r="AF17" i="18"/>
  <c r="AG17" i="18"/>
  <c r="AH17" i="18"/>
  <c r="AF18" i="18"/>
  <c r="AG18" i="18"/>
  <c r="AH18" i="18"/>
  <c r="AF19" i="18"/>
  <c r="AG19" i="18"/>
  <c r="AF20" i="18"/>
  <c r="AG20" i="18"/>
  <c r="AH20" i="18"/>
  <c r="AF21" i="18"/>
  <c r="AG21" i="18"/>
  <c r="AH21" i="18"/>
  <c r="AF22" i="18"/>
  <c r="AG22" i="18"/>
  <c r="AH22" i="18"/>
  <c r="AF23" i="18"/>
  <c r="AG23" i="18"/>
  <c r="AH23" i="18"/>
  <c r="AF24" i="18"/>
  <c r="AG24" i="18"/>
  <c r="AH24" i="18"/>
  <c r="AF25" i="18"/>
  <c r="AG25" i="18"/>
  <c r="AH25" i="18"/>
  <c r="AF26" i="18"/>
  <c r="AG26" i="18"/>
  <c r="AH26" i="18"/>
  <c r="AF27" i="18"/>
  <c r="AG27" i="18"/>
  <c r="AH27" i="18"/>
  <c r="AF28" i="18"/>
  <c r="AG28" i="18"/>
  <c r="AH28" i="18"/>
  <c r="AF29" i="18"/>
  <c r="AG29" i="18"/>
  <c r="AH29" i="18"/>
  <c r="AF30" i="18"/>
  <c r="AG30" i="18"/>
  <c r="AH30" i="18"/>
  <c r="AF31" i="18"/>
  <c r="AG31" i="18"/>
  <c r="AH31" i="18"/>
  <c r="AF32" i="18"/>
  <c r="AG32" i="18"/>
  <c r="AH32" i="18"/>
  <c r="AF33" i="18"/>
  <c r="AG33" i="18"/>
  <c r="AH33" i="18"/>
  <c r="AF34" i="18"/>
  <c r="AG34" i="18"/>
  <c r="AH34" i="18"/>
  <c r="AF35" i="18"/>
  <c r="AG35" i="18"/>
  <c r="AH35" i="18"/>
  <c r="AF36" i="18"/>
  <c r="AG36" i="18"/>
  <c r="AH36" i="18"/>
  <c r="AF37" i="18"/>
  <c r="AG37" i="18"/>
  <c r="AH37" i="18"/>
  <c r="AF38" i="18"/>
  <c r="AG38" i="18"/>
  <c r="AH38" i="18"/>
  <c r="AF39" i="18"/>
  <c r="AG39" i="18"/>
  <c r="AH39" i="18"/>
  <c r="AF40" i="18"/>
  <c r="AG40" i="18"/>
  <c r="AH40" i="18"/>
  <c r="AF41" i="18"/>
  <c r="AG41" i="18"/>
  <c r="AH41" i="18"/>
  <c r="AF42" i="18"/>
  <c r="AG42" i="18"/>
  <c r="AF44" i="18"/>
  <c r="AG44" i="18"/>
  <c r="AF46" i="18"/>
  <c r="AG46" i="18"/>
  <c r="AF47" i="18"/>
  <c r="AG47" i="18"/>
  <c r="AF48" i="18"/>
  <c r="AG48" i="18"/>
  <c r="AH48" i="18"/>
  <c r="AF49" i="18"/>
  <c r="AG49" i="18"/>
  <c r="AH49" i="18"/>
  <c r="AF50" i="18"/>
  <c r="AG50" i="18"/>
  <c r="AH50" i="18"/>
  <c r="AF51" i="18"/>
  <c r="AG51" i="18"/>
  <c r="AH51" i="18"/>
  <c r="AF52" i="18"/>
  <c r="AG52" i="18"/>
  <c r="AH52" i="18"/>
  <c r="AF53" i="18"/>
  <c r="AG53" i="18"/>
  <c r="AH53" i="18"/>
  <c r="AF54" i="18"/>
  <c r="AG54" i="18"/>
  <c r="AH54" i="18"/>
  <c r="AF55" i="18"/>
  <c r="AG55" i="18"/>
  <c r="AH55" i="18"/>
  <c r="AF56" i="18"/>
  <c r="AG56" i="18"/>
  <c r="AF58" i="18"/>
  <c r="AG58" i="18"/>
  <c r="AH58" i="18"/>
  <c r="AF59" i="18"/>
  <c r="AG59" i="18"/>
  <c r="AH59" i="18"/>
  <c r="AF60" i="18"/>
  <c r="AG60" i="18"/>
  <c r="AH60" i="18"/>
  <c r="AF61" i="18"/>
  <c r="AG61" i="18"/>
  <c r="AH61" i="18"/>
  <c r="AF62" i="18"/>
  <c r="AG62" i="18"/>
  <c r="AH62" i="18"/>
  <c r="AF63" i="18"/>
  <c r="AG63" i="18"/>
  <c r="AH63" i="18"/>
  <c r="AF64" i="18"/>
  <c r="AG64" i="18"/>
  <c r="AH64" i="18"/>
  <c r="AF65" i="18"/>
  <c r="AG65" i="18"/>
  <c r="AH65" i="18"/>
  <c r="AF66" i="18"/>
  <c r="AG66" i="18"/>
  <c r="AH66" i="18"/>
  <c r="AF67" i="18"/>
  <c r="AG67" i="18"/>
  <c r="AH67" i="18"/>
  <c r="AF68" i="18"/>
  <c r="AG68" i="18"/>
  <c r="AH68" i="18"/>
  <c r="AF69" i="18"/>
  <c r="AG69" i="18"/>
  <c r="AH69" i="18"/>
  <c r="AF70" i="18"/>
  <c r="AG70" i="18"/>
  <c r="AH70" i="18"/>
  <c r="AF71" i="18"/>
  <c r="AG71" i="18"/>
  <c r="AF72" i="18"/>
  <c r="AG72" i="18"/>
  <c r="AH72" i="18"/>
  <c r="AF73" i="18"/>
  <c r="AG73" i="18"/>
  <c r="AH73" i="18"/>
  <c r="AF74" i="18"/>
  <c r="AG74" i="18"/>
  <c r="AH74" i="18"/>
  <c r="AF75" i="18"/>
  <c r="AG75" i="18"/>
  <c r="AH75" i="18"/>
  <c r="AF76" i="18"/>
  <c r="AG76" i="18"/>
  <c r="AH76" i="18"/>
  <c r="AF77" i="18"/>
  <c r="AG77" i="18"/>
  <c r="AF78" i="18"/>
  <c r="AG78" i="18"/>
  <c r="AH78" i="18"/>
  <c r="AF79" i="18"/>
  <c r="AG79" i="18"/>
  <c r="AH79" i="18"/>
  <c r="AF80" i="18"/>
  <c r="AG80" i="18"/>
  <c r="AH80" i="18"/>
  <c r="AF81" i="18"/>
  <c r="AG81" i="18"/>
  <c r="AH81" i="18"/>
  <c r="AF82" i="18"/>
  <c r="AG82" i="18"/>
  <c r="AH82" i="18"/>
  <c r="AF83" i="18"/>
  <c r="AG83" i="18"/>
  <c r="AH83" i="18"/>
  <c r="AF84" i="18"/>
  <c r="AG84" i="18"/>
  <c r="AH84" i="18"/>
  <c r="AF85" i="18"/>
  <c r="AG85" i="18"/>
  <c r="AH85" i="18"/>
  <c r="AF86" i="18"/>
  <c r="AG86" i="18"/>
  <c r="AH86" i="18"/>
  <c r="AF87" i="18"/>
  <c r="AG87" i="18"/>
  <c r="AH87" i="18"/>
  <c r="AF88" i="18"/>
  <c r="AG88" i="18"/>
  <c r="AH88" i="18"/>
  <c r="AF89" i="18"/>
  <c r="AG89" i="18"/>
  <c r="AH89" i="18"/>
  <c r="AF90" i="18"/>
  <c r="AG90" i="18"/>
  <c r="AH90" i="18"/>
  <c r="AF91" i="18"/>
  <c r="AG91" i="18"/>
  <c r="AH91" i="18"/>
  <c r="AF92" i="18"/>
  <c r="AG92" i="18"/>
  <c r="AH92" i="18"/>
  <c r="AF93" i="18"/>
  <c r="AG93" i="18"/>
  <c r="AH93" i="18"/>
  <c r="AF94" i="18"/>
  <c r="AG94" i="18"/>
  <c r="AH94" i="18"/>
  <c r="AF95" i="18"/>
  <c r="AG95" i="18"/>
  <c r="AF96" i="18"/>
  <c r="AG96" i="18"/>
  <c r="AH96" i="18"/>
  <c r="AF97" i="18"/>
  <c r="AG97" i="18"/>
  <c r="AH97" i="18"/>
  <c r="AF98" i="18"/>
  <c r="AG98" i="18"/>
  <c r="AH98" i="18"/>
  <c r="AF99" i="18"/>
  <c r="AG99" i="18"/>
  <c r="AH99" i="18"/>
  <c r="AF100" i="18"/>
  <c r="AG100" i="18"/>
  <c r="AH100" i="18"/>
  <c r="AF101" i="18"/>
  <c r="AG101" i="18"/>
  <c r="AH101" i="18"/>
  <c r="AF102" i="18"/>
  <c r="AG102" i="18"/>
  <c r="AH102" i="18"/>
  <c r="AF103" i="18"/>
  <c r="AG103" i="18"/>
  <c r="AH103" i="18"/>
  <c r="AF104" i="18"/>
  <c r="AG104" i="18"/>
  <c r="AH104" i="18"/>
  <c r="AF105" i="18"/>
  <c r="AG105" i="18"/>
  <c r="AH105" i="18"/>
  <c r="AF106" i="18"/>
  <c r="AG106" i="18"/>
  <c r="AH106" i="18"/>
  <c r="AF107" i="18"/>
  <c r="AG107" i="18"/>
  <c r="AH107" i="18"/>
  <c r="AF108" i="18"/>
  <c r="AG108" i="18"/>
  <c r="AH108" i="18"/>
  <c r="AF109" i="18"/>
  <c r="AG109" i="18"/>
  <c r="AH109" i="18"/>
  <c r="AA3" i="18"/>
  <c r="AB3" i="18"/>
  <c r="AC3" i="18"/>
  <c r="AA4" i="18"/>
  <c r="AB4" i="18"/>
  <c r="AC4" i="18"/>
  <c r="AA5" i="18"/>
  <c r="AB5" i="18"/>
  <c r="AC5" i="18"/>
  <c r="AA8" i="18"/>
  <c r="AB8" i="18"/>
  <c r="AC8" i="18"/>
  <c r="AA9" i="18"/>
  <c r="AB9" i="18"/>
  <c r="AA10" i="18"/>
  <c r="AB10" i="18"/>
  <c r="AA11" i="18"/>
  <c r="AB11" i="18"/>
  <c r="AA12" i="18"/>
  <c r="AB12" i="18"/>
  <c r="AA13" i="18"/>
  <c r="AB13" i="18"/>
  <c r="AA14" i="18"/>
  <c r="AB14" i="18"/>
  <c r="AA15" i="18"/>
  <c r="AB15" i="18"/>
  <c r="AA16" i="18"/>
  <c r="AB16" i="18"/>
  <c r="AC16" i="18"/>
  <c r="AA17" i="18"/>
  <c r="AB17" i="18"/>
  <c r="AC17" i="18"/>
  <c r="AA18" i="18"/>
  <c r="AB18" i="18"/>
  <c r="AC18" i="18"/>
  <c r="AA19" i="18"/>
  <c r="AB19" i="18"/>
  <c r="AA20" i="18"/>
  <c r="AB20" i="18"/>
  <c r="AC20" i="18"/>
  <c r="AA21" i="18"/>
  <c r="AB21" i="18"/>
  <c r="AC21" i="18"/>
  <c r="AA22" i="18"/>
  <c r="AB22" i="18"/>
  <c r="AC22" i="18"/>
  <c r="AA23" i="18"/>
  <c r="AB23" i="18"/>
  <c r="AC23" i="18"/>
  <c r="AA24" i="18"/>
  <c r="AB24" i="18"/>
  <c r="AC24" i="18"/>
  <c r="AA25" i="18"/>
  <c r="AB25" i="18"/>
  <c r="AC25" i="18"/>
  <c r="AA26" i="18"/>
  <c r="AB26" i="18"/>
  <c r="AC26" i="18"/>
  <c r="AA27" i="18"/>
  <c r="AB27" i="18"/>
  <c r="AC27" i="18"/>
  <c r="AA28" i="18"/>
  <c r="AB28" i="18"/>
  <c r="AC28" i="18"/>
  <c r="AA29" i="18"/>
  <c r="AB29" i="18"/>
  <c r="AC29" i="18"/>
  <c r="AA30" i="18"/>
  <c r="AB30" i="18"/>
  <c r="AC30" i="18"/>
  <c r="AA31" i="18"/>
  <c r="AB31" i="18"/>
  <c r="AC31" i="18"/>
  <c r="AA32" i="18"/>
  <c r="AB32" i="18"/>
  <c r="AC32" i="18"/>
  <c r="AA33" i="18"/>
  <c r="AB33" i="18"/>
  <c r="AC33" i="18"/>
  <c r="AA34" i="18"/>
  <c r="AB34" i="18"/>
  <c r="AC34" i="18"/>
  <c r="AA35" i="18"/>
  <c r="AB35" i="18"/>
  <c r="AC35" i="18"/>
  <c r="AA36" i="18"/>
  <c r="AB36" i="18"/>
  <c r="AC36" i="18"/>
  <c r="AA37" i="18"/>
  <c r="AB37" i="18"/>
  <c r="AC37" i="18"/>
  <c r="AA38" i="18"/>
  <c r="AB38" i="18"/>
  <c r="AC38" i="18"/>
  <c r="AA39" i="18"/>
  <c r="AB39" i="18"/>
  <c r="AC39" i="18"/>
  <c r="AA40" i="18"/>
  <c r="AB40" i="18"/>
  <c r="AC40" i="18"/>
  <c r="AA41" i="18"/>
  <c r="AB41" i="18"/>
  <c r="AC41" i="18"/>
  <c r="AA42" i="18"/>
  <c r="AB42" i="18"/>
  <c r="AC42" i="18"/>
  <c r="AA44" i="18"/>
  <c r="AB44" i="18"/>
  <c r="AA46" i="18"/>
  <c r="AB46" i="18"/>
  <c r="AA47" i="18"/>
  <c r="AB47" i="18"/>
  <c r="AA48" i="18"/>
  <c r="AB48" i="18"/>
  <c r="AA49" i="18"/>
  <c r="AB49" i="18"/>
  <c r="AA50" i="18"/>
  <c r="AB50" i="18"/>
  <c r="AA51" i="18"/>
  <c r="AB51" i="18"/>
  <c r="AA52" i="18"/>
  <c r="AB52" i="18"/>
  <c r="AC52" i="18"/>
  <c r="AA53" i="18"/>
  <c r="AB53" i="18"/>
  <c r="AC53" i="18"/>
  <c r="AA54" i="18"/>
  <c r="AB54" i="18"/>
  <c r="AC54" i="18"/>
  <c r="AA55" i="18"/>
  <c r="AB55" i="18"/>
  <c r="AA56" i="18"/>
  <c r="AB56" i="18"/>
  <c r="AA58" i="18"/>
  <c r="AB58" i="18"/>
  <c r="AC58" i="18"/>
  <c r="AA60" i="18"/>
  <c r="AB60" i="18"/>
  <c r="AC60" i="18"/>
  <c r="AA62" i="18"/>
  <c r="AB62" i="18"/>
  <c r="AC62" i="18"/>
  <c r="AA64" i="18"/>
  <c r="AB64" i="18"/>
  <c r="AC64" i="18"/>
  <c r="AA66" i="18"/>
  <c r="AB66" i="18"/>
  <c r="AC66" i="18"/>
  <c r="AA68" i="18"/>
  <c r="AB68" i="18"/>
  <c r="AC68" i="18"/>
  <c r="AA69" i="18"/>
  <c r="AB69" i="18"/>
  <c r="AC69" i="18"/>
  <c r="AA70" i="18"/>
  <c r="AB70" i="18"/>
  <c r="AC70" i="18"/>
  <c r="AA71" i="18"/>
  <c r="AB71" i="18"/>
  <c r="AA72" i="18"/>
  <c r="AB72" i="18"/>
  <c r="AC72" i="18"/>
  <c r="AA73" i="18"/>
  <c r="AB73" i="18"/>
  <c r="AC73" i="18"/>
  <c r="AA74" i="18"/>
  <c r="AB74" i="18"/>
  <c r="AC74" i="18"/>
  <c r="AA75" i="18"/>
  <c r="AB75" i="18"/>
  <c r="AC75" i="18"/>
  <c r="AA76" i="18"/>
  <c r="AB76" i="18"/>
  <c r="AC76" i="18"/>
  <c r="AA77" i="18"/>
  <c r="AB77" i="18"/>
  <c r="AA78" i="18"/>
  <c r="AB78" i="18"/>
  <c r="AC78" i="18"/>
  <c r="AA79" i="18"/>
  <c r="AB79" i="18"/>
  <c r="AC79" i="18"/>
  <c r="AA80" i="18"/>
  <c r="AB80" i="18"/>
  <c r="AC80" i="18"/>
  <c r="AA81" i="18"/>
  <c r="AB81" i="18"/>
  <c r="AC81" i="18"/>
  <c r="AA82" i="18"/>
  <c r="AB82" i="18"/>
  <c r="AC82" i="18"/>
  <c r="AA83" i="18"/>
  <c r="AB83" i="18"/>
  <c r="AC83" i="18"/>
  <c r="AA84" i="18"/>
  <c r="AB84" i="18"/>
  <c r="AC84" i="18"/>
  <c r="AA85" i="18"/>
  <c r="AB85" i="18"/>
  <c r="AC85" i="18"/>
  <c r="AA86" i="18"/>
  <c r="AB86" i="18"/>
  <c r="AC86" i="18"/>
  <c r="AA87" i="18"/>
  <c r="AB87" i="18"/>
  <c r="AC87" i="18"/>
  <c r="AA88" i="18"/>
  <c r="AB88" i="18"/>
  <c r="AC88" i="18"/>
  <c r="AA90" i="18"/>
  <c r="AB90" i="18"/>
  <c r="AC90" i="18"/>
  <c r="AA91" i="18"/>
  <c r="AB91" i="18"/>
  <c r="AC91" i="18"/>
  <c r="AA92" i="18"/>
  <c r="AB92" i="18"/>
  <c r="AC92" i="18"/>
  <c r="AA94" i="18"/>
  <c r="AB94" i="18"/>
  <c r="AC94" i="18"/>
  <c r="AA95" i="18"/>
  <c r="AB95" i="18"/>
  <c r="AA96" i="18"/>
  <c r="AB96" i="18"/>
  <c r="AC96" i="18"/>
  <c r="AA97" i="18"/>
  <c r="AB97" i="18"/>
  <c r="AC97" i="18"/>
  <c r="AA98" i="18"/>
  <c r="AB98" i="18"/>
  <c r="AC98" i="18"/>
  <c r="AA99" i="18"/>
  <c r="AB99" i="18"/>
  <c r="AC99" i="18"/>
  <c r="AA100" i="18"/>
  <c r="AB100" i="18"/>
  <c r="AC100" i="18"/>
  <c r="AA101" i="18"/>
  <c r="AB101" i="18"/>
  <c r="AC101" i="18"/>
  <c r="AA102" i="18"/>
  <c r="AB102" i="18"/>
  <c r="AC102" i="18"/>
  <c r="AA103" i="18"/>
  <c r="AB103" i="18"/>
  <c r="AC103" i="18"/>
  <c r="AA104" i="18"/>
  <c r="AB104" i="18"/>
  <c r="AC104" i="18"/>
  <c r="AA105" i="18"/>
  <c r="AB105" i="18"/>
  <c r="AC105" i="18"/>
  <c r="AA106" i="18"/>
  <c r="AB106" i="18"/>
  <c r="AC106" i="18"/>
  <c r="AA107" i="18"/>
  <c r="AB107" i="18"/>
  <c r="AC107" i="18"/>
  <c r="AA108" i="18"/>
  <c r="AB108" i="18"/>
  <c r="AC108" i="18"/>
  <c r="V3" i="18"/>
  <c r="W3" i="18"/>
  <c r="X3" i="18"/>
  <c r="V4" i="18"/>
  <c r="W4" i="18"/>
  <c r="X4" i="18"/>
  <c r="V5" i="18"/>
  <c r="W5" i="18"/>
  <c r="V8" i="18"/>
  <c r="W8" i="18"/>
  <c r="V9" i="18"/>
  <c r="W9" i="18"/>
  <c r="V10" i="18"/>
  <c r="W10" i="18"/>
  <c r="V11" i="18"/>
  <c r="W11" i="18"/>
  <c r="V12" i="18"/>
  <c r="W12" i="18"/>
  <c r="V13" i="18"/>
  <c r="W13" i="18"/>
  <c r="V14" i="18"/>
  <c r="W14" i="18"/>
  <c r="V15" i="18"/>
  <c r="W15" i="18"/>
  <c r="V16" i="18"/>
  <c r="W16" i="18"/>
  <c r="V17" i="18"/>
  <c r="W17" i="18"/>
  <c r="V18" i="18"/>
  <c r="W18" i="18"/>
  <c r="V19" i="18"/>
  <c r="W19" i="18"/>
  <c r="V20" i="18"/>
  <c r="W20" i="18"/>
  <c r="V21" i="18"/>
  <c r="W21" i="18"/>
  <c r="V22" i="18"/>
  <c r="W22" i="18"/>
  <c r="V23" i="18"/>
  <c r="W23" i="18"/>
  <c r="V24" i="18"/>
  <c r="W24" i="18"/>
  <c r="V25" i="18"/>
  <c r="W25" i="18"/>
  <c r="V26" i="18"/>
  <c r="W26" i="18"/>
  <c r="V27" i="18"/>
  <c r="W27" i="18"/>
  <c r="V28" i="18"/>
  <c r="W28" i="18"/>
  <c r="V29" i="18"/>
  <c r="W29" i="18"/>
  <c r="V30" i="18"/>
  <c r="W30" i="18"/>
  <c r="V31" i="18"/>
  <c r="W31" i="18"/>
  <c r="V32" i="18"/>
  <c r="W32" i="18"/>
  <c r="V33" i="18"/>
  <c r="W33" i="18"/>
  <c r="V34" i="18"/>
  <c r="W34" i="18"/>
  <c r="V35" i="18"/>
  <c r="W35" i="18"/>
  <c r="V36" i="18"/>
  <c r="W36" i="18"/>
  <c r="X36" i="18"/>
  <c r="V37" i="18"/>
  <c r="W37" i="18"/>
  <c r="X37" i="18"/>
  <c r="V38" i="18"/>
  <c r="W38" i="18"/>
  <c r="X38" i="18"/>
  <c r="V39" i="18"/>
  <c r="W39" i="18"/>
  <c r="X39" i="18"/>
  <c r="V40" i="18"/>
  <c r="W40" i="18"/>
  <c r="X40" i="18"/>
  <c r="V41" i="18"/>
  <c r="W41" i="18"/>
  <c r="X41" i="18"/>
  <c r="V42" i="18"/>
  <c r="W42" i="18"/>
  <c r="V44" i="18"/>
  <c r="W44" i="18"/>
  <c r="V46" i="18"/>
  <c r="W46" i="18"/>
  <c r="X46" i="18"/>
  <c r="V47" i="18"/>
  <c r="W47" i="18"/>
  <c r="X47" i="18"/>
  <c r="V48" i="18"/>
  <c r="W48" i="18"/>
  <c r="X48" i="18"/>
  <c r="V49" i="18"/>
  <c r="W49" i="18"/>
  <c r="X49" i="18"/>
  <c r="V50" i="18"/>
  <c r="W50" i="18"/>
  <c r="X50" i="18"/>
  <c r="V51" i="18"/>
  <c r="W51" i="18"/>
  <c r="X51" i="18"/>
  <c r="V52" i="18"/>
  <c r="W52" i="18"/>
  <c r="X52" i="18"/>
  <c r="V53" i="18"/>
  <c r="W53" i="18"/>
  <c r="X53" i="18"/>
  <c r="V54" i="18"/>
  <c r="W54" i="18"/>
  <c r="X54" i="18"/>
  <c r="V55" i="18"/>
  <c r="W55" i="18"/>
  <c r="X55" i="18"/>
  <c r="V56" i="18"/>
  <c r="W56" i="18"/>
  <c r="X56" i="18"/>
  <c r="V58" i="18"/>
  <c r="W58" i="18"/>
  <c r="X58" i="18"/>
  <c r="V60" i="18"/>
  <c r="W60" i="18"/>
  <c r="X60" i="18"/>
  <c r="V62" i="18"/>
  <c r="W62" i="18"/>
  <c r="X62" i="18"/>
  <c r="V64" i="18"/>
  <c r="W64" i="18"/>
  <c r="X64" i="18"/>
  <c r="V66" i="18"/>
  <c r="W66" i="18"/>
  <c r="X66" i="18"/>
  <c r="V68" i="18"/>
  <c r="W68" i="18"/>
  <c r="X68" i="18"/>
  <c r="V69" i="18"/>
  <c r="W69" i="18"/>
  <c r="X69" i="18"/>
  <c r="V70" i="18"/>
  <c r="W70" i="18"/>
  <c r="X70" i="18"/>
  <c r="V71" i="18"/>
  <c r="W71" i="18"/>
  <c r="V72" i="18"/>
  <c r="W72" i="18"/>
  <c r="X72" i="18"/>
  <c r="V73" i="18"/>
  <c r="W73" i="18"/>
  <c r="X73" i="18"/>
  <c r="V74" i="18"/>
  <c r="W74" i="18"/>
  <c r="X74" i="18"/>
  <c r="V75" i="18"/>
  <c r="W75" i="18"/>
  <c r="X75" i="18"/>
  <c r="V76" i="18"/>
  <c r="W76" i="18"/>
  <c r="X76" i="18"/>
  <c r="V77" i="18"/>
  <c r="W77" i="18"/>
  <c r="V78" i="18"/>
  <c r="W78" i="18"/>
  <c r="X78" i="18"/>
  <c r="V79" i="18"/>
  <c r="W79" i="18"/>
  <c r="X79" i="18"/>
  <c r="V80" i="18"/>
  <c r="W80" i="18"/>
  <c r="X80" i="18"/>
  <c r="V81" i="18"/>
  <c r="W81" i="18"/>
  <c r="X81" i="18"/>
  <c r="V82" i="18"/>
  <c r="W82" i="18"/>
  <c r="X82" i="18"/>
  <c r="V83" i="18"/>
  <c r="W83" i="18"/>
  <c r="X83" i="18"/>
  <c r="V84" i="18"/>
  <c r="W84" i="18"/>
  <c r="X84" i="18"/>
  <c r="V85" i="18"/>
  <c r="W85" i="18"/>
  <c r="X85" i="18"/>
  <c r="V86" i="18"/>
  <c r="W86" i="18"/>
  <c r="X86" i="18"/>
  <c r="V87" i="18"/>
  <c r="W87" i="18"/>
  <c r="X87" i="18"/>
  <c r="V88" i="18"/>
  <c r="W88" i="18"/>
  <c r="X88" i="18"/>
  <c r="V90" i="18"/>
  <c r="W90" i="18"/>
  <c r="X90" i="18"/>
  <c r="V91" i="18"/>
  <c r="W91" i="18"/>
  <c r="X91" i="18"/>
  <c r="V92" i="18"/>
  <c r="W92" i="18"/>
  <c r="X92" i="18"/>
  <c r="V94" i="18"/>
  <c r="W94" i="18"/>
  <c r="X94" i="18"/>
  <c r="V95" i="18"/>
  <c r="W95" i="18"/>
  <c r="V96" i="18"/>
  <c r="W96" i="18"/>
  <c r="X96" i="18"/>
  <c r="V97" i="18"/>
  <c r="W97" i="18"/>
  <c r="X97" i="18"/>
  <c r="V98" i="18"/>
  <c r="W98" i="18"/>
  <c r="X98" i="18"/>
  <c r="V99" i="18"/>
  <c r="W99" i="18"/>
  <c r="X99" i="18"/>
  <c r="V100" i="18"/>
  <c r="W100" i="18"/>
  <c r="X100" i="18"/>
  <c r="V101" i="18"/>
  <c r="W101" i="18"/>
  <c r="X101" i="18"/>
  <c r="V102" i="18"/>
  <c r="W102" i="18"/>
  <c r="X102" i="18"/>
  <c r="V103" i="18"/>
  <c r="W103" i="18"/>
  <c r="X103" i="18"/>
  <c r="V104" i="18"/>
  <c r="W104" i="18"/>
  <c r="X104" i="18"/>
  <c r="V105" i="18"/>
  <c r="W105" i="18"/>
  <c r="X105" i="18"/>
  <c r="V106" i="18"/>
  <c r="W106" i="18"/>
  <c r="X106" i="18"/>
  <c r="V107" i="18"/>
  <c r="W107" i="18"/>
  <c r="X107" i="18"/>
  <c r="V108" i="18"/>
  <c r="W108" i="18"/>
  <c r="X108" i="18"/>
  <c r="V2" i="18"/>
  <c r="W2" i="18"/>
  <c r="X2" i="18"/>
  <c r="K108" i="18"/>
  <c r="K88" i="18"/>
  <c r="K92" i="18"/>
  <c r="K66" i="18"/>
  <c r="K64" i="18"/>
  <c r="K62" i="18"/>
  <c r="K60" i="18"/>
  <c r="K58" i="18"/>
  <c r="K26" i="18"/>
  <c r="K27" i="18"/>
  <c r="K28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8" i="18"/>
  <c r="K49" i="18"/>
  <c r="K50" i="18"/>
  <c r="K51" i="18"/>
  <c r="K52" i="18"/>
  <c r="K53" i="18"/>
  <c r="K54" i="18"/>
  <c r="K55" i="18"/>
  <c r="K56" i="18"/>
  <c r="K57" i="18"/>
  <c r="K68" i="18"/>
  <c r="K69" i="18"/>
  <c r="K70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90" i="18"/>
  <c r="K91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22" i="19"/>
  <c r="K23" i="19"/>
  <c r="K24" i="19"/>
  <c r="B25" i="19"/>
  <c r="B2" i="19"/>
  <c r="C2" i="19"/>
  <c r="D2" i="19"/>
  <c r="C3" i="19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B22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B53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B77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B92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K3" i="19"/>
  <c r="L3" i="19"/>
  <c r="K4" i="19"/>
  <c r="L4" i="19"/>
  <c r="K5" i="19"/>
  <c r="L5" i="19"/>
  <c r="K6" i="19"/>
  <c r="L6" i="19"/>
  <c r="K7" i="19"/>
  <c r="L7" i="19"/>
  <c r="K8" i="19"/>
  <c r="L8" i="19"/>
  <c r="K9" i="19"/>
  <c r="L9" i="19"/>
  <c r="K10" i="19"/>
  <c r="L10" i="19"/>
  <c r="K11" i="19"/>
  <c r="L11" i="19"/>
  <c r="K12" i="19"/>
  <c r="L12" i="19"/>
  <c r="K13" i="19"/>
  <c r="L13" i="19"/>
  <c r="K14" i="19"/>
  <c r="L1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L22" i="19"/>
  <c r="L23" i="19"/>
  <c r="L24" i="19"/>
  <c r="K25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K32" i="19"/>
  <c r="L32" i="19"/>
  <c r="K33" i="19"/>
  <c r="L33" i="19"/>
  <c r="K34" i="19"/>
  <c r="L34" i="19"/>
  <c r="K35" i="19"/>
  <c r="L35" i="19"/>
  <c r="K36" i="19"/>
  <c r="L36" i="19"/>
  <c r="K37" i="19"/>
  <c r="L37" i="19"/>
  <c r="K38" i="19"/>
  <c r="L38" i="19"/>
  <c r="K39" i="19"/>
  <c r="L39" i="19"/>
  <c r="K40" i="19"/>
  <c r="L40" i="19"/>
  <c r="K41" i="19"/>
  <c r="L41" i="19"/>
  <c r="K42" i="19"/>
  <c r="L42" i="19"/>
  <c r="K43" i="19"/>
  <c r="L43" i="19"/>
  <c r="K44" i="19"/>
  <c r="L44" i="19"/>
  <c r="K45" i="19"/>
  <c r="L45" i="19"/>
  <c r="K46" i="19"/>
  <c r="L46" i="19"/>
  <c r="K47" i="19"/>
  <c r="L47" i="19"/>
  <c r="K48" i="19"/>
  <c r="L48" i="19"/>
  <c r="K49" i="19"/>
  <c r="L49" i="19"/>
  <c r="K50" i="19"/>
  <c r="L50" i="19"/>
  <c r="K51" i="19"/>
  <c r="L51" i="19"/>
  <c r="K52" i="19"/>
  <c r="L52" i="19"/>
  <c r="K53" i="19"/>
  <c r="L53" i="19"/>
  <c r="K54" i="19"/>
  <c r="L54" i="19"/>
  <c r="K55" i="19"/>
  <c r="L55" i="19"/>
  <c r="K56" i="19"/>
  <c r="L56" i="19"/>
  <c r="K57" i="19"/>
  <c r="L57" i="19"/>
  <c r="K58" i="19"/>
  <c r="L58" i="19"/>
  <c r="K59" i="19"/>
  <c r="L59" i="19"/>
  <c r="K60" i="19"/>
  <c r="L60" i="19"/>
  <c r="K61" i="19"/>
  <c r="L61" i="19"/>
  <c r="K62" i="19"/>
  <c r="L62" i="19"/>
  <c r="K63" i="19"/>
  <c r="L63" i="19"/>
  <c r="K64" i="19"/>
  <c r="L64" i="19"/>
  <c r="K65" i="19"/>
  <c r="L65" i="19"/>
  <c r="K66" i="19"/>
  <c r="L66" i="19"/>
  <c r="K67" i="19"/>
  <c r="L67" i="19"/>
  <c r="K68" i="19"/>
  <c r="L68" i="19"/>
  <c r="K69" i="19"/>
  <c r="L69" i="19"/>
  <c r="K70" i="19"/>
  <c r="L70" i="19"/>
  <c r="K71" i="19"/>
  <c r="L71" i="19"/>
  <c r="K72" i="19"/>
  <c r="L72" i="19"/>
  <c r="K73" i="19"/>
  <c r="L73" i="19"/>
  <c r="K74" i="19"/>
  <c r="L74" i="19"/>
  <c r="K75" i="19"/>
  <c r="L75" i="19"/>
  <c r="K76" i="19"/>
  <c r="L76" i="19"/>
  <c r="K77" i="19"/>
  <c r="L77" i="19"/>
  <c r="K78" i="19"/>
  <c r="L78" i="19"/>
  <c r="K79" i="19"/>
  <c r="L79" i="19"/>
  <c r="K80" i="19"/>
  <c r="L80" i="19"/>
  <c r="K81" i="19"/>
  <c r="L81" i="19"/>
  <c r="K82" i="19"/>
  <c r="L82" i="19"/>
  <c r="K83" i="19"/>
  <c r="L83" i="19"/>
  <c r="K84" i="19"/>
  <c r="L84" i="19"/>
  <c r="K86" i="19"/>
  <c r="L86" i="19"/>
  <c r="K87" i="19"/>
  <c r="L87" i="19"/>
  <c r="K88" i="19"/>
  <c r="L88" i="19"/>
  <c r="K89" i="19"/>
  <c r="L89" i="19"/>
  <c r="K90" i="19"/>
  <c r="L90" i="19"/>
  <c r="K91" i="19"/>
  <c r="L91" i="19"/>
  <c r="K92" i="19"/>
  <c r="L92" i="19"/>
  <c r="K93" i="19"/>
  <c r="L93" i="19"/>
  <c r="K94" i="19"/>
  <c r="L94" i="19"/>
  <c r="K95" i="19"/>
  <c r="L95" i="19"/>
  <c r="K96" i="19"/>
  <c r="L96" i="19"/>
  <c r="K97" i="19"/>
  <c r="L97" i="19"/>
  <c r="K98" i="19"/>
  <c r="L98" i="19"/>
  <c r="K99" i="19"/>
  <c r="L99" i="19"/>
  <c r="K100" i="19"/>
  <c r="L100" i="19"/>
  <c r="K101" i="19"/>
  <c r="L101" i="19"/>
  <c r="K102" i="19"/>
  <c r="L102" i="19"/>
  <c r="K103" i="19"/>
  <c r="L103" i="19"/>
  <c r="K104" i="19"/>
  <c r="L104" i="19"/>
  <c r="K105" i="19"/>
  <c r="L105" i="19"/>
  <c r="K106" i="19"/>
  <c r="L106" i="19"/>
  <c r="K107" i="19"/>
  <c r="L107" i="19"/>
  <c r="K108" i="19"/>
  <c r="L108" i="19"/>
  <c r="K109" i="19"/>
  <c r="L109" i="19"/>
  <c r="K110" i="19"/>
  <c r="L110" i="19"/>
  <c r="K111" i="19"/>
  <c r="L111" i="19"/>
  <c r="K112" i="19"/>
  <c r="L112" i="19"/>
  <c r="K113" i="19"/>
  <c r="L113" i="19"/>
  <c r="K114" i="19"/>
  <c r="L114" i="19"/>
  <c r="K2" i="19"/>
  <c r="L2" i="19"/>
  <c r="E2" i="19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E56" i="19"/>
  <c r="F56" i="19"/>
  <c r="G56" i="19"/>
  <c r="E57" i="19"/>
  <c r="F57" i="19"/>
  <c r="G57" i="19"/>
  <c r="E58" i="19"/>
  <c r="F58" i="19"/>
  <c r="G58" i="19"/>
  <c r="E59" i="19"/>
  <c r="F59" i="19"/>
  <c r="G59" i="19"/>
  <c r="E60" i="19"/>
  <c r="F60" i="19"/>
  <c r="G60" i="19"/>
  <c r="E61" i="19"/>
  <c r="F61" i="19"/>
  <c r="G61" i="19"/>
  <c r="E62" i="19"/>
  <c r="F62" i="19"/>
  <c r="G62" i="19"/>
  <c r="E63" i="19"/>
  <c r="F63" i="19"/>
  <c r="G63" i="19"/>
  <c r="E64" i="19"/>
  <c r="F64" i="19"/>
  <c r="G64" i="19"/>
  <c r="E65" i="19"/>
  <c r="F65" i="19"/>
  <c r="G65" i="19"/>
  <c r="E66" i="19"/>
  <c r="F66" i="19"/>
  <c r="G66" i="19"/>
  <c r="E67" i="19"/>
  <c r="F67" i="19"/>
  <c r="G67" i="19"/>
  <c r="E68" i="19"/>
  <c r="F68" i="19"/>
  <c r="G68" i="19"/>
  <c r="E69" i="19"/>
  <c r="F69" i="19"/>
  <c r="G69" i="19"/>
  <c r="E70" i="19"/>
  <c r="F70" i="19"/>
  <c r="G70" i="19"/>
  <c r="E71" i="19"/>
  <c r="F71" i="19"/>
  <c r="G71" i="19"/>
  <c r="E72" i="19"/>
  <c r="F72" i="19"/>
  <c r="G72" i="19"/>
  <c r="E73" i="19"/>
  <c r="F73" i="19"/>
  <c r="G73" i="19"/>
  <c r="E74" i="19"/>
  <c r="F74" i="19"/>
  <c r="G74" i="19"/>
  <c r="E75" i="19"/>
  <c r="F75" i="19"/>
  <c r="G75" i="19"/>
  <c r="E76" i="19"/>
  <c r="F76" i="19"/>
  <c r="G76" i="19"/>
  <c r="E77" i="19"/>
  <c r="F77" i="19"/>
  <c r="G77" i="19"/>
  <c r="E78" i="19"/>
  <c r="F78" i="19"/>
  <c r="G78" i="19"/>
  <c r="E79" i="19"/>
  <c r="F79" i="19"/>
  <c r="G79" i="19"/>
  <c r="E80" i="19"/>
  <c r="F80" i="19"/>
  <c r="G80" i="19"/>
  <c r="E81" i="19"/>
  <c r="F81" i="19"/>
  <c r="G81" i="19"/>
  <c r="E82" i="19"/>
  <c r="F82" i="19"/>
  <c r="G82" i="19"/>
  <c r="E83" i="19"/>
  <c r="F83" i="19"/>
  <c r="G83" i="19"/>
  <c r="E84" i="19"/>
  <c r="F84" i="19"/>
  <c r="G84" i="19"/>
  <c r="E86" i="19"/>
  <c r="F86" i="19"/>
  <c r="G86" i="19"/>
  <c r="E87" i="19"/>
  <c r="F87" i="19"/>
  <c r="G87" i="19"/>
  <c r="E88" i="19"/>
  <c r="F88" i="19"/>
  <c r="G88" i="19"/>
  <c r="E89" i="19"/>
  <c r="F89" i="19"/>
  <c r="G89" i="19"/>
  <c r="E90" i="19"/>
  <c r="F90" i="19"/>
  <c r="G90" i="19"/>
  <c r="E91" i="19"/>
  <c r="F91" i="19"/>
  <c r="G91" i="19"/>
  <c r="E92" i="19"/>
  <c r="F92" i="19"/>
  <c r="G92" i="19"/>
  <c r="E93" i="19"/>
  <c r="F93" i="19"/>
  <c r="G93" i="19"/>
  <c r="E94" i="19"/>
  <c r="F94" i="19"/>
  <c r="G94" i="19"/>
  <c r="E95" i="19"/>
  <c r="F95" i="19"/>
  <c r="G95" i="19"/>
  <c r="E96" i="19"/>
  <c r="F96" i="19"/>
  <c r="G96" i="19"/>
  <c r="E97" i="19"/>
  <c r="F97" i="19"/>
  <c r="G97" i="19"/>
  <c r="E98" i="19"/>
  <c r="F98" i="19"/>
  <c r="G98" i="19"/>
  <c r="E99" i="19"/>
  <c r="F99" i="19"/>
  <c r="G99" i="19"/>
  <c r="E100" i="19"/>
  <c r="F100" i="19"/>
  <c r="G100" i="19"/>
  <c r="E101" i="19"/>
  <c r="F101" i="19"/>
  <c r="G101" i="19"/>
  <c r="E102" i="19"/>
  <c r="F102" i="19"/>
  <c r="G102" i="19"/>
  <c r="E103" i="19"/>
  <c r="F103" i="19"/>
  <c r="G103" i="19"/>
  <c r="E104" i="19"/>
  <c r="F104" i="19"/>
  <c r="G104" i="19"/>
  <c r="E105" i="19"/>
  <c r="F105" i="19"/>
  <c r="G105" i="19"/>
  <c r="E106" i="19"/>
  <c r="F106" i="19"/>
  <c r="G106" i="19"/>
  <c r="E107" i="19"/>
  <c r="F107" i="19"/>
  <c r="G107" i="19"/>
  <c r="E108" i="19"/>
  <c r="F108" i="19"/>
  <c r="G108" i="19"/>
  <c r="E109" i="19"/>
  <c r="F109" i="19"/>
  <c r="G109" i="19"/>
  <c r="E110" i="19"/>
  <c r="F110" i="19"/>
  <c r="G110" i="19"/>
  <c r="E111" i="19"/>
  <c r="F111" i="19"/>
  <c r="G111" i="19"/>
  <c r="E112" i="19"/>
  <c r="F112" i="19"/>
  <c r="G112" i="19"/>
  <c r="E113" i="19"/>
  <c r="F113" i="19"/>
  <c r="G113" i="19"/>
  <c r="E114" i="19"/>
  <c r="F114" i="19"/>
  <c r="G114" i="19"/>
  <c r="E5" i="10"/>
  <c r="AF2" i="18"/>
  <c r="AG2" i="18"/>
  <c r="AH2" i="18"/>
  <c r="AA2" i="18"/>
  <c r="AB2" i="18"/>
  <c r="AC2" i="18"/>
  <c r="E123" i="6"/>
  <c r="K123" i="6"/>
  <c r="M89" i="6"/>
  <c r="F99" i="10"/>
  <c r="G112" i="14"/>
  <c r="E99" i="10"/>
  <c r="K3" i="18"/>
  <c r="K4" i="18"/>
  <c r="K5" i="18"/>
  <c r="K8" i="18"/>
  <c r="K10" i="18"/>
  <c r="K11" i="18"/>
  <c r="K12" i="18"/>
  <c r="K13" i="18"/>
  <c r="K14" i="18"/>
  <c r="K15" i="18"/>
  <c r="K2" i="18"/>
  <c r="E3" i="10"/>
  <c r="F3" i="10"/>
  <c r="F5" i="10"/>
  <c r="E7" i="10"/>
  <c r="F7" i="10"/>
  <c r="E9" i="10"/>
  <c r="F9" i="10"/>
  <c r="E11" i="10"/>
  <c r="F11" i="10"/>
  <c r="E13" i="10"/>
  <c r="F13" i="10"/>
  <c r="E15" i="10"/>
  <c r="F15" i="10"/>
  <c r="E17" i="10"/>
  <c r="F17" i="10"/>
  <c r="E19" i="10"/>
  <c r="F19" i="10"/>
  <c r="E21" i="10"/>
  <c r="F21" i="10"/>
  <c r="E23" i="10"/>
  <c r="F23" i="10"/>
  <c r="E25" i="10"/>
  <c r="F25" i="10"/>
  <c r="E27" i="10"/>
  <c r="F27" i="10"/>
  <c r="F56" i="10"/>
  <c r="F58" i="10"/>
  <c r="F60" i="10"/>
  <c r="F62" i="10"/>
  <c r="F64" i="10"/>
  <c r="F66" i="10"/>
  <c r="F68" i="10"/>
  <c r="F101" i="10"/>
  <c r="F141" i="10"/>
  <c r="F159" i="10"/>
  <c r="F168" i="10"/>
  <c r="F188" i="10"/>
  <c r="F216" i="10"/>
  <c r="F240" i="10"/>
  <c r="A51" i="14"/>
  <c r="F170" i="10"/>
  <c r="A53" i="14"/>
  <c r="F172" i="10"/>
  <c r="A55" i="14"/>
  <c r="F174" i="10"/>
  <c r="A57" i="14"/>
  <c r="F176" i="10"/>
  <c r="A59" i="14"/>
  <c r="F178" i="10"/>
  <c r="A61" i="14"/>
  <c r="F180" i="10"/>
  <c r="A63" i="14"/>
  <c r="F182" i="10"/>
  <c r="A65" i="14"/>
  <c r="F184" i="10"/>
  <c r="A67" i="14"/>
  <c r="F186" i="10"/>
  <c r="A69" i="14"/>
  <c r="F190" i="10"/>
  <c r="A71" i="14"/>
  <c r="F192" i="10"/>
  <c r="A73" i="14"/>
  <c r="F194" i="10"/>
  <c r="A75" i="14"/>
  <c r="F196" i="10"/>
  <c r="A77" i="14"/>
  <c r="F198" i="10"/>
  <c r="A79" i="14"/>
  <c r="F200" i="10"/>
  <c r="A81" i="14"/>
  <c r="F202" i="10"/>
  <c r="A83" i="14"/>
  <c r="F204" i="10"/>
  <c r="A85" i="14"/>
  <c r="F206" i="10"/>
  <c r="A87" i="14"/>
  <c r="F208" i="10"/>
  <c r="A89" i="14"/>
  <c r="F210" i="10"/>
  <c r="A91" i="14"/>
  <c r="F212" i="10"/>
  <c r="A93" i="14"/>
  <c r="F214" i="10"/>
  <c r="A95" i="14"/>
  <c r="F218" i="10"/>
  <c r="A97" i="14"/>
  <c r="F220" i="10"/>
  <c r="A99" i="14"/>
  <c r="F222" i="10"/>
  <c r="A101" i="14"/>
  <c r="F224" i="10"/>
  <c r="A103" i="14"/>
  <c r="F226" i="10"/>
  <c r="A105" i="14"/>
  <c r="F242" i="10"/>
  <c r="A108" i="14"/>
  <c r="F93" i="10"/>
  <c r="F95" i="10"/>
  <c r="A110" i="14"/>
  <c r="F97" i="10"/>
  <c r="A114" i="14"/>
  <c r="F103" i="10"/>
  <c r="A116" i="14"/>
  <c r="F107" i="10"/>
  <c r="A118" i="14"/>
  <c r="F109" i="10"/>
  <c r="A120" i="14"/>
  <c r="F111" i="10"/>
  <c r="A122" i="14"/>
  <c r="F113" i="10"/>
  <c r="A124" i="14"/>
  <c r="F115" i="10"/>
  <c r="A126" i="14"/>
  <c r="F117" i="10"/>
  <c r="A128" i="14"/>
  <c r="F119" i="10"/>
  <c r="A130" i="14"/>
  <c r="F121" i="10"/>
  <c r="A132" i="14"/>
  <c r="F123" i="10"/>
  <c r="A134" i="14"/>
  <c r="F125" i="10"/>
  <c r="A136" i="14"/>
  <c r="F129" i="10"/>
  <c r="A138" i="14"/>
  <c r="F131" i="10"/>
  <c r="A140" i="14"/>
  <c r="F135" i="10"/>
  <c r="A142" i="14"/>
  <c r="F137" i="10"/>
  <c r="A144" i="14"/>
  <c r="F139" i="10"/>
  <c r="A146" i="14"/>
  <c r="F143" i="10"/>
  <c r="A148" i="14"/>
  <c r="F147" i="10"/>
  <c r="A150" i="14"/>
  <c r="F155" i="10"/>
  <c r="A152" i="14"/>
  <c r="F157" i="10"/>
  <c r="A154" i="14"/>
  <c r="F163" i="10"/>
  <c r="A157" i="14"/>
  <c r="F105" i="10"/>
  <c r="A159" i="14"/>
  <c r="F127" i="10"/>
  <c r="A161" i="14"/>
  <c r="F133" i="10"/>
  <c r="A163" i="14"/>
  <c r="F145" i="10"/>
  <c r="A165" i="14"/>
  <c r="F149" i="10"/>
  <c r="A167" i="14"/>
  <c r="F151" i="10"/>
  <c r="A169" i="14"/>
  <c r="F153" i="10"/>
  <c r="A171" i="14"/>
  <c r="F161" i="10"/>
  <c r="A175" i="14"/>
  <c r="F228" i="10"/>
  <c r="A177" i="14"/>
  <c r="F230" i="10"/>
  <c r="A179" i="14"/>
  <c r="F232" i="10"/>
  <c r="A181" i="14"/>
  <c r="F234" i="10"/>
  <c r="A183" i="14"/>
  <c r="F236" i="10"/>
  <c r="A185" i="14"/>
  <c r="F238" i="10"/>
  <c r="A188" i="14"/>
  <c r="E29" i="10"/>
  <c r="F29" i="10"/>
  <c r="A190" i="14"/>
  <c r="E31" i="10"/>
  <c r="F31" i="10"/>
  <c r="A192" i="14"/>
  <c r="E33" i="10"/>
  <c r="F33" i="10"/>
  <c r="A194" i="14"/>
  <c r="E35" i="10"/>
  <c r="F35" i="10"/>
  <c r="A196" i="14"/>
  <c r="E37" i="10"/>
  <c r="F37" i="10"/>
  <c r="A198" i="14"/>
  <c r="E39" i="10"/>
  <c r="F39" i="10"/>
  <c r="A200" i="14"/>
  <c r="E41" i="10"/>
  <c r="F41" i="10"/>
  <c r="A202" i="14"/>
  <c r="E43" i="10"/>
  <c r="F43" i="10"/>
  <c r="A204" i="14"/>
  <c r="F46" i="10"/>
  <c r="A206" i="14"/>
  <c r="F48" i="10"/>
  <c r="A208" i="14"/>
  <c r="F50" i="10"/>
  <c r="A210" i="14"/>
  <c r="F52" i="10"/>
  <c r="A212" i="14"/>
  <c r="F54" i="10"/>
  <c r="A214" i="14"/>
  <c r="F70" i="10"/>
  <c r="A216" i="14"/>
  <c r="F72" i="10"/>
  <c r="A218" i="14"/>
  <c r="F74" i="10"/>
  <c r="A220" i="14"/>
  <c r="F76" i="10"/>
  <c r="A222" i="14"/>
  <c r="F78" i="10"/>
  <c r="A224" i="14"/>
  <c r="F80" i="10"/>
  <c r="A226" i="14"/>
  <c r="F82" i="10"/>
  <c r="A228" i="14"/>
  <c r="F84" i="10"/>
  <c r="A230" i="14"/>
  <c r="F86" i="10"/>
  <c r="F88" i="10"/>
  <c r="F90" i="10"/>
  <c r="K3" i="6"/>
  <c r="L3" i="6"/>
  <c r="M3" i="6"/>
  <c r="K4" i="6"/>
  <c r="L4" i="6"/>
  <c r="M4" i="6"/>
  <c r="K6" i="6"/>
  <c r="L6" i="6"/>
  <c r="M6" i="6"/>
  <c r="K7" i="6"/>
  <c r="L7" i="6"/>
  <c r="M7" i="6"/>
  <c r="K12" i="6"/>
  <c r="L12" i="6"/>
  <c r="M12" i="6"/>
  <c r="K13" i="6"/>
  <c r="L13" i="6"/>
  <c r="M13" i="6"/>
  <c r="K15" i="6"/>
  <c r="L15" i="6"/>
  <c r="M15" i="6"/>
  <c r="K16" i="6"/>
  <c r="L16" i="6"/>
  <c r="M16" i="6"/>
  <c r="A117" i="13"/>
  <c r="M68" i="13"/>
  <c r="J121" i="6"/>
  <c r="D1" i="15"/>
  <c r="H2" i="2"/>
  <c r="D3" i="15"/>
  <c r="D4" i="15"/>
  <c r="H4" i="2"/>
  <c r="D6" i="15"/>
  <c r="D7" i="15"/>
  <c r="H6" i="2"/>
  <c r="D9" i="15"/>
  <c r="D10" i="15"/>
  <c r="H8" i="2"/>
  <c r="D12" i="15"/>
  <c r="D13" i="15"/>
  <c r="H10" i="2"/>
  <c r="D15" i="15"/>
  <c r="D16" i="15"/>
  <c r="H12" i="2"/>
  <c r="D18" i="15"/>
  <c r="D19" i="15"/>
  <c r="E1" i="15"/>
  <c r="J194" i="6"/>
  <c r="I194" i="6"/>
  <c r="H194" i="6"/>
  <c r="M193" i="6"/>
  <c r="L193" i="6"/>
  <c r="K193" i="6"/>
  <c r="L160" i="8"/>
  <c r="K160" i="8"/>
  <c r="J160" i="8"/>
  <c r="J161" i="8"/>
  <c r="I160" i="8"/>
  <c r="I161" i="8"/>
  <c r="H160" i="8"/>
  <c r="H161" i="8"/>
  <c r="M190" i="6"/>
  <c r="L190" i="6"/>
  <c r="K190" i="6"/>
  <c r="L18" i="9"/>
  <c r="L19" i="9"/>
  <c r="K18" i="9"/>
  <c r="K19" i="9"/>
  <c r="J18" i="9"/>
  <c r="J19" i="9"/>
  <c r="J75" i="6"/>
  <c r="I75" i="6"/>
  <c r="H75" i="6"/>
  <c r="K22" i="5"/>
  <c r="J22" i="5"/>
  <c r="I22" i="5"/>
  <c r="A215" i="14"/>
  <c r="A217" i="14"/>
  <c r="A219" i="14"/>
  <c r="A221" i="14"/>
  <c r="A223" i="14"/>
  <c r="A225" i="14"/>
  <c r="A227" i="14"/>
  <c r="A229" i="14"/>
  <c r="A231" i="14"/>
  <c r="A205" i="14"/>
  <c r="A207" i="14"/>
  <c r="A209" i="14"/>
  <c r="A211" i="14"/>
  <c r="A213" i="14"/>
  <c r="A189" i="14"/>
  <c r="A191" i="14"/>
  <c r="A193" i="14"/>
  <c r="A195" i="14"/>
  <c r="A197" i="14"/>
  <c r="A199" i="14"/>
  <c r="A201" i="14"/>
  <c r="A203" i="14"/>
  <c r="A176" i="14"/>
  <c r="A178" i="14"/>
  <c r="A180" i="14"/>
  <c r="A182" i="14"/>
  <c r="A184" i="14"/>
  <c r="A186" i="14"/>
  <c r="A172" i="14"/>
  <c r="A166" i="14"/>
  <c r="A168" i="14"/>
  <c r="A170" i="14"/>
  <c r="A164" i="14"/>
  <c r="A162" i="14"/>
  <c r="A160" i="14"/>
  <c r="A158" i="14"/>
  <c r="A155" i="14"/>
  <c r="A153" i="14"/>
  <c r="A151" i="14"/>
  <c r="A149" i="14"/>
  <c r="A147" i="14"/>
  <c r="A145" i="14"/>
  <c r="A143" i="14"/>
  <c r="A141" i="14"/>
  <c r="A139" i="14"/>
  <c r="A137" i="14"/>
  <c r="A135" i="14"/>
  <c r="A133" i="14"/>
  <c r="A131" i="14"/>
  <c r="A129" i="14"/>
  <c r="A127" i="14"/>
  <c r="A125" i="14"/>
  <c r="A123" i="14"/>
  <c r="A121" i="14"/>
  <c r="A119" i="14"/>
  <c r="A117" i="14"/>
  <c r="A115" i="14"/>
  <c r="A111" i="14"/>
  <c r="A109" i="14"/>
  <c r="A106" i="14"/>
  <c r="A104" i="14"/>
  <c r="A102" i="14"/>
  <c r="A100" i="14"/>
  <c r="A98" i="14"/>
  <c r="A96" i="14"/>
  <c r="A94" i="14"/>
  <c r="A92" i="14"/>
  <c r="A90" i="14"/>
  <c r="A88" i="14"/>
  <c r="A86" i="14"/>
  <c r="A84" i="14"/>
  <c r="A82" i="14"/>
  <c r="A80" i="14"/>
  <c r="A78" i="14"/>
  <c r="A76" i="14"/>
  <c r="A74" i="14"/>
  <c r="A72" i="14"/>
  <c r="A70" i="14"/>
  <c r="A68" i="14"/>
  <c r="A66" i="14"/>
  <c r="A64" i="14"/>
  <c r="A62" i="14"/>
  <c r="A60" i="14"/>
  <c r="A58" i="14"/>
  <c r="A56" i="14"/>
  <c r="A54" i="14"/>
  <c r="A52" i="14"/>
  <c r="B51" i="14"/>
  <c r="C51" i="14"/>
  <c r="B53" i="14"/>
  <c r="C53" i="14"/>
  <c r="B214" i="14"/>
  <c r="C214" i="14"/>
  <c r="B216" i="14"/>
  <c r="C216" i="14"/>
  <c r="B218" i="14"/>
  <c r="C218" i="14"/>
  <c r="B220" i="14"/>
  <c r="C220" i="14"/>
  <c r="B222" i="14"/>
  <c r="C222" i="14"/>
  <c r="B224" i="14"/>
  <c r="C224" i="14"/>
  <c r="B226" i="14"/>
  <c r="C226" i="14"/>
  <c r="B228" i="14"/>
  <c r="C228" i="14"/>
  <c r="B230" i="14"/>
  <c r="C230" i="14"/>
  <c r="B204" i="14"/>
  <c r="C204" i="14"/>
  <c r="B206" i="14"/>
  <c r="C206" i="14"/>
  <c r="B208" i="14"/>
  <c r="C208" i="14"/>
  <c r="B210" i="14"/>
  <c r="C210" i="14"/>
  <c r="B212" i="14"/>
  <c r="C212" i="14"/>
  <c r="B188" i="14"/>
  <c r="C188" i="14"/>
  <c r="B190" i="14"/>
  <c r="C190" i="14"/>
  <c r="B192" i="14"/>
  <c r="C192" i="14"/>
  <c r="B194" i="14"/>
  <c r="C194" i="14"/>
  <c r="B196" i="14"/>
  <c r="C196" i="14"/>
  <c r="B198" i="14"/>
  <c r="C198" i="14"/>
  <c r="B200" i="14"/>
  <c r="C200" i="14"/>
  <c r="B202" i="14"/>
  <c r="C202" i="14"/>
  <c r="B175" i="14"/>
  <c r="C175" i="14"/>
  <c r="B177" i="14"/>
  <c r="C177" i="14"/>
  <c r="B179" i="14"/>
  <c r="C179" i="14"/>
  <c r="B181" i="14"/>
  <c r="C181" i="14"/>
  <c r="B183" i="14"/>
  <c r="C183" i="14"/>
  <c r="B185" i="14"/>
  <c r="C185" i="14"/>
  <c r="B171" i="14"/>
  <c r="C171" i="14"/>
  <c r="B165" i="14"/>
  <c r="C165" i="14"/>
  <c r="B167" i="14"/>
  <c r="C167" i="14"/>
  <c r="B169" i="14"/>
  <c r="C169" i="14"/>
  <c r="B163" i="14"/>
  <c r="C163" i="14"/>
  <c r="B161" i="14"/>
  <c r="C161" i="14"/>
  <c r="B159" i="14"/>
  <c r="C159" i="14"/>
  <c r="B157" i="14"/>
  <c r="C157" i="14"/>
  <c r="B154" i="14"/>
  <c r="C154" i="14"/>
  <c r="B150" i="14"/>
  <c r="C150" i="14"/>
  <c r="B152" i="14"/>
  <c r="C152" i="14"/>
  <c r="B148" i="14"/>
  <c r="C148" i="14"/>
  <c r="B146" i="14"/>
  <c r="C146" i="14"/>
  <c r="B140" i="14"/>
  <c r="C140" i="14"/>
  <c r="B142" i="14"/>
  <c r="C142" i="14"/>
  <c r="B144" i="14"/>
  <c r="C144" i="14"/>
  <c r="B136" i="14"/>
  <c r="C136" i="14"/>
  <c r="B138" i="14"/>
  <c r="C138" i="14"/>
  <c r="B116" i="14"/>
  <c r="C116" i="14"/>
  <c r="B118" i="14"/>
  <c r="C118" i="14"/>
  <c r="B120" i="14"/>
  <c r="C120" i="14"/>
  <c r="B122" i="14"/>
  <c r="C122" i="14"/>
  <c r="B124" i="14"/>
  <c r="C124" i="14"/>
  <c r="B126" i="14"/>
  <c r="C126" i="14"/>
  <c r="B128" i="14"/>
  <c r="C128" i="14"/>
  <c r="B130" i="14"/>
  <c r="C130" i="14"/>
  <c r="B132" i="14"/>
  <c r="C132" i="14"/>
  <c r="B134" i="14"/>
  <c r="C134" i="14"/>
  <c r="B114" i="14"/>
  <c r="C114" i="14"/>
  <c r="B108" i="14"/>
  <c r="C108" i="14"/>
  <c r="B110" i="14"/>
  <c r="C110" i="14"/>
  <c r="B105" i="14"/>
  <c r="C105" i="14"/>
  <c r="B95" i="14"/>
  <c r="C95" i="14"/>
  <c r="B97" i="14"/>
  <c r="C97" i="14"/>
  <c r="B99" i="14"/>
  <c r="C99" i="14"/>
  <c r="B101" i="14"/>
  <c r="C101" i="14"/>
  <c r="B103" i="14"/>
  <c r="C103" i="14"/>
  <c r="B69" i="14"/>
  <c r="C69" i="14"/>
  <c r="B71" i="14"/>
  <c r="C71" i="14"/>
  <c r="B73" i="14"/>
  <c r="C73" i="14"/>
  <c r="B75" i="14"/>
  <c r="C75" i="14"/>
  <c r="B77" i="14"/>
  <c r="C77" i="14"/>
  <c r="B79" i="14"/>
  <c r="C79" i="14"/>
  <c r="B81" i="14"/>
  <c r="C81" i="14"/>
  <c r="B83" i="14"/>
  <c r="C83" i="14"/>
  <c r="B85" i="14"/>
  <c r="C85" i="14"/>
  <c r="B87" i="14"/>
  <c r="C87" i="14"/>
  <c r="B89" i="14"/>
  <c r="C89" i="14"/>
  <c r="B91" i="14"/>
  <c r="C91" i="14"/>
  <c r="B93" i="14"/>
  <c r="C93" i="14"/>
  <c r="B55" i="14"/>
  <c r="C55" i="14"/>
  <c r="B57" i="14"/>
  <c r="C57" i="14"/>
  <c r="B59" i="14"/>
  <c r="C59" i="14"/>
  <c r="B61" i="14"/>
  <c r="C61" i="14"/>
  <c r="B63" i="14"/>
  <c r="C63" i="14"/>
  <c r="B65" i="14"/>
  <c r="C65" i="14"/>
  <c r="B67" i="14"/>
  <c r="C67" i="14"/>
  <c r="L103" i="13"/>
  <c r="L105" i="13"/>
  <c r="L107" i="13"/>
  <c r="L109" i="13"/>
  <c r="L111" i="13"/>
  <c r="L113" i="13"/>
  <c r="L115" i="13"/>
  <c r="L101" i="13"/>
  <c r="L77" i="13"/>
  <c r="L79" i="13"/>
  <c r="L81" i="13"/>
  <c r="L83" i="13"/>
  <c r="L85" i="13"/>
  <c r="L87" i="13"/>
  <c r="L89" i="13"/>
  <c r="L91" i="13"/>
  <c r="L93" i="13"/>
  <c r="L95" i="13"/>
  <c r="L97" i="13"/>
  <c r="L99" i="13"/>
  <c r="L74" i="13"/>
  <c r="L70" i="13"/>
  <c r="L72" i="13"/>
  <c r="L68" i="13"/>
  <c r="L58" i="13"/>
  <c r="L60" i="13"/>
  <c r="L62" i="13"/>
  <c r="L64" i="13"/>
  <c r="L66" i="13"/>
  <c r="L29" i="13"/>
  <c r="L31" i="13"/>
  <c r="L33" i="13"/>
  <c r="L35" i="13"/>
  <c r="L37" i="13"/>
  <c r="L39" i="13"/>
  <c r="L41" i="13"/>
  <c r="L43" i="13"/>
  <c r="L45" i="13"/>
  <c r="L47" i="13"/>
  <c r="L48" i="13"/>
  <c r="L49" i="13"/>
  <c r="L51" i="13"/>
  <c r="L53" i="13"/>
  <c r="L26" i="13"/>
  <c r="L22" i="13"/>
  <c r="L18" i="13"/>
  <c r="L24" i="13"/>
  <c r="O194" i="6"/>
  <c r="L15" i="13"/>
  <c r="L3" i="13"/>
  <c r="L5" i="13"/>
  <c r="L9" i="13"/>
  <c r="L11" i="13"/>
  <c r="L13" i="13"/>
  <c r="J179" i="6"/>
  <c r="I179" i="6"/>
  <c r="H179" i="6"/>
  <c r="L17" i="9"/>
  <c r="J17" i="9"/>
  <c r="L15" i="9"/>
  <c r="K14" i="9"/>
  <c r="J15" i="9"/>
  <c r="J14" i="9"/>
  <c r="J185" i="6"/>
  <c r="I185" i="6"/>
  <c r="H185" i="6"/>
  <c r="J176" i="6"/>
  <c r="I176" i="6"/>
  <c r="H176" i="6"/>
  <c r="J167" i="6"/>
  <c r="I167" i="6"/>
  <c r="H167" i="6"/>
  <c r="J164" i="6"/>
  <c r="I164" i="6"/>
  <c r="H164" i="6"/>
  <c r="J161" i="6"/>
  <c r="I161" i="6"/>
  <c r="H161" i="6"/>
  <c r="J158" i="6"/>
  <c r="H158" i="6"/>
  <c r="I158" i="6"/>
  <c r="J155" i="6"/>
  <c r="I155" i="6"/>
  <c r="H155" i="6"/>
  <c r="J152" i="6"/>
  <c r="I152" i="6"/>
  <c r="J143" i="6"/>
  <c r="I143" i="6"/>
  <c r="H143" i="6"/>
  <c r="H152" i="6"/>
  <c r="J133" i="6"/>
  <c r="I133" i="6"/>
  <c r="H133" i="6"/>
  <c r="J139" i="6"/>
  <c r="I139" i="6"/>
  <c r="H139" i="6"/>
  <c r="J136" i="6"/>
  <c r="I136" i="6"/>
  <c r="H136" i="6"/>
  <c r="J130" i="6"/>
  <c r="J127" i="6"/>
  <c r="J118" i="6"/>
  <c r="I118" i="6"/>
  <c r="H118" i="6"/>
  <c r="J109" i="6"/>
  <c r="J106" i="6"/>
  <c r="J100" i="6"/>
  <c r="J97" i="6"/>
  <c r="I97" i="6"/>
  <c r="H97" i="6"/>
  <c r="J91" i="6"/>
  <c r="J87" i="6"/>
  <c r="J84" i="6"/>
  <c r="I84" i="6"/>
  <c r="H84" i="6"/>
  <c r="J81" i="6"/>
  <c r="I81" i="6"/>
  <c r="H81" i="6"/>
  <c r="J78" i="6"/>
  <c r="I78" i="6"/>
  <c r="H78" i="6"/>
  <c r="J72" i="6"/>
  <c r="I72" i="6"/>
  <c r="H72" i="6"/>
  <c r="K13" i="7"/>
  <c r="K10" i="7"/>
  <c r="K7" i="7"/>
  <c r="K4" i="7"/>
  <c r="J69" i="6"/>
  <c r="I69" i="6"/>
  <c r="H69" i="6"/>
  <c r="L44" i="8"/>
  <c r="K44" i="8"/>
  <c r="J182" i="6"/>
  <c r="I182" i="6"/>
  <c r="H182" i="6"/>
  <c r="H149" i="6"/>
  <c r="I149" i="6"/>
  <c r="J149" i="6"/>
  <c r="I146" i="6"/>
  <c r="J146" i="6"/>
  <c r="J94" i="6"/>
  <c r="I94" i="6"/>
  <c r="H94" i="6"/>
  <c r="J60" i="6"/>
  <c r="I60" i="6"/>
  <c r="H60" i="6"/>
  <c r="J56" i="6"/>
  <c r="J53" i="6"/>
  <c r="I53" i="6"/>
  <c r="H53" i="6"/>
  <c r="J50" i="6"/>
  <c r="J47" i="6"/>
  <c r="I47" i="6"/>
  <c r="H47" i="6"/>
  <c r="J44" i="6"/>
  <c r="I44" i="6"/>
  <c r="H44" i="6"/>
  <c r="J41" i="6"/>
  <c r="I41" i="6"/>
  <c r="H41" i="6"/>
  <c r="J38" i="6"/>
  <c r="I38" i="6"/>
  <c r="H38" i="6"/>
  <c r="J35" i="6"/>
  <c r="I35" i="6"/>
  <c r="H35" i="6"/>
  <c r="J29" i="6"/>
  <c r="I29" i="6"/>
  <c r="H29" i="6"/>
  <c r="J26" i="6"/>
  <c r="I26" i="6"/>
  <c r="H26" i="6"/>
  <c r="M55" i="6"/>
  <c r="M54" i="6"/>
  <c r="M52" i="6"/>
  <c r="L52" i="6"/>
  <c r="K52" i="6"/>
  <c r="M51" i="6"/>
  <c r="L51" i="6"/>
  <c r="K51" i="6"/>
  <c r="H107" i="8"/>
  <c r="I107" i="8"/>
  <c r="J107" i="8"/>
  <c r="M49" i="6"/>
  <c r="M48" i="6"/>
  <c r="M46" i="6"/>
  <c r="L46" i="6"/>
  <c r="K46" i="6"/>
  <c r="M45" i="6"/>
  <c r="L45" i="6"/>
  <c r="K45" i="6"/>
  <c r="M43" i="6"/>
  <c r="L43" i="6"/>
  <c r="K43" i="6"/>
  <c r="M42" i="6"/>
  <c r="L42" i="6"/>
  <c r="K42" i="6"/>
  <c r="M40" i="6"/>
  <c r="L40" i="6"/>
  <c r="K40" i="6"/>
  <c r="M39" i="6"/>
  <c r="L39" i="6"/>
  <c r="K39" i="6"/>
  <c r="M37" i="6"/>
  <c r="L37" i="6"/>
  <c r="K37" i="6"/>
  <c r="M36" i="6"/>
  <c r="L36" i="6"/>
  <c r="K36" i="6"/>
  <c r="M34" i="6"/>
  <c r="L34" i="6"/>
  <c r="K34" i="6"/>
  <c r="M33" i="6"/>
  <c r="L33" i="6"/>
  <c r="K33" i="6"/>
  <c r="L16" i="9"/>
  <c r="K16" i="9"/>
  <c r="K17" i="9"/>
  <c r="J16" i="9"/>
  <c r="L14" i="9"/>
  <c r="K15" i="9"/>
  <c r="O159" i="6"/>
  <c r="O116" i="6"/>
  <c r="O98" i="6"/>
  <c r="O89" i="6"/>
  <c r="O21" i="6"/>
  <c r="I177" i="6"/>
  <c r="J177" i="6"/>
  <c r="H177" i="6"/>
  <c r="J137" i="6"/>
  <c r="I137" i="6"/>
  <c r="H137" i="6"/>
  <c r="H134" i="6"/>
  <c r="I134" i="6"/>
  <c r="J134" i="6"/>
  <c r="J23" i="6"/>
  <c r="J57" i="8"/>
  <c r="J69" i="8"/>
  <c r="I69" i="8"/>
  <c r="H69" i="8"/>
  <c r="H83" i="8"/>
  <c r="H84" i="8"/>
  <c r="J83" i="8"/>
  <c r="J84" i="8"/>
  <c r="I84" i="8"/>
  <c r="H76" i="8"/>
  <c r="H77" i="8"/>
  <c r="J76" i="8"/>
  <c r="J77" i="8"/>
  <c r="I77" i="8"/>
  <c r="H57" i="8"/>
  <c r="I57" i="8"/>
  <c r="J45" i="8"/>
  <c r="I45" i="8"/>
  <c r="H45" i="8"/>
  <c r="J44" i="8"/>
  <c r="I44" i="8"/>
  <c r="H44" i="8"/>
  <c r="J24" i="8"/>
  <c r="J25" i="8"/>
  <c r="H136" i="8"/>
  <c r="H137" i="8"/>
  <c r="J136" i="8"/>
  <c r="J137" i="8"/>
  <c r="I136" i="8"/>
  <c r="I137" i="8"/>
  <c r="J114" i="8"/>
  <c r="J115" i="8"/>
  <c r="J110" i="8"/>
  <c r="J111" i="8"/>
  <c r="J20" i="8"/>
  <c r="J21" i="8"/>
  <c r="I20" i="8"/>
  <c r="I21" i="8"/>
  <c r="H20" i="8"/>
  <c r="H21" i="8"/>
  <c r="J122" i="8"/>
  <c r="J123" i="8"/>
  <c r="I122" i="8"/>
  <c r="I123" i="8"/>
  <c r="H122" i="8"/>
  <c r="H123" i="8"/>
  <c r="J152" i="8"/>
  <c r="J153" i="8"/>
  <c r="I152" i="8"/>
  <c r="I153" i="8"/>
  <c r="H152" i="8"/>
  <c r="H153" i="8"/>
  <c r="J144" i="8"/>
  <c r="J145" i="8"/>
  <c r="I144" i="8"/>
  <c r="I145" i="8"/>
  <c r="H144" i="8"/>
  <c r="H145" i="8"/>
  <c r="O161" i="6"/>
  <c r="O136" i="6"/>
  <c r="O133" i="6"/>
  <c r="O118" i="6"/>
  <c r="O100" i="6"/>
  <c r="O91" i="6"/>
  <c r="O23" i="6"/>
  <c r="M107" i="6"/>
  <c r="J107" i="6"/>
  <c r="M142" i="6"/>
  <c r="L142" i="6"/>
  <c r="K142" i="6"/>
  <c r="M141" i="6"/>
  <c r="L141" i="6"/>
  <c r="K141" i="6"/>
  <c r="J141" i="6"/>
  <c r="I141" i="6"/>
  <c r="H141" i="6"/>
  <c r="L10" i="9"/>
  <c r="L11" i="9"/>
  <c r="L12" i="9"/>
  <c r="L13" i="9"/>
  <c r="L8" i="9"/>
  <c r="L9" i="9"/>
  <c r="L6" i="9"/>
  <c r="L7" i="9"/>
  <c r="L4" i="9"/>
  <c r="L5" i="9"/>
  <c r="K4" i="9"/>
  <c r="K5" i="9"/>
  <c r="J4" i="9"/>
  <c r="J5" i="9"/>
  <c r="L2" i="9"/>
  <c r="L3" i="9"/>
  <c r="K2" i="9"/>
  <c r="K3" i="9"/>
  <c r="J2" i="9"/>
  <c r="J3" i="9"/>
  <c r="F123" i="6"/>
  <c r="G123" i="6"/>
  <c r="K122" i="6"/>
  <c r="L122" i="6"/>
  <c r="M122" i="6"/>
  <c r="L123" i="6"/>
  <c r="M123" i="6"/>
  <c r="K106" i="8"/>
  <c r="L106" i="8"/>
  <c r="K116" i="6"/>
  <c r="K110" i="6"/>
  <c r="L110" i="6"/>
  <c r="M110" i="6"/>
  <c r="K111" i="6"/>
  <c r="L111" i="6"/>
  <c r="M111" i="6"/>
  <c r="K82" i="6"/>
  <c r="L82" i="6"/>
  <c r="M82" i="6"/>
  <c r="E83" i="6"/>
  <c r="K83" i="6"/>
  <c r="F83" i="6"/>
  <c r="L83" i="6"/>
  <c r="G83" i="6"/>
  <c r="M83" i="6"/>
  <c r="K79" i="6"/>
  <c r="L79" i="6"/>
  <c r="M79" i="6"/>
  <c r="E80" i="6"/>
  <c r="K80" i="6"/>
  <c r="F80" i="6"/>
  <c r="L80" i="6"/>
  <c r="G80" i="6"/>
  <c r="M80" i="6"/>
  <c r="F68" i="6"/>
  <c r="G68" i="6"/>
  <c r="E68" i="6"/>
  <c r="L24" i="8"/>
  <c r="K24" i="8"/>
  <c r="M178" i="6"/>
  <c r="L178" i="6"/>
  <c r="K178" i="6"/>
  <c r="M177" i="6"/>
  <c r="L177" i="6"/>
  <c r="K177" i="6"/>
  <c r="M68" i="6"/>
  <c r="L68" i="6"/>
  <c r="K68" i="6"/>
  <c r="M67" i="6"/>
  <c r="L67" i="6"/>
  <c r="K67" i="6"/>
  <c r="H106" i="8"/>
  <c r="J106" i="8"/>
  <c r="L136" i="8"/>
  <c r="K136" i="8"/>
  <c r="L152" i="8"/>
  <c r="K152" i="8"/>
  <c r="L144" i="8"/>
  <c r="K144" i="8"/>
  <c r="L122" i="8"/>
  <c r="K122" i="8"/>
  <c r="L114" i="8"/>
  <c r="K114" i="8"/>
  <c r="K110" i="8"/>
  <c r="L110" i="8"/>
  <c r="I106" i="8"/>
  <c r="K95" i="8"/>
  <c r="L95" i="8"/>
  <c r="L83" i="8"/>
  <c r="K83" i="8"/>
  <c r="I83" i="8"/>
  <c r="L76" i="8"/>
  <c r="K76" i="8"/>
  <c r="I76" i="8"/>
  <c r="L68" i="8"/>
  <c r="K68" i="8"/>
  <c r="J68" i="8"/>
  <c r="I68" i="8"/>
  <c r="H68" i="8"/>
  <c r="L56" i="8"/>
  <c r="K56" i="8"/>
  <c r="J56" i="8"/>
  <c r="I56" i="8"/>
  <c r="H56" i="8"/>
  <c r="L20" i="8"/>
  <c r="K20" i="8"/>
  <c r="M85" i="6"/>
  <c r="M86" i="6"/>
  <c r="J85" i="6"/>
  <c r="S3" i="7"/>
  <c r="S5" i="7"/>
  <c r="S6" i="7"/>
  <c r="S8" i="7"/>
  <c r="S9" i="7"/>
  <c r="S11" i="7"/>
  <c r="S12" i="7"/>
  <c r="S2" i="7"/>
  <c r="P3" i="7"/>
  <c r="P5" i="7"/>
  <c r="P6" i="7"/>
  <c r="P8" i="7"/>
  <c r="P9" i="7"/>
  <c r="P11" i="7"/>
  <c r="P12" i="7"/>
  <c r="P2" i="7"/>
  <c r="M3" i="7"/>
  <c r="M5" i="7"/>
  <c r="M6" i="7"/>
  <c r="M8" i="7"/>
  <c r="M9" i="7"/>
  <c r="M11" i="7"/>
  <c r="M12" i="7"/>
  <c r="M2" i="7"/>
  <c r="J48" i="6"/>
  <c r="J104" i="6"/>
  <c r="M108" i="6"/>
  <c r="M105" i="6"/>
  <c r="M104" i="6"/>
  <c r="M71" i="6"/>
  <c r="M183" i="6"/>
  <c r="M150" i="6"/>
  <c r="M151" i="6"/>
  <c r="M153" i="6"/>
  <c r="M154" i="6"/>
  <c r="M156" i="6"/>
  <c r="M157" i="6"/>
  <c r="M159" i="6"/>
  <c r="M160" i="6"/>
  <c r="M162" i="6"/>
  <c r="M163" i="6"/>
  <c r="M165" i="6"/>
  <c r="M166" i="6"/>
  <c r="M174" i="6"/>
  <c r="M175" i="6"/>
  <c r="M180" i="6"/>
  <c r="M181" i="6"/>
  <c r="M184" i="6"/>
  <c r="L150" i="6"/>
  <c r="L151" i="6"/>
  <c r="L153" i="6"/>
  <c r="L154" i="6"/>
  <c r="L156" i="6"/>
  <c r="L157" i="6"/>
  <c r="L159" i="6"/>
  <c r="L160" i="6"/>
  <c r="L162" i="6"/>
  <c r="L163" i="6"/>
  <c r="L165" i="6"/>
  <c r="L166" i="6"/>
  <c r="L174" i="6"/>
  <c r="L175" i="6"/>
  <c r="L180" i="6"/>
  <c r="L181" i="6"/>
  <c r="L183" i="6"/>
  <c r="L184" i="6"/>
  <c r="K150" i="6"/>
  <c r="K151" i="6"/>
  <c r="K153" i="6"/>
  <c r="K154" i="6"/>
  <c r="K156" i="6"/>
  <c r="K157" i="6"/>
  <c r="K159" i="6"/>
  <c r="K160" i="6"/>
  <c r="K162" i="6"/>
  <c r="K163" i="6"/>
  <c r="K165" i="6"/>
  <c r="K166" i="6"/>
  <c r="K174" i="6"/>
  <c r="K175" i="6"/>
  <c r="K180" i="6"/>
  <c r="K181" i="6"/>
  <c r="K183" i="6"/>
  <c r="K184" i="6"/>
  <c r="M92" i="6"/>
  <c r="M93" i="6"/>
  <c r="M95" i="6"/>
  <c r="M96" i="6"/>
  <c r="M98" i="6"/>
  <c r="M99" i="6"/>
  <c r="M116" i="6"/>
  <c r="M117" i="6"/>
  <c r="M90" i="6"/>
  <c r="L92" i="6"/>
  <c r="L93" i="6"/>
  <c r="L95" i="6"/>
  <c r="L96" i="6"/>
  <c r="L116" i="6"/>
  <c r="L117" i="6"/>
  <c r="K92" i="6"/>
  <c r="K93" i="6"/>
  <c r="K95" i="6"/>
  <c r="K96" i="6"/>
  <c r="K117" i="6"/>
  <c r="M61" i="6"/>
  <c r="M62" i="6"/>
  <c r="M70" i="6"/>
  <c r="M73" i="6"/>
  <c r="G74" i="6"/>
  <c r="M74" i="6"/>
  <c r="M76" i="6"/>
  <c r="M77" i="6"/>
  <c r="L61" i="6"/>
  <c r="L62" i="6"/>
  <c r="L70" i="6"/>
  <c r="L71" i="6"/>
  <c r="L73" i="6"/>
  <c r="F74" i="6"/>
  <c r="L74" i="6"/>
  <c r="L76" i="6"/>
  <c r="L77" i="6"/>
  <c r="K61" i="6"/>
  <c r="K62" i="6"/>
  <c r="K70" i="6"/>
  <c r="K71" i="6"/>
  <c r="K73" i="6"/>
  <c r="E74" i="6"/>
  <c r="K74" i="6"/>
  <c r="K76" i="6"/>
  <c r="K77" i="6"/>
  <c r="M59" i="6"/>
  <c r="M58" i="6"/>
  <c r="L59" i="6"/>
  <c r="L58" i="6"/>
  <c r="K59" i="6"/>
  <c r="K58" i="6"/>
  <c r="M27" i="6"/>
  <c r="L27" i="6"/>
  <c r="K27" i="6"/>
  <c r="M21" i="6"/>
  <c r="M22" i="6"/>
  <c r="M24" i="6"/>
  <c r="M25" i="6"/>
  <c r="M28" i="6"/>
  <c r="L24" i="6"/>
  <c r="L25" i="6"/>
  <c r="L28" i="6"/>
  <c r="K24" i="6"/>
  <c r="K25" i="6"/>
  <c r="K28" i="6"/>
  <c r="M21" i="5"/>
  <c r="L21" i="5"/>
  <c r="K21" i="5"/>
  <c r="J21" i="5"/>
  <c r="I21" i="5"/>
  <c r="J183" i="6"/>
  <c r="I183" i="6"/>
  <c r="H183" i="6"/>
  <c r="J180" i="6"/>
  <c r="I180" i="6"/>
  <c r="H180" i="6"/>
  <c r="J174" i="6"/>
  <c r="I174" i="6"/>
  <c r="H174" i="6"/>
  <c r="J165" i="6"/>
  <c r="I165" i="6"/>
  <c r="H165" i="6"/>
  <c r="J159" i="6"/>
  <c r="I159" i="6"/>
  <c r="H159" i="6"/>
  <c r="J156" i="6"/>
  <c r="I156" i="6"/>
  <c r="H156" i="6"/>
  <c r="J153" i="6"/>
  <c r="I153" i="6"/>
  <c r="H153" i="6"/>
  <c r="J150" i="6"/>
  <c r="I150" i="6"/>
  <c r="H150" i="6"/>
  <c r="J116" i="6"/>
  <c r="I116" i="6"/>
  <c r="H116" i="6"/>
  <c r="J98" i="6"/>
  <c r="J95" i="6"/>
  <c r="I95" i="6"/>
  <c r="H95" i="6"/>
  <c r="J92" i="6"/>
  <c r="I92" i="6"/>
  <c r="H92" i="6"/>
  <c r="J89" i="6"/>
  <c r="J76" i="6"/>
  <c r="I76" i="6"/>
  <c r="H76" i="6"/>
  <c r="J70" i="6"/>
  <c r="I70" i="6"/>
  <c r="H70" i="6"/>
  <c r="J58" i="6"/>
  <c r="I58" i="6"/>
  <c r="H58" i="6"/>
  <c r="J45" i="6"/>
  <c r="I45" i="6"/>
  <c r="H45" i="6"/>
  <c r="J42" i="6"/>
  <c r="I42" i="6"/>
  <c r="H42" i="6"/>
  <c r="J39" i="6"/>
  <c r="I39" i="6"/>
  <c r="H39" i="6"/>
  <c r="J36" i="6"/>
  <c r="I36" i="6"/>
  <c r="H36" i="6"/>
  <c r="J33" i="6"/>
  <c r="I33" i="6"/>
  <c r="H33" i="6"/>
  <c r="J27" i="6"/>
  <c r="I27" i="6"/>
  <c r="H27" i="6"/>
  <c r="J24" i="6"/>
  <c r="I24" i="6"/>
  <c r="H24" i="6"/>
  <c r="J21" i="6"/>
  <c r="M9" i="5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J4" i="2"/>
  <c r="O4" i="2"/>
  <c r="P4" i="2"/>
  <c r="J6" i="2"/>
  <c r="O6" i="2"/>
  <c r="P6" i="2"/>
  <c r="J8" i="2"/>
  <c r="O8" i="2"/>
  <c r="P8" i="2"/>
  <c r="J10" i="2"/>
  <c r="O10" i="2"/>
  <c r="P10" i="2"/>
  <c r="J12" i="2"/>
  <c r="O12" i="2"/>
  <c r="P12" i="2"/>
  <c r="J2" i="2"/>
  <c r="O2" i="2"/>
  <c r="P2" i="2"/>
  <c r="Q4" i="2"/>
  <c r="R4" i="2"/>
  <c r="Q8" i="2"/>
  <c r="R8" i="2"/>
  <c r="Q10" i="2"/>
  <c r="R10" i="2"/>
  <c r="Q12" i="2"/>
  <c r="R12" i="2"/>
  <c r="Q2" i="2"/>
  <c r="R2" i="2"/>
  <c r="Q6" i="2"/>
  <c r="M4" i="2"/>
  <c r="M6" i="2"/>
  <c r="M8" i="2"/>
  <c r="M10" i="2"/>
  <c r="M12" i="2"/>
  <c r="M2" i="2"/>
  <c r="N4" i="2"/>
  <c r="N6" i="2"/>
  <c r="N8" i="2"/>
  <c r="N10" i="2"/>
  <c r="N12" i="2"/>
  <c r="N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<sst xmlns="http://schemas.openxmlformats.org/spreadsheetml/2006/main" count="3446" uniqueCount="915">
  <si>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</si>
  <si>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</si>
  <si>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</si>
  <si>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</si>
  <si>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</si>
  <si>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</si>
  <si>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</si>
  <si>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</si>
  <si>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</si>
  <si>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</si>
  <si>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</si>
  <si>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</si>
  <si>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</si>
  <si>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</si>
  <si>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</si>
  <si>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</si>
  <si>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</si>
  <si>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</si>
  <si>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</si>
  <si>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</si>
  <si>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</si>
  <si>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</si>
  <si>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</si>
  <si>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</si>
  <si>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</si>
  <si>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</si>
  <si>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</si>
  <si>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</si>
  <si>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</si>
  <si>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</si>
  <si>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</si>
  <si>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</si>
  <si>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</si>
  <si>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</si>
  <si>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</si>
  <si>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</si>
  <si>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</si>
  <si>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</si>
  <si>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</si>
  <si>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</si>
  <si>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</si>
  <si>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</si>
  <si>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</si>
  <si>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</si>
  <si>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</si>
  <si>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</si>
  <si>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</si>
  <si>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</si>
  <si>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</si>
  <si>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</si>
  <si>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</si>
  <si>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</si>
  <si>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</si>
  <si>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</si>
  <si>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</si>
  <si>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</si>
  <si>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</si>
  <si>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</si>
  <si>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</si>
  <si>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</si>
  <si>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</si>
  <si>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</si>
  <si>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</si>
  <si>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</si>
  <si>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</si>
  <si>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</si>
  <si>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</si>
  <si>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</si>
  <si>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</si>
  <si>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</si>
  <si>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</si>
  <si>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</si>
  <si>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</si>
  <si>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</si>
  <si>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</si>
  <si>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</si>
  <si>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</si>
  <si>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</si>
  <si>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</si>
  <si>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</si>
  <si>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</si>
  <si>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</si>
  <si>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</si>
  <si>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</si>
  <si>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</si>
  <si>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</si>
  <si>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</si>
  <si>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</si>
  <si>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</si>
  <si>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</si>
  <si>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</si>
  <si>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</si>
  <si>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</si>
  <si>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</si>
  <si>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</si>
  <si>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</si>
  <si>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</si>
  <si>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</si>
  <si>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</si>
  <si>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</si>
  <si>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</si>
  <si>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</si>
  <si>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</si>
  <si>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</si>
  <si>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</si>
  <si>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</si>
  <si>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</si>
  <si>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</si>
  <si>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</si>
  <si>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</si>
  <si>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</si>
  <si>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</si>
  <si>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</si>
  <si>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</si>
  <si>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</si>
  <si>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</si>
  <si>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</si>
  <si>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</si>
  <si>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</si>
  <si>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</si>
  <si>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</si>
  <si>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</si>
  <si>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</si>
  <si>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</si>
  <si>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</si>
  <si>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</si>
  <si>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</si>
  <si>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</si>
  <si>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</si>
  <si>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</si>
  <si>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</si>
  <si>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</si>
  <si>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</si>
  <si>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</si>
  <si>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</si>
  <si>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</si>
  <si>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</si>
  <si>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</si>
  <si>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</si>
  <si>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</si>
  <si>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</si>
  <si>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</si>
  <si>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</si>
  <si>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</si>
  <si>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</si>
  <si>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</si>
  <si>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</si>
  <si>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</si>
  <si>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</si>
  <si>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</si>
  <si>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</si>
  <si>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</si>
  <si>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</si>
  <si>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</si>
  <si>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</si>
  <si>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</si>
  <si>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</si>
  <si>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</si>
  <si>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</si>
  <si>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</si>
  <si>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</si>
  <si>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</si>
  <si>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</si>
  <si>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</si>
  <si>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</si>
  <si>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</si>
  <si>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</si>
  <si>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</si>
  <si>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</si>
  <si>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</si>
  <si>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</si>
  <si>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</si>
  <si>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</si>
  <si>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</si>
  <si>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</si>
  <si>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</si>
  <si>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</si>
  <si>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</si>
  <si>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</si>
  <si>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</si>
  <si>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</si>
  <si>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</si>
  <si>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</si>
  <si>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</si>
  <si>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</si>
  <si>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</si>
  <si>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</si>
  <si>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</si>
  <si>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</si>
  <si>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</si>
  <si>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</si>
  <si>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</si>
  <si>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</si>
  <si>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</si>
  <si>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</si>
  <si>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</si>
  <si>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</si>
  <si>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</si>
  <si>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</si>
  <si>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</si>
  <si>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</si>
  <si>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</si>
  <si>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</si>
  <si>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</si>
  <si>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</si>
  <si>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</si>
  <si>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</si>
  <si>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</si>
  <si>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</si>
  <si>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</si>
  <si>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</si>
  <si>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</si>
  <si>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</si>
  <si>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</si>
  <si>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</si>
  <si>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</si>
  <si>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</si>
  <si>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</si>
  <si>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</si>
  <si>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</si>
  <si>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</si>
  <si>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</si>
  <si>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</si>
  <si>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</si>
  <si>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</si>
  <si>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</si>
  <si>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</si>
  <si>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</si>
  <si>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</si>
  <si>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</si>
  <si>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</si>
  <si>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</si>
  <si>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</si>
  <si>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</si>
  <si>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</si>
  <si>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</si>
  <si>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</si>
  <si>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</si>
  <si>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</si>
  <si>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</si>
  <si>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</si>
  <si>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</si>
  <si>
    <t>Calculations were done using a 5 pixel circular aperature, 9 pixel centroid width.</t>
  </si>
  <si>
    <t>Actual J</t>
  </si>
  <si>
    <t>Actual H</t>
  </si>
  <si>
    <t>Actual K</t>
  </si>
  <si>
    <t>create mass vs k mag isochrone using age of clusters</t>
  </si>
  <si>
    <t>* worst image, but still okay</t>
  </si>
  <si>
    <t>* Was missed.  Does not have H and J filter.</t>
  </si>
  <si>
    <t>W13</t>
  </si>
  <si>
    <t>B1</t>
  </si>
  <si>
    <t>M317 a</t>
  </si>
  <si>
    <t>M317 b</t>
  </si>
  <si>
    <t>Old Delta K</t>
  </si>
  <si>
    <t>Delta K % Diff.</t>
  </si>
  <si>
    <t>Old Sep</t>
  </si>
  <si>
    <t>Old P.A.</t>
  </si>
  <si>
    <t>Not Specified</t>
  </si>
  <si>
    <t>* missing J &amp; H</t>
  </si>
  <si>
    <t>App J</t>
  </si>
  <si>
    <t>App H</t>
  </si>
  <si>
    <t>App K</t>
  </si>
  <si>
    <t>* Calculated in "Missing Binaries" section.</t>
  </si>
  <si>
    <t>R97</t>
  </si>
  <si>
    <t>W17</t>
  </si>
  <si>
    <t>img4</t>
  </si>
  <si>
    <t>M409</t>
  </si>
  <si>
    <t>All calculations were done with a 3 pix aper.</t>
  </si>
  <si>
    <t>All centroids were done with 7 pix width.</t>
  </si>
  <si>
    <t>Centroid for primary was performed with 9 pix.</t>
  </si>
  <si>
    <t>** Companion was hard to see.</t>
  </si>
  <si>
    <t>W25 b</t>
  </si>
  <si>
    <t>W25 c</t>
  </si>
  <si>
    <t>HD96654 b</t>
  </si>
  <si>
    <t>HD96654 a</t>
  </si>
  <si>
    <t>M49 a</t>
  </si>
  <si>
    <t>M49 b</t>
  </si>
  <si>
    <t>M141-2 a</t>
  </si>
  <si>
    <t>M141-2 b</t>
  </si>
  <si>
    <t>Hard to see companion star.. Coordinates were taken from K band.</t>
  </si>
  <si>
    <t>M47 b</t>
  </si>
  <si>
    <t>5 pix width aperature for leakage was used.</t>
  </si>
  <si>
    <t>5 pix aperature was used on primary.</t>
  </si>
  <si>
    <t>M56 b</t>
  </si>
  <si>
    <t>5 pix width centroid for leakage was used.</t>
  </si>
  <si>
    <t>Image was pretty bad..</t>
  </si>
  <si>
    <t>For J band, details on position were taken from H &amp; K.</t>
  </si>
  <si>
    <t>PSF was done.</t>
  </si>
  <si>
    <t>W24 / R81 c</t>
  </si>
  <si>
    <t>W25 a</t>
  </si>
  <si>
    <t>M56 a</t>
  </si>
  <si>
    <t>M47 a</t>
  </si>
  <si>
    <t>M86 c</t>
  </si>
  <si>
    <t>5 pix width centroid was used for companion.</t>
  </si>
  <si>
    <t>* Still hard to see</t>
  </si>
  <si>
    <t>Leakage Subtacted</t>
  </si>
  <si>
    <t>Leakage Subtracted</t>
  </si>
  <si>
    <t>*Need to check if values taken from Johan were good.</t>
  </si>
  <si>
    <t>* Was added.</t>
  </si>
  <si>
    <t>* Apparent mag might have been used..?</t>
  </si>
  <si>
    <t>Dist.</t>
  </si>
  <si>
    <t>Photometric Standard</t>
  </si>
  <si>
    <t>Use half idstance for undertainty</t>
  </si>
  <si>
    <t>If smaller than .03 mag, use .03 mag!</t>
  </si>
  <si>
    <t>M86 b</t>
  </si>
  <si>
    <t>M86 a</t>
  </si>
  <si>
    <t>R84 b</t>
  </si>
  <si>
    <t>R84 a</t>
  </si>
  <si>
    <t>Old Sep. (arcsec)</t>
  </si>
  <si>
    <t>New Sep. (arcsec)</t>
  </si>
  <si>
    <t xml:space="preserve">* Was missing from Johan's summary. </t>
  </si>
  <si>
    <t xml:space="preserve"> Does not have H &amp; J Filters</t>
  </si>
  <si>
    <t>Binaries</t>
  </si>
  <si>
    <t>* M141-2 needs to be Abs calculated too!</t>
  </si>
  <si>
    <t>HD96654 c</t>
  </si>
  <si>
    <t>* Was missed on summary.  Does not have H and J filter.</t>
  </si>
  <si>
    <t>* Data was swapped from the Everything.xls file</t>
  </si>
  <si>
    <t>*My data doesn't seem necessary here…</t>
  </si>
  <si>
    <t>* Was missing.  Data was found on the everything.xls file.</t>
  </si>
  <si>
    <t>*** Not sure if my values or his values should be used..</t>
  </si>
  <si>
    <t>Cluster</t>
  </si>
  <si>
    <t xml:space="preserve"> </t>
  </si>
  <si>
    <t>SAO 236200</t>
  </si>
  <si>
    <t>HD 93424</t>
  </si>
  <si>
    <t>HD 93517</t>
  </si>
  <si>
    <t>HD 91698</t>
  </si>
  <si>
    <t>HD 96620</t>
  </si>
  <si>
    <t>HD 61310</t>
  </si>
  <si>
    <t>HD 61622</t>
  </si>
  <si>
    <t>HD 61878</t>
  </si>
  <si>
    <t>HD 61924</t>
  </si>
  <si>
    <t>HD 62152</t>
  </si>
  <si>
    <t>M209</t>
  </si>
  <si>
    <t>HD 62376</t>
  </si>
  <si>
    <t>HD 62503</t>
  </si>
  <si>
    <t>HD 63251</t>
  </si>
  <si>
    <t>HD 63488</t>
  </si>
  <si>
    <t>HD 63602</t>
  </si>
  <si>
    <t>HD 62974</t>
  </si>
  <si>
    <t>B7 V</t>
  </si>
  <si>
    <t>B8</t>
  </si>
  <si>
    <t>A0 V</t>
  </si>
  <si>
    <t>A1 V</t>
  </si>
  <si>
    <t>F0 V</t>
  </si>
  <si>
    <t>A2 V</t>
  </si>
  <si>
    <t>F3 V</t>
  </si>
  <si>
    <t>A3</t>
  </si>
  <si>
    <t>A7 III</t>
  </si>
  <si>
    <t>B3 IV</t>
  </si>
  <si>
    <t>A3 IV</t>
  </si>
  <si>
    <t>A3 V</t>
  </si>
  <si>
    <t>B8 V</t>
  </si>
  <si>
    <t>B5 V</t>
  </si>
  <si>
    <t>F2 V</t>
  </si>
  <si>
    <t>A0 IV</t>
  </si>
  <si>
    <t>B9 III</t>
  </si>
  <si>
    <t>B9 V</t>
  </si>
  <si>
    <t>B9 IV</t>
  </si>
  <si>
    <t>B3 V</t>
  </si>
  <si>
    <t>B2.5 V</t>
  </si>
  <si>
    <t>B5 IVe</t>
  </si>
  <si>
    <t>F2 IV</t>
  </si>
  <si>
    <t>A8 V</t>
  </si>
  <si>
    <t>B9.5 V</t>
  </si>
  <si>
    <t>B8 IV</t>
  </si>
  <si>
    <t>B8 III</t>
  </si>
  <si>
    <t>F3 IV</t>
  </si>
  <si>
    <t>B2 III</t>
  </si>
  <si>
    <t>B8.5 IV</t>
  </si>
  <si>
    <t>B8.5 V</t>
  </si>
  <si>
    <t>B9.5 IV</t>
  </si>
  <si>
    <t>B8 IVe</t>
  </si>
  <si>
    <t>B8.5 III</t>
  </si>
  <si>
    <t>B7 III</t>
  </si>
  <si>
    <t>F1 V</t>
  </si>
  <si>
    <t>B6 V</t>
  </si>
  <si>
    <t>B8 II</t>
  </si>
  <si>
    <t>G8 III</t>
  </si>
  <si>
    <t>A1 IV</t>
  </si>
  <si>
    <t>K4</t>
  </si>
  <si>
    <t>A5 V</t>
  </si>
  <si>
    <t>A7</t>
  </si>
  <si>
    <t>A0.5 V</t>
  </si>
  <si>
    <t>F7 V</t>
  </si>
  <si>
    <t>B4 V</t>
  </si>
  <si>
    <t>G5</t>
  </si>
  <si>
    <t>F5 IV</t>
  </si>
  <si>
    <t>CPD -58 3102</t>
  </si>
  <si>
    <t>A0 III</t>
  </si>
  <si>
    <t>F0 III</t>
  </si>
  <si>
    <t>B0 II</t>
  </si>
  <si>
    <t>B9.5 III</t>
  </si>
  <si>
    <t>HD73287</t>
  </si>
  <si>
    <t>HD73904</t>
  </si>
  <si>
    <t>HD74195</t>
  </si>
  <si>
    <t>HD74678</t>
  </si>
  <si>
    <t>HD74955</t>
  </si>
  <si>
    <t>HD75202</t>
  </si>
  <si>
    <t>HD75466</t>
  </si>
  <si>
    <t>Hogg12</t>
  </si>
  <si>
    <t>Hogg1</t>
  </si>
  <si>
    <t>Hogg2</t>
  </si>
  <si>
    <t>Hogg3</t>
  </si>
  <si>
    <t>Hogg6</t>
  </si>
  <si>
    <t>Hogg8</t>
  </si>
  <si>
    <t>R40</t>
  </si>
  <si>
    <t>R47</t>
  </si>
  <si>
    <t>R51</t>
  </si>
  <si>
    <t>R65</t>
  </si>
  <si>
    <t>W12</t>
  </si>
  <si>
    <t>W15</t>
  </si>
  <si>
    <t>W16</t>
  </si>
  <si>
    <t>B10</t>
  </si>
  <si>
    <t>B14</t>
  </si>
  <si>
    <t>B36</t>
  </si>
  <si>
    <t>B46</t>
  </si>
  <si>
    <t>B5</t>
  </si>
  <si>
    <t>HD73778</t>
  </si>
  <si>
    <t>HD74056</t>
  </si>
  <si>
    <t>HD74145</t>
  </si>
  <si>
    <t>HD74537</t>
  </si>
  <si>
    <t>HD74665</t>
  </si>
  <si>
    <t>R7</t>
  </si>
  <si>
    <t>R79</t>
  </si>
  <si>
    <t>W28</t>
  </si>
  <si>
    <t>W29</t>
  </si>
  <si>
    <t>W41</t>
  </si>
  <si>
    <t>W62</t>
  </si>
  <si>
    <t>W63</t>
  </si>
  <si>
    <t>W7</t>
  </si>
  <si>
    <t>M10</t>
  </si>
  <si>
    <t>M10-2</t>
  </si>
  <si>
    <t>M11</t>
  </si>
  <si>
    <t>M110</t>
  </si>
  <si>
    <t>M113</t>
  </si>
  <si>
    <t>M115</t>
  </si>
  <si>
    <t>M116</t>
  </si>
  <si>
    <t>M120</t>
  </si>
  <si>
    <t>M126</t>
  </si>
  <si>
    <t>M129</t>
  </si>
  <si>
    <t>M13</t>
  </si>
  <si>
    <t>M132</t>
  </si>
  <si>
    <t>M134</t>
  </si>
  <si>
    <t>M136</t>
  </si>
  <si>
    <t>M19</t>
  </si>
  <si>
    <t>M199</t>
  </si>
  <si>
    <t>M20</t>
  </si>
  <si>
    <t>M208</t>
  </si>
  <si>
    <t>M215</t>
  </si>
  <si>
    <t>M224</t>
  </si>
  <si>
    <t>M226</t>
  </si>
  <si>
    <t>M23</t>
  </si>
  <si>
    <t>M26</t>
  </si>
  <si>
    <t>M29</t>
  </si>
  <si>
    <t>M337</t>
  </si>
  <si>
    <t>M37</t>
  </si>
  <si>
    <t>M40</t>
  </si>
  <si>
    <t>M49</t>
  </si>
  <si>
    <t>M5</t>
  </si>
  <si>
    <t>M83</t>
  </si>
  <si>
    <t>M88</t>
  </si>
  <si>
    <t>M89</t>
  </si>
  <si>
    <t>M91</t>
  </si>
  <si>
    <t>M131</t>
  </si>
  <si>
    <t>M161</t>
  </si>
  <si>
    <t>M175</t>
  </si>
  <si>
    <t>M184</t>
  </si>
  <si>
    <t>M186</t>
  </si>
  <si>
    <t>M187</t>
  </si>
  <si>
    <t>M202</t>
  </si>
  <si>
    <t>M203</t>
  </si>
  <si>
    <t>M211</t>
  </si>
  <si>
    <t>M221</t>
  </si>
  <si>
    <t>M228</t>
  </si>
  <si>
    <t>M233</t>
  </si>
  <si>
    <t>M237</t>
  </si>
  <si>
    <t>M239</t>
  </si>
  <si>
    <t>M243</t>
  </si>
  <si>
    <t>M246</t>
  </si>
  <si>
    <t>M248</t>
  </si>
  <si>
    <t>M249</t>
  </si>
  <si>
    <t>M250</t>
  </si>
  <si>
    <t>M251</t>
  </si>
  <si>
    <t>M255</t>
  </si>
  <si>
    <t>M256</t>
  </si>
  <si>
    <t>M267</t>
  </si>
  <si>
    <t>M277</t>
  </si>
  <si>
    <t>M281</t>
  </si>
  <si>
    <t>M283</t>
  </si>
  <si>
    <t>M36</t>
  </si>
  <si>
    <t>M361</t>
  </si>
  <si>
    <t>M420</t>
  </si>
  <si>
    <t>M623</t>
  </si>
  <si>
    <t>M633</t>
  </si>
  <si>
    <t>*Ignore..?</t>
  </si>
  <si>
    <t>Bright Object!</t>
  </si>
  <si>
    <t>Dist. (pc)</t>
  </si>
  <si>
    <t>Cluster Name</t>
  </si>
  <si>
    <t>HD 93549</t>
  </si>
  <si>
    <t>HD 92467</t>
  </si>
  <si>
    <t>HR 6660</t>
  </si>
  <si>
    <t>HD 162724</t>
  </si>
  <si>
    <t>HD 97000</t>
  </si>
  <si>
    <t>HD 96654</t>
  </si>
  <si>
    <t>HD 96305</t>
  </si>
  <si>
    <t>HD 162515</t>
  </si>
  <si>
    <t>HD 96226</t>
  </si>
  <si>
    <t>HD 162586</t>
  </si>
  <si>
    <t>HD 96473</t>
  </si>
  <si>
    <t>HD 96246</t>
  </si>
  <si>
    <t>HD 96137</t>
  </si>
  <si>
    <t>HD 96213</t>
  </si>
  <si>
    <t>HD 65987</t>
  </si>
  <si>
    <t>HD 73722</t>
  </si>
  <si>
    <t>HD 94115</t>
  </si>
  <si>
    <t>HD 92989</t>
  </si>
  <si>
    <t>HD 94174</t>
  </si>
  <si>
    <t>HD 92837</t>
  </si>
  <si>
    <t>HD 92478</t>
  </si>
  <si>
    <t>HD 92896</t>
  </si>
  <si>
    <t>HD 93648</t>
  </si>
  <si>
    <t>HD 93540</t>
  </si>
  <si>
    <t>HD 307860</t>
  </si>
  <si>
    <t>HD 91906</t>
  </si>
  <si>
    <t>HD 93738</t>
  </si>
  <si>
    <t>HD 74535</t>
  </si>
  <si>
    <t>HD 73340</t>
  </si>
  <si>
    <t>HD 73503</t>
  </si>
  <si>
    <t>HD 73952</t>
  </si>
  <si>
    <t>HD 74169</t>
  </si>
  <si>
    <t>*Added 0.03mag to AbsK for the 17th.</t>
  </si>
  <si>
    <t>R81 a</t>
  </si>
  <si>
    <t>Recalculated Values…</t>
  </si>
  <si>
    <t>*Added the 0.03 mag correction to the Actual J, H, &amp; K</t>
  </si>
  <si>
    <t>My values for J H and K are off by like 0.3 mag…</t>
  </si>
  <si>
    <t>his values were used.</t>
  </si>
  <si>
    <t>J band image!!!</t>
  </si>
  <si>
    <t>This M86 is from the 20th…</t>
  </si>
  <si>
    <t>HD 73287</t>
  </si>
  <si>
    <t>HD 73904</t>
  </si>
  <si>
    <t>HD 74195</t>
  </si>
  <si>
    <t>HD 74678</t>
  </si>
  <si>
    <t>HD 74955</t>
  </si>
  <si>
    <t>HD 75202</t>
  </si>
  <si>
    <t>HD 75466</t>
  </si>
  <si>
    <t>HD 74071</t>
  </si>
  <si>
    <t>HD 73778</t>
  </si>
  <si>
    <t>HD 74009</t>
  </si>
  <si>
    <t>HD 74044</t>
  </si>
  <si>
    <t>HD 74056</t>
  </si>
  <si>
    <t>HD 74145</t>
  </si>
  <si>
    <t>HD 74537</t>
  </si>
  <si>
    <t>HD 74665</t>
  </si>
  <si>
    <t>Is this the same as M10..?</t>
  </si>
  <si>
    <t>CD -60 1929</t>
  </si>
  <si>
    <t>CPD -60 985</t>
  </si>
  <si>
    <t>SAO 250042</t>
  </si>
  <si>
    <t>CD -37 3845</t>
  </si>
  <si>
    <t>HIP 120403</t>
  </si>
  <si>
    <t>SAO 250045</t>
  </si>
  <si>
    <t>SAO 250024</t>
  </si>
  <si>
    <t>CD -60 1975</t>
  </si>
  <si>
    <t>GSC 08960-01942</t>
  </si>
  <si>
    <t>HD 91839</t>
  </si>
  <si>
    <t>HD 74196</t>
  </si>
  <si>
    <t>HD 74146</t>
  </si>
  <si>
    <t>HD 74560</t>
  </si>
  <si>
    <t>HD 74275</t>
  </si>
  <si>
    <t>HD 74516</t>
  </si>
  <si>
    <t>HD 92536</t>
  </si>
  <si>
    <t>HD 92664</t>
  </si>
  <si>
    <t>HD 92715</t>
  </si>
  <si>
    <t>HD 93194</t>
  </si>
  <si>
    <t>HD 92783</t>
  </si>
  <si>
    <t>HD 92938</t>
  </si>
  <si>
    <t>HD 92966</t>
  </si>
  <si>
    <t>HD 91959</t>
  </si>
  <si>
    <t>HD 92175</t>
  </si>
  <si>
    <t>HD 93012</t>
  </si>
  <si>
    <t>HD 93505</t>
  </si>
  <si>
    <t>HD 93405</t>
  </si>
  <si>
    <t>HD 93600</t>
  </si>
  <si>
    <t>HD 93607</t>
  </si>
  <si>
    <t>HD 307842</t>
  </si>
  <si>
    <t>HD 92535</t>
  </si>
  <si>
    <t>HD 93874</t>
  </si>
  <si>
    <t>HD 93892</t>
  </si>
  <si>
    <t>HD 92568</t>
  </si>
  <si>
    <t>HD ???</t>
  </si>
  <si>
    <t>HD 92570</t>
  </si>
  <si>
    <t>HD 65869</t>
  </si>
  <si>
    <t>HD 162817</t>
  </si>
  <si>
    <t>HD 65405</t>
  </si>
  <si>
    <t>HD 96430</t>
  </si>
  <si>
    <t>HD 65578</t>
  </si>
  <si>
    <t>HD 65663</t>
  </si>
  <si>
    <t>HD 65950</t>
  </si>
  <si>
    <t>HD 66066</t>
  </si>
  <si>
    <t>HD 66194</t>
  </si>
  <si>
    <t>HD 66341</t>
  </si>
  <si>
    <t>HD 66137</t>
  </si>
  <si>
    <t>HD 96489</t>
  </si>
  <si>
    <t>HD 66259</t>
  </si>
  <si>
    <t>CPD -60 944</t>
  </si>
  <si>
    <t>HD 64185</t>
  </si>
  <si>
    <t>HD 65094</t>
  </si>
  <si>
    <t>HD 66409</t>
  </si>
  <si>
    <t>HD 162374</t>
  </si>
  <si>
    <t>HD 66656</t>
  </si>
  <si>
    <t>HD 96668</t>
  </si>
  <si>
    <t>HD 96227</t>
  </si>
  <si>
    <t>HD 162725</t>
  </si>
  <si>
    <t>HD 65949</t>
  </si>
  <si>
    <t>HD 61087</t>
  </si>
  <si>
    <t>HD 61621</t>
  </si>
  <si>
    <t>HD 61831</t>
  </si>
  <si>
    <t>HD 61899</t>
  </si>
  <si>
    <t>HD 61926</t>
  </si>
  <si>
    <t>HD 61925</t>
  </si>
  <si>
    <t>HD 62227</t>
  </si>
  <si>
    <t>HD 62226</t>
  </si>
  <si>
    <t>HD 62415</t>
  </si>
  <si>
    <t>HD 62559</t>
  </si>
  <si>
    <t>HD 62642</t>
  </si>
  <si>
    <t>HD 62712</t>
  </si>
  <si>
    <t>HD 62737</t>
  </si>
  <si>
    <t>HD 62803</t>
  </si>
  <si>
    <t>HD 62875</t>
  </si>
  <si>
    <t>HD 62893</t>
  </si>
  <si>
    <t>HD 62938</t>
  </si>
  <si>
    <t>HD 62961</t>
  </si>
  <si>
    <t>HD 62992</t>
  </si>
  <si>
    <t>HD 62991</t>
  </si>
  <si>
    <t>HD 63080</t>
  </si>
  <si>
    <t>HD 63079</t>
  </si>
  <si>
    <t>HD 63215</t>
  </si>
  <si>
    <t>HD 63401</t>
  </si>
  <si>
    <t>HD 63424</t>
  </si>
  <si>
    <t>HD 63465</t>
  </si>
  <si>
    <t>HD 96653</t>
  </si>
  <si>
    <t>HD 96059</t>
  </si>
  <si>
    <t>HD 96755</t>
  </si>
  <si>
    <t>HD 96058</t>
  </si>
  <si>
    <t>HD 96898</t>
  </si>
  <si>
    <t>HD 96895</t>
  </si>
  <si>
    <t>Data is from the 3rd Run page!!!</t>
  </si>
  <si>
    <t>*Calculated w/o compensation</t>
  </si>
  <si>
    <t xml:space="preserve">PSF was replaced by Gaspard's PSF. </t>
  </si>
  <si>
    <t>Still needs App J, H, &amp; K fixed!</t>
  </si>
  <si>
    <t>* smaller apperature of 3 pix was used b/c of PSF</t>
  </si>
  <si>
    <t>- IC 2391: 114.9+/-2.5 pc</t>
  </si>
  <si>
    <t>- IC 2602: 148.6+/-2.0 pc</t>
  </si>
  <si>
    <t>- NGC 2451: 183.5+/-3.7 pc</t>
  </si>
  <si>
    <t>Table 5 has uncertainties, but listed at the level of the distance modulus (DM = 5 log D -5):</t>
  </si>
  <si>
    <t>- NGC 6475: 270+/-10 pc  [7.16+/-0.08 mag]</t>
  </si>
  <si>
    <t>- NGC 2516: 344+/-11 pc  [7.68+/-0.07 mag]</t>
  </si>
  <si>
    <t>- NGC 3532: 411+/-41 pc  [8.07+/-0.22 mag]</t>
  </si>
  <si>
    <t>F6/F7IV/V</t>
  </si>
  <si>
    <t>3 M110s?</t>
  </si>
  <si>
    <t>A0V C</t>
  </si>
  <si>
    <t>Apv... C</t>
  </si>
  <si>
    <t>B8 E</t>
  </si>
  <si>
    <t>A0/A1IV/V D</t>
  </si>
  <si>
    <t>A E</t>
  </si>
  <si>
    <t>A2IV D</t>
  </si>
  <si>
    <t>Go on ADS, search for papers that include the cluster name (abstract).</t>
  </si>
  <si>
    <t>Need to find new source for age.</t>
  </si>
  <si>
    <t>Find age &amp; reference, then we can find the method.</t>
  </si>
  <si>
    <t>Find a range for these ages from different articles!</t>
  </si>
  <si>
    <t>Literature Search</t>
  </si>
  <si>
    <t>*avg comp fluxes</t>
  </si>
  <si>
    <t>Was fixed!  Calulations are shown in the log file.</t>
  </si>
  <si>
    <t>Last thing done!  Calculations are shown in log!</t>
  </si>
  <si>
    <t>Final Comments</t>
  </si>
  <si>
    <t>The following stars were outside the 5 arcsec range:</t>
  </si>
  <si>
    <t>Move over to singles if need be!</t>
  </si>
  <si>
    <t>On bright end of data, flag down spec. types!</t>
  </si>
  <si>
    <t>Make histogram of masses of targets (Kband) (sing &amp; binaries).</t>
  </si>
  <si>
    <t>For all stars, find STD of masses from J, H, &amp; K filters.</t>
  </si>
  <si>
    <t>STD</t>
  </si>
  <si>
    <t>STD/AVG</t>
  </si>
  <si>
    <t>photometry error..?</t>
  </si>
  <si>
    <t>J band too low..?</t>
  </si>
  <si>
    <t>Make color mag. Diagram, K vs. J-K and/or K vs H-K for each cluster seperately!!!</t>
  </si>
  <si>
    <t>Also make one with all cluster plots on the same plot, distinguishable by color!</t>
  </si>
  <si>
    <t>For single stars, add uncertainty to AbsK, find corresponding Mass, take the difference above &amp; below from the Mass already listed!</t>
  </si>
  <si>
    <t>Data and method for articles for age! Take notes!</t>
  </si>
  <si>
    <t>Index</t>
  </si>
  <si>
    <t>added from binary section</t>
  </si>
  <si>
    <t>Was considered bad and not added to summary</t>
  </si>
  <si>
    <t>Error-</t>
  </si>
  <si>
    <t>Error+</t>
  </si>
  <si>
    <t>Avg J Error</t>
  </si>
  <si>
    <t>Avg H Error</t>
  </si>
  <si>
    <t>Avg K Error</t>
  </si>
  <si>
    <t>Was Not OK</t>
  </si>
  <si>
    <t xml:space="preserve"> HD73287 </t>
  </si>
  <si>
    <t xml:space="preserve"> HD73904 </t>
  </si>
  <si>
    <t xml:space="preserve"> HD74195 </t>
  </si>
  <si>
    <t xml:space="preserve"> HD74678 </t>
  </si>
  <si>
    <t xml:space="preserve"> HD74955 </t>
  </si>
  <si>
    <t xml:space="preserve"> HD75202 </t>
  </si>
  <si>
    <t xml:space="preserve"> HD75466 </t>
  </si>
  <si>
    <t xml:space="preserve"> HD74071 </t>
  </si>
  <si>
    <t xml:space="preserve"> HD74196 </t>
  </si>
  <si>
    <t xml:space="preserve"> HD74146 </t>
  </si>
  <si>
    <t xml:space="preserve"> HD74560 </t>
  </si>
  <si>
    <t xml:space="preserve"> HD74275 </t>
  </si>
  <si>
    <t xml:space="preserve"> HD74516 </t>
  </si>
  <si>
    <t xml:space="preserve"> HD73778 </t>
  </si>
  <si>
    <t xml:space="preserve"> HD74009 </t>
  </si>
  <si>
    <t xml:space="preserve"> HD74044 </t>
  </si>
  <si>
    <t xml:space="preserve"> HD74056 </t>
  </si>
  <si>
    <t xml:space="preserve"> HD74145 </t>
  </si>
  <si>
    <t xml:space="preserve"> HD74537 </t>
  </si>
  <si>
    <t xml:space="preserve"> HD74665 </t>
  </si>
  <si>
    <t>Distance</t>
  </si>
  <si>
    <t>HD162817</t>
  </si>
  <si>
    <t>HD162374</t>
  </si>
  <si>
    <t>HD162725</t>
  </si>
  <si>
    <t>HD61087</t>
  </si>
  <si>
    <t>HD61621</t>
  </si>
  <si>
    <t>HD61831</t>
  </si>
  <si>
    <t>HD61899</t>
  </si>
  <si>
    <t>HD61926</t>
  </si>
  <si>
    <t>HD61925</t>
  </si>
  <si>
    <t>HD62227</t>
  </si>
  <si>
    <t>HD62226</t>
  </si>
  <si>
    <t>HD62415</t>
  </si>
  <si>
    <t>HD62559</t>
  </si>
  <si>
    <t>HD62642</t>
  </si>
  <si>
    <t>HD62712</t>
  </si>
  <si>
    <t>HD62737</t>
  </si>
  <si>
    <t>HD62803</t>
  </si>
  <si>
    <t>HD62875</t>
  </si>
  <si>
    <t>HD62893</t>
  </si>
  <si>
    <t>HD62938</t>
  </si>
  <si>
    <t>HD62961</t>
  </si>
  <si>
    <t>HD62992</t>
  </si>
  <si>
    <t>HD62991</t>
  </si>
  <si>
    <t>HD63080</t>
  </si>
  <si>
    <t>HD63079</t>
  </si>
  <si>
    <t>HD63215</t>
  </si>
  <si>
    <t>HD63401</t>
  </si>
  <si>
    <t>HD63424</t>
  </si>
  <si>
    <t>HD63465</t>
  </si>
  <si>
    <t>CD-37_3845</t>
  </si>
  <si>
    <t>HD62376</t>
  </si>
  <si>
    <t>HD65869</t>
  </si>
  <si>
    <t>HIP120403</t>
  </si>
  <si>
    <t>HD65405</t>
  </si>
  <si>
    <t>HD65578</t>
  </si>
  <si>
    <t>HD65663</t>
  </si>
  <si>
    <t>HD65950</t>
  </si>
  <si>
    <t>SAO250045</t>
  </si>
  <si>
    <t>SAO250024</t>
  </si>
  <si>
    <t>HD66066</t>
  </si>
  <si>
    <t>CD-60_1975</t>
  </si>
  <si>
    <t>HD66194</t>
  </si>
  <si>
    <t>HD66341</t>
  </si>
  <si>
    <t>HD66137</t>
  </si>
  <si>
    <t>HD66259</t>
  </si>
  <si>
    <t>CPD-60_944</t>
  </si>
  <si>
    <t>HD64185</t>
  </si>
  <si>
    <t>HD65094</t>
  </si>
  <si>
    <t>HD66409</t>
  </si>
  <si>
    <t>HD66656</t>
  </si>
  <si>
    <t>CPD-60_985</t>
  </si>
  <si>
    <t>CD-60_1929</t>
  </si>
  <si>
    <t>SAO250042</t>
  </si>
  <si>
    <t>HD65949</t>
  </si>
  <si>
    <t>HD96430</t>
  </si>
  <si>
    <t>HD96489</t>
  </si>
  <si>
    <t>HD96668</t>
  </si>
  <si>
    <t>HD96227</t>
  </si>
  <si>
    <t>HD96226</t>
  </si>
  <si>
    <t>HD96305</t>
  </si>
  <si>
    <t>CPD-58_3102</t>
  </si>
  <si>
    <t>HD96653</t>
  </si>
  <si>
    <t>HD96059</t>
  </si>
  <si>
    <t>HD96755</t>
  </si>
  <si>
    <t>HD96058</t>
  </si>
  <si>
    <t>HD96898</t>
  </si>
  <si>
    <t>HD96895</t>
  </si>
  <si>
    <t>HD92536</t>
  </si>
  <si>
    <t>HD92664</t>
  </si>
  <si>
    <t>HD92715</t>
  </si>
  <si>
    <t>HD93194</t>
  </si>
  <si>
    <t>HD92783</t>
  </si>
  <si>
    <t>HD92938</t>
  </si>
  <si>
    <t>HD92966</t>
  </si>
  <si>
    <t>HD92989</t>
  </si>
  <si>
    <t>HD91959</t>
  </si>
  <si>
    <t>HD92175</t>
  </si>
  <si>
    <t>HD93012</t>
  </si>
  <si>
    <t>HD93505</t>
  </si>
  <si>
    <t>HD91839</t>
  </si>
  <si>
    <t>GSC08960-01942</t>
  </si>
  <si>
    <t>HD93405</t>
  </si>
  <si>
    <t>HD93600</t>
  </si>
  <si>
    <t>HD93607</t>
  </si>
  <si>
    <t>HD307842</t>
  </si>
  <si>
    <t>HD92535</t>
  </si>
  <si>
    <t>HD93874</t>
  </si>
  <si>
    <t>HD93892</t>
  </si>
  <si>
    <t>HD92568</t>
  </si>
  <si>
    <t>HD92570</t>
  </si>
  <si>
    <t>HD 162586 b</t>
  </si>
  <si>
    <t>HD 162586 a</t>
  </si>
  <si>
    <t>HD 162724 a</t>
  </si>
  <si>
    <t>HD 162724 b</t>
  </si>
  <si>
    <t>HR 6660 a</t>
  </si>
  <si>
    <t>HR 6660 b</t>
  </si>
  <si>
    <t>HD 62974 a</t>
  </si>
  <si>
    <t>HD 62974 b</t>
  </si>
  <si>
    <t>HD 96473 a</t>
  </si>
  <si>
    <t>HD 96473 b</t>
  </si>
  <si>
    <t>HD 96305 a</t>
  </si>
  <si>
    <t>HD 96305 b</t>
  </si>
  <si>
    <t>HD 93540 a</t>
  </si>
  <si>
    <t>HD 93540 b</t>
  </si>
  <si>
    <t>HD 93424 a</t>
  </si>
  <si>
    <t>HD 93424 b</t>
  </si>
  <si>
    <t>HD 93424 c</t>
  </si>
  <si>
    <t>HD 93517 a</t>
  </si>
  <si>
    <t>HD 93517 b</t>
  </si>
  <si>
    <t>Abs J</t>
  </si>
  <si>
    <t>Abs H</t>
  </si>
  <si>
    <t>Abs K</t>
  </si>
  <si>
    <t>HD 93517 c</t>
  </si>
  <si>
    <t>Mass J</t>
  </si>
  <si>
    <t>Mass H</t>
  </si>
  <si>
    <t>Mass K</t>
  </si>
  <si>
    <t>Mass J-</t>
  </si>
  <si>
    <t>Mass J+</t>
  </si>
  <si>
    <t>Mass H-</t>
  </si>
  <si>
    <t>Mass H+</t>
  </si>
  <si>
    <t>Mass K-</t>
  </si>
  <si>
    <t>Mass K+</t>
  </si>
  <si>
    <t>AppJ</t>
  </si>
  <si>
    <t>AppH</t>
  </si>
  <si>
    <t>AppK</t>
  </si>
  <si>
    <t>double check! ---&gt; yeah, weird value</t>
  </si>
  <si>
    <t>HD96620</t>
  </si>
  <si>
    <t>New Age (Myr)</t>
  </si>
  <si>
    <t>Data was used from the DENIS survey.</t>
  </si>
  <si>
    <t>Only has a J band image….</t>
  </si>
  <si>
    <t>Was addicentally misplaced in singles section…</t>
  </si>
  <si>
    <t>Was readded from single section on 02/02/15.</t>
  </si>
  <si>
    <t>PA &amp; Seperation were fixed 02/24/14</t>
  </si>
  <si>
    <t>SAME DATASET AS W9</t>
  </si>
  <si>
    <t>Skip this particular entry for D.Limit!</t>
  </si>
  <si>
    <t>F6 V</t>
  </si>
  <si>
    <t>(Beware!)</t>
  </si>
  <si>
    <t>Below 4.5 DelK</t>
  </si>
  <si>
    <t>x</t>
  </si>
  <si>
    <t>Statistical Arg.</t>
  </si>
  <si>
    <t>Mass Arg.</t>
  </si>
  <si>
    <t>Pair are giants.  The pair has a weird mass, which makes sense.</t>
  </si>
  <si>
    <t>M. Ratio J</t>
  </si>
  <si>
    <t>M. Ratio H</t>
  </si>
  <si>
    <t>M.Ratio K</t>
  </si>
  <si>
    <t>M. Ratio Arg.</t>
  </si>
  <si>
    <t>Giant Pair!</t>
  </si>
  <si>
    <t>Might not need leakage subtraction..</t>
  </si>
  <si>
    <t>Leakage Subtraction.</t>
  </si>
  <si>
    <t>Values are significantly bigger than the ones from Johan's sheet.</t>
  </si>
  <si>
    <t>Delta values might need to be fixed in the All Binaries section as well</t>
  </si>
  <si>
    <t>Figure out what to do w/ Hogg 13.  My delta values don't agree..</t>
  </si>
  <si>
    <t>J band uncertainty was raised to 0.1!</t>
  </si>
  <si>
    <t>AVG</t>
  </si>
  <si>
    <t>J values are upper limit!</t>
  </si>
  <si>
    <t>Ignore J-mass!!!</t>
  </si>
  <si>
    <t>0.05 blanket for leakages..?</t>
  </si>
  <si>
    <t>bin_AbsJ</t>
  </si>
  <si>
    <t>bin_AbsH</t>
  </si>
  <si>
    <t>bin_AbsK</t>
  </si>
  <si>
    <t>bin_DelJ</t>
  </si>
  <si>
    <t>bin_DelH</t>
  </si>
  <si>
    <t>bin_DelK</t>
  </si>
  <si>
    <t>Stat. Arg. J</t>
  </si>
  <si>
    <t>Stat. Arg. H</t>
  </si>
  <si>
    <t>Stat. Arg. K</t>
  </si>
  <si>
    <t>0 Members in Total</t>
  </si>
  <si>
    <t>7 Members in Total</t>
  </si>
  <si>
    <t>20 Members in Total</t>
  </si>
  <si>
    <t>3 Members in Total</t>
  </si>
  <si>
    <t>28 Members in Total</t>
  </si>
  <si>
    <t xml:space="preserve">For detection lim, I used M10-2.. </t>
  </si>
  <si>
    <t>24 Members in Total</t>
  </si>
  <si>
    <t>15 Members in Total</t>
  </si>
  <si>
    <t>23 Members in Total</t>
  </si>
  <si>
    <t>Number of Members</t>
  </si>
  <si>
    <t>7 Binaries</t>
  </si>
  <si>
    <t>20 Singles</t>
  </si>
  <si>
    <t>28 Singles</t>
  </si>
  <si>
    <t>0 Binaries</t>
  </si>
  <si>
    <t>24 Singles</t>
  </si>
  <si>
    <t>Avg. Mass</t>
  </si>
  <si>
    <t>Companion is background giant!</t>
  </si>
  <si>
    <t>10 Members in Total</t>
  </si>
  <si>
    <t>10 Binaries</t>
  </si>
  <si>
    <t>bin_Sep</t>
  </si>
  <si>
    <t>m_ratio_K</t>
  </si>
  <si>
    <t>avg_mass</t>
  </si>
  <si>
    <t>Sep. (AU)</t>
  </si>
  <si>
    <t>2 Binaries</t>
  </si>
  <si>
    <t>Avg M. Ratio</t>
  </si>
  <si>
    <t>10 Binaries, 1 Triple</t>
  </si>
  <si>
    <t>1 Binaries</t>
  </si>
  <si>
    <t>4 Singles</t>
  </si>
  <si>
    <t>21 Singles</t>
  </si>
  <si>
    <t>MF</t>
  </si>
  <si>
    <t>CF</t>
  </si>
  <si>
    <t>Stat. Arg.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</si>
</sst>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7" formatCode="0.0000"/>
    <numFmt numFmtId="168" formatCode="0.00000000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rgb="FF000000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1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2" fontId="3" fillId="0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11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0" fontId="0" fillId="0" borderId="7" xfId="0" applyBorder="1"/>
    <xf numFmtId="1" fontId="9" fillId="0" borderId="8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8" borderId="0" xfId="0" applyNumberFormat="1" applyFill="1" applyAlignment="1">
      <alignment horizontal="center"/>
    </xf>
    <xf numFmtId="0" fontId="9" fillId="8" borderId="0" xfId="0" applyFont="1" applyFill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5" fontId="15" fillId="14" borderId="0" xfId="3374" applyNumberFormat="1" applyAlignment="1">
      <alignment horizontal="center"/>
    </xf>
    <xf numFmtId="0" fontId="14" fillId="13" borderId="0" xfId="3373"/>
    <xf numFmtId="165" fontId="6" fillId="0" borderId="0" xfId="0" applyNumberFormat="1" applyFont="1" applyFill="1" applyAlignment="1">
      <alignment horizontal="center"/>
    </xf>
    <xf numFmtId="2" fontId="15" fillId="14" borderId="0" xfId="3374" applyNumberFormat="1" applyAlignment="1">
      <alignment horizontal="center"/>
    </xf>
    <xf numFmtId="0" fontId="5" fillId="0" borderId="0" xfId="0" applyFont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center"/>
    </xf>
    <xf numFmtId="165" fontId="9" fillId="0" borderId="6" xfId="0" applyNumberFormat="1" applyFont="1" applyFill="1" applyBorder="1" applyAlignment="1">
      <alignment horizontal="center"/>
    </xf>
    <xf numFmtId="165" fontId="9" fillId="0" borderId="7" xfId="0" applyNumberFormat="1" applyFont="1" applyFill="1" applyBorder="1" applyAlignment="1">
      <alignment horizontal="center"/>
    </xf>
    <xf numFmtId="165" fontId="9" fillId="0" borderId="8" xfId="0" applyNumberFormat="1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165" fontId="6" fillId="0" borderId="4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2" fontId="16" fillId="15" borderId="0" xfId="3375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9" fillId="0" borderId="7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9" fillId="2" borderId="7" xfId="0" applyNumberFormat="1" applyFon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15" fillId="14" borderId="3" xfId="3374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165" fontId="9" fillId="2" borderId="7" xfId="0" applyNumberFormat="1" applyFont="1" applyFill="1" applyBorder="1" applyAlignment="1">
      <alignment horizontal="center"/>
    </xf>
    <xf numFmtId="2" fontId="9" fillId="2" borderId="8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4" xfId="0" applyFill="1" applyBorder="1"/>
    <xf numFmtId="168" fontId="0" fillId="0" borderId="0" xfId="0" applyNumberFormat="1" applyAlignment="1">
      <alignment horizontal="center"/>
    </xf>
    <xf numFmtId="2" fontId="14" fillId="13" borderId="0" xfId="3373" applyNumberFormat="1" applyAlignment="1">
      <alignment horizontal="center"/>
    </xf>
    <xf numFmtId="165" fontId="14" fillId="13" borderId="0" xfId="3373" applyNumberFormat="1" applyAlignment="1">
      <alignment horizontal="center"/>
    </xf>
    <xf numFmtId="2" fontId="14" fillId="13" borderId="4" xfId="3373" applyNumberFormat="1" applyBorder="1" applyAlignment="1">
      <alignment horizontal="center"/>
    </xf>
    <xf numFmtId="2" fontId="15" fillId="14" borderId="10" xfId="3374" applyNumberFormat="1" applyBorder="1" applyAlignment="1">
      <alignment horizontal="center"/>
    </xf>
    <xf numFmtId="2" fontId="15" fillId="14" borderId="11" xfId="3374" applyNumberFormat="1" applyBorder="1" applyAlignment="1">
      <alignment horizontal="center"/>
    </xf>
    <xf numFmtId="2" fontId="15" fillId="14" borderId="1" xfId="3374" applyNumberFormat="1" applyBorder="1" applyAlignment="1">
      <alignment horizontal="center"/>
    </xf>
    <xf numFmtId="2" fontId="15" fillId="14" borderId="2" xfId="3374" applyNumberFormat="1" applyBorder="1" applyAlignment="1">
      <alignment horizontal="center"/>
    </xf>
    <xf numFmtId="165" fontId="15" fillId="14" borderId="2" xfId="3374" applyNumberFormat="1" applyBorder="1" applyAlignment="1">
      <alignment horizontal="center"/>
    </xf>
    <xf numFmtId="165" fontId="15" fillId="14" borderId="3" xfId="3374" applyNumberFormat="1" applyBorder="1" applyAlignment="1">
      <alignment horizontal="center"/>
    </xf>
    <xf numFmtId="2" fontId="15" fillId="14" borderId="6" xfId="3374" applyNumberFormat="1" applyBorder="1" applyAlignment="1">
      <alignment horizontal="center"/>
    </xf>
    <xf numFmtId="2" fontId="15" fillId="14" borderId="7" xfId="3374" applyNumberFormat="1" applyBorder="1" applyAlignment="1">
      <alignment horizontal="center"/>
    </xf>
    <xf numFmtId="165" fontId="15" fillId="14" borderId="7" xfId="3374" applyNumberFormat="1" applyBorder="1" applyAlignment="1">
      <alignment horizontal="center"/>
    </xf>
    <xf numFmtId="165" fontId="15" fillId="14" borderId="8" xfId="3374" applyNumberFormat="1" applyBorder="1" applyAlignment="1">
      <alignment horizontal="center"/>
    </xf>
    <xf numFmtId="2" fontId="16" fillId="15" borderId="9" xfId="3375" applyNumberFormat="1" applyBorder="1" applyAlignment="1">
      <alignment horizontal="center"/>
    </xf>
    <xf numFmtId="0" fontId="5" fillId="0" borderId="0" xfId="0" applyFont="1"/>
    <xf numFmtId="0" fontId="7" fillId="16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9" fillId="0" borderId="7" xfId="0" applyNumberFormat="1" applyFont="1" applyBorder="1" applyAlignment="1">
      <alignment horizontal="center"/>
    </xf>
    <xf numFmtId="2" fontId="16" fillId="15" borderId="7" xfId="3375" applyNumberFormat="1" applyBorder="1" applyAlignment="1">
      <alignment horizontal="center"/>
    </xf>
    <xf numFmtId="2" fontId="16" fillId="15" borderId="2" xfId="3375" applyNumberForma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5" fillId="14" borderId="2" xfId="3374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2" fontId="0" fillId="17" borderId="2" xfId="0" applyNumberFormat="1" applyFill="1" applyBorder="1" applyAlignment="1">
      <alignment horizontal="center"/>
    </xf>
    <xf numFmtId="0" fontId="9" fillId="17" borderId="6" xfId="0" applyFont="1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2" fontId="9" fillId="17" borderId="7" xfId="0" applyNumberFormat="1" applyFont="1" applyFill="1" applyBorder="1" applyAlignment="1">
      <alignment horizontal="center"/>
    </xf>
    <xf numFmtId="165" fontId="0" fillId="17" borderId="2" xfId="0" applyNumberFormat="1" applyFill="1" applyBorder="1" applyAlignment="1">
      <alignment horizontal="center"/>
    </xf>
    <xf numFmtId="2" fontId="0" fillId="17" borderId="7" xfId="0" applyNumberFormat="1" applyFill="1" applyBorder="1" applyAlignment="1">
      <alignment horizontal="center"/>
    </xf>
    <xf numFmtId="165" fontId="9" fillId="17" borderId="7" xfId="0" applyNumberFormat="1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2" fontId="16" fillId="17" borderId="2" xfId="3375" applyNumberForma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2" fontId="9" fillId="17" borderId="0" xfId="0" applyNumberFormat="1" applyFont="1" applyFill="1" applyBorder="1" applyAlignment="1">
      <alignment horizontal="center"/>
    </xf>
    <xf numFmtId="2" fontId="0" fillId="17" borderId="0" xfId="0" applyNumberFormat="1" applyFill="1" applyBorder="1" applyAlignment="1">
      <alignment horizontal="center"/>
    </xf>
    <xf numFmtId="165" fontId="9" fillId="17" borderId="0" xfId="0" applyNumberFormat="1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165" fontId="0" fillId="17" borderId="0" xfId="0" applyNumberFormat="1" applyFill="1" applyBorder="1" applyAlignment="1">
      <alignment horizontal="center"/>
    </xf>
    <xf numFmtId="2" fontId="6" fillId="17" borderId="7" xfId="3375" applyNumberFormat="1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2" fontId="0" fillId="18" borderId="2" xfId="0" applyNumberFormat="1" applyFill="1" applyBorder="1" applyAlignment="1">
      <alignment horizontal="center"/>
    </xf>
    <xf numFmtId="2" fontId="0" fillId="18" borderId="3" xfId="0" applyNumberFormat="1" applyFill="1" applyBorder="1" applyAlignment="1">
      <alignment horizontal="center"/>
    </xf>
    <xf numFmtId="0" fontId="9" fillId="18" borderId="6" xfId="0" applyFont="1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2" fontId="0" fillId="18" borderId="0" xfId="0" applyNumberFormat="1" applyFill="1" applyBorder="1" applyAlignment="1">
      <alignment horizontal="center"/>
    </xf>
    <xf numFmtId="2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9" fillId="18" borderId="4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2" fontId="0" fillId="18" borderId="7" xfId="0" applyNumberFormat="1" applyFill="1" applyBorder="1" applyAlignment="1">
      <alignment horizontal="center"/>
    </xf>
    <xf numFmtId="2" fontId="0" fillId="18" borderId="8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0" xfId="0" applyNumberFormat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0" fillId="0" borderId="0" xfId="0" applyNumberFormat="1" applyBorder="1"/>
    <xf numFmtId="165" fontId="16" fillId="15" borderId="2" xfId="3375" applyNumberFormat="1" applyBorder="1" applyAlignment="1">
      <alignment horizontal="center"/>
    </xf>
    <xf numFmtId="165" fontId="0" fillId="17" borderId="7" xfId="0" applyNumberFormat="1" applyFill="1" applyBorder="1"/>
    <xf numFmtId="165" fontId="0" fillId="17" borderId="8" xfId="0" applyNumberFormat="1" applyFill="1" applyBorder="1"/>
    <xf numFmtId="165" fontId="16" fillId="15" borderId="0" xfId="3375" applyNumberFormat="1" applyAlignment="1">
      <alignment horizontal="center"/>
    </xf>
    <xf numFmtId="165" fontId="16" fillId="15" borderId="3" xfId="3375" applyNumberFormat="1" applyBorder="1" applyAlignment="1">
      <alignment horizontal="center"/>
    </xf>
    <xf numFmtId="165" fontId="0" fillId="17" borderId="3" xfId="0" applyNumberFormat="1" applyFill="1" applyBorder="1" applyAlignment="1">
      <alignment horizontal="center"/>
    </xf>
    <xf numFmtId="165" fontId="0" fillId="17" borderId="0" xfId="0" applyNumberFormat="1" applyFill="1" applyBorder="1"/>
    <xf numFmtId="165" fontId="0" fillId="17" borderId="5" xfId="0" applyNumberFormat="1" applyFill="1" applyBorder="1"/>
    <xf numFmtId="165" fontId="0" fillId="0" borderId="7" xfId="0" applyNumberFormat="1" applyBorder="1"/>
    <xf numFmtId="165" fontId="16" fillId="15" borderId="0" xfId="3375" applyNumberFormat="1" applyBorder="1" applyAlignment="1">
      <alignment horizontal="center"/>
    </xf>
    <xf numFmtId="165" fontId="16" fillId="15" borderId="5" xfId="3375" applyNumberFormat="1" applyBorder="1" applyAlignment="1">
      <alignment horizontal="center"/>
    </xf>
    <xf numFmtId="165" fontId="15" fillId="14" borderId="0" xfId="3374" applyNumberFormat="1" applyBorder="1" applyAlignment="1">
      <alignment horizontal="center"/>
    </xf>
    <xf numFmtId="165" fontId="15" fillId="14" borderId="5" xfId="3374" applyNumberFormat="1" applyBorder="1" applyAlignment="1">
      <alignment horizontal="center"/>
    </xf>
    <xf numFmtId="2" fontId="9" fillId="0" borderId="9" xfId="0" applyNumberFormat="1" applyFont="1" applyBorder="1" applyAlignment="1">
      <alignment horizontal="center"/>
    </xf>
  </cellXfs>
  <cellStyles count="4858">
    <cellStyle name="Bad" xfId="3374" builtinId="27"/>
    <cellStyle name="DataPilot Category" xfId="1312"/>
    <cellStyle name="DataPilot Corner" xfId="1313"/>
    <cellStyle name="DataPilot Field" xfId="1314"/>
    <cellStyle name="DataPilot Result" xfId="1315"/>
    <cellStyle name="DataPilot Title" xfId="1316"/>
    <cellStyle name="DataPilot Value" xfId="13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7" builtinId="9" hidden="1"/>
    <cellStyle name="Followed Hyperlink" xfId="4499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4573" builtinId="9" hidden="1"/>
    <cellStyle name="Followed Hyperlink" xfId="4575" builtinId="9" hidden="1"/>
    <cellStyle name="Followed Hyperlink" xfId="4577" builtinId="9" hidden="1"/>
    <cellStyle name="Followed Hyperlink" xfId="4579" builtinId="9" hidden="1"/>
    <cellStyle name="Followed Hyperlink" xfId="4581" builtinId="9" hidden="1"/>
    <cellStyle name="Followed Hyperlink" xfId="4583" builtinId="9" hidden="1"/>
    <cellStyle name="Followed Hyperlink" xfId="4585" builtinId="9" hidden="1"/>
    <cellStyle name="Followed Hyperlink" xfId="4587" builtinId="9" hidden="1"/>
    <cellStyle name="Followed Hyperlink" xfId="4589" builtinId="9" hidden="1"/>
    <cellStyle name="Followed Hyperlink" xfId="4591" builtinId="9" hidden="1"/>
    <cellStyle name="Followed Hyperlink" xfId="4593" builtinId="9" hidden="1"/>
    <cellStyle name="Followed Hyperlink" xfId="4595" builtinId="9" hidden="1"/>
    <cellStyle name="Followed Hyperlink" xfId="4597" builtinId="9" hidden="1"/>
    <cellStyle name="Followed Hyperlink" xfId="4599" builtinId="9" hidden="1"/>
    <cellStyle name="Followed Hyperlink" xfId="4601" builtinId="9" hidden="1"/>
    <cellStyle name="Followed Hyperlink" xfId="4603" builtinId="9" hidden="1"/>
    <cellStyle name="Followed Hyperlink" xfId="4605" builtinId="9" hidden="1"/>
    <cellStyle name="Followed Hyperlink" xfId="4607" builtinId="9" hidden="1"/>
    <cellStyle name="Followed Hyperlink" xfId="4609" builtinId="9" hidden="1"/>
    <cellStyle name="Followed Hyperlink" xfId="4611" builtinId="9" hidden="1"/>
    <cellStyle name="Followed Hyperlink" xfId="4613" builtinId="9" hidden="1"/>
    <cellStyle name="Followed Hyperlink" xfId="4615" builtinId="9" hidden="1"/>
    <cellStyle name="Followed Hyperlink" xfId="4617" builtinId="9" hidden="1"/>
    <cellStyle name="Followed Hyperlink" xfId="4619" builtinId="9" hidden="1"/>
    <cellStyle name="Followed Hyperlink" xfId="4621" builtinId="9" hidden="1"/>
    <cellStyle name="Followed Hyperlink" xfId="4623" builtinId="9" hidden="1"/>
    <cellStyle name="Followed Hyperlink" xfId="4625" builtinId="9" hidden="1"/>
    <cellStyle name="Followed Hyperlink" xfId="4627" builtinId="9" hidden="1"/>
    <cellStyle name="Followed Hyperlink" xfId="4629" builtinId="9" hidden="1"/>
    <cellStyle name="Followed Hyperlink" xfId="4631" builtinId="9" hidden="1"/>
    <cellStyle name="Followed Hyperlink" xfId="4633" builtinId="9" hidden="1"/>
    <cellStyle name="Followed Hyperlink" xfId="4635" builtinId="9" hidden="1"/>
    <cellStyle name="Followed Hyperlink" xfId="4637" builtinId="9" hidden="1"/>
    <cellStyle name="Followed Hyperlink" xfId="4639" builtinId="9" hidden="1"/>
    <cellStyle name="Followed Hyperlink" xfId="4641" builtinId="9" hidden="1"/>
    <cellStyle name="Followed Hyperlink" xfId="4643" builtinId="9" hidden="1"/>
    <cellStyle name="Followed Hyperlink" xfId="4645" builtinId="9" hidden="1"/>
    <cellStyle name="Followed Hyperlink" xfId="4647" builtinId="9" hidden="1"/>
    <cellStyle name="Followed Hyperlink" xfId="4649" builtinId="9" hidden="1"/>
    <cellStyle name="Followed Hyperlink" xfId="4651" builtinId="9" hidden="1"/>
    <cellStyle name="Followed Hyperlink" xfId="4653" builtinId="9" hidden="1"/>
    <cellStyle name="Followed Hyperlink" xfId="4655" builtinId="9" hidden="1"/>
    <cellStyle name="Followed Hyperlink" xfId="4657" builtinId="9" hidden="1"/>
    <cellStyle name="Followed Hyperlink" xfId="4659" builtinId="9" hidden="1"/>
    <cellStyle name="Followed Hyperlink" xfId="4661" builtinId="9" hidden="1"/>
    <cellStyle name="Followed Hyperlink" xfId="4663" builtinId="9" hidden="1"/>
    <cellStyle name="Followed Hyperlink" xfId="4665" builtinId="9" hidden="1"/>
    <cellStyle name="Followed Hyperlink" xfId="4667" builtinId="9" hidden="1"/>
    <cellStyle name="Followed Hyperlink" xfId="4669" builtinId="9" hidden="1"/>
    <cellStyle name="Followed Hyperlink" xfId="4671" builtinId="9" hidden="1"/>
    <cellStyle name="Followed Hyperlink" xfId="4673" builtinId="9" hidden="1"/>
    <cellStyle name="Followed Hyperlink" xfId="4675" builtinId="9" hidden="1"/>
    <cellStyle name="Followed Hyperlink" xfId="4677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71" builtinId="9" hidden="1"/>
    <cellStyle name="Followed Hyperlink" xfId="4773" builtinId="9" hidden="1"/>
    <cellStyle name="Followed Hyperlink" xfId="4775" builtinId="9" hidden="1"/>
    <cellStyle name="Followed Hyperlink" xfId="4777" builtinId="9" hidden="1"/>
    <cellStyle name="Followed Hyperlink" xfId="4779" builtinId="9" hidden="1"/>
    <cellStyle name="Followed Hyperlink" xfId="4781" builtinId="9" hidden="1"/>
    <cellStyle name="Followed Hyperlink" xfId="4783" builtinId="9" hidden="1"/>
    <cellStyle name="Followed Hyperlink" xfId="4785" builtinId="9" hidden="1"/>
    <cellStyle name="Followed Hyperlink" xfId="4787" builtinId="9" hidden="1"/>
    <cellStyle name="Followed Hyperlink" xfId="4789" builtinId="9" hidden="1"/>
    <cellStyle name="Followed Hyperlink" xfId="4791" builtinId="9" hidden="1"/>
    <cellStyle name="Followed Hyperlink" xfId="4793" builtinId="9" hidden="1"/>
    <cellStyle name="Followed Hyperlink" xfId="4795" builtinId="9" hidden="1"/>
    <cellStyle name="Followed Hyperlink" xfId="4797" builtinId="9" hidden="1"/>
    <cellStyle name="Followed Hyperlink" xfId="4799" builtinId="9" hidden="1"/>
    <cellStyle name="Followed Hyperlink" xfId="4801" builtinId="9" hidden="1"/>
    <cellStyle name="Followed Hyperlink" xfId="4803" builtinId="9" hidden="1"/>
    <cellStyle name="Followed Hyperlink" xfId="4805" builtinId="9" hidden="1"/>
    <cellStyle name="Followed Hyperlink" xfId="4807" builtinId="9" hidden="1"/>
    <cellStyle name="Followed Hyperlink" xfId="4809" builtinId="9" hidden="1"/>
    <cellStyle name="Followed Hyperlink" xfId="4811" builtinId="9" hidden="1"/>
    <cellStyle name="Followed Hyperlink" xfId="4813" builtinId="9" hidden="1"/>
    <cellStyle name="Followed Hyperlink" xfId="4815" builtinId="9" hidden="1"/>
    <cellStyle name="Followed Hyperlink" xfId="4817" builtinId="9" hidden="1"/>
    <cellStyle name="Followed Hyperlink" xfId="4819" builtinId="9" hidden="1"/>
    <cellStyle name="Followed Hyperlink" xfId="4821" builtinId="9" hidden="1"/>
    <cellStyle name="Followed Hyperlink" xfId="4823" builtinId="9" hidden="1"/>
    <cellStyle name="Followed Hyperlink" xfId="4825" builtinId="9" hidden="1"/>
    <cellStyle name="Followed Hyperlink" xfId="4827" builtinId="9" hidden="1"/>
    <cellStyle name="Followed Hyperlink" xfId="4829" builtinId="9" hidden="1"/>
    <cellStyle name="Followed Hyperlink" xfId="4831" builtinId="9" hidden="1"/>
    <cellStyle name="Followed Hyperlink" xfId="4833" builtinId="9" hidden="1"/>
    <cellStyle name="Followed Hyperlink" xfId="4835" builtinId="9" hidden="1"/>
    <cellStyle name="Followed Hyperlink" xfId="4837" builtinId="9" hidden="1"/>
    <cellStyle name="Followed Hyperlink" xfId="4839" builtinId="9" hidden="1"/>
    <cellStyle name="Followed Hyperlink" xfId="4841" builtinId="9" hidden="1"/>
    <cellStyle name="Followed Hyperlink" xfId="4843" builtinId="9" hidden="1"/>
    <cellStyle name="Followed Hyperlink" xfId="4845" builtinId="9" hidden="1"/>
    <cellStyle name="Followed Hyperlink" xfId="4847" builtinId="9" hidden="1"/>
    <cellStyle name="Followed Hyperlink" xfId="4849" builtinId="9" hidden="1"/>
    <cellStyle name="Followed Hyperlink" xfId="4851" builtinId="9" hidden="1"/>
    <cellStyle name="Followed Hyperlink" xfId="4853" builtinId="9" hidden="1"/>
    <cellStyle name="Followed Hyperlink" xfId="4855" builtinId="9" hidden="1"/>
    <cellStyle name="Followed Hyperlink" xfId="4857" builtinId="9" hidden="1"/>
    <cellStyle name="Good" xfId="337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2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96" builtinId="8" hidden="1"/>
    <cellStyle name="Hyperlink" xfId="4498" builtinId="8" hidden="1"/>
    <cellStyle name="Hyperlink" xfId="4500" builtinId="8" hidden="1"/>
    <cellStyle name="Hyperlink" xfId="4502" builtinId="8" hidden="1"/>
    <cellStyle name="Hyperlink" xfId="4504" builtinId="8" hidden="1"/>
    <cellStyle name="Hyperlink" xfId="4506" builtinId="8" hidden="1"/>
    <cellStyle name="Hyperlink" xfId="4508" builtinId="8" hidden="1"/>
    <cellStyle name="Hyperlink" xfId="4510" builtinId="8" hidden="1"/>
    <cellStyle name="Hyperlink" xfId="4512" builtinId="8" hidden="1"/>
    <cellStyle name="Hyperlink" xfId="4514" builtinId="8" hidden="1"/>
    <cellStyle name="Hyperlink" xfId="4516" builtinId="8" hidden="1"/>
    <cellStyle name="Hyperlink" xfId="4518" builtinId="8" hidden="1"/>
    <cellStyle name="Hyperlink" xfId="4520" builtinId="8" hidden="1"/>
    <cellStyle name="Hyperlink" xfId="4522" builtinId="8" hidden="1"/>
    <cellStyle name="Hyperlink" xfId="4524" builtinId="8" hidden="1"/>
    <cellStyle name="Hyperlink" xfId="4526" builtinId="8" hidden="1"/>
    <cellStyle name="Hyperlink" xfId="4528" builtinId="8" hidden="1"/>
    <cellStyle name="Hyperlink" xfId="4530" builtinId="8" hidden="1"/>
    <cellStyle name="Hyperlink" xfId="4532" builtinId="8" hidden="1"/>
    <cellStyle name="Hyperlink" xfId="4534" builtinId="8" hidden="1"/>
    <cellStyle name="Hyperlink" xfId="4536" builtinId="8" hidden="1"/>
    <cellStyle name="Hyperlink" xfId="4538" builtinId="8" hidden="1"/>
    <cellStyle name="Hyperlink" xfId="4540" builtinId="8" hidden="1"/>
    <cellStyle name="Hyperlink" xfId="4542" builtinId="8" hidden="1"/>
    <cellStyle name="Hyperlink" xfId="4544" builtinId="8" hidden="1"/>
    <cellStyle name="Hyperlink" xfId="4546" builtinId="8" hidden="1"/>
    <cellStyle name="Hyperlink" xfId="4548" builtinId="8" hidden="1"/>
    <cellStyle name="Hyperlink" xfId="4550" builtinId="8" hidden="1"/>
    <cellStyle name="Hyperlink" xfId="4552" builtinId="8" hidden="1"/>
    <cellStyle name="Hyperlink" xfId="4554" builtinId="8" hidden="1"/>
    <cellStyle name="Hyperlink" xfId="4556" builtinId="8" hidden="1"/>
    <cellStyle name="Hyperlink" xfId="4558" builtinId="8" hidden="1"/>
    <cellStyle name="Hyperlink" xfId="4560" builtinId="8" hidden="1"/>
    <cellStyle name="Hyperlink" xfId="4562" builtinId="8" hidden="1"/>
    <cellStyle name="Hyperlink" xfId="4564" builtinId="8" hidden="1"/>
    <cellStyle name="Hyperlink" xfId="4566" builtinId="8" hidden="1"/>
    <cellStyle name="Hyperlink" xfId="4568" builtinId="8" hidden="1"/>
    <cellStyle name="Hyperlink" xfId="4570" builtinId="8" hidden="1"/>
    <cellStyle name="Hyperlink" xfId="4572" builtinId="8" hidden="1"/>
    <cellStyle name="Hyperlink" xfId="4574" builtinId="8" hidden="1"/>
    <cellStyle name="Hyperlink" xfId="4576" builtinId="8" hidden="1"/>
    <cellStyle name="Hyperlink" xfId="4578" builtinId="8" hidden="1"/>
    <cellStyle name="Hyperlink" xfId="4580" builtinId="8" hidden="1"/>
    <cellStyle name="Hyperlink" xfId="4582" builtinId="8" hidden="1"/>
    <cellStyle name="Hyperlink" xfId="4584" builtinId="8" hidden="1"/>
    <cellStyle name="Hyperlink" xfId="4586" builtinId="8" hidden="1"/>
    <cellStyle name="Hyperlink" xfId="4588" builtinId="8" hidden="1"/>
    <cellStyle name="Hyperlink" xfId="4590" builtinId="8" hidden="1"/>
    <cellStyle name="Hyperlink" xfId="4592" builtinId="8" hidden="1"/>
    <cellStyle name="Hyperlink" xfId="4594" builtinId="8" hidden="1"/>
    <cellStyle name="Hyperlink" xfId="4596" builtinId="8" hidden="1"/>
    <cellStyle name="Hyperlink" xfId="4598" builtinId="8" hidden="1"/>
    <cellStyle name="Hyperlink" xfId="4600" builtinId="8" hidden="1"/>
    <cellStyle name="Hyperlink" xfId="4602" builtinId="8" hidden="1"/>
    <cellStyle name="Hyperlink" xfId="4604" builtinId="8" hidden="1"/>
    <cellStyle name="Hyperlink" xfId="4606" builtinId="8" hidden="1"/>
    <cellStyle name="Hyperlink" xfId="4608" builtinId="8" hidden="1"/>
    <cellStyle name="Hyperlink" xfId="4610" builtinId="8" hidden="1"/>
    <cellStyle name="Hyperlink" xfId="4612" builtinId="8" hidden="1"/>
    <cellStyle name="Hyperlink" xfId="4614" builtinId="8" hidden="1"/>
    <cellStyle name="Hyperlink" xfId="4616" builtinId="8" hidden="1"/>
    <cellStyle name="Hyperlink" xfId="4618" builtinId="8" hidden="1"/>
    <cellStyle name="Hyperlink" xfId="4620" builtinId="8" hidden="1"/>
    <cellStyle name="Hyperlink" xfId="4622" builtinId="8" hidden="1"/>
    <cellStyle name="Hyperlink" xfId="4624" builtinId="8" hidden="1"/>
    <cellStyle name="Hyperlink" xfId="4626" builtinId="8" hidden="1"/>
    <cellStyle name="Hyperlink" xfId="4628" builtinId="8" hidden="1"/>
    <cellStyle name="Hyperlink" xfId="4630" builtinId="8" hidden="1"/>
    <cellStyle name="Hyperlink" xfId="4632" builtinId="8" hidden="1"/>
    <cellStyle name="Hyperlink" xfId="4634" builtinId="8" hidden="1"/>
    <cellStyle name="Hyperlink" xfId="4636" builtinId="8" hidden="1"/>
    <cellStyle name="Hyperlink" xfId="4638" builtinId="8" hidden="1"/>
    <cellStyle name="Hyperlink" xfId="4640" builtinId="8" hidden="1"/>
    <cellStyle name="Hyperlink" xfId="4642" builtinId="8" hidden="1"/>
    <cellStyle name="Hyperlink" xfId="4644" builtinId="8" hidden="1"/>
    <cellStyle name="Hyperlink" xfId="4646" builtinId="8" hidden="1"/>
    <cellStyle name="Hyperlink" xfId="4648" builtinId="8" hidden="1"/>
    <cellStyle name="Hyperlink" xfId="4650" builtinId="8" hidden="1"/>
    <cellStyle name="Hyperlink" xfId="4652" builtinId="8" hidden="1"/>
    <cellStyle name="Hyperlink" xfId="4654" builtinId="8" hidden="1"/>
    <cellStyle name="Hyperlink" xfId="4656" builtinId="8" hidden="1"/>
    <cellStyle name="Hyperlink" xfId="4658" builtinId="8" hidden="1"/>
    <cellStyle name="Hyperlink" xfId="4660" builtinId="8" hidden="1"/>
    <cellStyle name="Hyperlink" xfId="4662" builtinId="8" hidden="1"/>
    <cellStyle name="Hyperlink" xfId="4664" builtinId="8" hidden="1"/>
    <cellStyle name="Hyperlink" xfId="4666" builtinId="8" hidden="1"/>
    <cellStyle name="Hyperlink" xfId="4668" builtinId="8" hidden="1"/>
    <cellStyle name="Hyperlink" xfId="4670" builtinId="8" hidden="1"/>
    <cellStyle name="Hyperlink" xfId="4672" builtinId="8" hidden="1"/>
    <cellStyle name="Hyperlink" xfId="4674" builtinId="8" hidden="1"/>
    <cellStyle name="Hyperlink" xfId="4676" builtinId="8" hidden="1"/>
    <cellStyle name="Hyperlink" xfId="4678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70" builtinId="8" hidden="1"/>
    <cellStyle name="Hyperlink" xfId="4772" builtinId="8" hidden="1"/>
    <cellStyle name="Hyperlink" xfId="4774" builtinId="8" hidden="1"/>
    <cellStyle name="Hyperlink" xfId="4776" builtinId="8" hidden="1"/>
    <cellStyle name="Hyperlink" xfId="4778" builtinId="8" hidden="1"/>
    <cellStyle name="Hyperlink" xfId="4780" builtinId="8" hidden="1"/>
    <cellStyle name="Hyperlink" xfId="4782" builtinId="8" hidden="1"/>
    <cellStyle name="Hyperlink" xfId="4784" builtinId="8" hidden="1"/>
    <cellStyle name="Hyperlink" xfId="4786" builtinId="8" hidden="1"/>
    <cellStyle name="Hyperlink" xfId="4788" builtinId="8" hidden="1"/>
    <cellStyle name="Hyperlink" xfId="4790" builtinId="8" hidden="1"/>
    <cellStyle name="Hyperlink" xfId="4792" builtinId="8" hidden="1"/>
    <cellStyle name="Hyperlink" xfId="4794" builtinId="8" hidden="1"/>
    <cellStyle name="Hyperlink" xfId="4796" builtinId="8" hidden="1"/>
    <cellStyle name="Hyperlink" xfId="4798" builtinId="8" hidden="1"/>
    <cellStyle name="Hyperlink" xfId="4800" builtinId="8" hidden="1"/>
    <cellStyle name="Hyperlink" xfId="4802" builtinId="8" hidden="1"/>
    <cellStyle name="Hyperlink" xfId="4804" builtinId="8" hidden="1"/>
    <cellStyle name="Hyperlink" xfId="4806" builtinId="8" hidden="1"/>
    <cellStyle name="Hyperlink" xfId="4808" builtinId="8" hidden="1"/>
    <cellStyle name="Hyperlink" xfId="4810" builtinId="8" hidden="1"/>
    <cellStyle name="Hyperlink" xfId="4812" builtinId="8" hidden="1"/>
    <cellStyle name="Hyperlink" xfId="4814" builtinId="8" hidden="1"/>
    <cellStyle name="Hyperlink" xfId="4816" builtinId="8" hidden="1"/>
    <cellStyle name="Hyperlink" xfId="4818" builtinId="8" hidden="1"/>
    <cellStyle name="Hyperlink" xfId="4820" builtinId="8" hidden="1"/>
    <cellStyle name="Hyperlink" xfId="4822" builtinId="8" hidden="1"/>
    <cellStyle name="Hyperlink" xfId="4824" builtinId="8" hidden="1"/>
    <cellStyle name="Hyperlink" xfId="4826" builtinId="8" hidden="1"/>
    <cellStyle name="Hyperlink" xfId="4828" builtinId="8" hidden="1"/>
    <cellStyle name="Hyperlink" xfId="4830" builtinId="8" hidden="1"/>
    <cellStyle name="Hyperlink" xfId="4832" builtinId="8" hidden="1"/>
    <cellStyle name="Hyperlink" xfId="4834" builtinId="8" hidden="1"/>
    <cellStyle name="Hyperlink" xfId="4836" builtinId="8" hidden="1"/>
    <cellStyle name="Hyperlink" xfId="4838" builtinId="8" hidden="1"/>
    <cellStyle name="Hyperlink" xfId="4840" builtinId="8" hidden="1"/>
    <cellStyle name="Hyperlink" xfId="4842" builtinId="8" hidden="1"/>
    <cellStyle name="Hyperlink" xfId="4844" builtinId="8" hidden="1"/>
    <cellStyle name="Hyperlink" xfId="4846" builtinId="8" hidden="1"/>
    <cellStyle name="Hyperlink" xfId="4848" builtinId="8" hidden="1"/>
    <cellStyle name="Hyperlink" xfId="4850" builtinId="8" hidden="1"/>
    <cellStyle name="Hyperlink" xfId="4852" builtinId="8" hidden="1"/>
    <cellStyle name="Hyperlink" xfId="4854" builtinId="8" hidden="1"/>
    <cellStyle name="Hyperlink" xfId="4856" builtinId="8" hidden="1"/>
    <cellStyle name="Neutral" xfId="3375" builtinId="28"/>
    <cellStyle name="Normal" xfId="0" builtinId="0"/>
    <cellStyle name="Normal 2" xfId="13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B54" sqref="B54:T54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>J44-D44</f>
        <v>4.1995924792870287E-2</v>
      </c>
      <c r="P44" s="3">
        <f>ABS((O44/J44)*100)</f>
        <v>1.3374498341678434</v>
      </c>
      <c r="Q44" s="3">
        <f>K44-E44</f>
        <v>12.700000000000003</v>
      </c>
      <c r="R44" s="5">
        <f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7">J46-D46</f>
        <v>7.3593904049999992E-2</v>
      </c>
      <c r="P46" s="3">
        <f t="shared" ref="P46:P55" si="8">ABS((O46/J46)*100)</f>
        <v>1.9215118550913834</v>
      </c>
      <c r="Q46" s="3">
        <f t="shared" ref="Q46:Q55" si="9">K46-E46</f>
        <v>2.4027375050000188E-2</v>
      </c>
      <c r="R46" s="7">
        <f t="shared" ref="R46:R55" si="10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7"/>
        <v>4.3430662820000077E-2</v>
      </c>
      <c r="P47" s="3">
        <f t="shared" si="8"/>
        <v>3.3667180480620216</v>
      </c>
      <c r="Q47" s="3">
        <f t="shared" si="9"/>
        <v>0.95047287899998878</v>
      </c>
      <c r="R47" s="3">
        <f t="shared" si="10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7"/>
        <v>5.7547386290000446E-2</v>
      </c>
      <c r="P48" s="3">
        <f t="shared" si="8"/>
        <v>1.2961123038288387</v>
      </c>
      <c r="Q48" s="3">
        <f t="shared" si="9"/>
        <v>-0.43385147500001153</v>
      </c>
      <c r="R48" s="7">
        <f t="shared" si="10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7"/>
        <v>6.587977328000072E-2</v>
      </c>
      <c r="P49" s="3">
        <f t="shared" si="8"/>
        <v>0.880745632085571</v>
      </c>
      <c r="Q49" s="3">
        <f t="shared" si="9"/>
        <v>0.22561538200000086</v>
      </c>
      <c r="R49" s="7">
        <f t="shared" si="10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7"/>
        <v>3.5120726237479971E-2</v>
      </c>
      <c r="P50" s="3">
        <f t="shared" si="8"/>
        <v>0.86717842561678937</v>
      </c>
      <c r="Q50" s="3">
        <f t="shared" si="9"/>
        <v>-0.10536636048276993</v>
      </c>
      <c r="R50" s="7">
        <f t="shared" si="10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7"/>
        <v>5.6914999163260038E-2</v>
      </c>
      <c r="P51" s="3">
        <f t="shared" si="8"/>
        <v>1.7405198520874627</v>
      </c>
      <c r="Q51" s="3">
        <f t="shared" si="9"/>
        <v>2.0675221622980189E-2</v>
      </c>
      <c r="R51" s="7">
        <f t="shared" si="10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7"/>
        <v>-3.6986872700999984E-2</v>
      </c>
      <c r="P52" s="3">
        <f t="shared" si="8"/>
        <v>7.7055984793749976</v>
      </c>
      <c r="Q52" s="3">
        <f t="shared" si="9"/>
        <v>0.46868309900000327</v>
      </c>
      <c r="R52" s="7">
        <f t="shared" si="10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7"/>
        <v>-4.6220554862000052E-2</v>
      </c>
      <c r="P53" s="3">
        <f t="shared" si="8"/>
        <v>6.6029364088571505</v>
      </c>
      <c r="Q53" s="3">
        <f t="shared" si="9"/>
        <v>1.0105885579000002</v>
      </c>
      <c r="R53" s="3">
        <f t="shared" si="10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7"/>
        <v>1.1366984249999934E-2</v>
      </c>
      <c r="P54" s="3">
        <f t="shared" si="8"/>
        <v>0.52382415898617218</v>
      </c>
      <c r="Q54" s="3">
        <f t="shared" si="9"/>
        <v>-179.87405452000002</v>
      </c>
      <c r="R54" s="6">
        <f t="shared" si="10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7"/>
        <v>6.6502735769999877E-3</v>
      </c>
      <c r="P55" s="3">
        <f t="shared" si="8"/>
        <v>0.87503599697368262</v>
      </c>
      <c r="Q55" s="3">
        <f t="shared" si="9"/>
        <v>1.0593765985999966</v>
      </c>
      <c r="R55" s="3">
        <f t="shared" si="10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>H61-G61</f>
        <v>1.08</v>
      </c>
      <c r="J61">
        <v>0.155</v>
      </c>
      <c r="K61">
        <v>300.89999999999998</v>
      </c>
      <c r="L61" s="12"/>
      <c r="M61" s="3">
        <f>I61-C61</f>
        <v>0.34532763173414005</v>
      </c>
      <c r="N61" s="6">
        <f>ABS((M61/I61)*100)</f>
        <v>31.97478071612408</v>
      </c>
      <c r="O61" s="3">
        <f>J61-D61</f>
        <v>6.9053794013169967E-3</v>
      </c>
      <c r="P61" s="3">
        <f>ABS((O61/J61)*100)</f>
        <v>4.4550834847206424</v>
      </c>
      <c r="Q61" s="3">
        <f>K61-E61</f>
        <v>-15.709373171337006</v>
      </c>
      <c r="R61" s="7">
        <f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>H62-G62</f>
        <v>7.1800000000000006</v>
      </c>
      <c r="J62">
        <v>5.35</v>
      </c>
      <c r="K62">
        <v>310.5</v>
      </c>
      <c r="L62" s="12"/>
      <c r="M62" s="3">
        <f>I62-C62</f>
        <v>6.9728111029270679E-2</v>
      </c>
      <c r="N62" s="3">
        <f>ABS((M62/I62)*100)</f>
        <v>0.97114360765000929</v>
      </c>
      <c r="O62" s="3">
        <f>J62-D62</f>
        <v>2.7239679294989827E-2</v>
      </c>
      <c r="P62" s="3">
        <f>ABS((O62/J62)*100)</f>
        <v>0.50915288401850145</v>
      </c>
      <c r="Q62" s="3">
        <f>K62-E62</f>
        <v>-0.43383485591101589</v>
      </c>
      <c r="R62" s="7">
        <f>ABS(100*Q62/K62)</f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Y219"/>
  <sheetViews>
    <sheetView topLeftCell="A8" workbookViewId="0">
      <selection activeCell="L219" sqref="L219"/>
    </sheetView>
  </sheetViews>
  <sheetFormatPr baseColWidth="10" defaultRowHeight="15" x14ac:dyDescent="0"/>
  <cols>
    <col min="1" max="2" width="10.83203125" style="1"/>
    <col min="3" max="4" width="11.83203125" style="1" customWidth="1"/>
    <col min="5" max="5" width="13.5" style="1" customWidth="1"/>
    <col min="6" max="6" width="13.33203125" style="1" customWidth="1"/>
    <col min="7" max="7" width="13" style="1" customWidth="1"/>
    <col min="8" max="21" width="10.83203125" style="1"/>
    <col min="22" max="26" width="11.6640625" style="1" customWidth="1"/>
    <col min="27" max="27" width="10.83203125" style="1"/>
    <col min="28" max="32" width="12.6640625" style="1" customWidth="1"/>
    <col min="33" max="34" width="10.83203125" style="1"/>
    <col min="35" max="35" width="40.6640625" style="1" customWidth="1"/>
    <col min="36" max="36" width="118.33203125" style="1" customWidth="1"/>
    <col min="37" max="16384" width="10.83203125" style="1"/>
  </cols>
  <sheetData>
    <row r="1" spans="1:51">
      <c r="A1" s="77" t="s">
        <v>687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830</v>
      </c>
      <c r="I1" s="75" t="s">
        <v>831</v>
      </c>
      <c r="J1" s="75" t="s">
        <v>832</v>
      </c>
      <c r="K1" s="77" t="s">
        <v>679</v>
      </c>
      <c r="L1" s="77" t="s">
        <v>870</v>
      </c>
      <c r="M1" s="75" t="s">
        <v>680</v>
      </c>
      <c r="N1" s="75" t="s">
        <v>859</v>
      </c>
      <c r="O1" s="75" t="s">
        <v>860</v>
      </c>
      <c r="P1" s="75" t="s">
        <v>861</v>
      </c>
      <c r="Q1" s="77" t="s">
        <v>679</v>
      </c>
      <c r="R1" s="75" t="s">
        <v>680</v>
      </c>
      <c r="S1" s="75"/>
      <c r="T1" s="77" t="s">
        <v>833</v>
      </c>
      <c r="U1" s="77" t="s">
        <v>834</v>
      </c>
      <c r="V1" s="77" t="s">
        <v>690</v>
      </c>
      <c r="W1" s="77" t="s">
        <v>691</v>
      </c>
      <c r="X1" s="77" t="s">
        <v>692</v>
      </c>
      <c r="Y1" s="77" t="s">
        <v>835</v>
      </c>
      <c r="Z1" s="77" t="s">
        <v>836</v>
      </c>
      <c r="AA1" s="77" t="s">
        <v>690</v>
      </c>
      <c r="AB1" s="77" t="s">
        <v>691</v>
      </c>
      <c r="AC1" s="77" t="s">
        <v>693</v>
      </c>
      <c r="AD1" s="77" t="s">
        <v>837</v>
      </c>
      <c r="AE1" s="77" t="s">
        <v>838</v>
      </c>
      <c r="AF1" s="77" t="s">
        <v>690</v>
      </c>
      <c r="AG1" s="77" t="s">
        <v>691</v>
      </c>
      <c r="AH1" s="77" t="s">
        <v>694</v>
      </c>
      <c r="AI1" s="77" t="s">
        <v>64</v>
      </c>
      <c r="AJ1" s="77" t="s">
        <v>123</v>
      </c>
      <c r="AK1" s="4"/>
      <c r="AL1" s="77"/>
      <c r="AM1" s="77"/>
      <c r="AN1" s="77"/>
      <c r="AO1" s="77"/>
      <c r="AP1" s="77"/>
      <c r="AQ1" s="77"/>
      <c r="AT1" s="24"/>
      <c r="AU1" s="24"/>
      <c r="AV1" s="24"/>
      <c r="AW1" s="24"/>
      <c r="AX1" s="24"/>
      <c r="AY1" s="24"/>
    </row>
    <row r="2" spans="1:51">
      <c r="A2" s="56">
        <v>0</v>
      </c>
      <c r="B2" s="76" t="s">
        <v>91</v>
      </c>
      <c r="C2" s="4" t="s">
        <v>28</v>
      </c>
      <c r="D2" s="28" t="s">
        <v>173</v>
      </c>
      <c r="E2" s="113">
        <f>'2MASS Binaries'!J2</f>
        <v>0.21215998882512821</v>
      </c>
      <c r="F2" s="114">
        <f>'2MASS Binaries'!K2</f>
        <v>0.22715998882512789</v>
      </c>
      <c r="G2" s="115">
        <f>'2MASS Binaries'!L2</f>
        <v>0.2351599888251279</v>
      </c>
      <c r="H2" s="113">
        <v>3.9969999999999999</v>
      </c>
      <c r="I2" s="114">
        <v>4.0510000000000002</v>
      </c>
      <c r="J2" s="115">
        <v>4.1760000000000002</v>
      </c>
      <c r="K2" s="4">
        <f t="shared" ref="K2:K35" si="0">STDEV(H2,I2,J2)</f>
        <v>9.1816846674961317E-2</v>
      </c>
      <c r="L2" s="4">
        <f>(H2*1/X2^2+I2*1/AC2^2+J2*1/AH2^2)/(1/X2^2 + 1/AC2^2 + 1/AH2^2)</f>
        <v>4.073093067155992</v>
      </c>
      <c r="M2" s="53">
        <f>K2/L2</f>
        <v>2.254229038254502E-2</v>
      </c>
      <c r="N2" s="167">
        <f>H3/H2</f>
        <v>0.41681260945709281</v>
      </c>
      <c r="O2" s="176">
        <f>I3/I2</f>
        <v>0.40755369044680323</v>
      </c>
      <c r="P2" s="177">
        <f>J3/J2</f>
        <v>0.36805555555555552</v>
      </c>
      <c r="Q2" s="4">
        <f t="shared" ref="Q2" si="1">STDEV(N2,O2,P2)</f>
        <v>2.5894273968980454E-2</v>
      </c>
      <c r="R2" s="53">
        <f t="shared" ref="R2" si="2">Q2/(AVERAGE(N2,O2,P2))</f>
        <v>6.5147096685014574E-2</v>
      </c>
      <c r="S2" s="164" t="b">
        <f>IF(Q2&gt;0.05, TRUE, FALSE)</f>
        <v>0</v>
      </c>
      <c r="T2" s="113">
        <v>3.9489999999999998</v>
      </c>
      <c r="U2" s="114">
        <v>4.0430000000000001</v>
      </c>
      <c r="V2" s="122">
        <f t="shared" ref="V2:V33" si="3">ABS(T2-H2)</f>
        <v>4.8000000000000043E-2</v>
      </c>
      <c r="W2" s="122">
        <f t="shared" ref="W2:W33" si="4">ABS(U2-H2)</f>
        <v>4.6000000000000263E-2</v>
      </c>
      <c r="X2" s="123">
        <f>AVERAGE(V2, W2)</f>
        <v>4.7000000000000153E-2</v>
      </c>
      <c r="Y2" s="113">
        <v>4.0039999999999996</v>
      </c>
      <c r="Z2" s="114">
        <v>4.0970000000000004</v>
      </c>
      <c r="AA2" s="122">
        <f t="shared" ref="AA2:AA33" si="5">ABS(Y2-I2)</f>
        <v>4.7000000000000597E-2</v>
      </c>
      <c r="AB2" s="122">
        <f t="shared" ref="AB2:AB33" si="6">ABS(Z2-I2)</f>
        <v>4.6000000000000263E-2</v>
      </c>
      <c r="AC2" s="130">
        <f>AVERAGE(AA2, AB2)</f>
        <v>4.650000000000043E-2</v>
      </c>
      <c r="AD2" s="133">
        <v>4.1280000000000001</v>
      </c>
      <c r="AE2" s="134">
        <v>4.2240000000000002</v>
      </c>
      <c r="AF2" s="135">
        <f t="shared" ref="AF2:AF33" si="7">ABS(AD2-J2)</f>
        <v>4.8000000000000043E-2</v>
      </c>
      <c r="AG2" s="122">
        <f t="shared" ref="AG2:AG33" si="8">ABS(AE2-J2)</f>
        <v>4.8000000000000043E-2</v>
      </c>
      <c r="AH2" s="130">
        <f>AVERAGE(AF2, AG2)</f>
        <v>4.8000000000000043E-2</v>
      </c>
      <c r="AI2" s="4"/>
      <c r="AJ2" s="28" t="s">
        <v>676</v>
      </c>
      <c r="AK2" s="78"/>
      <c r="AL2" s="4"/>
      <c r="AM2" s="4"/>
      <c r="AN2" s="4"/>
      <c r="AO2" s="4"/>
      <c r="AP2" s="4"/>
      <c r="AQ2" s="4"/>
      <c r="AS2" s="65"/>
      <c r="AT2" s="4"/>
      <c r="AU2" s="4"/>
      <c r="AV2" s="4"/>
      <c r="AW2" s="4"/>
      <c r="AX2" s="4"/>
      <c r="AY2" s="4"/>
    </row>
    <row r="3" spans="1:51">
      <c r="A3" s="56">
        <v>1</v>
      </c>
      <c r="B3" s="4"/>
      <c r="C3" s="4"/>
      <c r="D3" s="28"/>
      <c r="E3" s="90">
        <f>'2MASS Binaries'!J3</f>
        <v>2.2421599888251311</v>
      </c>
      <c r="F3" s="92">
        <f>'2MASS Binaries'!K3</f>
        <v>2.1711599888251261</v>
      </c>
      <c r="G3" s="102">
        <f>'2MASS Binaries'!L3</f>
        <v>2.300659988825112</v>
      </c>
      <c r="H3" s="90">
        <v>1.6659999999999999</v>
      </c>
      <c r="I3" s="92">
        <v>1.651</v>
      </c>
      <c r="J3" s="102">
        <v>1.5369999999999999</v>
      </c>
      <c r="K3" s="4">
        <f t="shared" si="0"/>
        <v>7.0547856097829112E-2</v>
      </c>
      <c r="L3" s="4">
        <f t="shared" ref="L3:L66" si="9">(H3*1/X3^2+I3*1/AC3^2+J3*1/AH3^2)/(1/X3^2 + 1/AC3^2 + 1/AH3^2)</f>
        <v>1.6211557078786245</v>
      </c>
      <c r="M3" s="53">
        <f t="shared" ref="M3:M66" si="10">K3/L3</f>
        <v>4.3517014284917173E-2</v>
      </c>
      <c r="N3" s="168"/>
      <c r="O3" s="169"/>
      <c r="P3" s="170"/>
      <c r="Q3" s="53"/>
      <c r="R3" s="53"/>
      <c r="S3" s="164"/>
      <c r="T3" s="90">
        <v>1.6419999999999999</v>
      </c>
      <c r="U3" s="92">
        <v>1.6890000000000001</v>
      </c>
      <c r="V3" s="124">
        <f t="shared" si="3"/>
        <v>2.4000000000000021E-2</v>
      </c>
      <c r="W3" s="124">
        <f t="shared" si="4"/>
        <v>2.3000000000000131E-2</v>
      </c>
      <c r="X3" s="125">
        <f t="shared" ref="X3:X68" si="11">AVERAGE(V3, W3)</f>
        <v>2.3500000000000076E-2</v>
      </c>
      <c r="Y3" s="90">
        <v>1.619</v>
      </c>
      <c r="Z3" s="92">
        <v>1.6819999999999999</v>
      </c>
      <c r="AA3" s="124">
        <f t="shared" si="5"/>
        <v>3.2000000000000028E-2</v>
      </c>
      <c r="AB3" s="124">
        <f t="shared" si="6"/>
        <v>3.0999999999999917E-2</v>
      </c>
      <c r="AC3" s="131">
        <f t="shared" ref="AC3:AC68" si="12">AVERAGE(AA3, AB3)</f>
        <v>3.1499999999999972E-2</v>
      </c>
      <c r="AD3" s="117">
        <v>1.51</v>
      </c>
      <c r="AE3" s="101">
        <v>1.5649999999999999</v>
      </c>
      <c r="AF3" s="136">
        <f t="shared" si="7"/>
        <v>2.6999999999999913E-2</v>
      </c>
      <c r="AG3" s="124">
        <f t="shared" si="8"/>
        <v>2.8000000000000025E-2</v>
      </c>
      <c r="AH3" s="131">
        <f t="shared" ref="AH3:AH68" si="13">AVERAGE(AF3, AG3)</f>
        <v>2.7499999999999969E-2</v>
      </c>
      <c r="AI3" s="4"/>
      <c r="AJ3" s="28" t="s">
        <v>677</v>
      </c>
      <c r="AK3" s="4"/>
      <c r="AL3" s="4"/>
      <c r="AM3" s="4"/>
      <c r="AN3" s="4"/>
      <c r="AO3" s="4"/>
      <c r="AP3" s="4"/>
      <c r="AQ3" s="4"/>
      <c r="AT3" s="4"/>
      <c r="AU3" s="4"/>
      <c r="AV3" s="4"/>
      <c r="AW3" s="4"/>
      <c r="AX3" s="4"/>
      <c r="AY3" s="4"/>
    </row>
    <row r="4" spans="1:51">
      <c r="A4" s="56">
        <v>2</v>
      </c>
      <c r="B4" s="4"/>
      <c r="C4" s="4" t="s">
        <v>29</v>
      </c>
      <c r="D4" s="28" t="s">
        <v>174</v>
      </c>
      <c r="E4" s="90">
        <f>'2MASS Binaries'!J4</f>
        <v>2.4171599888251283</v>
      </c>
      <c r="F4" s="92">
        <f>'2MASS Binaries'!K4</f>
        <v>2.4191599888251289</v>
      </c>
      <c r="G4" s="102">
        <f>'2MASS Binaries'!L4</f>
        <v>2.3781599888251286</v>
      </c>
      <c r="H4" s="90">
        <v>1.57</v>
      </c>
      <c r="I4" s="92">
        <v>1.4890000000000001</v>
      </c>
      <c r="J4" s="102">
        <v>1.49</v>
      </c>
      <c r="K4" s="4">
        <f t="shared" si="0"/>
        <v>4.6479386111838161E-2</v>
      </c>
      <c r="L4" s="4">
        <f t="shared" si="9"/>
        <v>1.5197332683560754</v>
      </c>
      <c r="M4" s="53">
        <f t="shared" si="10"/>
        <v>3.0583910400353218E-2</v>
      </c>
      <c r="N4" s="178">
        <f t="shared" ref="N4" si="14">H5/H4</f>
        <v>0.52484076433121019</v>
      </c>
      <c r="O4" s="175">
        <f t="shared" ref="O4" si="15">I5/I4</f>
        <v>0.51175285426460704</v>
      </c>
      <c r="P4" s="179">
        <f t="shared" ref="P4" si="16">J5/J4</f>
        <v>0.50671140939597314</v>
      </c>
      <c r="Q4" s="4">
        <f t="shared" ref="Q4" si="17">STDEV(N4,O4,P4)</f>
        <v>9.3575554735444554E-3</v>
      </c>
      <c r="R4" s="53">
        <f t="shared" ref="R4" si="18">Q4/(AVERAGE(N4,O4,P4))</f>
        <v>1.8189966281106872E-2</v>
      </c>
      <c r="S4" s="164" t="b">
        <f t="shared" ref="S4" si="19">IF(Q4&gt;0.05, TRUE, FALSE)</f>
        <v>0</v>
      </c>
      <c r="T4" s="90">
        <v>1.554</v>
      </c>
      <c r="U4" s="92">
        <v>1.585</v>
      </c>
      <c r="V4" s="124">
        <f t="shared" si="3"/>
        <v>1.6000000000000014E-2</v>
      </c>
      <c r="W4" s="124">
        <f t="shared" si="4"/>
        <v>1.4999999999999902E-2</v>
      </c>
      <c r="X4" s="125">
        <f t="shared" si="11"/>
        <v>1.5499999999999958E-2</v>
      </c>
      <c r="Y4" s="90">
        <v>1.472</v>
      </c>
      <c r="Z4" s="92">
        <v>1.506</v>
      </c>
      <c r="AA4" s="124">
        <f t="shared" si="5"/>
        <v>1.7000000000000126E-2</v>
      </c>
      <c r="AB4" s="124">
        <f t="shared" si="6"/>
        <v>1.6999999999999904E-2</v>
      </c>
      <c r="AC4" s="131">
        <f t="shared" si="12"/>
        <v>1.7000000000000015E-2</v>
      </c>
      <c r="AD4" s="117">
        <v>1.4730000000000001</v>
      </c>
      <c r="AE4" s="101">
        <v>1.5069999999999999</v>
      </c>
      <c r="AF4" s="136">
        <f t="shared" si="7"/>
        <v>1.6999999999999904E-2</v>
      </c>
      <c r="AG4" s="124">
        <f t="shared" si="8"/>
        <v>1.6999999999999904E-2</v>
      </c>
      <c r="AH4" s="131">
        <f t="shared" si="13"/>
        <v>1.6999999999999904E-2</v>
      </c>
      <c r="AI4" s="4"/>
      <c r="AJ4" s="28" t="s">
        <v>678</v>
      </c>
      <c r="AK4" s="4"/>
      <c r="AL4" s="4"/>
      <c r="AM4" s="4"/>
      <c r="AN4" s="4"/>
      <c r="AO4" s="4"/>
      <c r="AP4" s="4"/>
      <c r="AQ4" s="4"/>
      <c r="AT4" s="4"/>
      <c r="AU4" s="4"/>
      <c r="AV4" s="4"/>
      <c r="AW4" s="4"/>
      <c r="AX4" s="4"/>
      <c r="AY4" s="4"/>
    </row>
    <row r="5" spans="1:51">
      <c r="A5" s="56">
        <v>3</v>
      </c>
      <c r="B5" s="4"/>
      <c r="C5" s="4"/>
      <c r="D5" s="28"/>
      <c r="E5" s="90">
        <f>'2MASS Binaries'!J5</f>
        <v>4.7131599888251436</v>
      </c>
      <c r="F5" s="92">
        <f>'2MASS Binaries'!K5</f>
        <v>4.4331599888251301</v>
      </c>
      <c r="G5" s="102">
        <f>'2MASS Binaries'!L5</f>
        <v>4.3626599888251238</v>
      </c>
      <c r="H5" s="90">
        <v>0.82399999999999995</v>
      </c>
      <c r="I5" s="92">
        <v>0.76200000000000001</v>
      </c>
      <c r="J5" s="102">
        <v>0.755</v>
      </c>
      <c r="K5" s="4">
        <f t="shared" si="0"/>
        <v>3.7978063843926158E-2</v>
      </c>
      <c r="L5" s="4">
        <f t="shared" si="9"/>
        <v>0.7696341301460824</v>
      </c>
      <c r="M5" s="53">
        <f t="shared" si="10"/>
        <v>4.9345607680778961E-2</v>
      </c>
      <c r="N5" s="168"/>
      <c r="O5" s="169"/>
      <c r="P5" s="170"/>
      <c r="Q5" s="53"/>
      <c r="R5" s="53"/>
      <c r="S5" s="164"/>
      <c r="T5" s="90">
        <v>0.81200000000000006</v>
      </c>
      <c r="U5" s="92">
        <v>0.83699999999999997</v>
      </c>
      <c r="V5" s="124">
        <f t="shared" si="3"/>
        <v>1.19999999999999E-2</v>
      </c>
      <c r="W5" s="124">
        <f t="shared" si="4"/>
        <v>1.3000000000000012E-2</v>
      </c>
      <c r="X5" s="125">
        <f t="shared" si="11"/>
        <v>1.2499999999999956E-2</v>
      </c>
      <c r="Y5" s="90">
        <v>0.754</v>
      </c>
      <c r="Z5" s="92">
        <v>0.77</v>
      </c>
      <c r="AA5" s="124">
        <f t="shared" si="5"/>
        <v>8.0000000000000071E-3</v>
      </c>
      <c r="AB5" s="124">
        <f t="shared" si="6"/>
        <v>8.0000000000000071E-3</v>
      </c>
      <c r="AC5" s="131">
        <f t="shared" si="12"/>
        <v>8.0000000000000071E-3</v>
      </c>
      <c r="AD5" s="117">
        <v>0.747</v>
      </c>
      <c r="AE5" s="101">
        <v>0.76300000000000001</v>
      </c>
      <c r="AF5" s="136">
        <f t="shared" si="7"/>
        <v>8.0000000000000071E-3</v>
      </c>
      <c r="AG5" s="124">
        <f t="shared" si="8"/>
        <v>8.0000000000000071E-3</v>
      </c>
      <c r="AH5" s="131">
        <f t="shared" si="13"/>
        <v>8.0000000000000071E-3</v>
      </c>
      <c r="AI5" s="4"/>
      <c r="AJ5" s="28" t="s">
        <v>683</v>
      </c>
      <c r="AK5" s="4"/>
      <c r="AL5" s="4"/>
      <c r="AM5" s="4"/>
      <c r="AN5" s="4"/>
      <c r="AO5" s="4"/>
      <c r="AP5" s="4"/>
      <c r="AQ5" s="4"/>
      <c r="AT5" s="4"/>
      <c r="AU5" s="4"/>
      <c r="AV5" s="4"/>
      <c r="AW5" s="4"/>
      <c r="AX5" s="4"/>
      <c r="AY5" s="4"/>
    </row>
    <row r="6" spans="1:51">
      <c r="A6" s="56">
        <v>4</v>
      </c>
      <c r="B6" s="28"/>
      <c r="C6" s="28" t="s">
        <v>19</v>
      </c>
      <c r="D6" s="28" t="s">
        <v>187</v>
      </c>
      <c r="E6" s="117">
        <f>'2MASS Binaries'!J6</f>
        <v>2.2311599888251283</v>
      </c>
      <c r="F6" s="101">
        <f>'2MASS Binaries'!K6</f>
        <v>2.0441599888251281</v>
      </c>
      <c r="G6" s="116">
        <f>'2MASS Binaries'!L6</f>
        <v>1.9991599888251281</v>
      </c>
      <c r="H6" s="117">
        <v>1.6719999999999999</v>
      </c>
      <c r="I6" s="101">
        <v>1.732</v>
      </c>
      <c r="J6" s="116">
        <v>1.74</v>
      </c>
      <c r="K6" s="28">
        <f t="shared" ref="K6:K7" si="20">STDEV(H6,I6,J6)</f>
        <v>3.7166292972710312E-2</v>
      </c>
      <c r="L6" s="4">
        <f t="shared" si="9"/>
        <v>1.7146666666666668</v>
      </c>
      <c r="M6" s="53">
        <f t="shared" si="10"/>
        <v>2.1675520785017676E-2</v>
      </c>
      <c r="N6" s="178">
        <f t="shared" ref="N6" si="21">H7/H6</f>
        <v>0.88157894736842113</v>
      </c>
      <c r="O6" s="175">
        <f t="shared" ref="O6" si="22">I7/I6</f>
        <v>0.86085450346420334</v>
      </c>
      <c r="P6" s="179">
        <f t="shared" ref="P6" si="23">J7/J6</f>
        <v>0.86609195402298844</v>
      </c>
      <c r="Q6" s="28">
        <f t="shared" ref="Q6" si="24">STDEV(N6,O6,P6)</f>
        <v>1.0776366319994454E-2</v>
      </c>
      <c r="R6" s="53">
        <f t="shared" ref="R6" si="25">Q6/(AVERAGE(N6,O6,P6))</f>
        <v>1.2393630094537202E-2</v>
      </c>
      <c r="S6" s="164" t="b">
        <f t="shared" ref="S6" si="26">IF(Q6&gt;0.05, TRUE, FALSE)</f>
        <v>0</v>
      </c>
      <c r="T6" s="117">
        <v>1.655</v>
      </c>
      <c r="U6" s="101">
        <v>1.6890000000000001</v>
      </c>
      <c r="V6" s="136">
        <f t="shared" si="3"/>
        <v>1.6999999999999904E-2</v>
      </c>
      <c r="W6" s="136">
        <f t="shared" si="4"/>
        <v>1.7000000000000126E-2</v>
      </c>
      <c r="X6" s="125">
        <f t="shared" si="11"/>
        <v>1.7000000000000015E-2</v>
      </c>
      <c r="Y6" s="117">
        <v>1.7150000000000001</v>
      </c>
      <c r="Z6" s="101">
        <v>1.7490000000000001</v>
      </c>
      <c r="AA6" s="136">
        <f t="shared" si="5"/>
        <v>1.6999999999999904E-2</v>
      </c>
      <c r="AB6" s="136">
        <f t="shared" si="6"/>
        <v>1.7000000000000126E-2</v>
      </c>
      <c r="AC6" s="170">
        <f t="shared" si="12"/>
        <v>1.7000000000000015E-2</v>
      </c>
      <c r="AD6" s="117">
        <v>1.7230000000000001</v>
      </c>
      <c r="AE6" s="101">
        <v>1.7569999999999999</v>
      </c>
      <c r="AF6" s="136">
        <f t="shared" si="7"/>
        <v>1.6999999999999904E-2</v>
      </c>
      <c r="AG6" s="136">
        <f t="shared" si="8"/>
        <v>1.6999999999999904E-2</v>
      </c>
      <c r="AH6" s="170">
        <f t="shared" si="13"/>
        <v>1.6999999999999904E-2</v>
      </c>
      <c r="AI6" s="28" t="s">
        <v>848</v>
      </c>
      <c r="AJ6" s="28"/>
      <c r="AK6" s="4"/>
      <c r="AL6" s="4"/>
      <c r="AM6" s="4"/>
      <c r="AN6" s="4"/>
      <c r="AO6" s="4"/>
      <c r="AP6" s="4"/>
      <c r="AQ6" s="4"/>
      <c r="AT6" s="4"/>
      <c r="AU6" s="4"/>
      <c r="AV6" s="4"/>
      <c r="AW6" s="4"/>
      <c r="AX6" s="4"/>
      <c r="AY6" s="4"/>
    </row>
    <row r="7" spans="1:51">
      <c r="A7" s="56">
        <v>5</v>
      </c>
      <c r="B7" s="28"/>
      <c r="C7" s="28"/>
      <c r="D7" s="28"/>
      <c r="E7" s="117">
        <f>'2MASS Binaries'!J7</f>
        <v>2.6176599888251264</v>
      </c>
      <c r="F7" s="101">
        <f>'2MASS Binaries'!K7</f>
        <v>2.4156599888251273</v>
      </c>
      <c r="G7" s="116">
        <f>'2MASS Binaries'!L7</f>
        <v>2.3476599888251277</v>
      </c>
      <c r="H7" s="117">
        <v>1.474</v>
      </c>
      <c r="I7" s="101">
        <v>1.4910000000000001</v>
      </c>
      <c r="J7" s="116">
        <v>1.5069999999999999</v>
      </c>
      <c r="K7" s="28">
        <f t="shared" si="20"/>
        <v>1.6502525059315376E-2</v>
      </c>
      <c r="L7" s="4">
        <f t="shared" si="9"/>
        <v>1.4872797397641577</v>
      </c>
      <c r="M7" s="53">
        <f t="shared" si="10"/>
        <v>1.1095777491013379E-2</v>
      </c>
      <c r="N7" s="168"/>
      <c r="O7" s="169"/>
      <c r="P7" s="170"/>
      <c r="Q7" s="53"/>
      <c r="R7" s="53"/>
      <c r="S7" s="164"/>
      <c r="T7" s="117">
        <v>1.4550000000000001</v>
      </c>
      <c r="U7" s="101">
        <v>1.4930000000000001</v>
      </c>
      <c r="V7" s="136">
        <f t="shared" si="3"/>
        <v>1.8999999999999906E-2</v>
      </c>
      <c r="W7" s="136">
        <f t="shared" si="4"/>
        <v>1.9000000000000128E-2</v>
      </c>
      <c r="X7" s="125">
        <f t="shared" si="11"/>
        <v>1.9000000000000017E-2</v>
      </c>
      <c r="Y7" s="117">
        <v>1.4670000000000001</v>
      </c>
      <c r="Z7" s="101">
        <v>1.5149999999999999</v>
      </c>
      <c r="AA7" s="136">
        <f t="shared" si="5"/>
        <v>2.4000000000000021E-2</v>
      </c>
      <c r="AB7" s="136">
        <f t="shared" si="6"/>
        <v>2.3999999999999799E-2</v>
      </c>
      <c r="AC7" s="170">
        <f t="shared" si="12"/>
        <v>2.399999999999991E-2</v>
      </c>
      <c r="AD7" s="117">
        <v>1.4830000000000001</v>
      </c>
      <c r="AE7" s="101">
        <v>1.534</v>
      </c>
      <c r="AF7" s="136">
        <f t="shared" si="7"/>
        <v>2.3999999999999799E-2</v>
      </c>
      <c r="AG7" s="136">
        <f t="shared" si="8"/>
        <v>2.7000000000000135E-2</v>
      </c>
      <c r="AH7" s="170">
        <f t="shared" si="13"/>
        <v>2.5499999999999967E-2</v>
      </c>
      <c r="AI7" s="28"/>
      <c r="AJ7" s="28"/>
      <c r="AK7" s="4"/>
      <c r="AL7" s="4"/>
      <c r="AM7" s="4"/>
      <c r="AN7" s="4"/>
      <c r="AO7" s="4"/>
      <c r="AP7" s="4"/>
      <c r="AQ7" s="4"/>
      <c r="AT7" s="4"/>
      <c r="AU7" s="4"/>
      <c r="AV7" s="4"/>
      <c r="AW7" s="4"/>
      <c r="AX7" s="4"/>
      <c r="AY7" s="4"/>
    </row>
    <row r="8" spans="1:51">
      <c r="A8" s="56">
        <v>6</v>
      </c>
      <c r="B8" s="4"/>
      <c r="C8" s="4" t="s">
        <v>166</v>
      </c>
      <c r="D8" s="28" t="s">
        <v>175</v>
      </c>
      <c r="E8" s="117">
        <f>'2MASS Binaries'!J8</f>
        <v>0.77115998882512837</v>
      </c>
      <c r="F8" s="101">
        <f>'2MASS Binaries'!K8</f>
        <v>0.79315998882512773</v>
      </c>
      <c r="G8" s="116">
        <f>'2MASS Binaries'!L8</f>
        <v>0.8031599888251284</v>
      </c>
      <c r="H8" s="117">
        <v>3.1880000000000002</v>
      </c>
      <c r="I8" s="101">
        <v>3.2170000000000001</v>
      </c>
      <c r="J8" s="116">
        <v>3.246</v>
      </c>
      <c r="K8" s="4">
        <f t="shared" si="0"/>
        <v>2.8999999999999915E-2</v>
      </c>
      <c r="L8" s="4">
        <f t="shared" si="9"/>
        <v>3.2154109604149097</v>
      </c>
      <c r="M8" s="53">
        <f t="shared" si="10"/>
        <v>9.0190648588999705E-3</v>
      </c>
      <c r="N8" s="178">
        <f t="shared" ref="N8" si="27">H9/H8</f>
        <v>0.18036386449184438</v>
      </c>
      <c r="O8" s="175">
        <f t="shared" ref="O8" si="28">I9/I8</f>
        <v>0.2064034815045073</v>
      </c>
      <c r="P8" s="179">
        <f t="shared" ref="P8" si="29">J9/J8</f>
        <v>0.19839802834257547</v>
      </c>
      <c r="Q8" s="4">
        <f t="shared" ref="Q8" si="30">STDEV(N8,O8,P8)</f>
        <v>1.333779092334424E-2</v>
      </c>
      <c r="R8" s="53">
        <f t="shared" ref="R8" si="31">Q8/(AVERAGE(N8,O8,P8))</f>
        <v>6.837959750307615E-2</v>
      </c>
      <c r="S8" s="164" t="b">
        <f t="shared" ref="S8" si="32">IF(Q8&gt;0.05, TRUE, FALSE)</f>
        <v>0</v>
      </c>
      <c r="T8" s="90">
        <v>3.153</v>
      </c>
      <c r="U8" s="92">
        <v>3.2229999999999999</v>
      </c>
      <c r="V8" s="124">
        <f t="shared" si="3"/>
        <v>3.5000000000000142E-2</v>
      </c>
      <c r="W8" s="124">
        <f t="shared" si="4"/>
        <v>3.4999999999999698E-2</v>
      </c>
      <c r="X8" s="125">
        <f t="shared" si="11"/>
        <v>3.499999999999992E-2</v>
      </c>
      <c r="Y8" s="90">
        <v>3.181</v>
      </c>
      <c r="Z8" s="92">
        <v>3.254</v>
      </c>
      <c r="AA8" s="124">
        <f t="shared" si="5"/>
        <v>3.6000000000000032E-2</v>
      </c>
      <c r="AB8" s="124">
        <f t="shared" si="6"/>
        <v>3.6999999999999922E-2</v>
      </c>
      <c r="AC8" s="131">
        <f t="shared" si="12"/>
        <v>3.6499999999999977E-2</v>
      </c>
      <c r="AD8" s="117">
        <v>3.2090000000000001</v>
      </c>
      <c r="AE8" s="101">
        <v>3.2850000000000001</v>
      </c>
      <c r="AF8" s="136">
        <f t="shared" si="7"/>
        <v>3.6999999999999922E-2</v>
      </c>
      <c r="AG8" s="124">
        <f t="shared" si="8"/>
        <v>3.9000000000000146E-2</v>
      </c>
      <c r="AH8" s="170">
        <f t="shared" si="13"/>
        <v>3.8000000000000034E-2</v>
      </c>
      <c r="AI8" s="4"/>
      <c r="AJ8" s="28" t="s">
        <v>684</v>
      </c>
      <c r="AK8" s="4"/>
      <c r="AL8" s="4"/>
      <c r="AM8" s="4"/>
      <c r="AN8" s="4"/>
      <c r="AO8" s="4"/>
      <c r="AP8" s="4"/>
      <c r="AQ8" s="4"/>
      <c r="AT8" s="4"/>
      <c r="AU8" s="4"/>
      <c r="AV8" s="4"/>
      <c r="AW8" s="4"/>
      <c r="AX8" s="4"/>
      <c r="AY8" s="4"/>
    </row>
    <row r="9" spans="1:51">
      <c r="A9" s="56">
        <v>7</v>
      </c>
      <c r="B9" s="4"/>
      <c r="C9" s="4"/>
      <c r="D9" s="28"/>
      <c r="E9" s="117">
        <f>'2MASS Binaries'!J9</f>
        <v>5.9816173185617947</v>
      </c>
      <c r="F9" s="101">
        <f>'2MASS Binaries'!K9</f>
        <v>4.9491533347351284</v>
      </c>
      <c r="G9" s="116">
        <f>'2MASS Binaries'!L9</f>
        <v>4.8927452053284615</v>
      </c>
      <c r="H9" s="117">
        <v>0.57499999999999996</v>
      </c>
      <c r="I9" s="101">
        <v>0.66400000000000003</v>
      </c>
      <c r="J9" s="116">
        <v>0.64400000000000002</v>
      </c>
      <c r="K9" s="4">
        <f t="shared" si="0"/>
        <v>4.66940395910799E-2</v>
      </c>
      <c r="L9" s="4">
        <f t="shared" si="9"/>
        <v>0.61955535793686078</v>
      </c>
      <c r="M9" s="53">
        <f t="shared" si="10"/>
        <v>7.5367017640800574E-2</v>
      </c>
      <c r="N9" s="168"/>
      <c r="O9" s="169"/>
      <c r="P9" s="170"/>
      <c r="Q9" s="53"/>
      <c r="R9" s="53"/>
      <c r="S9" s="164"/>
      <c r="T9" s="90">
        <v>0.56499999999999995</v>
      </c>
      <c r="U9" s="92">
        <v>0.58599999999999997</v>
      </c>
      <c r="V9" s="124">
        <f t="shared" si="3"/>
        <v>1.0000000000000009E-2</v>
      </c>
      <c r="W9" s="124">
        <f t="shared" si="4"/>
        <v>1.100000000000001E-2</v>
      </c>
      <c r="X9" s="125">
        <f t="shared" si="11"/>
        <v>1.0500000000000009E-2</v>
      </c>
      <c r="Y9" s="90">
        <v>0.65200000000000002</v>
      </c>
      <c r="Z9" s="92">
        <v>0.67600000000000005</v>
      </c>
      <c r="AA9" s="124">
        <f t="shared" si="5"/>
        <v>1.2000000000000011E-2</v>
      </c>
      <c r="AB9" s="124">
        <f t="shared" si="6"/>
        <v>1.2000000000000011E-2</v>
      </c>
      <c r="AC9" s="170">
        <f t="shared" si="12"/>
        <v>1.2000000000000011E-2</v>
      </c>
      <c r="AD9" s="117">
        <v>0.628</v>
      </c>
      <c r="AE9" s="101">
        <v>0.66</v>
      </c>
      <c r="AF9" s="136">
        <f t="shared" si="7"/>
        <v>1.6000000000000014E-2</v>
      </c>
      <c r="AG9" s="124">
        <f t="shared" si="8"/>
        <v>1.6000000000000014E-2</v>
      </c>
      <c r="AH9" s="170">
        <f t="shared" si="13"/>
        <v>1.6000000000000014E-2</v>
      </c>
      <c r="AI9" s="4"/>
      <c r="AJ9" s="28"/>
      <c r="AK9" s="4"/>
      <c r="AL9" s="4"/>
      <c r="AM9" s="4"/>
      <c r="AN9" s="4"/>
      <c r="AO9" s="4"/>
      <c r="AP9" s="4"/>
      <c r="AQ9" s="4"/>
      <c r="AT9" s="4"/>
      <c r="AU9" s="4"/>
      <c r="AV9" s="4"/>
      <c r="AW9" s="4"/>
      <c r="AX9" s="4"/>
      <c r="AY9" s="4"/>
    </row>
    <row r="10" spans="1:51">
      <c r="A10" s="56">
        <v>8</v>
      </c>
      <c r="B10" s="4"/>
      <c r="C10" s="4" t="s">
        <v>31</v>
      </c>
      <c r="D10" s="28" t="s">
        <v>176</v>
      </c>
      <c r="E10" s="117">
        <f>'2MASS Binaries'!J10</f>
        <v>1.4051599888251278</v>
      </c>
      <c r="F10" s="101">
        <f>'2MASS Binaries'!K10</f>
        <v>1.4471599888251276</v>
      </c>
      <c r="G10" s="116">
        <f>'2MASS Binaries'!L10</f>
        <v>1.3531599888251282</v>
      </c>
      <c r="H10" s="117">
        <v>2.5139999999999998</v>
      </c>
      <c r="I10" s="101">
        <v>2.5030000000000001</v>
      </c>
      <c r="J10" s="116">
        <v>2.6190000000000002</v>
      </c>
      <c r="K10" s="4">
        <f t="shared" si="0"/>
        <v>6.4033845217457863E-2</v>
      </c>
      <c r="L10" s="4">
        <f t="shared" si="9"/>
        <v>2.5396399732685424</v>
      </c>
      <c r="M10" s="53">
        <f t="shared" si="10"/>
        <v>2.5213749150059903E-2</v>
      </c>
      <c r="N10" s="178">
        <f t="shared" ref="N10" si="33">H11/H10</f>
        <v>0.47573587907716786</v>
      </c>
      <c r="O10" s="175">
        <f t="shared" ref="O10" si="34">I11/I10</f>
        <v>0.45185777067518973</v>
      </c>
      <c r="P10" s="179">
        <f t="shared" ref="P10" si="35">J11/J10</f>
        <v>0.4379534173348606</v>
      </c>
      <c r="Q10" s="4">
        <f t="shared" ref="Q10" si="36">STDEV(N10,O10,P10)</f>
        <v>1.9109376049373652E-2</v>
      </c>
      <c r="R10" s="53">
        <f t="shared" ref="R10" si="37">Q10/(AVERAGE(N10,O10,P10))</f>
        <v>4.1981803139458811E-2</v>
      </c>
      <c r="S10" s="164" t="b">
        <f t="shared" ref="S10" si="38">IF(Q10&gt;0.05, TRUE, FALSE)</f>
        <v>0</v>
      </c>
      <c r="T10" s="90">
        <v>2.4860000000000002</v>
      </c>
      <c r="U10" s="92">
        <v>2.5430000000000001</v>
      </c>
      <c r="V10" s="124">
        <f t="shared" si="3"/>
        <v>2.7999999999999581E-2</v>
      </c>
      <c r="W10" s="124">
        <f t="shared" si="4"/>
        <v>2.9000000000000359E-2</v>
      </c>
      <c r="X10" s="125">
        <f t="shared" si="11"/>
        <v>2.849999999999997E-2</v>
      </c>
      <c r="Y10" s="90">
        <v>2.4740000000000002</v>
      </c>
      <c r="Z10" s="92">
        <v>2.532</v>
      </c>
      <c r="AA10" s="124">
        <f t="shared" si="5"/>
        <v>2.8999999999999915E-2</v>
      </c>
      <c r="AB10" s="124">
        <f t="shared" si="6"/>
        <v>2.8999999999999915E-2</v>
      </c>
      <c r="AC10" s="170">
        <f t="shared" si="12"/>
        <v>2.8999999999999915E-2</v>
      </c>
      <c r="AD10" s="117">
        <v>2.5870000000000002</v>
      </c>
      <c r="AE10" s="101">
        <v>2.6520000000000001</v>
      </c>
      <c r="AF10" s="136">
        <f t="shared" si="7"/>
        <v>3.2000000000000028E-2</v>
      </c>
      <c r="AG10" s="124">
        <f t="shared" si="8"/>
        <v>3.2999999999999918E-2</v>
      </c>
      <c r="AH10" s="131">
        <f t="shared" si="13"/>
        <v>3.2499999999999973E-2</v>
      </c>
      <c r="AI10" s="4"/>
      <c r="AJ10" s="28" t="s">
        <v>685</v>
      </c>
      <c r="AK10" s="4"/>
      <c r="AL10" s="4"/>
      <c r="AM10" s="4"/>
      <c r="AN10" s="4"/>
      <c r="AO10" s="4"/>
      <c r="AP10" s="4"/>
      <c r="AQ10" s="4"/>
      <c r="AT10" s="4"/>
      <c r="AU10" s="4"/>
      <c r="AV10" s="4"/>
      <c r="AW10" s="4"/>
      <c r="AX10" s="4"/>
      <c r="AY10" s="4"/>
    </row>
    <row r="11" spans="1:51">
      <c r="A11" s="56">
        <v>9</v>
      </c>
      <c r="B11" s="4"/>
      <c r="C11" s="4"/>
      <c r="D11" s="28"/>
      <c r="E11" s="117">
        <f>'2MASS Binaries'!J11</f>
        <v>3.3751599888251302</v>
      </c>
      <c r="F11" s="101">
        <f>'2MASS Binaries'!K11</f>
        <v>3.2521599888251309</v>
      </c>
      <c r="G11" s="116">
        <f>'2MASS Binaries'!L11</f>
        <v>3.1536599888251304</v>
      </c>
      <c r="H11" s="117">
        <v>1.196</v>
      </c>
      <c r="I11" s="101">
        <v>1.131</v>
      </c>
      <c r="J11" s="116">
        <v>1.147</v>
      </c>
      <c r="K11" s="4">
        <f t="shared" si="0"/>
        <v>3.3867388443752165E-2</v>
      </c>
      <c r="L11" s="4">
        <f t="shared" si="9"/>
        <v>1.1670929525651763</v>
      </c>
      <c r="M11" s="53">
        <f t="shared" si="10"/>
        <v>2.901858705368272E-2</v>
      </c>
      <c r="N11" s="168"/>
      <c r="O11" s="169"/>
      <c r="P11" s="170"/>
      <c r="Q11" s="53"/>
      <c r="R11" s="53"/>
      <c r="S11" s="164"/>
      <c r="T11" s="90">
        <v>1.1850000000000001</v>
      </c>
      <c r="U11" s="92">
        <v>1.2070000000000001</v>
      </c>
      <c r="V11" s="124">
        <f t="shared" si="3"/>
        <v>1.0999999999999899E-2</v>
      </c>
      <c r="W11" s="124">
        <f t="shared" si="4"/>
        <v>1.1000000000000121E-2</v>
      </c>
      <c r="X11" s="125">
        <f t="shared" si="11"/>
        <v>1.100000000000001E-2</v>
      </c>
      <c r="Y11" s="90">
        <v>1.1160000000000001</v>
      </c>
      <c r="Z11" s="92">
        <v>1.1459999999999999</v>
      </c>
      <c r="AA11" s="124">
        <f t="shared" si="5"/>
        <v>1.4999999999999902E-2</v>
      </c>
      <c r="AB11" s="124">
        <f t="shared" si="6"/>
        <v>1.4999999999999902E-2</v>
      </c>
      <c r="AC11" s="131">
        <f t="shared" si="12"/>
        <v>1.4999999999999902E-2</v>
      </c>
      <c r="AD11" s="117">
        <v>1.131</v>
      </c>
      <c r="AE11" s="101">
        <v>1.163</v>
      </c>
      <c r="AF11" s="136">
        <f t="shared" si="7"/>
        <v>1.6000000000000014E-2</v>
      </c>
      <c r="AG11" s="124">
        <f t="shared" si="8"/>
        <v>1.6000000000000014E-2</v>
      </c>
      <c r="AH11" s="131">
        <f t="shared" si="13"/>
        <v>1.6000000000000014E-2</v>
      </c>
      <c r="AI11" s="4"/>
      <c r="AJ11" s="28" t="s">
        <v>686</v>
      </c>
      <c r="AK11" s="4"/>
      <c r="AL11" s="4"/>
      <c r="AM11" s="4"/>
      <c r="AN11" s="4"/>
      <c r="AO11" s="4"/>
      <c r="AP11" s="4"/>
      <c r="AQ11" s="4"/>
      <c r="AT11" s="4"/>
      <c r="AU11" s="4"/>
      <c r="AV11" s="4"/>
      <c r="AW11" s="4"/>
      <c r="AX11" s="4"/>
      <c r="AY11" s="4"/>
    </row>
    <row r="12" spans="1:51">
      <c r="A12" s="56">
        <v>10</v>
      </c>
      <c r="B12" s="4"/>
      <c r="C12" s="28" t="s">
        <v>32</v>
      </c>
      <c r="D12" s="28" t="s">
        <v>177</v>
      </c>
      <c r="E12" s="117">
        <f>'2MASS Binaries'!J12</f>
        <v>-6.2840011174872146E-2</v>
      </c>
      <c r="F12" s="101">
        <f>'2MASS Binaries'!K12</f>
        <v>1.5998882512846535E-4</v>
      </c>
      <c r="G12" s="116">
        <f>'2MASS Binaries'!L12</f>
        <v>2.1599888251282451E-3</v>
      </c>
      <c r="H12" s="117">
        <v>4.399</v>
      </c>
      <c r="I12" s="101">
        <v>4.3849999999999998</v>
      </c>
      <c r="J12" s="116">
        <v>4.5199999999999996</v>
      </c>
      <c r="K12" s="28">
        <f t="shared" si="0"/>
        <v>7.4231619498252271E-2</v>
      </c>
      <c r="L12" s="4">
        <f t="shared" si="9"/>
        <v>4.435448708936689</v>
      </c>
      <c r="M12" s="53">
        <f t="shared" si="10"/>
        <v>1.6735988705874998E-2</v>
      </c>
      <c r="N12" s="178">
        <f t="shared" ref="N12" si="39">H13/H12</f>
        <v>0.57672198226869742</v>
      </c>
      <c r="O12" s="175">
        <f t="shared" ref="O12" si="40">I13/I12</f>
        <v>0.5655644241733182</v>
      </c>
      <c r="P12" s="179">
        <f t="shared" ref="P12" si="41">J13/J12</f>
        <v>0.55088495575221252</v>
      </c>
      <c r="Q12" s="4">
        <f t="shared" ref="Q12" si="42">STDEV(N12,O12,P12)</f>
        <v>1.2958458209418953E-2</v>
      </c>
      <c r="R12" s="53">
        <f t="shared" ref="R12" si="43">Q12/(AVERAGE(N12,O12,P12))</f>
        <v>2.2960094587164043E-2</v>
      </c>
      <c r="S12" t="b">
        <f t="shared" ref="S12" si="44">IF(Q12&gt;0.05, TRUE, FALSE)</f>
        <v>0</v>
      </c>
      <c r="T12" s="90">
        <v>4.3570000000000002</v>
      </c>
      <c r="U12" s="92">
        <v>4.4400000000000004</v>
      </c>
      <c r="V12" s="124">
        <f t="shared" si="3"/>
        <v>4.1999999999999815E-2</v>
      </c>
      <c r="W12" s="124">
        <f t="shared" si="4"/>
        <v>4.1000000000000369E-2</v>
      </c>
      <c r="X12" s="125">
        <f t="shared" si="11"/>
        <v>4.1500000000000092E-2</v>
      </c>
      <c r="Y12" s="90">
        <v>4.3419999999999996</v>
      </c>
      <c r="Z12" s="92">
        <v>4.4269999999999996</v>
      </c>
      <c r="AA12" s="124">
        <f t="shared" si="5"/>
        <v>4.3000000000000149E-2</v>
      </c>
      <c r="AB12" s="124">
        <f t="shared" si="6"/>
        <v>4.1999999999999815E-2</v>
      </c>
      <c r="AC12" s="170">
        <f t="shared" si="12"/>
        <v>4.2499999999999982E-2</v>
      </c>
      <c r="AD12" s="117">
        <v>4.4790000000000001</v>
      </c>
      <c r="AE12" s="101">
        <v>4.5620000000000003</v>
      </c>
      <c r="AF12" s="136">
        <f t="shared" si="7"/>
        <v>4.0999999999999481E-2</v>
      </c>
      <c r="AG12" s="124">
        <f t="shared" si="8"/>
        <v>4.2000000000000703E-2</v>
      </c>
      <c r="AH12" s="131">
        <f t="shared" si="13"/>
        <v>4.1500000000000092E-2</v>
      </c>
      <c r="AI12" s="4"/>
      <c r="AJ12" s="4"/>
      <c r="AK12" s="4"/>
      <c r="AL12" s="4"/>
      <c r="AM12" s="4"/>
      <c r="AN12" s="4"/>
      <c r="AO12" s="4"/>
      <c r="AP12" s="4"/>
      <c r="AQ12" s="4"/>
      <c r="AT12" s="4"/>
      <c r="AU12" s="4"/>
      <c r="AV12" s="4"/>
      <c r="AW12" s="4"/>
      <c r="AX12" s="4"/>
      <c r="AY12" s="4"/>
    </row>
    <row r="13" spans="1:51">
      <c r="A13" s="56">
        <v>11</v>
      </c>
      <c r="B13" s="4"/>
      <c r="C13" s="28"/>
      <c r="D13" s="28"/>
      <c r="E13" s="117">
        <f>'2MASS Binaries'!J13</f>
        <v>1.3816599888251266</v>
      </c>
      <c r="F13" s="101">
        <f>'2MASS Binaries'!K13</f>
        <v>1.4706599888251342</v>
      </c>
      <c r="G13" s="116">
        <f>'2MASS Binaries'!L13</f>
        <v>1.4806599888251304</v>
      </c>
      <c r="H13" s="117">
        <v>2.5369999999999999</v>
      </c>
      <c r="I13" s="101">
        <v>2.48</v>
      </c>
      <c r="J13" s="116">
        <v>2.4900000000000002</v>
      </c>
      <c r="K13" s="28">
        <f t="shared" si="0"/>
        <v>3.0435724623102508E-2</v>
      </c>
      <c r="L13" s="4">
        <f t="shared" si="9"/>
        <v>2.5012246489859593</v>
      </c>
      <c r="M13" s="53">
        <f t="shared" si="10"/>
        <v>1.2168329076495264E-2</v>
      </c>
      <c r="N13" s="168"/>
      <c r="O13" s="169"/>
      <c r="P13" s="170"/>
      <c r="Q13" s="53"/>
      <c r="R13" s="53"/>
      <c r="S13"/>
      <c r="T13" s="90">
        <v>2.496</v>
      </c>
      <c r="U13" s="92">
        <v>2.58</v>
      </c>
      <c r="V13" s="124">
        <f t="shared" si="3"/>
        <v>4.0999999999999925E-2</v>
      </c>
      <c r="W13" s="124">
        <f t="shared" si="4"/>
        <v>4.3000000000000149E-2</v>
      </c>
      <c r="X13" s="125">
        <f t="shared" si="11"/>
        <v>4.2000000000000037E-2</v>
      </c>
      <c r="Y13" s="90">
        <v>2.4409999999999998</v>
      </c>
      <c r="Z13" s="92">
        <v>2.5209999999999999</v>
      </c>
      <c r="AA13" s="124">
        <f t="shared" si="5"/>
        <v>3.9000000000000146E-2</v>
      </c>
      <c r="AB13" s="124">
        <f t="shared" si="6"/>
        <v>4.0999999999999925E-2</v>
      </c>
      <c r="AC13" s="170">
        <f t="shared" si="12"/>
        <v>4.0000000000000036E-2</v>
      </c>
      <c r="AD13" s="117">
        <v>2.4510000000000001</v>
      </c>
      <c r="AE13" s="101">
        <v>2.5310000000000001</v>
      </c>
      <c r="AF13" s="136">
        <f t="shared" si="7"/>
        <v>3.9000000000000146E-2</v>
      </c>
      <c r="AG13" s="124">
        <f t="shared" si="8"/>
        <v>4.0999999999999925E-2</v>
      </c>
      <c r="AH13" s="131">
        <f t="shared" si="13"/>
        <v>4.0000000000000036E-2</v>
      </c>
      <c r="AI13" s="4"/>
      <c r="AJ13" s="4"/>
      <c r="AK13" s="4"/>
      <c r="AL13" s="4"/>
      <c r="AM13" s="4"/>
      <c r="AN13" s="4"/>
      <c r="AO13" s="4"/>
      <c r="AP13" s="4"/>
      <c r="AQ13" s="4"/>
      <c r="AT13" s="4"/>
      <c r="AU13" s="4"/>
      <c r="AV13" s="4"/>
      <c r="AW13" s="4"/>
      <c r="AX13" s="4"/>
      <c r="AY13" s="4"/>
    </row>
    <row r="14" spans="1:51">
      <c r="A14" s="56">
        <v>12</v>
      </c>
      <c r="B14" s="4"/>
      <c r="C14" s="28" t="s">
        <v>66</v>
      </c>
      <c r="D14" s="28" t="s">
        <v>187</v>
      </c>
      <c r="E14" s="117">
        <f>'2MASS Binaries'!J14</f>
        <v>2.8941599888251286</v>
      </c>
      <c r="F14" s="101">
        <f>'2MASS Binaries'!K14</f>
        <v>2.6681599888251277</v>
      </c>
      <c r="G14" s="116">
        <f>'2MASS Binaries'!L14</f>
        <v>2.5571599888251288</v>
      </c>
      <c r="H14" s="117">
        <v>1.343</v>
      </c>
      <c r="I14" s="101">
        <v>1.3140000000000001</v>
      </c>
      <c r="J14" s="116">
        <v>1.361</v>
      </c>
      <c r="K14" s="28">
        <f t="shared" si="0"/>
        <v>2.3713568549109842E-2</v>
      </c>
      <c r="L14" s="4">
        <f t="shared" si="9"/>
        <v>1.3328831878414107</v>
      </c>
      <c r="M14" s="53">
        <f t="shared" si="10"/>
        <v>1.7791182877408558E-2</v>
      </c>
      <c r="N14" s="178">
        <f t="shared" ref="N14" si="45">H15/H14</f>
        <v>0.25614296351451971</v>
      </c>
      <c r="O14" s="175">
        <f t="shared" ref="O14" si="46">I15/I14</f>
        <v>0.30060882800608829</v>
      </c>
      <c r="P14" s="179">
        <f t="shared" ref="P14" si="47">J15/J14</f>
        <v>0.28728875826598094</v>
      </c>
      <c r="Q14" s="4">
        <f t="shared" ref="Q14" si="48">STDEV(N14,O14,P14)</f>
        <v>2.2820670065987741E-2</v>
      </c>
      <c r="R14" s="53">
        <f t="shared" ref="R14" si="49">Q14/(AVERAGE(N14,O14,P14))</f>
        <v>8.1112228808525227E-2</v>
      </c>
      <c r="S14" t="b">
        <f t="shared" ref="S14" si="50">IF(Q14&gt;0.05, TRUE, FALSE)</f>
        <v>0</v>
      </c>
      <c r="T14" s="117">
        <v>1.33</v>
      </c>
      <c r="U14" s="101">
        <v>1.3580000000000001</v>
      </c>
      <c r="V14" s="124">
        <f t="shared" si="3"/>
        <v>1.2999999999999901E-2</v>
      </c>
      <c r="W14" s="124">
        <f t="shared" si="4"/>
        <v>1.5000000000000124E-2</v>
      </c>
      <c r="X14" s="125">
        <f t="shared" si="11"/>
        <v>1.4000000000000012E-2</v>
      </c>
      <c r="Y14" s="117">
        <v>1.3009999999999999</v>
      </c>
      <c r="Z14" s="101">
        <v>1.331</v>
      </c>
      <c r="AA14" s="124">
        <f t="shared" si="5"/>
        <v>1.3000000000000123E-2</v>
      </c>
      <c r="AB14" s="124">
        <f t="shared" si="6"/>
        <v>1.6999999999999904E-2</v>
      </c>
      <c r="AC14" s="131">
        <f t="shared" si="12"/>
        <v>1.5000000000000013E-2</v>
      </c>
      <c r="AD14" s="117">
        <v>1.3340000000000001</v>
      </c>
      <c r="AE14" s="101">
        <v>1.393</v>
      </c>
      <c r="AF14" s="136">
        <f t="shared" si="7"/>
        <v>2.6999999999999913E-2</v>
      </c>
      <c r="AG14" s="124">
        <f t="shared" si="8"/>
        <v>3.2000000000000028E-2</v>
      </c>
      <c r="AH14" s="131">
        <f t="shared" si="13"/>
        <v>2.9499999999999971E-2</v>
      </c>
      <c r="AI14" s="4"/>
      <c r="AJ14" s="4"/>
      <c r="AK14" s="4"/>
      <c r="AL14" s="4"/>
      <c r="AM14" s="4"/>
      <c r="AN14" s="4"/>
      <c r="AO14" s="4"/>
      <c r="AP14" s="4"/>
      <c r="AQ14" s="4"/>
      <c r="AT14" s="4"/>
      <c r="AU14" s="4"/>
      <c r="AV14" s="4"/>
      <c r="AW14" s="4"/>
      <c r="AX14" s="4"/>
      <c r="AY14" s="4"/>
    </row>
    <row r="15" spans="1:51">
      <c r="A15" s="56">
        <v>13</v>
      </c>
      <c r="B15" s="4"/>
      <c r="C15" s="28"/>
      <c r="D15" s="28"/>
      <c r="E15" s="117">
        <f>'2MASS Binaries'!J15</f>
        <v>6.8941599888251286</v>
      </c>
      <c r="F15" s="101">
        <f>'2MASS Binaries'!K15</f>
        <v>6.0681599888251281</v>
      </c>
      <c r="G15" s="116">
        <f>'2MASS Binaries'!L15</f>
        <v>5.7871599888251293</v>
      </c>
      <c r="H15" s="117">
        <v>0.34399999999999997</v>
      </c>
      <c r="I15" s="101">
        <v>0.39500000000000002</v>
      </c>
      <c r="J15" s="116">
        <v>0.39100000000000001</v>
      </c>
      <c r="K15" s="4">
        <f t="shared" si="0"/>
        <v>2.8360771028541076E-2</v>
      </c>
      <c r="L15" s="4">
        <f t="shared" si="9"/>
        <v>0.38464832760013873</v>
      </c>
      <c r="M15" s="53">
        <f t="shared" si="10"/>
        <v>7.3731689425213159E-2</v>
      </c>
      <c r="N15" s="168"/>
      <c r="O15" s="169"/>
      <c r="P15" s="170"/>
      <c r="Q15" s="53"/>
      <c r="R15" s="53"/>
      <c r="S15"/>
      <c r="T15" s="117">
        <v>0.28799999999999998</v>
      </c>
      <c r="U15" s="101">
        <v>0.40300000000000002</v>
      </c>
      <c r="V15" s="124">
        <f t="shared" si="3"/>
        <v>5.5999999999999994E-2</v>
      </c>
      <c r="W15" s="124">
        <f t="shared" si="4"/>
        <v>5.9000000000000052E-2</v>
      </c>
      <c r="X15" s="125">
        <f t="shared" si="11"/>
        <v>5.7500000000000023E-2</v>
      </c>
      <c r="Y15" s="117">
        <v>0.35799999999999998</v>
      </c>
      <c r="Z15" s="101">
        <v>0.437</v>
      </c>
      <c r="AA15" s="124">
        <f t="shared" si="5"/>
        <v>3.7000000000000033E-2</v>
      </c>
      <c r="AB15" s="124">
        <f t="shared" si="6"/>
        <v>4.1999999999999982E-2</v>
      </c>
      <c r="AC15" s="170">
        <f t="shared" si="12"/>
        <v>3.9500000000000007E-2</v>
      </c>
      <c r="AD15" s="117">
        <v>0.35899999999999999</v>
      </c>
      <c r="AE15" s="101">
        <v>0.42599999999999999</v>
      </c>
      <c r="AF15" s="136">
        <f t="shared" si="7"/>
        <v>3.2000000000000028E-2</v>
      </c>
      <c r="AG15" s="124">
        <f t="shared" si="8"/>
        <v>3.4999999999999976E-2</v>
      </c>
      <c r="AH15" s="131">
        <f t="shared" si="13"/>
        <v>3.3500000000000002E-2</v>
      </c>
      <c r="AI15" s="4"/>
      <c r="AJ15" s="4"/>
      <c r="AK15" s="4"/>
      <c r="AL15" s="4"/>
      <c r="AM15" s="4"/>
      <c r="AN15" s="4"/>
      <c r="AO15" s="4"/>
      <c r="AP15" s="4"/>
      <c r="AQ15" s="4"/>
      <c r="AT15" s="4"/>
      <c r="AU15" s="4"/>
      <c r="AV15" s="4"/>
      <c r="AW15" s="4"/>
      <c r="AX15" s="4"/>
      <c r="AY15" s="4"/>
    </row>
    <row r="16" spans="1:51">
      <c r="A16" s="56">
        <v>14</v>
      </c>
      <c r="B16" s="76" t="s">
        <v>92</v>
      </c>
      <c r="C16" s="28" t="s">
        <v>290</v>
      </c>
      <c r="D16" s="28" t="s">
        <v>175</v>
      </c>
      <c r="E16" s="113">
        <f>'2MASS Binaries'!J16</f>
        <v>-0.94881882079493707</v>
      </c>
      <c r="F16" s="114">
        <f>'2MASS Binaries'!K16</f>
        <v>-0.95581882079493763</v>
      </c>
      <c r="G16" s="115">
        <f>'2MASS Binaries'!L16</f>
        <v>-0.98281882079493688</v>
      </c>
      <c r="H16" s="113">
        <v>4.1950000000000003</v>
      </c>
      <c r="I16" s="114">
        <v>4.3310000000000004</v>
      </c>
      <c r="J16" s="114">
        <v>4.5620000000000003</v>
      </c>
      <c r="K16" s="117">
        <f t="shared" si="0"/>
        <v>0.18553795658391123</v>
      </c>
      <c r="L16" s="4">
        <f t="shared" si="9"/>
        <v>4.3042113394157795</v>
      </c>
      <c r="M16" s="53">
        <f t="shared" si="10"/>
        <v>4.3106144646023518E-2</v>
      </c>
      <c r="N16" s="167">
        <f>H17/H16</f>
        <v>0.18951132300357568</v>
      </c>
      <c r="O16" s="176">
        <f t="shared" ref="O16" si="51">I17/I16</f>
        <v>0.15285153544216115</v>
      </c>
      <c r="P16" s="177">
        <f t="shared" ref="P16" si="52">J17/J16</f>
        <v>0.132617273125822</v>
      </c>
      <c r="Q16" s="4">
        <f t="shared" ref="Q16" si="53">STDEV(N16,O16,P16)</f>
        <v>2.8839493485574016E-2</v>
      </c>
      <c r="R16" s="53">
        <f t="shared" ref="R16" si="54">Q16/(AVERAGE(N16,O16,P16))</f>
        <v>0.18215178847683544</v>
      </c>
      <c r="S16" t="b">
        <f t="shared" ref="S16" si="55">IF(Q16&gt;0.05, TRUE, FALSE)</f>
        <v>0</v>
      </c>
      <c r="T16" s="133">
        <v>4.1349999999999998</v>
      </c>
      <c r="U16" s="134">
        <v>4.2610000000000001</v>
      </c>
      <c r="V16" s="122">
        <f t="shared" si="3"/>
        <v>6.0000000000000497E-2</v>
      </c>
      <c r="W16" s="122">
        <f t="shared" si="4"/>
        <v>6.5999999999999837E-2</v>
      </c>
      <c r="X16" s="123">
        <f t="shared" si="11"/>
        <v>6.3000000000000167E-2</v>
      </c>
      <c r="Y16" s="133">
        <v>4.2539999999999996</v>
      </c>
      <c r="Z16" s="134">
        <v>4.415</v>
      </c>
      <c r="AA16" s="122">
        <f t="shared" si="5"/>
        <v>7.7000000000000846E-2</v>
      </c>
      <c r="AB16" s="122">
        <f t="shared" si="6"/>
        <v>8.3999999999999631E-2</v>
      </c>
      <c r="AC16" s="130">
        <f t="shared" si="12"/>
        <v>8.0500000000000238E-2</v>
      </c>
      <c r="AD16" s="133">
        <v>4.46</v>
      </c>
      <c r="AE16" s="134">
        <v>4.67</v>
      </c>
      <c r="AF16" s="135">
        <f t="shared" si="7"/>
        <v>0.10200000000000031</v>
      </c>
      <c r="AG16" s="122">
        <f t="shared" si="8"/>
        <v>0.10799999999999965</v>
      </c>
      <c r="AH16" s="130">
        <f t="shared" si="13"/>
        <v>0.10499999999999998</v>
      </c>
      <c r="AI16" s="4"/>
      <c r="AJ16" s="4"/>
      <c r="AK16" s="4"/>
      <c r="AL16" s="4"/>
      <c r="AM16" s="4"/>
      <c r="AN16" s="4"/>
      <c r="AO16" s="4"/>
      <c r="AP16" s="4"/>
      <c r="AQ16" s="4"/>
      <c r="AT16" s="4"/>
      <c r="AU16" s="4"/>
      <c r="AV16" s="4"/>
      <c r="AW16" s="4"/>
      <c r="AX16" s="4"/>
      <c r="AY16" s="4"/>
    </row>
    <row r="17" spans="1:51">
      <c r="A17" s="56">
        <v>15</v>
      </c>
      <c r="B17" s="4"/>
      <c r="C17" s="28"/>
      <c r="D17" s="28"/>
      <c r="E17" s="235">
        <f>'2MASS Binaries'!J17</f>
        <v>5.0169317324800629</v>
      </c>
      <c r="F17" s="101">
        <f>'2MASS Binaries'!K17</f>
        <v>5.1075093977250621</v>
      </c>
      <c r="G17" s="116">
        <f>'2MASS Binaries'!L17</f>
        <v>5.2347526745300632</v>
      </c>
      <c r="H17" s="235">
        <v>0.79500000000000004</v>
      </c>
      <c r="I17" s="101">
        <v>0.66200000000000003</v>
      </c>
      <c r="J17" s="92">
        <v>0.60499999999999998</v>
      </c>
      <c r="K17" s="90">
        <f>STDEV(I17,J17)</f>
        <v>4.0305086527633247E-2</v>
      </c>
      <c r="L17" s="4">
        <f>(I17*1/AC17^2+J17*1/AH17^2)/(1/AC17^2 + 1/AH17^2)</f>
        <v>0.63349999999999995</v>
      </c>
      <c r="M17" s="53">
        <f t="shared" si="10"/>
        <v>6.3622867446934891E-2</v>
      </c>
      <c r="N17" s="168"/>
      <c r="O17" s="169"/>
      <c r="P17" s="170"/>
      <c r="Q17" s="53"/>
      <c r="R17" s="53"/>
      <c r="S17"/>
      <c r="T17" s="117">
        <v>0.78300000000000003</v>
      </c>
      <c r="U17" s="101">
        <v>0.80600000000000005</v>
      </c>
      <c r="V17" s="124">
        <f t="shared" si="3"/>
        <v>1.2000000000000011E-2</v>
      </c>
      <c r="W17" s="124">
        <f t="shared" si="4"/>
        <v>1.100000000000001E-2</v>
      </c>
      <c r="X17" s="125">
        <f t="shared" si="11"/>
        <v>1.150000000000001E-2</v>
      </c>
      <c r="Y17" s="117">
        <v>0.65</v>
      </c>
      <c r="Z17" s="101">
        <v>0.67400000000000004</v>
      </c>
      <c r="AA17" s="124">
        <f t="shared" si="5"/>
        <v>1.2000000000000011E-2</v>
      </c>
      <c r="AB17" s="124">
        <f t="shared" si="6"/>
        <v>1.2000000000000011E-2</v>
      </c>
      <c r="AC17" s="131">
        <f t="shared" si="12"/>
        <v>1.2000000000000011E-2</v>
      </c>
      <c r="AD17" s="117">
        <v>0.59299999999999997</v>
      </c>
      <c r="AE17" s="101">
        <v>0.61699999999999999</v>
      </c>
      <c r="AF17" s="136">
        <f t="shared" si="7"/>
        <v>1.2000000000000011E-2</v>
      </c>
      <c r="AG17" s="124">
        <f t="shared" si="8"/>
        <v>1.2000000000000011E-2</v>
      </c>
      <c r="AH17" s="131">
        <f t="shared" si="13"/>
        <v>1.2000000000000011E-2</v>
      </c>
      <c r="AI17" s="4"/>
      <c r="AJ17" s="4"/>
      <c r="AK17" s="4"/>
      <c r="AL17" s="4"/>
      <c r="AM17" s="4"/>
      <c r="AN17" s="4"/>
      <c r="AO17" s="4"/>
      <c r="AP17" s="4"/>
      <c r="AQ17" s="4"/>
      <c r="AT17" s="4"/>
      <c r="AU17" s="4"/>
      <c r="AV17" s="4"/>
      <c r="AW17" s="4"/>
      <c r="AX17" s="4"/>
      <c r="AY17" s="4"/>
    </row>
    <row r="18" spans="1:51">
      <c r="A18" s="56">
        <v>16</v>
      </c>
      <c r="B18" s="4"/>
      <c r="C18" s="28" t="s">
        <v>283</v>
      </c>
      <c r="D18" s="28" t="s">
        <v>175</v>
      </c>
      <c r="E18" s="117">
        <f>'2MASS Binaries'!J18</f>
        <v>-0.94881882079493707</v>
      </c>
      <c r="F18" s="101">
        <f>'2MASS Binaries'!K18</f>
        <v>-0.95581882079493763</v>
      </c>
      <c r="G18" s="116">
        <f>'2MASS Binaries'!L18</f>
        <v>-0.98281882079493688</v>
      </c>
      <c r="H18" s="117">
        <v>4.1950000000000003</v>
      </c>
      <c r="I18" s="101">
        <v>4.3310000000000004</v>
      </c>
      <c r="J18" s="92">
        <v>4.5620000000000003</v>
      </c>
      <c r="K18" s="117">
        <f t="shared" si="0"/>
        <v>0.18553795658391123</v>
      </c>
      <c r="L18" s="4">
        <f t="shared" si="9"/>
        <v>4.3042113394157795</v>
      </c>
      <c r="M18" s="53">
        <f t="shared" si="10"/>
        <v>4.3106144646023518E-2</v>
      </c>
      <c r="N18" s="178">
        <f t="shared" ref="N18" si="56">H19/H18</f>
        <v>0.93897497020262211</v>
      </c>
      <c r="O18" s="175">
        <f t="shared" ref="O18" si="57">I19/I18</f>
        <v>0.89101824059108747</v>
      </c>
      <c r="P18" s="179">
        <f t="shared" ref="P18" si="58">J19/J18</f>
        <v>0.85028496273564225</v>
      </c>
      <c r="Q18" s="4">
        <f t="shared" ref="Q18" si="59">STDEV(N18,O18,P18)</f>
        <v>4.4394003469642326E-2</v>
      </c>
      <c r="R18" s="53">
        <f t="shared" ref="R18" si="60">Q18/(AVERAGE(N18,O18,P18))</f>
        <v>4.9689622414659601E-2</v>
      </c>
      <c r="S18" t="b">
        <f t="shared" ref="S18" si="61">IF(Q18&gt;0.05, TRUE, FALSE)</f>
        <v>0</v>
      </c>
      <c r="T18" s="117">
        <v>4.1349999999999998</v>
      </c>
      <c r="U18" s="101">
        <v>4.2610000000000001</v>
      </c>
      <c r="V18" s="124">
        <f t="shared" si="3"/>
        <v>6.0000000000000497E-2</v>
      </c>
      <c r="W18" s="124">
        <f t="shared" si="4"/>
        <v>6.5999999999999837E-2</v>
      </c>
      <c r="X18" s="125">
        <f t="shared" si="11"/>
        <v>6.3000000000000167E-2</v>
      </c>
      <c r="Y18" s="117">
        <v>4.2539999999999996</v>
      </c>
      <c r="Z18" s="101">
        <v>4.415</v>
      </c>
      <c r="AA18" s="124">
        <f t="shared" si="5"/>
        <v>7.7000000000000846E-2</v>
      </c>
      <c r="AB18" s="124">
        <f t="shared" si="6"/>
        <v>8.3999999999999631E-2</v>
      </c>
      <c r="AC18" s="131">
        <f t="shared" si="12"/>
        <v>8.0500000000000238E-2</v>
      </c>
      <c r="AD18" s="117">
        <v>4.46</v>
      </c>
      <c r="AE18" s="101">
        <v>4.67</v>
      </c>
      <c r="AF18" s="136">
        <f t="shared" si="7"/>
        <v>0.10200000000000031</v>
      </c>
      <c r="AG18" s="124">
        <f t="shared" si="8"/>
        <v>0.10799999999999965</v>
      </c>
      <c r="AH18" s="131">
        <f t="shared" si="13"/>
        <v>0.10499999999999998</v>
      </c>
      <c r="AI18" s="4"/>
      <c r="AJ18" s="4"/>
      <c r="AK18" s="4"/>
      <c r="AL18" s="4"/>
      <c r="AM18" s="4"/>
      <c r="AN18" s="4"/>
      <c r="AO18" s="4"/>
      <c r="AP18" s="4"/>
      <c r="AQ18" s="4"/>
      <c r="AT18" s="4"/>
      <c r="AU18" s="4"/>
      <c r="AV18" s="4"/>
      <c r="AW18" s="4"/>
      <c r="AX18" s="4"/>
      <c r="AY18" s="4"/>
    </row>
    <row r="19" spans="1:51">
      <c r="A19" s="56">
        <v>17</v>
      </c>
      <c r="B19" s="4"/>
      <c r="C19" s="28"/>
      <c r="D19" s="28"/>
      <c r="E19" s="117">
        <f>'2MASS Binaries'!J19</f>
        <v>-0.79881882079493705</v>
      </c>
      <c r="F19" s="101">
        <f>'2MASS Binaries'!K19</f>
        <v>-0.70581882079493763</v>
      </c>
      <c r="G19" s="116">
        <f>'2MASS Binaries'!L19</f>
        <v>-0.68281882079493683</v>
      </c>
      <c r="H19" s="117">
        <v>3.9390000000000001</v>
      </c>
      <c r="I19" s="101">
        <v>3.859</v>
      </c>
      <c r="J19" s="92">
        <v>3.879</v>
      </c>
      <c r="K19" s="117">
        <f t="shared" si="0"/>
        <v>4.1633319989322688E-2</v>
      </c>
      <c r="L19" s="4">
        <f t="shared" si="9"/>
        <v>3.8806329593473743</v>
      </c>
      <c r="M19" s="53">
        <f t="shared" si="10"/>
        <v>1.0728486931246489E-2</v>
      </c>
      <c r="N19" s="168"/>
      <c r="O19" s="169"/>
      <c r="P19" s="170"/>
      <c r="Q19" s="53"/>
      <c r="R19" s="53"/>
      <c r="S19"/>
      <c r="T19" s="117">
        <v>3.754</v>
      </c>
      <c r="U19" s="101">
        <v>4.2009999999999996</v>
      </c>
      <c r="V19" s="124">
        <f t="shared" si="3"/>
        <v>0.18500000000000005</v>
      </c>
      <c r="W19" s="124">
        <f t="shared" si="4"/>
        <v>0.26199999999999957</v>
      </c>
      <c r="X19" s="125">
        <f t="shared" si="11"/>
        <v>0.22349999999999981</v>
      </c>
      <c r="Y19" s="117">
        <v>3.7360000000000002</v>
      </c>
      <c r="Z19" s="101">
        <v>4.0170000000000003</v>
      </c>
      <c r="AA19" s="124">
        <f t="shared" si="5"/>
        <v>0.12299999999999978</v>
      </c>
      <c r="AB19" s="124">
        <f t="shared" si="6"/>
        <v>0.15800000000000036</v>
      </c>
      <c r="AC19" s="131">
        <f t="shared" si="12"/>
        <v>0.14050000000000007</v>
      </c>
      <c r="AD19" s="117">
        <v>3.7490000000000001</v>
      </c>
      <c r="AE19" s="101">
        <v>4.0490000000000004</v>
      </c>
      <c r="AF19" s="136">
        <f t="shared" si="7"/>
        <v>0.12999999999999989</v>
      </c>
      <c r="AG19" s="124">
        <f t="shared" si="8"/>
        <v>0.17000000000000037</v>
      </c>
      <c r="AH19" s="131">
        <f t="shared" si="13"/>
        <v>0.15000000000000013</v>
      </c>
      <c r="AI19" s="4"/>
      <c r="AJ19" s="4"/>
      <c r="AK19" s="4"/>
      <c r="AL19" s="4"/>
      <c r="AM19" s="4"/>
      <c r="AN19" s="4"/>
      <c r="AO19" s="4"/>
      <c r="AP19" s="4"/>
      <c r="AQ19" s="4"/>
      <c r="AT19" s="4"/>
      <c r="AU19" s="4"/>
      <c r="AV19" s="4"/>
      <c r="AW19" s="4"/>
      <c r="AX19" s="4"/>
      <c r="AY19" s="4"/>
    </row>
    <row r="20" spans="1:51">
      <c r="A20" s="56">
        <v>18</v>
      </c>
      <c r="B20" s="4"/>
      <c r="C20" s="28" t="s">
        <v>54</v>
      </c>
      <c r="D20" s="28" t="s">
        <v>178</v>
      </c>
      <c r="E20" s="90">
        <f>'2MASS Binaries'!J20</f>
        <v>-0.72381882079493742</v>
      </c>
      <c r="F20" s="101">
        <f>'2MASS Binaries'!K20</f>
        <v>-0.73281882079493688</v>
      </c>
      <c r="G20" s="116">
        <f>'2MASS Binaries'!L20</f>
        <v>-0.71981882079493698</v>
      </c>
      <c r="H20" s="117">
        <v>3.8410000000000002</v>
      </c>
      <c r="I20" s="101">
        <v>3.8959999999999999</v>
      </c>
      <c r="J20" s="92">
        <v>3.9340000000000002</v>
      </c>
      <c r="K20" s="117">
        <f t="shared" si="0"/>
        <v>4.6758243479982552E-2</v>
      </c>
      <c r="L20" s="4">
        <f t="shared" si="9"/>
        <v>3.8822936496019733</v>
      </c>
      <c r="M20" s="53">
        <f t="shared" si="10"/>
        <v>1.2043973923707799E-2</v>
      </c>
      <c r="N20" s="178">
        <f t="shared" ref="N20" si="62">H21/H20</f>
        <v>0.15282478521218432</v>
      </c>
      <c r="O20" s="175">
        <f t="shared" ref="O20" si="63">I21/I20</f>
        <v>0.1614476386036961</v>
      </c>
      <c r="P20" s="179">
        <f t="shared" ref="P20" si="64">J21/J20</f>
        <v>0.16319267920691408</v>
      </c>
      <c r="Q20" s="4">
        <f t="shared" ref="Q20" si="65">STDEV(N20,O20,P20)</f>
        <v>5.5511559337423745E-3</v>
      </c>
      <c r="R20" s="53">
        <f t="shared" ref="R20" si="66">Q20/(AVERAGE(N20,O20,P20))</f>
        <v>3.48789214034603E-2</v>
      </c>
      <c r="S20" t="b">
        <f t="shared" ref="S20" si="67">IF(Q20&gt;0.05, TRUE, FALSE)</f>
        <v>0</v>
      </c>
      <c r="T20" s="117">
        <v>3.806</v>
      </c>
      <c r="U20" s="101">
        <v>3.879</v>
      </c>
      <c r="V20" s="124">
        <f t="shared" si="3"/>
        <v>3.5000000000000142E-2</v>
      </c>
      <c r="W20" s="124">
        <f t="shared" si="4"/>
        <v>3.7999999999999812E-2</v>
      </c>
      <c r="X20" s="125">
        <f t="shared" si="11"/>
        <v>3.6499999999999977E-2</v>
      </c>
      <c r="Y20" s="117">
        <v>3.855</v>
      </c>
      <c r="Z20" s="101">
        <v>3.94</v>
      </c>
      <c r="AA20" s="124">
        <f t="shared" si="5"/>
        <v>4.0999999999999925E-2</v>
      </c>
      <c r="AB20" s="124">
        <f t="shared" si="6"/>
        <v>4.4000000000000039E-2</v>
      </c>
      <c r="AC20" s="131">
        <f t="shared" si="12"/>
        <v>4.2499999999999982E-2</v>
      </c>
      <c r="AD20" s="117">
        <v>3.8889999999999998</v>
      </c>
      <c r="AE20" s="101">
        <v>3.9830000000000001</v>
      </c>
      <c r="AF20" s="136">
        <f t="shared" si="7"/>
        <v>4.5000000000000373E-2</v>
      </c>
      <c r="AG20" s="124">
        <f t="shared" si="8"/>
        <v>4.8999999999999932E-2</v>
      </c>
      <c r="AH20" s="131">
        <f t="shared" si="13"/>
        <v>4.7000000000000153E-2</v>
      </c>
      <c r="AI20" s="4"/>
      <c r="AJ20" s="4"/>
      <c r="AK20" s="4"/>
      <c r="AL20" s="4"/>
      <c r="AM20" s="4"/>
      <c r="AN20" s="4"/>
      <c r="AO20" s="4"/>
      <c r="AP20" s="4"/>
      <c r="AQ20" s="4"/>
      <c r="AT20" s="4"/>
      <c r="AU20" s="4"/>
      <c r="AV20" s="4"/>
      <c r="AW20" s="4"/>
      <c r="AX20" s="4"/>
      <c r="AY20" s="4"/>
    </row>
    <row r="21" spans="1:51">
      <c r="A21" s="56">
        <v>19</v>
      </c>
      <c r="B21" s="4"/>
      <c r="C21" s="28"/>
      <c r="D21" s="28"/>
      <c r="E21" s="117">
        <f>'2MASS Binaries'!J21</f>
        <v>6.1386672605050618</v>
      </c>
      <c r="F21" s="101">
        <f>'2MASS Binaries'!K21</f>
        <v>5.2675449422483958</v>
      </c>
      <c r="G21" s="116">
        <f>'2MASS Binaries'!L21</f>
        <v>5.0640032002350637</v>
      </c>
      <c r="H21" s="117">
        <v>0.58699999999999997</v>
      </c>
      <c r="I21" s="101">
        <v>0.629</v>
      </c>
      <c r="J21" s="92">
        <v>0.64200000000000002</v>
      </c>
      <c r="K21" s="117">
        <f t="shared" si="0"/>
        <v>2.8746014216467206E-2</v>
      </c>
      <c r="L21" s="4">
        <f t="shared" si="9"/>
        <v>0.63058289241622589</v>
      </c>
      <c r="M21" s="53">
        <f t="shared" si="10"/>
        <v>4.558641625420589E-2</v>
      </c>
      <c r="N21" s="168"/>
      <c r="O21" s="169"/>
      <c r="P21" s="170"/>
      <c r="Q21" s="53"/>
      <c r="R21" s="53"/>
      <c r="S21"/>
      <c r="T21" s="117">
        <v>0.56499999999999995</v>
      </c>
      <c r="U21" s="101">
        <v>0.61099999999999999</v>
      </c>
      <c r="V21" s="124">
        <f t="shared" si="3"/>
        <v>2.200000000000002E-2</v>
      </c>
      <c r="W21" s="124">
        <f t="shared" si="4"/>
        <v>2.4000000000000021E-2</v>
      </c>
      <c r="X21" s="125">
        <f t="shared" si="11"/>
        <v>2.300000000000002E-2</v>
      </c>
      <c r="Y21" s="117">
        <v>0.61699999999999999</v>
      </c>
      <c r="Z21" s="101">
        <v>0.64</v>
      </c>
      <c r="AA21" s="124">
        <f t="shared" si="5"/>
        <v>1.2000000000000011E-2</v>
      </c>
      <c r="AB21" s="124">
        <f t="shared" si="6"/>
        <v>1.100000000000001E-2</v>
      </c>
      <c r="AC21" s="131">
        <f t="shared" si="12"/>
        <v>1.150000000000001E-2</v>
      </c>
      <c r="AD21" s="117">
        <v>0.63100000000000001</v>
      </c>
      <c r="AE21" s="101">
        <v>0.65300000000000002</v>
      </c>
      <c r="AF21" s="136">
        <f t="shared" si="7"/>
        <v>1.100000000000001E-2</v>
      </c>
      <c r="AG21" s="124">
        <f t="shared" si="8"/>
        <v>1.100000000000001E-2</v>
      </c>
      <c r="AH21" s="131">
        <f t="shared" si="13"/>
        <v>1.100000000000001E-2</v>
      </c>
      <c r="AI21" s="4"/>
      <c r="AJ21" s="4"/>
      <c r="AK21" s="4"/>
      <c r="AL21" s="4"/>
      <c r="AM21" s="4"/>
      <c r="AN21" s="4"/>
      <c r="AO21" s="4"/>
      <c r="AP21" s="4"/>
      <c r="AQ21" s="4"/>
      <c r="AT21" s="4"/>
      <c r="AU21" s="4"/>
      <c r="AV21" s="4"/>
      <c r="AW21" s="4"/>
      <c r="AX21" s="4"/>
      <c r="AY21" s="4"/>
    </row>
    <row r="22" spans="1:51">
      <c r="A22" s="56">
        <v>20</v>
      </c>
      <c r="B22" s="4"/>
      <c r="C22" s="28" t="s">
        <v>305</v>
      </c>
      <c r="D22" s="28" t="s">
        <v>193</v>
      </c>
      <c r="E22" s="117">
        <f>'2MASS Binaries'!J22</f>
        <v>-1.2878188207949375</v>
      </c>
      <c r="F22" s="101">
        <f>'2MASS Binaries'!K22</f>
        <v>-1.2888188207949369</v>
      </c>
      <c r="G22" s="116">
        <f>'2MASS Binaries'!L22</f>
        <v>-1.3338188207949369</v>
      </c>
      <c r="H22" s="117">
        <v>5.1449999999999996</v>
      </c>
      <c r="I22" s="101">
        <v>5.2809999999999997</v>
      </c>
      <c r="J22" s="92">
        <v>5.5339999999999998</v>
      </c>
      <c r="K22" s="117">
        <f t="shared" si="0"/>
        <v>0.19741073932286471</v>
      </c>
      <c r="L22" s="4">
        <f t="shared" si="9"/>
        <v>5.3331751173049522</v>
      </c>
      <c r="M22" s="53">
        <f t="shared" si="10"/>
        <v>3.701561170986329E-2</v>
      </c>
      <c r="N22" s="178">
        <f t="shared" ref="N22" si="68">H23/H22</f>
        <v>0.59475218658892137</v>
      </c>
      <c r="O22" s="175">
        <f t="shared" ref="O22" si="69">I23/I22</f>
        <v>0.60424162090513156</v>
      </c>
      <c r="P22" s="179">
        <f t="shared" ref="P22" si="70">J23/J22</f>
        <v>0.57354535598120704</v>
      </c>
      <c r="Q22" s="4">
        <f t="shared" ref="Q22" si="71">STDEV(N22,O22,P22)</f>
        <v>1.5716444192552567E-2</v>
      </c>
      <c r="R22" s="53">
        <f t="shared" ref="R22" si="72">Q22/(AVERAGE(N22,O22,P22))</f>
        <v>2.6599881993702296E-2</v>
      </c>
      <c r="S22" t="b">
        <f t="shared" ref="S22" si="73">IF(Q22&gt;0.05, TRUE, FALSE)</f>
        <v>0</v>
      </c>
      <c r="T22" s="117">
        <v>5.0720000000000001</v>
      </c>
      <c r="U22" s="101">
        <v>5.2130000000000001</v>
      </c>
      <c r="V22" s="124">
        <f t="shared" si="3"/>
        <v>7.299999999999951E-2</v>
      </c>
      <c r="W22" s="124">
        <f t="shared" si="4"/>
        <v>6.8000000000000504E-2</v>
      </c>
      <c r="X22" s="125">
        <f t="shared" si="11"/>
        <v>7.0500000000000007E-2</v>
      </c>
      <c r="Y22" s="117">
        <v>5.2160000000000002</v>
      </c>
      <c r="Z22" s="101">
        <v>5.3440000000000003</v>
      </c>
      <c r="AA22" s="124">
        <f t="shared" si="5"/>
        <v>6.4999999999999503E-2</v>
      </c>
      <c r="AB22" s="124">
        <f t="shared" si="6"/>
        <v>6.3000000000000611E-2</v>
      </c>
      <c r="AC22" s="131">
        <f t="shared" si="12"/>
        <v>6.4000000000000057E-2</v>
      </c>
      <c r="AD22" s="117">
        <v>5.4710000000000001</v>
      </c>
      <c r="AE22" s="101">
        <v>5.5970000000000004</v>
      </c>
      <c r="AF22" s="136">
        <f t="shared" si="7"/>
        <v>6.2999999999999723E-2</v>
      </c>
      <c r="AG22" s="124">
        <f t="shared" si="8"/>
        <v>6.3000000000000611E-2</v>
      </c>
      <c r="AH22" s="131">
        <f t="shared" si="13"/>
        <v>6.3000000000000167E-2</v>
      </c>
      <c r="AI22" s="4"/>
      <c r="AJ22" s="4"/>
      <c r="AK22" s="4"/>
      <c r="AL22" s="4"/>
      <c r="AM22" s="4"/>
      <c r="AN22" s="4"/>
      <c r="AO22" s="4"/>
      <c r="AP22" s="4"/>
      <c r="AQ22" s="4"/>
      <c r="AT22" s="4"/>
      <c r="AU22" s="4"/>
      <c r="AV22" s="4"/>
      <c r="AW22" s="4"/>
      <c r="AX22" s="4"/>
      <c r="AY22" s="4"/>
    </row>
    <row r="23" spans="1:51">
      <c r="A23" s="56">
        <v>21</v>
      </c>
      <c r="B23" s="4"/>
      <c r="C23" s="28"/>
      <c r="D23" s="28"/>
      <c r="E23" s="90">
        <f>'2MASS Binaries'!J23</f>
        <v>0.41218117920506248</v>
      </c>
      <c r="F23" s="101">
        <f>'2MASS Binaries'!K23</f>
        <v>0.21118117920506307</v>
      </c>
      <c r="G23" s="116">
        <f>'2MASS Binaries'!L23</f>
        <v>0.26618117920506323</v>
      </c>
      <c r="H23" s="117">
        <v>3.06</v>
      </c>
      <c r="I23" s="101">
        <v>3.1909999999999998</v>
      </c>
      <c r="J23" s="92">
        <v>3.1739999999999999</v>
      </c>
      <c r="K23" s="117">
        <f t="shared" si="0"/>
        <v>7.1234355007491423E-2</v>
      </c>
      <c r="L23" s="4">
        <f t="shared" si="9"/>
        <v>3.1685269504847811</v>
      </c>
      <c r="M23" s="53">
        <f t="shared" si="10"/>
        <v>2.2481852330968069E-2</v>
      </c>
      <c r="N23" s="168"/>
      <c r="O23" s="169"/>
      <c r="P23" s="170"/>
      <c r="Q23" s="53"/>
      <c r="R23" s="53"/>
      <c r="S23"/>
      <c r="T23" s="117">
        <v>2.927</v>
      </c>
      <c r="U23" s="101">
        <v>3.18</v>
      </c>
      <c r="V23" s="124">
        <f t="shared" si="3"/>
        <v>0.13300000000000001</v>
      </c>
      <c r="W23" s="124">
        <f t="shared" si="4"/>
        <v>0.12000000000000011</v>
      </c>
      <c r="X23" s="125">
        <f t="shared" si="11"/>
        <v>0.12650000000000006</v>
      </c>
      <c r="Y23" s="117">
        <v>3.1259999999999999</v>
      </c>
      <c r="Z23" s="101">
        <v>3.254</v>
      </c>
      <c r="AA23" s="124">
        <f t="shared" si="5"/>
        <v>6.4999999999999947E-2</v>
      </c>
      <c r="AB23" s="124">
        <f t="shared" si="6"/>
        <v>6.3000000000000167E-2</v>
      </c>
      <c r="AC23" s="131">
        <f t="shared" si="12"/>
        <v>6.4000000000000057E-2</v>
      </c>
      <c r="AD23" s="117">
        <v>3.1080000000000001</v>
      </c>
      <c r="AE23" s="101">
        <v>3.238</v>
      </c>
      <c r="AF23" s="136">
        <f t="shared" si="7"/>
        <v>6.5999999999999837E-2</v>
      </c>
      <c r="AG23" s="124">
        <f t="shared" si="8"/>
        <v>6.4000000000000057E-2</v>
      </c>
      <c r="AH23" s="131">
        <f t="shared" si="13"/>
        <v>6.4999999999999947E-2</v>
      </c>
      <c r="AI23" s="4"/>
      <c r="AJ23" s="4"/>
      <c r="AK23" s="4"/>
      <c r="AL23" s="4"/>
      <c r="AM23" s="4"/>
      <c r="AN23" s="4"/>
      <c r="AO23" s="4"/>
      <c r="AP23" s="4"/>
      <c r="AQ23" s="4"/>
      <c r="AT23" s="4"/>
      <c r="AU23" s="4"/>
      <c r="AV23" s="4"/>
      <c r="AW23" s="4"/>
      <c r="AX23" s="4"/>
      <c r="AY23" s="4"/>
    </row>
    <row r="24" spans="1:51">
      <c r="A24" s="56">
        <v>22</v>
      </c>
      <c r="B24" s="4"/>
      <c r="C24" s="28" t="s">
        <v>292</v>
      </c>
      <c r="D24" s="28" t="s">
        <v>193</v>
      </c>
      <c r="E24" s="90">
        <f>'2MASS Binaries'!J24</f>
        <v>-1.2878188207949375</v>
      </c>
      <c r="F24" s="101">
        <f>'2MASS Binaries'!K24</f>
        <v>-1.2888188207949369</v>
      </c>
      <c r="G24" s="116">
        <f>'2MASS Binaries'!L24</f>
        <v>-1.3338188207949369</v>
      </c>
      <c r="H24" s="117">
        <v>5.1449999999999996</v>
      </c>
      <c r="I24" s="101">
        <v>5.2809999999999997</v>
      </c>
      <c r="J24" s="92">
        <v>5.5339999999999998</v>
      </c>
      <c r="K24" s="117">
        <f t="shared" si="0"/>
        <v>0.19741073932286471</v>
      </c>
      <c r="L24" s="4">
        <f t="shared" si="9"/>
        <v>5.3331751173049522</v>
      </c>
      <c r="M24" s="53">
        <f t="shared" si="10"/>
        <v>3.701561170986329E-2</v>
      </c>
      <c r="N24" s="178">
        <f t="shared" ref="N24" si="74">H25/H24</f>
        <v>9.1739552964042764E-2</v>
      </c>
      <c r="O24" s="175">
        <f t="shared" ref="O24" si="75">I25/I24</f>
        <v>8.9187653853436855E-2</v>
      </c>
      <c r="P24" s="179">
        <f t="shared" ref="P24" si="76">J25/J24</f>
        <v>8.3483917600289129E-2</v>
      </c>
      <c r="Q24" s="4">
        <f t="shared" ref="Q24" si="77">STDEV(N24,O24,P24)</f>
        <v>4.2269041384809152E-3</v>
      </c>
      <c r="R24" s="53">
        <f t="shared" ref="R24" si="78">Q24/(AVERAGE(N24,O24,P24))</f>
        <v>4.7958316592637981E-2</v>
      </c>
      <c r="S24" t="b">
        <f t="shared" ref="S24" si="79">IF(Q24&gt;0.05, TRUE, FALSE)</f>
        <v>0</v>
      </c>
      <c r="T24" s="117">
        <v>5.0720000000000001</v>
      </c>
      <c r="U24" s="101">
        <v>5.2130000000000001</v>
      </c>
      <c r="V24" s="124">
        <f t="shared" si="3"/>
        <v>7.299999999999951E-2</v>
      </c>
      <c r="W24" s="124">
        <f t="shared" si="4"/>
        <v>6.8000000000000504E-2</v>
      </c>
      <c r="X24" s="125">
        <f t="shared" si="11"/>
        <v>7.0500000000000007E-2</v>
      </c>
      <c r="Y24" s="117">
        <v>5.2160000000000002</v>
      </c>
      <c r="Z24" s="101">
        <v>5.3440000000000003</v>
      </c>
      <c r="AA24" s="124">
        <f t="shared" si="5"/>
        <v>6.4999999999999503E-2</v>
      </c>
      <c r="AB24" s="124">
        <f t="shared" si="6"/>
        <v>6.3000000000000611E-2</v>
      </c>
      <c r="AC24" s="131">
        <f t="shared" si="12"/>
        <v>6.4000000000000057E-2</v>
      </c>
      <c r="AD24" s="117">
        <v>5.4710000000000001</v>
      </c>
      <c r="AE24" s="101">
        <v>5.5970000000000004</v>
      </c>
      <c r="AF24" s="136">
        <f t="shared" si="7"/>
        <v>6.2999999999999723E-2</v>
      </c>
      <c r="AG24" s="124">
        <f t="shared" si="8"/>
        <v>6.3000000000000611E-2</v>
      </c>
      <c r="AH24" s="131">
        <f t="shared" si="13"/>
        <v>6.3000000000000167E-2</v>
      </c>
      <c r="AI24" s="4"/>
      <c r="AJ24" s="4"/>
      <c r="AK24" s="4"/>
      <c r="AL24" s="4"/>
      <c r="AM24" s="4"/>
      <c r="AN24" s="4"/>
      <c r="AO24" s="4"/>
      <c r="AP24" s="4"/>
      <c r="AQ24" s="4"/>
      <c r="AT24" s="4"/>
      <c r="AU24" s="4"/>
      <c r="AV24" s="4"/>
      <c r="AW24" s="4"/>
      <c r="AX24" s="4"/>
      <c r="AY24" s="4"/>
    </row>
    <row r="25" spans="1:51">
      <c r="A25" s="56">
        <v>23</v>
      </c>
      <c r="B25" s="4"/>
      <c r="C25" s="28"/>
      <c r="D25" s="28"/>
      <c r="E25" s="126">
        <f>'2MASS Binaries'!J25</f>
        <v>6.8138853411000628</v>
      </c>
      <c r="F25" s="119">
        <f>'2MASS Binaries'!K25</f>
        <v>6.2216249067600629</v>
      </c>
      <c r="G25" s="120">
        <f>'2MASS Binaries'!L25</f>
        <v>6.0032070694100632</v>
      </c>
      <c r="H25" s="118">
        <v>0.47199999999999998</v>
      </c>
      <c r="I25" s="119">
        <v>0.47099999999999997</v>
      </c>
      <c r="J25" s="127">
        <v>0.46200000000000002</v>
      </c>
      <c r="K25" s="117">
        <f t="shared" si="0"/>
        <v>5.5075705472860748E-3</v>
      </c>
      <c r="L25" s="4">
        <f t="shared" si="9"/>
        <v>0.4688715899489081</v>
      </c>
      <c r="M25" s="53">
        <f t="shared" si="10"/>
        <v>1.1746436903729276E-2</v>
      </c>
      <c r="N25" s="168"/>
      <c r="O25" s="169"/>
      <c r="P25" s="170"/>
      <c r="Q25" s="53"/>
      <c r="R25" s="53"/>
      <c r="S25"/>
      <c r="T25" s="118">
        <v>0.46200000000000002</v>
      </c>
      <c r="U25" s="119">
        <v>0.48299999999999998</v>
      </c>
      <c r="V25" s="128">
        <f t="shared" si="3"/>
        <v>9.9999999999999534E-3</v>
      </c>
      <c r="W25" s="128">
        <f t="shared" si="4"/>
        <v>1.100000000000001E-2</v>
      </c>
      <c r="X25" s="129">
        <f t="shared" si="11"/>
        <v>1.0499999999999982E-2</v>
      </c>
      <c r="Y25" s="118">
        <v>0.46200000000000002</v>
      </c>
      <c r="Z25" s="119">
        <v>0.48099999999999998</v>
      </c>
      <c r="AA25" s="128">
        <f t="shared" si="5"/>
        <v>8.9999999999999525E-3</v>
      </c>
      <c r="AB25" s="128">
        <f t="shared" si="6"/>
        <v>1.0000000000000009E-2</v>
      </c>
      <c r="AC25" s="132">
        <f t="shared" si="12"/>
        <v>9.4999999999999807E-3</v>
      </c>
      <c r="AD25" s="118">
        <v>0.45100000000000001</v>
      </c>
      <c r="AE25" s="119">
        <v>0.47399999999999998</v>
      </c>
      <c r="AF25" s="137">
        <f t="shared" si="7"/>
        <v>1.100000000000001E-2</v>
      </c>
      <c r="AG25" s="128">
        <f t="shared" si="8"/>
        <v>1.1999999999999955E-2</v>
      </c>
      <c r="AH25" s="132">
        <f t="shared" si="13"/>
        <v>1.1499999999999982E-2</v>
      </c>
      <c r="AI25" s="4"/>
      <c r="AJ25" s="4"/>
      <c r="AK25" s="4"/>
      <c r="AL25" s="4"/>
      <c r="AM25" s="4"/>
      <c r="AN25" s="4"/>
      <c r="AO25" s="4"/>
      <c r="AP25" s="4"/>
      <c r="AQ25" s="4"/>
      <c r="AT25" s="4"/>
      <c r="AU25" s="4"/>
      <c r="AV25" s="4"/>
      <c r="AW25" s="4"/>
      <c r="AX25" s="4"/>
      <c r="AY25" s="4"/>
    </row>
    <row r="26" spans="1:51">
      <c r="A26" s="56">
        <v>24</v>
      </c>
      <c r="B26" s="76" t="s">
        <v>93</v>
      </c>
      <c r="C26" s="28" t="s">
        <v>171</v>
      </c>
      <c r="D26" s="28" t="s">
        <v>194</v>
      </c>
      <c r="E26" s="90">
        <f>'2MASS Binaries'!J26</f>
        <v>2.4579108849523177</v>
      </c>
      <c r="F26" s="101">
        <f>'2MASS Binaries'!K26</f>
        <v>2.4989108849523181</v>
      </c>
      <c r="G26" s="116">
        <f>'2MASS Binaries'!L26</f>
        <v>2.4639108849523179</v>
      </c>
      <c r="H26" s="117">
        <v>1.5489999999999999</v>
      </c>
      <c r="I26" s="101">
        <v>1.4430000000000001</v>
      </c>
      <c r="J26" s="102">
        <v>1.44</v>
      </c>
      <c r="K26" s="28">
        <f t="shared" si="0"/>
        <v>6.208327740489647E-2</v>
      </c>
      <c r="L26" s="4">
        <f t="shared" si="9"/>
        <v>1.4893514180024658</v>
      </c>
      <c r="M26" s="53">
        <f t="shared" si="10"/>
        <v>4.1684774093251428E-2</v>
      </c>
      <c r="N26" s="167">
        <f>H27/H26</f>
        <v>5.7456423499031635E-2</v>
      </c>
      <c r="O26" s="176">
        <f t="shared" ref="O26" si="80">I27/I26</f>
        <v>6.0291060291060287E-2</v>
      </c>
      <c r="P26" s="177">
        <f t="shared" ref="P26" si="81">J27/J26</f>
        <v>4.6527777777777779E-2</v>
      </c>
      <c r="Q26" s="4">
        <f t="shared" ref="Q26" si="82">STDEV(N26,O26,P26)</f>
        <v>7.2674893485053325E-3</v>
      </c>
      <c r="R26" s="53">
        <f t="shared" ref="R26" si="83">Q26/(AVERAGE(N26,O26,P26))</f>
        <v>0.13271911934535799</v>
      </c>
      <c r="S26" t="b">
        <f t="shared" ref="S26" si="84">IF(Q26&gt;0.05, TRUE, FALSE)</f>
        <v>0</v>
      </c>
      <c r="T26" s="117">
        <v>1.534</v>
      </c>
      <c r="U26" s="101">
        <v>1.5640000000000001</v>
      </c>
      <c r="V26" s="124">
        <f t="shared" si="3"/>
        <v>1.4999999999999902E-2</v>
      </c>
      <c r="W26" s="124">
        <f t="shared" si="4"/>
        <v>1.5000000000000124E-2</v>
      </c>
      <c r="X26" s="125">
        <f t="shared" si="11"/>
        <v>1.5000000000000013E-2</v>
      </c>
      <c r="Y26" s="117">
        <v>1.423</v>
      </c>
      <c r="Z26" s="101">
        <v>1.4610000000000001</v>
      </c>
      <c r="AA26" s="124">
        <f t="shared" si="5"/>
        <v>2.0000000000000018E-2</v>
      </c>
      <c r="AB26" s="124">
        <f t="shared" si="6"/>
        <v>1.8000000000000016E-2</v>
      </c>
      <c r="AC26" s="131">
        <f t="shared" si="12"/>
        <v>1.9000000000000017E-2</v>
      </c>
      <c r="AD26" s="117">
        <v>1.42</v>
      </c>
      <c r="AE26" s="101">
        <v>1.458</v>
      </c>
      <c r="AF26" s="136">
        <f t="shared" si="7"/>
        <v>2.0000000000000018E-2</v>
      </c>
      <c r="AG26" s="124">
        <f t="shared" si="8"/>
        <v>1.8000000000000016E-2</v>
      </c>
      <c r="AH26" s="131">
        <f t="shared" si="13"/>
        <v>1.9000000000000017E-2</v>
      </c>
      <c r="AI26" s="4"/>
      <c r="AJ26" s="4"/>
      <c r="AK26" s="4"/>
      <c r="AL26" s="4"/>
      <c r="AM26" s="4"/>
      <c r="AN26" s="4"/>
      <c r="AO26" s="4"/>
      <c r="AP26" s="4"/>
      <c r="AQ26" s="4"/>
      <c r="AT26" s="4"/>
      <c r="AU26" s="4"/>
      <c r="AV26" s="4"/>
      <c r="AW26" s="4"/>
      <c r="AX26" s="4"/>
      <c r="AY26" s="4"/>
    </row>
    <row r="27" spans="1:51">
      <c r="A27" s="56">
        <v>25</v>
      </c>
      <c r="B27" s="4"/>
      <c r="C27" s="28"/>
      <c r="D27" s="28"/>
      <c r="E27" s="90">
        <f>'2MASS Binaries'!J27</f>
        <v>8.903910884952321</v>
      </c>
      <c r="F27" s="101">
        <f>'2MASS Binaries'!K27</f>
        <v>8.367410884952319</v>
      </c>
      <c r="G27" s="116">
        <f>'2MASS Binaries'!L27</f>
        <v>8.3459108849523176</v>
      </c>
      <c r="H27" s="117">
        <v>8.8999999999999996E-2</v>
      </c>
      <c r="I27" s="101">
        <v>8.6999999999999994E-2</v>
      </c>
      <c r="J27" s="102">
        <v>6.7000000000000004E-2</v>
      </c>
      <c r="K27" s="28">
        <f t="shared" si="0"/>
        <v>1.2165525060596462E-2</v>
      </c>
      <c r="L27" s="4">
        <f t="shared" si="9"/>
        <v>8.0092783505154655E-2</v>
      </c>
      <c r="M27" s="53">
        <f t="shared" si="10"/>
        <v>0.15189289881295617</v>
      </c>
      <c r="N27" s="168"/>
      <c r="O27" s="169"/>
      <c r="P27" s="170"/>
      <c r="Q27" s="53"/>
      <c r="R27" s="53"/>
      <c r="S27"/>
      <c r="T27" s="117">
        <v>8.5999999999999993E-2</v>
      </c>
      <c r="U27" s="101">
        <v>9.1999999999999998E-2</v>
      </c>
      <c r="V27" s="124">
        <f t="shared" si="3"/>
        <v>3.0000000000000027E-3</v>
      </c>
      <c r="W27" s="124">
        <f t="shared" si="4"/>
        <v>3.0000000000000027E-3</v>
      </c>
      <c r="X27" s="125">
        <f t="shared" si="11"/>
        <v>3.0000000000000027E-3</v>
      </c>
      <c r="Y27" s="117">
        <v>8.4000000000000005E-2</v>
      </c>
      <c r="Z27" s="101">
        <v>8.8999999999999996E-2</v>
      </c>
      <c r="AA27" s="124">
        <f t="shared" si="5"/>
        <v>2.9999999999999888E-3</v>
      </c>
      <c r="AB27" s="124">
        <f t="shared" si="6"/>
        <v>2.0000000000000018E-3</v>
      </c>
      <c r="AC27" s="131">
        <f t="shared" si="12"/>
        <v>2.4999999999999953E-3</v>
      </c>
      <c r="AD27" s="117">
        <v>6.4000000000000001E-2</v>
      </c>
      <c r="AE27" s="101">
        <v>6.9000000000000006E-2</v>
      </c>
      <c r="AF27" s="136">
        <f t="shared" si="7"/>
        <v>3.0000000000000027E-3</v>
      </c>
      <c r="AG27" s="124">
        <f t="shared" si="8"/>
        <v>2.0000000000000018E-3</v>
      </c>
      <c r="AH27" s="131">
        <f t="shared" si="13"/>
        <v>2.5000000000000022E-3</v>
      </c>
      <c r="AI27" s="4"/>
      <c r="AJ27" s="4"/>
      <c r="AK27" s="4"/>
      <c r="AL27" s="4"/>
      <c r="AM27" s="4"/>
      <c r="AN27" s="4"/>
      <c r="AO27" s="4"/>
      <c r="AP27" s="4"/>
      <c r="AQ27" s="4"/>
      <c r="AT27" s="4"/>
      <c r="AU27" s="4"/>
      <c r="AV27" s="4"/>
      <c r="AW27" s="4"/>
      <c r="AX27" s="4"/>
      <c r="AY27" s="4"/>
    </row>
    <row r="28" spans="1:51">
      <c r="A28" s="56">
        <v>26</v>
      </c>
      <c r="B28" s="4"/>
      <c r="C28" s="28" t="s">
        <v>277</v>
      </c>
      <c r="D28" s="28" t="s">
        <v>194</v>
      </c>
      <c r="E28" s="90">
        <f>'2MASS Binaries'!J28</f>
        <v>-0.15608911504768219</v>
      </c>
      <c r="F28" s="101">
        <f>'2MASS Binaries'!K28</f>
        <v>-0.18008911504768221</v>
      </c>
      <c r="G28" s="116">
        <f>'2MASS Binaries'!L28</f>
        <v>-0.23608911504768226</v>
      </c>
      <c r="H28" s="117">
        <v>4.5250000000000004</v>
      </c>
      <c r="I28" s="101">
        <v>4.6310000000000002</v>
      </c>
      <c r="J28" s="102">
        <v>4.8339999999999996</v>
      </c>
      <c r="K28" s="28">
        <f t="shared" si="0"/>
        <v>0.15701698421932964</v>
      </c>
      <c r="L28" s="4">
        <f t="shared" si="9"/>
        <v>4.6689544825696938</v>
      </c>
      <c r="M28" s="53">
        <f t="shared" si="10"/>
        <v>3.3630009631816074E-2</v>
      </c>
      <c r="N28" s="178">
        <f>H29/H28</f>
        <v>0.26607734806629829</v>
      </c>
      <c r="O28" s="175">
        <f t="shared" ref="O28" si="85">I29/I28</f>
        <v>0.26732887065428634</v>
      </c>
      <c r="P28" s="179">
        <f t="shared" ref="P28" si="86">J29/J28</f>
        <v>0.29230450972279687</v>
      </c>
      <c r="Q28" s="4">
        <f t="shared" ref="Q28" si="87">STDEV(N28,O28,P28)</f>
        <v>1.4794215447401858E-2</v>
      </c>
      <c r="R28" s="53">
        <f t="shared" ref="R28" si="88">Q28/(AVERAGE(N28,O28,P28))</f>
        <v>5.3750841321724287E-2</v>
      </c>
      <c r="S28" t="b">
        <f t="shared" ref="S28" si="89">IF(Q28&gt;0.05, TRUE, FALSE)</f>
        <v>0</v>
      </c>
      <c r="T28" s="117">
        <v>4.4850000000000003</v>
      </c>
      <c r="U28" s="101">
        <v>4.5650000000000004</v>
      </c>
      <c r="V28" s="124">
        <f t="shared" si="3"/>
        <v>4.0000000000000036E-2</v>
      </c>
      <c r="W28" s="124">
        <f t="shared" si="4"/>
        <v>4.0000000000000036E-2</v>
      </c>
      <c r="X28" s="125">
        <f t="shared" si="11"/>
        <v>4.0000000000000036E-2</v>
      </c>
      <c r="Y28" s="117">
        <v>4.5910000000000002</v>
      </c>
      <c r="Z28" s="101">
        <v>4.67</v>
      </c>
      <c r="AA28" s="124">
        <f t="shared" si="5"/>
        <v>4.0000000000000036E-2</v>
      </c>
      <c r="AB28" s="124">
        <f t="shared" si="6"/>
        <v>3.8999999999999702E-2</v>
      </c>
      <c r="AC28" s="131">
        <f t="shared" si="12"/>
        <v>3.9499999999999869E-2</v>
      </c>
      <c r="AD28" s="117">
        <v>4.7960000000000003</v>
      </c>
      <c r="AE28" s="101">
        <v>4.8719999999999999</v>
      </c>
      <c r="AF28" s="136">
        <f t="shared" si="7"/>
        <v>3.7999999999999368E-2</v>
      </c>
      <c r="AG28" s="124">
        <f t="shared" si="8"/>
        <v>3.8000000000000256E-2</v>
      </c>
      <c r="AH28" s="131">
        <f t="shared" si="13"/>
        <v>3.7999999999999812E-2</v>
      </c>
      <c r="AI28" s="4"/>
      <c r="AJ28" s="4"/>
      <c r="AK28" s="4"/>
      <c r="AL28" s="4"/>
      <c r="AM28" s="4"/>
      <c r="AN28" s="4"/>
      <c r="AO28" s="4"/>
      <c r="AP28" s="4"/>
      <c r="AQ28" s="4"/>
      <c r="AT28" s="4"/>
      <c r="AU28" s="4"/>
      <c r="AV28" s="4"/>
      <c r="AW28" s="4"/>
      <c r="AX28" s="4"/>
      <c r="AY28" s="4"/>
    </row>
    <row r="29" spans="1:51">
      <c r="A29" s="56">
        <v>27</v>
      </c>
      <c r="B29" s="4"/>
      <c r="C29" s="28"/>
      <c r="D29" s="28"/>
      <c r="E29" s="235">
        <f>'2MASS Binaries'!J29</f>
        <v>3.3439108849523178</v>
      </c>
      <c r="F29" s="101">
        <f>'2MASS Binaries'!K29</f>
        <v>2.9099108849523176</v>
      </c>
      <c r="G29" s="116">
        <f>'2MASS Binaries'!L29</f>
        <v>2.503910884952318</v>
      </c>
      <c r="H29" s="235">
        <v>1.204</v>
      </c>
      <c r="I29" s="101">
        <v>1.238</v>
      </c>
      <c r="J29" s="102">
        <v>1.413</v>
      </c>
      <c r="K29" s="4">
        <f>STDEV(I29,J29)</f>
        <v>0.12374368670764585</v>
      </c>
      <c r="L29" s="4">
        <f>(I29*1/AC29^2+J29*1/AH29^2)/(1/AC29^2 + 1/AH29^2)</f>
        <v>1.2585442218421694</v>
      </c>
      <c r="M29" s="53">
        <f t="shared" si="10"/>
        <v>9.8322875398465112E-2</v>
      </c>
      <c r="N29" s="168"/>
      <c r="O29" s="169"/>
      <c r="P29" s="170"/>
      <c r="Q29" s="53"/>
      <c r="R29" s="53"/>
      <c r="S29"/>
      <c r="T29" s="117">
        <v>1.196</v>
      </c>
      <c r="U29" s="101">
        <v>1.212</v>
      </c>
      <c r="V29" s="124">
        <f t="shared" si="3"/>
        <v>8.0000000000000071E-3</v>
      </c>
      <c r="W29" s="124">
        <f t="shared" si="4"/>
        <v>8.0000000000000071E-3</v>
      </c>
      <c r="X29" s="125">
        <f t="shared" si="11"/>
        <v>8.0000000000000071E-3</v>
      </c>
      <c r="Y29" s="117">
        <v>1.2070000000000001</v>
      </c>
      <c r="Z29" s="101">
        <v>1.2689999999999999</v>
      </c>
      <c r="AA29" s="124">
        <f t="shared" si="5"/>
        <v>3.0999999999999917E-2</v>
      </c>
      <c r="AB29" s="124">
        <f t="shared" si="6"/>
        <v>3.0999999999999917E-2</v>
      </c>
      <c r="AC29" s="131">
        <f t="shared" si="12"/>
        <v>3.0999999999999917E-2</v>
      </c>
      <c r="AD29" s="117">
        <v>1.3140000000000001</v>
      </c>
      <c r="AE29" s="101">
        <v>1.484</v>
      </c>
      <c r="AF29" s="136">
        <f t="shared" si="7"/>
        <v>9.8999999999999977E-2</v>
      </c>
      <c r="AG29" s="124">
        <f t="shared" si="8"/>
        <v>7.0999999999999952E-2</v>
      </c>
      <c r="AH29" s="131">
        <f t="shared" si="13"/>
        <v>8.4999999999999964E-2</v>
      </c>
      <c r="AI29" s="4"/>
      <c r="AJ29" s="4"/>
      <c r="AK29" s="4"/>
      <c r="AL29" s="4"/>
      <c r="AM29" s="4"/>
      <c r="AN29" s="4"/>
      <c r="AO29" s="4"/>
      <c r="AP29" s="4"/>
      <c r="AQ29" s="4"/>
      <c r="AT29" s="4"/>
      <c r="AU29" s="4"/>
      <c r="AV29" s="4"/>
      <c r="AW29" s="4"/>
      <c r="AX29" s="4"/>
      <c r="AY29" s="4"/>
    </row>
    <row r="30" spans="1:51">
      <c r="A30" s="56">
        <v>28</v>
      </c>
      <c r="B30" s="4"/>
      <c r="C30" s="28" t="s">
        <v>278</v>
      </c>
      <c r="D30" s="28" t="s">
        <v>194</v>
      </c>
      <c r="E30" s="90">
        <f>'2MASS Binaries'!J30</f>
        <v>-0.15608911504768219</v>
      </c>
      <c r="F30" s="101">
        <f>'2MASS Binaries'!K30</f>
        <v>-0.18008911504768221</v>
      </c>
      <c r="G30" s="116">
        <f>'2MASS Binaries'!L30</f>
        <v>-0.23608911504768226</v>
      </c>
      <c r="H30" s="117">
        <v>4.5250000000000004</v>
      </c>
      <c r="I30" s="101">
        <v>4.6310000000000002</v>
      </c>
      <c r="J30" s="102">
        <v>4.8339999999999996</v>
      </c>
      <c r="K30" s="28">
        <f t="shared" si="0"/>
        <v>0.15701698421932964</v>
      </c>
      <c r="L30" s="4">
        <f t="shared" si="9"/>
        <v>4.6689544825696938</v>
      </c>
      <c r="M30" s="53">
        <f t="shared" si="10"/>
        <v>3.3630009631816074E-2</v>
      </c>
      <c r="N30" s="178">
        <f t="shared" ref="N30" si="90">H31/H30</f>
        <v>4.2430939226519332E-2</v>
      </c>
      <c r="O30" s="175">
        <f t="shared" ref="O30" si="91">I31/I30</f>
        <v>3.9948175340099326E-2</v>
      </c>
      <c r="P30" s="179">
        <f t="shared" ref="P30" si="92">J31/J30</f>
        <v>3.9718659495242038E-2</v>
      </c>
      <c r="Q30" s="4">
        <f t="shared" ref="Q30" si="93">STDEV(N30,O30,P30)</f>
        <v>1.504064237294491E-3</v>
      </c>
      <c r="R30" s="53">
        <f t="shared" ref="R30" si="94">Q30/(AVERAGE(N30,O30,P30))</f>
        <v>3.6955568981932259E-2</v>
      </c>
      <c r="S30" t="b">
        <f t="shared" ref="S30" si="95">IF(Q30&gt;0.05, TRUE, FALSE)</f>
        <v>0</v>
      </c>
      <c r="T30" s="117">
        <v>4.4850000000000003</v>
      </c>
      <c r="U30" s="101">
        <v>4.5650000000000004</v>
      </c>
      <c r="V30" s="124">
        <f t="shared" si="3"/>
        <v>4.0000000000000036E-2</v>
      </c>
      <c r="W30" s="124">
        <f t="shared" si="4"/>
        <v>4.0000000000000036E-2</v>
      </c>
      <c r="X30" s="125">
        <f t="shared" si="11"/>
        <v>4.0000000000000036E-2</v>
      </c>
      <c r="Y30" s="117">
        <v>4.5910000000000002</v>
      </c>
      <c r="Z30" s="101">
        <v>4.67</v>
      </c>
      <c r="AA30" s="124">
        <f t="shared" si="5"/>
        <v>4.0000000000000036E-2</v>
      </c>
      <c r="AB30" s="124">
        <f t="shared" si="6"/>
        <v>3.8999999999999702E-2</v>
      </c>
      <c r="AC30" s="131">
        <f t="shared" si="12"/>
        <v>3.9499999999999869E-2</v>
      </c>
      <c r="AD30" s="117">
        <v>4.7960000000000003</v>
      </c>
      <c r="AE30" s="101">
        <v>4.8719999999999999</v>
      </c>
      <c r="AF30" s="136">
        <f t="shared" si="7"/>
        <v>3.7999999999999368E-2</v>
      </c>
      <c r="AG30" s="124">
        <f t="shared" si="8"/>
        <v>3.8000000000000256E-2</v>
      </c>
      <c r="AH30" s="131">
        <f t="shared" si="13"/>
        <v>3.7999999999999812E-2</v>
      </c>
      <c r="AI30" s="4"/>
      <c r="AJ30" s="4"/>
      <c r="AK30" s="4"/>
      <c r="AL30" s="4"/>
      <c r="AM30" s="4"/>
      <c r="AN30" s="4"/>
      <c r="AO30" s="4"/>
      <c r="AP30" s="4"/>
      <c r="AQ30" s="4"/>
      <c r="AT30" s="4"/>
      <c r="AU30" s="4"/>
      <c r="AV30" s="4"/>
      <c r="AW30" s="4"/>
      <c r="AX30" s="4"/>
      <c r="AY30" s="4"/>
    </row>
    <row r="31" spans="1:51">
      <c r="A31" s="56">
        <v>29</v>
      </c>
      <c r="B31" s="4"/>
      <c r="C31" s="4"/>
      <c r="D31" s="28"/>
      <c r="E31" s="90">
        <f>'2MASS Binaries'!J31</f>
        <v>7.7439108849523182</v>
      </c>
      <c r="F31" s="101">
        <f>'2MASS Binaries'!K31</f>
        <v>7.2099108849523175</v>
      </c>
      <c r="G31" s="116">
        <f>'2MASS Binaries'!L31</f>
        <v>6.8139108849523176</v>
      </c>
      <c r="H31" s="117">
        <v>0.192</v>
      </c>
      <c r="I31" s="101">
        <v>0.185</v>
      </c>
      <c r="J31" s="102">
        <v>0.192</v>
      </c>
      <c r="K31" s="28">
        <f t="shared" si="0"/>
        <v>4.0414518843273836E-3</v>
      </c>
      <c r="L31" s="4">
        <f t="shared" si="9"/>
        <v>0.18864216778126905</v>
      </c>
      <c r="M31" s="53">
        <f t="shared" si="10"/>
        <v>2.1423905014776201E-2</v>
      </c>
      <c r="N31" s="168"/>
      <c r="O31" s="169"/>
      <c r="P31" s="170"/>
      <c r="Q31" s="53"/>
      <c r="R31" s="53"/>
      <c r="S31"/>
      <c r="T31" s="117">
        <v>0.16800000000000001</v>
      </c>
      <c r="U31" s="101">
        <v>0.222</v>
      </c>
      <c r="V31" s="124">
        <f t="shared" si="3"/>
        <v>2.3999999999999994E-2</v>
      </c>
      <c r="W31" s="124">
        <f t="shared" si="4"/>
        <v>0.03</v>
      </c>
      <c r="X31" s="125">
        <f t="shared" si="11"/>
        <v>2.6999999999999996E-2</v>
      </c>
      <c r="Y31" s="117">
        <v>0.17199999999999999</v>
      </c>
      <c r="Z31" s="101">
        <v>0.2</v>
      </c>
      <c r="AA31" s="124">
        <f t="shared" si="5"/>
        <v>1.3000000000000012E-2</v>
      </c>
      <c r="AB31" s="124">
        <f t="shared" si="6"/>
        <v>1.5000000000000013E-2</v>
      </c>
      <c r="AC31" s="131">
        <f t="shared" si="12"/>
        <v>1.4000000000000012E-2</v>
      </c>
      <c r="AD31" s="117">
        <v>0.17699999999999999</v>
      </c>
      <c r="AE31" s="101">
        <v>0.20799999999999999</v>
      </c>
      <c r="AF31" s="136">
        <f t="shared" si="7"/>
        <v>1.5000000000000013E-2</v>
      </c>
      <c r="AG31" s="124">
        <f t="shared" si="8"/>
        <v>1.5999999999999986E-2</v>
      </c>
      <c r="AH31" s="131">
        <f t="shared" si="13"/>
        <v>1.55E-2</v>
      </c>
      <c r="AI31" s="4"/>
      <c r="AJ31" s="4"/>
      <c r="AK31" s="4"/>
      <c r="AL31" s="4"/>
      <c r="AM31" s="4"/>
      <c r="AN31" s="4"/>
      <c r="AO31" s="4"/>
      <c r="AP31" s="4"/>
      <c r="AQ31" s="4"/>
      <c r="AT31" s="4"/>
      <c r="AU31" s="4"/>
      <c r="AV31" s="4"/>
      <c r="AW31" s="4"/>
      <c r="AX31" s="4"/>
      <c r="AY31" s="4"/>
    </row>
    <row r="32" spans="1:51">
      <c r="A32" s="56">
        <v>30</v>
      </c>
      <c r="B32" s="4"/>
      <c r="C32" s="4" t="s">
        <v>79</v>
      </c>
      <c r="D32" s="28" t="s">
        <v>195</v>
      </c>
      <c r="E32" s="90">
        <f>'2MASS Binaries'!J32</f>
        <v>2.2729108849523172</v>
      </c>
      <c r="F32" s="101">
        <f>'2MASS Binaries'!K32</f>
        <v>2.3399108849523174</v>
      </c>
      <c r="G32" s="116">
        <f>'2MASS Binaries'!L32</f>
        <v>2.362910884952317</v>
      </c>
      <c r="H32" s="117">
        <v>1.6479999999999999</v>
      </c>
      <c r="I32" s="101">
        <v>1.5349999999999999</v>
      </c>
      <c r="J32" s="102">
        <v>1.498</v>
      </c>
      <c r="K32" s="28">
        <f t="shared" si="0"/>
        <v>7.814303125252646E-2</v>
      </c>
      <c r="L32" s="4">
        <f t="shared" si="9"/>
        <v>1.5648413950937503</v>
      </c>
      <c r="M32" s="53">
        <f t="shared" si="10"/>
        <v>4.9936710197933429E-2</v>
      </c>
      <c r="N32" s="178">
        <f t="shared" ref="N32" si="96">H33/H32</f>
        <v>4.12621359223301E-2</v>
      </c>
      <c r="O32" s="175">
        <f t="shared" ref="O32" si="97">I33/I32</f>
        <v>5.2117263843648211E-2</v>
      </c>
      <c r="P32" s="179">
        <f t="shared" ref="P32" si="98">J33/J32</f>
        <v>4.2723631508678236E-2</v>
      </c>
      <c r="Q32" s="4">
        <f t="shared" ref="Q32" si="99">STDEV(N32,O32,P32)</f>
        <v>5.8908134693165621E-3</v>
      </c>
      <c r="R32" s="53">
        <f t="shared" ref="R32" si="100">Q32/(AVERAGE(N32,O32,P32))</f>
        <v>0.12984604562029642</v>
      </c>
      <c r="S32" t="b">
        <f t="shared" ref="S32" si="101">IF(Q32&gt;0.05, TRUE, FALSE)</f>
        <v>0</v>
      </c>
      <c r="T32" s="90">
        <v>1.6319999999999999</v>
      </c>
      <c r="U32" s="92">
        <v>1.665</v>
      </c>
      <c r="V32" s="124">
        <f t="shared" si="3"/>
        <v>1.6000000000000014E-2</v>
      </c>
      <c r="W32" s="124">
        <f t="shared" si="4"/>
        <v>1.7000000000000126E-2</v>
      </c>
      <c r="X32" s="125">
        <f t="shared" si="11"/>
        <v>1.650000000000007E-2</v>
      </c>
      <c r="Y32" s="90">
        <v>1.5169999999999999</v>
      </c>
      <c r="Z32" s="92">
        <v>1.554</v>
      </c>
      <c r="AA32" s="124">
        <f t="shared" si="5"/>
        <v>1.8000000000000016E-2</v>
      </c>
      <c r="AB32" s="124">
        <f t="shared" si="6"/>
        <v>1.9000000000000128E-2</v>
      </c>
      <c r="AC32" s="131">
        <f t="shared" si="12"/>
        <v>1.8500000000000072E-2</v>
      </c>
      <c r="AD32" s="117">
        <v>1.4810000000000001</v>
      </c>
      <c r="AE32" s="101">
        <v>1.516</v>
      </c>
      <c r="AF32" s="136">
        <f t="shared" si="7"/>
        <v>1.6999999999999904E-2</v>
      </c>
      <c r="AG32" s="124">
        <f t="shared" si="8"/>
        <v>1.8000000000000016E-2</v>
      </c>
      <c r="AH32" s="131">
        <f t="shared" si="13"/>
        <v>1.749999999999996E-2</v>
      </c>
      <c r="AI32" s="4"/>
      <c r="AJ32" s="4"/>
      <c r="AK32" s="4"/>
      <c r="AL32" s="4"/>
      <c r="AM32" s="4"/>
      <c r="AN32" s="4"/>
      <c r="AO32" s="4"/>
      <c r="AP32" s="4"/>
      <c r="AQ32" s="4"/>
      <c r="AT32" s="4"/>
      <c r="AU32" s="4"/>
      <c r="AV32" s="4"/>
      <c r="AW32" s="4"/>
      <c r="AX32" s="4"/>
      <c r="AY32" s="4"/>
    </row>
    <row r="33" spans="1:51">
      <c r="A33" s="56">
        <v>31</v>
      </c>
      <c r="B33" s="4"/>
      <c r="C33" s="4"/>
      <c r="D33" s="28"/>
      <c r="E33" s="90">
        <f>'2MASS Binaries'!J33</f>
        <v>9.3179108849523224</v>
      </c>
      <c r="F33" s="101">
        <f>'2MASS Binaries'!K33</f>
        <v>8.5069108849523154</v>
      </c>
      <c r="G33" s="116">
        <f>'2MASS Binaries'!L33</f>
        <v>8.4034108849523186</v>
      </c>
      <c r="H33" s="117">
        <v>6.8000000000000005E-2</v>
      </c>
      <c r="I33" s="101">
        <v>0.08</v>
      </c>
      <c r="J33" s="102">
        <v>6.4000000000000001E-2</v>
      </c>
      <c r="K33" s="28">
        <f t="shared" si="0"/>
        <v>8.3266639978645304E-3</v>
      </c>
      <c r="L33" s="4">
        <f t="shared" si="9"/>
        <v>6.9765458422174839E-2</v>
      </c>
      <c r="M33" s="53">
        <f t="shared" si="10"/>
        <v>0.1193522437346719</v>
      </c>
      <c r="N33" s="168"/>
      <c r="O33" s="169"/>
      <c r="P33" s="170"/>
      <c r="Q33" s="53"/>
      <c r="R33" s="53"/>
      <c r="S33"/>
      <c r="T33" s="90">
        <v>6.5000000000000002E-2</v>
      </c>
      <c r="U33" s="92">
        <v>7.0999999999999994E-2</v>
      </c>
      <c r="V33" s="124">
        <f t="shared" si="3"/>
        <v>3.0000000000000027E-3</v>
      </c>
      <c r="W33" s="124">
        <f t="shared" si="4"/>
        <v>2.9999999999999888E-3</v>
      </c>
      <c r="X33" s="125">
        <f t="shared" si="11"/>
        <v>2.9999999999999957E-3</v>
      </c>
      <c r="Y33" s="90">
        <v>7.6999999999999999E-2</v>
      </c>
      <c r="Z33" s="92">
        <v>8.2000000000000003E-2</v>
      </c>
      <c r="AA33" s="124">
        <f t="shared" si="5"/>
        <v>3.0000000000000027E-3</v>
      </c>
      <c r="AB33" s="124">
        <f t="shared" si="6"/>
        <v>2.0000000000000018E-3</v>
      </c>
      <c r="AC33" s="131">
        <f t="shared" si="12"/>
        <v>2.5000000000000022E-3</v>
      </c>
      <c r="AD33" s="117">
        <v>6.2E-2</v>
      </c>
      <c r="AE33" s="101">
        <v>6.6000000000000003E-2</v>
      </c>
      <c r="AF33" s="136">
        <f t="shared" si="7"/>
        <v>2.0000000000000018E-3</v>
      </c>
      <c r="AG33" s="124">
        <f t="shared" si="8"/>
        <v>2.0000000000000018E-3</v>
      </c>
      <c r="AH33" s="131">
        <f t="shared" si="13"/>
        <v>2.0000000000000018E-3</v>
      </c>
      <c r="AI33" s="4"/>
      <c r="AJ33" s="4"/>
      <c r="AK33" s="4"/>
      <c r="AL33" s="4"/>
      <c r="AM33" s="4"/>
      <c r="AN33" s="4"/>
      <c r="AO33" s="4"/>
      <c r="AP33" s="4"/>
      <c r="AQ33" s="4"/>
      <c r="AT33" s="4"/>
      <c r="AU33" s="4"/>
      <c r="AV33" s="4"/>
      <c r="AW33" s="4"/>
      <c r="AX33" s="4"/>
      <c r="AY33" s="4"/>
    </row>
    <row r="34" spans="1:51">
      <c r="A34" s="56">
        <v>32</v>
      </c>
      <c r="B34" s="4"/>
      <c r="C34" s="4" t="s">
        <v>6</v>
      </c>
      <c r="D34" s="28" t="s">
        <v>196</v>
      </c>
      <c r="E34" s="90">
        <f>'2MASS Binaries'!J34</f>
        <v>-0.40508911504768275</v>
      </c>
      <c r="F34" s="101">
        <f>'2MASS Binaries'!K34</f>
        <v>-0.31908911504768245</v>
      </c>
      <c r="G34" s="116">
        <f>'2MASS Binaries'!L34</f>
        <v>-0.34108911504768269</v>
      </c>
      <c r="H34" s="117">
        <v>4.8460000000000001</v>
      </c>
      <c r="I34" s="101">
        <v>4.8109999999999999</v>
      </c>
      <c r="J34" s="102">
        <v>4.9649999999999999</v>
      </c>
      <c r="K34" s="28">
        <f t="shared" si="0"/>
        <v>8.0727938162695495E-2</v>
      </c>
      <c r="L34" s="4">
        <f t="shared" si="9"/>
        <v>4.8762121835796179</v>
      </c>
      <c r="M34" s="53">
        <f t="shared" si="10"/>
        <v>1.6555460493401515E-2</v>
      </c>
      <c r="N34" s="178">
        <f t="shared" ref="N34" si="102">H35/H34</f>
        <v>0.404250928600908</v>
      </c>
      <c r="O34" s="175">
        <f t="shared" ref="O34" si="103">I35/I34</f>
        <v>0.40823113697775931</v>
      </c>
      <c r="P34" s="179">
        <f t="shared" ref="P34" si="104">J35/J34</f>
        <v>0.4535750251762336</v>
      </c>
      <c r="Q34" s="4">
        <f t="shared" ref="Q34" si="105">STDEV(N34,O34,P34)</f>
        <v>2.7400659233708657E-2</v>
      </c>
      <c r="R34" s="53">
        <f t="shared" ref="R34" si="106">Q34/(AVERAGE(N34,O34,P34))</f>
        <v>6.4927544185319569E-2</v>
      </c>
      <c r="S34" t="b">
        <f t="shared" ref="S34" si="107">IF(Q34&gt;0.05, TRUE, FALSE)</f>
        <v>0</v>
      </c>
      <c r="T34" s="90">
        <v>4.8079999999999998</v>
      </c>
      <c r="U34" s="92">
        <v>4.883</v>
      </c>
      <c r="V34" s="124">
        <f t="shared" ref="V34:V58" si="108">ABS(T34-H34)</f>
        <v>3.8000000000000256E-2</v>
      </c>
      <c r="W34" s="124">
        <f t="shared" ref="W34:W58" si="109">ABS(U34-H34)</f>
        <v>3.6999999999999922E-2</v>
      </c>
      <c r="X34" s="125">
        <f t="shared" si="11"/>
        <v>3.7500000000000089E-2</v>
      </c>
      <c r="Y34" s="90">
        <v>4.7729999999999997</v>
      </c>
      <c r="Z34" s="92">
        <v>4.8490000000000002</v>
      </c>
      <c r="AA34" s="124">
        <f t="shared" ref="AA34:AA58" si="110">ABS(Y34-I34)</f>
        <v>3.8000000000000256E-2</v>
      </c>
      <c r="AB34" s="124">
        <f t="shared" ref="AB34:AB58" si="111">ABS(Z34-I34)</f>
        <v>3.8000000000000256E-2</v>
      </c>
      <c r="AC34" s="131">
        <f t="shared" si="12"/>
        <v>3.8000000000000256E-2</v>
      </c>
      <c r="AD34" s="117">
        <v>4.9279999999999999</v>
      </c>
      <c r="AE34" s="101">
        <v>5.0010000000000003</v>
      </c>
      <c r="AF34" s="136">
        <f t="shared" ref="AF34:AF65" si="112">ABS(AD34-J34)</f>
        <v>3.6999999999999922E-2</v>
      </c>
      <c r="AG34" s="124">
        <f t="shared" ref="AG34:AG65" si="113">ABS(AE34-J34)</f>
        <v>3.6000000000000476E-2</v>
      </c>
      <c r="AH34" s="131">
        <f t="shared" si="13"/>
        <v>3.6500000000000199E-2</v>
      </c>
      <c r="AI34" s="4"/>
      <c r="AJ34" s="4"/>
      <c r="AK34" s="4"/>
      <c r="AL34" s="4"/>
      <c r="AM34" s="4"/>
      <c r="AN34" s="4"/>
      <c r="AO34" s="4"/>
      <c r="AP34" s="4"/>
      <c r="AQ34" s="4"/>
      <c r="AT34" s="4"/>
      <c r="AU34" s="4"/>
      <c r="AV34" s="4"/>
      <c r="AW34" s="4"/>
      <c r="AX34" s="4"/>
      <c r="AY34" s="4"/>
    </row>
    <row r="35" spans="1:51">
      <c r="A35" s="56">
        <v>33</v>
      </c>
      <c r="B35" s="4"/>
      <c r="C35" s="4"/>
      <c r="D35" s="28"/>
      <c r="E35" s="90">
        <f>'2MASS Binaries'!J35</f>
        <v>1.8474108849523079</v>
      </c>
      <c r="F35" s="101">
        <f>'2MASS Binaries'!K35</f>
        <v>1.822910884952317</v>
      </c>
      <c r="G35" s="116">
        <f>'2MASS Binaries'!L35</f>
        <v>1.7089108849523296</v>
      </c>
      <c r="H35" s="117">
        <v>1.9590000000000001</v>
      </c>
      <c r="I35" s="101">
        <v>1.964</v>
      </c>
      <c r="J35" s="102">
        <v>2.2519999999999998</v>
      </c>
      <c r="K35" s="28">
        <f t="shared" si="0"/>
        <v>0.16773888438085333</v>
      </c>
      <c r="L35" s="4">
        <f t="shared" si="9"/>
        <v>1.9715102302351002</v>
      </c>
      <c r="M35" s="53">
        <f t="shared" si="10"/>
        <v>8.508141718384625E-2</v>
      </c>
      <c r="N35" s="168"/>
      <c r="O35" s="169"/>
      <c r="P35" s="170"/>
      <c r="Q35" s="53"/>
      <c r="R35" s="53"/>
      <c r="S35"/>
      <c r="T35" s="90">
        <v>1.9259999999999999</v>
      </c>
      <c r="U35" s="92">
        <v>1.9950000000000001</v>
      </c>
      <c r="V35" s="124">
        <f t="shared" si="108"/>
        <v>3.300000000000014E-2</v>
      </c>
      <c r="W35" s="124">
        <f t="shared" si="109"/>
        <v>3.6000000000000032E-2</v>
      </c>
      <c r="X35" s="125">
        <f t="shared" si="11"/>
        <v>3.4500000000000086E-2</v>
      </c>
      <c r="Y35" s="90">
        <v>1.919</v>
      </c>
      <c r="Z35" s="92">
        <v>2.0129999999999999</v>
      </c>
      <c r="AA35" s="124">
        <f t="shared" si="110"/>
        <v>4.4999999999999929E-2</v>
      </c>
      <c r="AB35" s="124">
        <f t="shared" si="111"/>
        <v>4.8999999999999932E-2</v>
      </c>
      <c r="AC35" s="131">
        <f t="shared" si="12"/>
        <v>4.6999999999999931E-2</v>
      </c>
      <c r="AD35" s="117">
        <v>2.0270000000000001</v>
      </c>
      <c r="AE35" s="101">
        <v>2.3109999999999999</v>
      </c>
      <c r="AF35" s="136">
        <f t="shared" si="112"/>
        <v>0.22499999999999964</v>
      </c>
      <c r="AG35" s="124">
        <f t="shared" si="113"/>
        <v>5.9000000000000163E-2</v>
      </c>
      <c r="AH35" s="131">
        <f t="shared" si="13"/>
        <v>0.1419999999999999</v>
      </c>
      <c r="AI35" s="4"/>
      <c r="AJ35" s="4"/>
      <c r="AK35" s="4"/>
      <c r="AL35" s="4"/>
      <c r="AM35" s="4"/>
      <c r="AN35" s="4"/>
      <c r="AO35" s="4"/>
      <c r="AP35" s="4"/>
      <c r="AQ35" s="4"/>
      <c r="AT35" s="4"/>
      <c r="AU35" s="4"/>
      <c r="AV35" s="4"/>
      <c r="AW35" s="4"/>
      <c r="AX35" s="4"/>
      <c r="AY35" s="4"/>
    </row>
    <row r="36" spans="1:51">
      <c r="A36" s="56">
        <v>34</v>
      </c>
      <c r="B36" s="4"/>
      <c r="C36" s="4" t="s">
        <v>7</v>
      </c>
      <c r="D36" s="28" t="s">
        <v>193</v>
      </c>
      <c r="E36" s="90">
        <f>'2MASS Binaries'!J36</f>
        <v>2.0779108849523169</v>
      </c>
      <c r="F36" s="101">
        <f>'2MASS Binaries'!K36</f>
        <v>2.1509108849523173</v>
      </c>
      <c r="G36" s="116">
        <f>'2MASS Binaries'!L36</f>
        <v>2.1099108849523169</v>
      </c>
      <c r="H36" s="117">
        <v>1.7549999999999999</v>
      </c>
      <c r="I36" s="101">
        <v>1.6659999999999999</v>
      </c>
      <c r="J36" s="102">
        <v>1.675</v>
      </c>
      <c r="K36" s="28">
        <f t="shared" ref="K36:K57" si="114">STDEV(H36,I36,J36)</f>
        <v>4.8993196806631514E-2</v>
      </c>
      <c r="L36" s="4">
        <f t="shared" si="9"/>
        <v>1.7071559676660337</v>
      </c>
      <c r="M36" s="53">
        <f t="shared" si="10"/>
        <v>2.8698723335521221E-2</v>
      </c>
      <c r="N36" s="178">
        <f t="shared" ref="N36" si="115">H37/H36</f>
        <v>0.12421652421652422</v>
      </c>
      <c r="O36" s="175">
        <f t="shared" ref="O36" si="116">I37/I36</f>
        <v>0.12364945978391356</v>
      </c>
      <c r="P36" s="179">
        <f t="shared" ref="P36" si="117">J37/J36</f>
        <v>0.10865671641791044</v>
      </c>
      <c r="Q36" s="4">
        <f t="shared" ref="Q36" si="118">STDEV(N36,O36,P36)</f>
        <v>8.8243180514545987E-3</v>
      </c>
      <c r="R36" s="53">
        <f t="shared" ref="R36" si="119">Q36/(AVERAGE(N36,O36,P36))</f>
        <v>7.4253207785367092E-2</v>
      </c>
      <c r="S36" t="b">
        <f t="shared" ref="S36" si="120">IF(Q36&gt;0.05, TRUE, FALSE)</f>
        <v>0</v>
      </c>
      <c r="T36" s="90">
        <v>1.7390000000000001</v>
      </c>
      <c r="U36" s="92">
        <v>1.7729999999999999</v>
      </c>
      <c r="V36" s="124">
        <f t="shared" si="108"/>
        <v>1.5999999999999792E-2</v>
      </c>
      <c r="W36" s="124">
        <f t="shared" si="109"/>
        <v>1.8000000000000016E-2</v>
      </c>
      <c r="X36" s="125">
        <f t="shared" si="11"/>
        <v>1.6999999999999904E-2</v>
      </c>
      <c r="Y36" s="90">
        <v>1.6439999999999999</v>
      </c>
      <c r="Z36" s="92">
        <v>1.6870000000000001</v>
      </c>
      <c r="AA36" s="124">
        <f t="shared" si="110"/>
        <v>2.200000000000002E-2</v>
      </c>
      <c r="AB36" s="124">
        <f t="shared" si="111"/>
        <v>2.100000000000013E-2</v>
      </c>
      <c r="AC36" s="131">
        <f t="shared" si="12"/>
        <v>2.1500000000000075E-2</v>
      </c>
      <c r="AD36" s="117">
        <v>1.653</v>
      </c>
      <c r="AE36" s="101">
        <v>1.694</v>
      </c>
      <c r="AF36" s="136">
        <f t="shared" si="112"/>
        <v>2.200000000000002E-2</v>
      </c>
      <c r="AG36" s="124">
        <f t="shared" si="113"/>
        <v>1.8999999999999906E-2</v>
      </c>
      <c r="AH36" s="131">
        <f t="shared" si="13"/>
        <v>2.0499999999999963E-2</v>
      </c>
      <c r="AI36" s="4"/>
      <c r="AJ36" s="4"/>
      <c r="AK36" s="4"/>
      <c r="AL36" s="4"/>
      <c r="AM36" s="4"/>
      <c r="AN36" s="4"/>
      <c r="AO36" s="4"/>
      <c r="AP36" s="4"/>
      <c r="AQ36" s="4"/>
      <c r="AT36" s="4"/>
      <c r="AU36" s="4"/>
      <c r="AV36" s="4"/>
      <c r="AW36" s="4"/>
      <c r="AX36" s="4"/>
      <c r="AY36" s="4"/>
    </row>
    <row r="37" spans="1:51">
      <c r="A37" s="56">
        <v>35</v>
      </c>
      <c r="B37" s="4"/>
      <c r="C37" s="4"/>
      <c r="D37" s="28"/>
      <c r="E37" s="90">
        <f>'2MASS Binaries'!J37</f>
        <v>7.5619108849523151</v>
      </c>
      <c r="F37" s="101">
        <f>'2MASS Binaries'!K37</f>
        <v>7.0509108849523159</v>
      </c>
      <c r="G37" s="116">
        <f>'2MASS Binaries'!L37</f>
        <v>6.8934108849523152</v>
      </c>
      <c r="H37" s="117">
        <v>0.218</v>
      </c>
      <c r="I37" s="101">
        <v>0.20599999999999999</v>
      </c>
      <c r="J37" s="102">
        <v>0.182</v>
      </c>
      <c r="K37" s="28">
        <f t="shared" si="114"/>
        <v>1.8330302779823362E-2</v>
      </c>
      <c r="L37" s="4">
        <f t="shared" si="9"/>
        <v>0.19860795168595874</v>
      </c>
      <c r="M37" s="53">
        <f t="shared" si="10"/>
        <v>9.229390175075898E-2</v>
      </c>
      <c r="N37" s="168"/>
      <c r="O37" s="169"/>
      <c r="P37" s="170"/>
      <c r="Q37" s="53"/>
      <c r="R37" s="53"/>
      <c r="S37"/>
      <c r="T37" s="117">
        <v>0.21099999999999999</v>
      </c>
      <c r="U37" s="101">
        <v>0.224</v>
      </c>
      <c r="V37" s="124">
        <f t="shared" si="108"/>
        <v>7.0000000000000062E-3</v>
      </c>
      <c r="W37" s="124">
        <f t="shared" si="109"/>
        <v>6.0000000000000053E-3</v>
      </c>
      <c r="X37" s="125">
        <f t="shared" si="11"/>
        <v>6.5000000000000058E-3</v>
      </c>
      <c r="Y37" s="90">
        <v>0.2</v>
      </c>
      <c r="Z37" s="92">
        <v>0.21199999999999999</v>
      </c>
      <c r="AA37" s="124">
        <f t="shared" si="110"/>
        <v>5.9999999999999776E-3</v>
      </c>
      <c r="AB37" s="124">
        <f t="shared" si="111"/>
        <v>6.0000000000000053E-3</v>
      </c>
      <c r="AC37" s="131">
        <f t="shared" si="12"/>
        <v>5.9999999999999915E-3</v>
      </c>
      <c r="AD37" s="117">
        <v>0.17699999999999999</v>
      </c>
      <c r="AE37" s="101">
        <v>0.187</v>
      </c>
      <c r="AF37" s="136">
        <f t="shared" si="112"/>
        <v>5.0000000000000044E-3</v>
      </c>
      <c r="AG37" s="124">
        <f t="shared" si="113"/>
        <v>5.0000000000000044E-3</v>
      </c>
      <c r="AH37" s="131">
        <f t="shared" si="13"/>
        <v>5.0000000000000044E-3</v>
      </c>
      <c r="AI37" s="4"/>
      <c r="AJ37" s="4"/>
      <c r="AK37" s="4"/>
      <c r="AL37" s="4"/>
      <c r="AM37" s="4"/>
      <c r="AN37" s="4"/>
      <c r="AO37" s="4"/>
      <c r="AP37" s="4"/>
      <c r="AQ37" s="4"/>
      <c r="AT37" s="4"/>
      <c r="AU37" s="4"/>
      <c r="AV37" s="4"/>
      <c r="AW37" s="4"/>
      <c r="AX37" s="4"/>
      <c r="AY37" s="4"/>
    </row>
    <row r="38" spans="1:51">
      <c r="A38" s="56">
        <v>36</v>
      </c>
      <c r="B38" s="4"/>
      <c r="C38" s="28" t="s">
        <v>225</v>
      </c>
      <c r="D38" s="28" t="s">
        <v>198</v>
      </c>
      <c r="E38" s="90">
        <f>'2MASS Binaries'!J38</f>
        <v>1.6359108849523176</v>
      </c>
      <c r="F38" s="101">
        <f>'2MASS Binaries'!K38</f>
        <v>1.4889108849523174</v>
      </c>
      <c r="G38" s="116">
        <f>'2MASS Binaries'!L38</f>
        <v>1.3969108849523177</v>
      </c>
      <c r="H38" s="117">
        <v>2.3109999999999999</v>
      </c>
      <c r="I38" s="101">
        <v>2.4630000000000001</v>
      </c>
      <c r="J38" s="102">
        <v>2.573</v>
      </c>
      <c r="K38" s="28">
        <f t="shared" si="114"/>
        <v>0.13155987230154947</v>
      </c>
      <c r="L38" s="4">
        <f t="shared" si="9"/>
        <v>2.4471197698375677</v>
      </c>
      <c r="M38" s="53">
        <f t="shared" si="10"/>
        <v>5.376110884441182E-2</v>
      </c>
      <c r="N38" s="178">
        <f t="shared" ref="N38" si="121">H39/H38</f>
        <v>3.5049762007788837E-2</v>
      </c>
      <c r="O38" s="175">
        <f t="shared" ref="O38" si="122">I39/I38</f>
        <v>3.329273244011368E-2</v>
      </c>
      <c r="P38" s="179">
        <f t="shared" ref="P38" si="123">J39/J38</f>
        <v>3.1480761756704237E-2</v>
      </c>
      <c r="Q38" s="4">
        <f t="shared" ref="Q38" si="124">STDEV(N38,O38,P38)</f>
        <v>1.7845706043500575E-3</v>
      </c>
      <c r="R38" s="53">
        <f t="shared" ref="R38" si="125">Q38/(AVERAGE(N38,O38,P38))</f>
        <v>5.3631909202367843E-2</v>
      </c>
      <c r="S38" t="b">
        <f t="shared" ref="S38" si="126">IF(Q38&gt;0.05, TRUE, FALSE)</f>
        <v>0</v>
      </c>
      <c r="T38" s="117">
        <v>2.2789999999999999</v>
      </c>
      <c r="U38" s="101">
        <v>2.339</v>
      </c>
      <c r="V38" s="124">
        <f t="shared" si="108"/>
        <v>3.2000000000000028E-2</v>
      </c>
      <c r="W38" s="124">
        <f t="shared" si="109"/>
        <v>2.8000000000000025E-2</v>
      </c>
      <c r="X38" s="125">
        <f t="shared" si="11"/>
        <v>3.0000000000000027E-2</v>
      </c>
      <c r="Y38" s="90">
        <v>2.4350000000000001</v>
      </c>
      <c r="Z38" s="92">
        <v>2.4910000000000001</v>
      </c>
      <c r="AA38" s="124">
        <f t="shared" si="110"/>
        <v>2.8000000000000025E-2</v>
      </c>
      <c r="AB38" s="124">
        <f t="shared" si="111"/>
        <v>2.8000000000000025E-2</v>
      </c>
      <c r="AC38" s="131">
        <f t="shared" si="12"/>
        <v>2.8000000000000025E-2</v>
      </c>
      <c r="AD38" s="117">
        <v>2.5419999999999998</v>
      </c>
      <c r="AE38" s="101">
        <v>2.6040000000000001</v>
      </c>
      <c r="AF38" s="136">
        <f t="shared" si="112"/>
        <v>3.1000000000000139E-2</v>
      </c>
      <c r="AG38" s="124">
        <f t="shared" si="113"/>
        <v>3.1000000000000139E-2</v>
      </c>
      <c r="AH38" s="131">
        <f t="shared" si="13"/>
        <v>3.1000000000000139E-2</v>
      </c>
      <c r="AI38" s="4"/>
      <c r="AJ38" s="4"/>
      <c r="AK38" s="4"/>
      <c r="AL38" s="4"/>
      <c r="AM38" s="4"/>
      <c r="AN38" s="4"/>
      <c r="AO38" s="4"/>
      <c r="AP38" s="4"/>
      <c r="AQ38" s="4"/>
      <c r="AT38" s="4"/>
      <c r="AU38" s="4"/>
      <c r="AV38" s="4"/>
      <c r="AW38" s="4"/>
      <c r="AX38" s="4"/>
      <c r="AY38" s="4"/>
    </row>
    <row r="39" spans="1:51">
      <c r="A39" s="56">
        <v>37</v>
      </c>
      <c r="B39" s="4"/>
      <c r="C39" s="4"/>
      <c r="D39" s="28"/>
      <c r="E39" s="90">
        <f>'2MASS Binaries'!J39</f>
        <v>9.0559108849523184</v>
      </c>
      <c r="F39" s="101">
        <f>'2MASS Binaries'!K39</f>
        <v>8.4489108849523173</v>
      </c>
      <c r="G39" s="116">
        <f>'2MASS Binaries'!L39</f>
        <v>8.070407337212318</v>
      </c>
      <c r="H39" s="117">
        <v>8.1000000000000003E-2</v>
      </c>
      <c r="I39" s="101">
        <v>8.2000000000000003E-2</v>
      </c>
      <c r="J39" s="102">
        <v>8.1000000000000003E-2</v>
      </c>
      <c r="K39" s="28">
        <f t="shared" si="114"/>
        <v>5.7735026918962634E-4</v>
      </c>
      <c r="L39" s="4">
        <f t="shared" si="9"/>
        <v>8.1297180469594249E-2</v>
      </c>
      <c r="M39" s="53">
        <f t="shared" si="10"/>
        <v>7.1017256177237243E-3</v>
      </c>
      <c r="N39" s="168"/>
      <c r="O39" s="169"/>
      <c r="P39" s="170"/>
      <c r="Q39" s="53"/>
      <c r="R39" s="53"/>
      <c r="S39"/>
      <c r="T39" s="117">
        <v>7.5999999999999998E-2</v>
      </c>
      <c r="U39" s="101">
        <v>8.6999999999999994E-2</v>
      </c>
      <c r="V39" s="124">
        <f t="shared" si="108"/>
        <v>5.0000000000000044E-3</v>
      </c>
      <c r="W39" s="124">
        <f t="shared" si="109"/>
        <v>5.9999999999999915E-3</v>
      </c>
      <c r="X39" s="125">
        <f t="shared" si="11"/>
        <v>5.4999999999999979E-3</v>
      </c>
      <c r="Y39" s="90">
        <v>7.9000000000000001E-2</v>
      </c>
      <c r="Z39" s="92">
        <v>8.5999999999999993E-2</v>
      </c>
      <c r="AA39" s="124">
        <f t="shared" si="110"/>
        <v>3.0000000000000027E-3</v>
      </c>
      <c r="AB39" s="124">
        <f t="shared" si="111"/>
        <v>3.9999999999999897E-3</v>
      </c>
      <c r="AC39" s="131">
        <f t="shared" si="12"/>
        <v>3.4999999999999962E-3</v>
      </c>
      <c r="AD39" s="117">
        <v>7.9000000000000001E-2</v>
      </c>
      <c r="AE39" s="101">
        <v>8.4000000000000005E-2</v>
      </c>
      <c r="AF39" s="136">
        <f t="shared" si="112"/>
        <v>2.0000000000000018E-3</v>
      </c>
      <c r="AG39" s="124">
        <f t="shared" si="113"/>
        <v>3.0000000000000027E-3</v>
      </c>
      <c r="AH39" s="131">
        <f t="shared" si="13"/>
        <v>2.5000000000000022E-3</v>
      </c>
      <c r="AI39" s="4"/>
      <c r="AJ39" s="4"/>
      <c r="AK39" s="4"/>
      <c r="AL39" s="4"/>
      <c r="AM39" s="4"/>
      <c r="AN39" s="4"/>
      <c r="AO39" s="4"/>
      <c r="AP39" s="4"/>
      <c r="AQ39" s="4"/>
      <c r="AT39" s="4"/>
      <c r="AU39" s="4"/>
      <c r="AV39" s="4"/>
      <c r="AW39" s="4"/>
      <c r="AX39" s="4"/>
      <c r="AY39" s="4"/>
    </row>
    <row r="40" spans="1:51">
      <c r="A40" s="56">
        <v>38</v>
      </c>
      <c r="B40" s="4"/>
      <c r="C40" s="4" t="s">
        <v>8</v>
      </c>
      <c r="D40" s="28" t="s">
        <v>193</v>
      </c>
      <c r="E40" s="90">
        <f>'2MASS Binaries'!J40</f>
        <v>1.0289108849523174</v>
      </c>
      <c r="F40" s="101">
        <f>'2MASS Binaries'!K40</f>
        <v>1.0789108849523172</v>
      </c>
      <c r="G40" s="116">
        <f>'2MASS Binaries'!L40</f>
        <v>1.0319108849523175</v>
      </c>
      <c r="H40" s="117">
        <v>2.9079999999999999</v>
      </c>
      <c r="I40" s="101">
        <v>2.8929999999999998</v>
      </c>
      <c r="J40" s="102">
        <v>2.9750000000000001</v>
      </c>
      <c r="K40" s="28">
        <f t="shared" si="114"/>
        <v>4.3661577311560174E-2</v>
      </c>
      <c r="L40" s="4">
        <f t="shared" si="9"/>
        <v>2.9228495252809346</v>
      </c>
      <c r="M40" s="53">
        <f t="shared" si="10"/>
        <v>1.4938017483935841E-2</v>
      </c>
      <c r="N40" s="178">
        <f t="shared" ref="N40" si="127">H41/H40</f>
        <v>0.20392022008253094</v>
      </c>
      <c r="O40" s="175">
        <f t="shared" ref="O40" si="128">I41/I40</f>
        <v>0.20428620808848946</v>
      </c>
      <c r="P40" s="179">
        <f t="shared" ref="P40" si="129">J41/J40</f>
        <v>0.20504201680672268</v>
      </c>
      <c r="Q40" s="4">
        <f t="shared" ref="Q40" si="130">STDEV(N40,O40,P40)</f>
        <v>5.7207545094887656E-4</v>
      </c>
      <c r="R40" s="53">
        <f t="shared" ref="R40" si="131">Q40/(AVERAGE(N40,O40,P40))</f>
        <v>2.7985824781160554E-3</v>
      </c>
      <c r="S40" t="b">
        <f t="shared" ref="S40" si="132">IF(Q40&gt;0.05, TRUE, FALSE)</f>
        <v>0</v>
      </c>
      <c r="T40" s="117">
        <v>2.8780000000000001</v>
      </c>
      <c r="U40" s="101">
        <v>2.9390000000000001</v>
      </c>
      <c r="V40" s="124">
        <f t="shared" si="108"/>
        <v>2.9999999999999805E-2</v>
      </c>
      <c r="W40" s="124">
        <f t="shared" si="109"/>
        <v>3.1000000000000139E-2</v>
      </c>
      <c r="X40" s="125">
        <f t="shared" si="11"/>
        <v>3.0499999999999972E-2</v>
      </c>
      <c r="Y40" s="117">
        <v>2.8610000000000002</v>
      </c>
      <c r="Z40" s="101">
        <v>2.9249999999999998</v>
      </c>
      <c r="AA40" s="124">
        <f t="shared" si="110"/>
        <v>3.1999999999999584E-2</v>
      </c>
      <c r="AB40" s="124">
        <f t="shared" si="111"/>
        <v>3.2000000000000028E-2</v>
      </c>
      <c r="AC40" s="131">
        <f t="shared" si="12"/>
        <v>3.1999999999999806E-2</v>
      </c>
      <c r="AD40" s="117">
        <v>2.9409999999999998</v>
      </c>
      <c r="AE40" s="101">
        <v>3.0089999999999999</v>
      </c>
      <c r="AF40" s="136">
        <f t="shared" si="112"/>
        <v>3.4000000000000252E-2</v>
      </c>
      <c r="AG40" s="124">
        <f t="shared" si="113"/>
        <v>3.3999999999999808E-2</v>
      </c>
      <c r="AH40" s="131">
        <f t="shared" si="13"/>
        <v>3.400000000000003E-2</v>
      </c>
      <c r="AI40" s="4"/>
      <c r="AJ40" s="4"/>
      <c r="AK40" s="4"/>
      <c r="AL40" s="4"/>
      <c r="AM40" s="4"/>
      <c r="AN40" s="4"/>
      <c r="AO40" s="4"/>
      <c r="AP40" s="4"/>
      <c r="AQ40" s="4"/>
      <c r="AT40" s="4"/>
      <c r="AU40" s="4"/>
      <c r="AV40" s="4"/>
      <c r="AW40" s="4"/>
      <c r="AX40" s="4"/>
      <c r="AY40" s="4"/>
    </row>
    <row r="41" spans="1:51">
      <c r="A41" s="56">
        <v>39</v>
      </c>
      <c r="B41" s="4"/>
      <c r="C41" s="28"/>
      <c r="D41" s="28"/>
      <c r="E41" s="90">
        <f>'2MASS Binaries'!J41</f>
        <v>5.9089108849523164</v>
      </c>
      <c r="F41" s="101">
        <f>'2MASS Binaries'!K41</f>
        <v>5.2479108849523186</v>
      </c>
      <c r="G41" s="116">
        <f>'2MASS Binaries'!L41</f>
        <v>5.0214108849523171</v>
      </c>
      <c r="H41" s="117">
        <v>0.59299999999999997</v>
      </c>
      <c r="I41" s="101">
        <v>0.59099999999999997</v>
      </c>
      <c r="J41" s="116">
        <v>0.61</v>
      </c>
      <c r="K41" s="28">
        <f t="shared" si="114"/>
        <v>1.0440306508910559E-2</v>
      </c>
      <c r="L41" s="4">
        <f t="shared" si="9"/>
        <v>0.59743456669261163</v>
      </c>
      <c r="M41" s="53">
        <f t="shared" si="10"/>
        <v>1.7475230077007315E-2</v>
      </c>
      <c r="N41" s="168"/>
      <c r="O41" s="169"/>
      <c r="P41" s="170"/>
      <c r="Q41" s="53"/>
      <c r="R41" s="53"/>
      <c r="S41"/>
      <c r="T41" s="117">
        <v>0.58199999999999996</v>
      </c>
      <c r="U41" s="101">
        <v>0.60399999999999998</v>
      </c>
      <c r="V41" s="124">
        <f t="shared" si="108"/>
        <v>1.100000000000001E-2</v>
      </c>
      <c r="W41" s="124">
        <f t="shared" si="109"/>
        <v>1.100000000000001E-2</v>
      </c>
      <c r="X41" s="125">
        <f t="shared" si="11"/>
        <v>1.100000000000001E-2</v>
      </c>
      <c r="Y41" s="117">
        <v>0.57999999999999996</v>
      </c>
      <c r="Z41" s="101">
        <v>0.60099999999999998</v>
      </c>
      <c r="AA41" s="124">
        <f t="shared" si="110"/>
        <v>1.100000000000001E-2</v>
      </c>
      <c r="AB41" s="124">
        <f t="shared" si="111"/>
        <v>1.0000000000000009E-2</v>
      </c>
      <c r="AC41" s="131">
        <f t="shared" si="12"/>
        <v>1.0500000000000009E-2</v>
      </c>
      <c r="AD41" s="117">
        <v>0.59899999999999998</v>
      </c>
      <c r="AE41" s="101">
        <v>0.622</v>
      </c>
      <c r="AF41" s="136">
        <f t="shared" si="112"/>
        <v>1.100000000000001E-2</v>
      </c>
      <c r="AG41" s="124">
        <f t="shared" si="113"/>
        <v>1.2000000000000011E-2</v>
      </c>
      <c r="AH41" s="131">
        <f t="shared" si="13"/>
        <v>1.150000000000001E-2</v>
      </c>
      <c r="AI41" s="4"/>
      <c r="AJ41" s="4"/>
      <c r="AK41" s="4"/>
      <c r="AL41" s="4"/>
      <c r="AM41" s="4"/>
      <c r="AN41" s="4"/>
      <c r="AO41" s="4"/>
      <c r="AP41" s="4"/>
      <c r="AQ41" s="4"/>
      <c r="AT41" s="4"/>
      <c r="AU41" s="4"/>
      <c r="AV41" s="4"/>
      <c r="AW41" s="4"/>
      <c r="AX41" s="4"/>
      <c r="AY41" s="4"/>
    </row>
    <row r="42" spans="1:51">
      <c r="A42" s="56">
        <v>40</v>
      </c>
      <c r="B42" s="4"/>
      <c r="C42" s="28" t="s">
        <v>9</v>
      </c>
      <c r="D42" s="28" t="s">
        <v>175</v>
      </c>
      <c r="E42" s="117">
        <f>'2MASS Binaries'!J42</f>
        <v>1.2349108849523178</v>
      </c>
      <c r="F42" s="101">
        <f>'2MASS Binaries'!K42</f>
        <v>1.2979108849523175</v>
      </c>
      <c r="G42" s="116">
        <f>'2MASS Binaries'!L42</f>
        <v>1.2479108849523177</v>
      </c>
      <c r="H42" s="117">
        <v>2.6949999999999998</v>
      </c>
      <c r="I42" s="101">
        <v>2.6589999999999998</v>
      </c>
      <c r="J42" s="116">
        <v>2.7360000000000002</v>
      </c>
      <c r="K42" s="28">
        <f t="shared" si="114"/>
        <v>3.8527046776691165E-2</v>
      </c>
      <c r="L42" s="4">
        <f t="shared" si="9"/>
        <v>2.6958801787472542</v>
      </c>
      <c r="M42" s="53">
        <f t="shared" si="10"/>
        <v>1.4291082771562295E-2</v>
      </c>
      <c r="N42" s="178">
        <f t="shared" ref="N42" si="133">H43/H42</f>
        <v>0.37996289424860857</v>
      </c>
      <c r="O42" s="175">
        <f t="shared" ref="O42" si="134">I43/I42</f>
        <v>0.3403535163595337</v>
      </c>
      <c r="P42" s="179">
        <f t="shared" ref="P42" si="135">J43/J42</f>
        <v>0.34649122807017541</v>
      </c>
      <c r="Q42" s="4">
        <f t="shared" ref="Q42" si="136">STDEV(N42,O42,P42)</f>
        <v>2.1318719311765065E-2</v>
      </c>
      <c r="R42" s="53">
        <f t="shared" ref="R42" si="137">Q42/(AVERAGE(N42,O42,P42))</f>
        <v>5.9950974867907153E-2</v>
      </c>
      <c r="S42" t="b">
        <f t="shared" ref="S42" si="138">IF(Q42&gt;0.05, TRUE, FALSE)</f>
        <v>0</v>
      </c>
      <c r="T42" s="117">
        <v>2.6619999999999999</v>
      </c>
      <c r="U42" s="101">
        <v>2.7269999999999999</v>
      </c>
      <c r="V42" s="124">
        <f t="shared" si="108"/>
        <v>3.2999999999999918E-2</v>
      </c>
      <c r="W42" s="124">
        <f t="shared" si="109"/>
        <v>3.2000000000000028E-2</v>
      </c>
      <c r="X42" s="125">
        <f t="shared" si="11"/>
        <v>3.2499999999999973E-2</v>
      </c>
      <c r="Y42" s="117">
        <v>2.6259999999999999</v>
      </c>
      <c r="Z42" s="101">
        <v>2.6909999999999998</v>
      </c>
      <c r="AA42" s="124">
        <f t="shared" si="110"/>
        <v>3.2999999999999918E-2</v>
      </c>
      <c r="AB42" s="124">
        <f t="shared" si="111"/>
        <v>3.2000000000000028E-2</v>
      </c>
      <c r="AC42" s="131">
        <f t="shared" si="12"/>
        <v>3.2499999999999973E-2</v>
      </c>
      <c r="AD42" s="117">
        <v>2.702</v>
      </c>
      <c r="AE42" s="101">
        <v>2.7690000000000001</v>
      </c>
      <c r="AF42" s="136">
        <f t="shared" si="112"/>
        <v>3.4000000000000252E-2</v>
      </c>
      <c r="AG42" s="124">
        <f t="shared" si="113"/>
        <v>3.2999999999999918E-2</v>
      </c>
      <c r="AH42" s="131">
        <f t="shared" si="13"/>
        <v>3.3500000000000085E-2</v>
      </c>
      <c r="AI42" s="4"/>
      <c r="AJ42" s="4"/>
      <c r="AK42" s="4"/>
      <c r="AL42" s="4"/>
      <c r="AM42" s="4"/>
      <c r="AN42" s="4"/>
      <c r="AO42" s="4"/>
      <c r="AP42" s="4"/>
      <c r="AQ42" s="4"/>
      <c r="AT42" s="4"/>
      <c r="AU42" s="4"/>
      <c r="AV42" s="4"/>
      <c r="AW42" s="4"/>
      <c r="AX42" s="4"/>
      <c r="AY42" s="4"/>
    </row>
    <row r="43" spans="1:51">
      <c r="A43" s="56">
        <v>41</v>
      </c>
      <c r="B43" s="4"/>
      <c r="C43" s="28"/>
      <c r="D43" s="28"/>
      <c r="E43" s="117">
        <f>'2MASS Binaries'!J43</f>
        <v>4.0349108849523176</v>
      </c>
      <c r="F43" s="101">
        <f>'2MASS Binaries'!K43</f>
        <v>3.9979108849523177</v>
      </c>
      <c r="G43" s="116">
        <f>'2MASS Binaries'!L43</f>
        <v>3.7979108849523175</v>
      </c>
      <c r="H43" s="117">
        <v>1.024</v>
      </c>
      <c r="I43" s="101">
        <v>0.90500000000000003</v>
      </c>
      <c r="J43" s="116">
        <v>0.94799999999999995</v>
      </c>
      <c r="K43" s="4">
        <f t="shared" si="114"/>
        <v>6.0257779580731322E-2</v>
      </c>
      <c r="L43" s="4">
        <f t="shared" si="9"/>
        <v>0.96757450821734159</v>
      </c>
      <c r="M43" s="53">
        <f t="shared" si="10"/>
        <v>6.2277146688940993E-2</v>
      </c>
      <c r="N43" s="168"/>
      <c r="O43" s="169"/>
      <c r="P43" s="170"/>
      <c r="Q43" s="53"/>
      <c r="R43" s="53"/>
      <c r="S43"/>
      <c r="T43" s="117">
        <v>0.997</v>
      </c>
      <c r="U43" s="101">
        <v>1.052</v>
      </c>
      <c r="V43" s="124">
        <f t="shared" si="108"/>
        <v>2.7000000000000024E-2</v>
      </c>
      <c r="W43" s="124">
        <f t="shared" si="109"/>
        <v>2.8000000000000025E-2</v>
      </c>
      <c r="X43" s="125">
        <f t="shared" si="11"/>
        <v>2.7500000000000024E-2</v>
      </c>
      <c r="Y43" s="117">
        <v>0.85199999999999998</v>
      </c>
      <c r="Z43" s="101">
        <v>0.94299999999999995</v>
      </c>
      <c r="AA43" s="124">
        <f t="shared" si="110"/>
        <v>5.3000000000000047E-2</v>
      </c>
      <c r="AB43" s="124">
        <f t="shared" si="111"/>
        <v>3.7999999999999923E-2</v>
      </c>
      <c r="AC43" s="131">
        <f t="shared" si="12"/>
        <v>4.5499999999999985E-2</v>
      </c>
      <c r="AD43" s="117">
        <v>0.92600000000000005</v>
      </c>
      <c r="AE43" s="101">
        <v>0.96799999999999997</v>
      </c>
      <c r="AF43" s="136">
        <f t="shared" si="112"/>
        <v>2.1999999999999909E-2</v>
      </c>
      <c r="AG43" s="124">
        <f t="shared" si="113"/>
        <v>2.0000000000000018E-2</v>
      </c>
      <c r="AH43" s="131">
        <f t="shared" si="13"/>
        <v>2.0999999999999963E-2</v>
      </c>
      <c r="AI43" s="4"/>
      <c r="AJ43" s="4"/>
      <c r="AK43" s="4"/>
      <c r="AL43" s="4"/>
      <c r="AM43" s="4"/>
      <c r="AN43" s="4"/>
      <c r="AO43" s="4"/>
      <c r="AP43" s="4"/>
      <c r="AQ43" s="4"/>
      <c r="AT43" s="4"/>
      <c r="AU43" s="4"/>
      <c r="AV43" s="4"/>
      <c r="AW43" s="4"/>
      <c r="AX43" s="4"/>
      <c r="AY43" s="4"/>
    </row>
    <row r="44" spans="1:51">
      <c r="A44" s="56">
        <v>42</v>
      </c>
      <c r="B44" s="4"/>
      <c r="C44" s="25" t="s">
        <v>10</v>
      </c>
      <c r="D44" s="28" t="s">
        <v>199</v>
      </c>
      <c r="E44" s="117">
        <f>'2MASS Binaries'!J44</f>
        <v>1.6989108849523173</v>
      </c>
      <c r="F44" s="101">
        <f>'2MASS Binaries'!K44</f>
        <v>1.7399108849523177</v>
      </c>
      <c r="G44" s="116">
        <f>'2MASS Binaries'!L44</f>
        <v>1.6839108849523168</v>
      </c>
      <c r="H44" s="117">
        <v>2.2370000000000001</v>
      </c>
      <c r="I44" s="101">
        <v>2.1269999999999998</v>
      </c>
      <c r="J44" s="116">
        <v>2.29</v>
      </c>
      <c r="K44" s="4">
        <f t="shared" si="114"/>
        <v>8.3144452611103439E-2</v>
      </c>
      <c r="L44" s="4">
        <f t="shared" si="9"/>
        <v>2.2540282805534884</v>
      </c>
      <c r="M44" s="53">
        <f t="shared" si="10"/>
        <v>3.6887049434307401E-2</v>
      </c>
      <c r="N44" s="178">
        <f t="shared" ref="N44" si="139">H45/H44</f>
        <v>0.18506928922664281</v>
      </c>
      <c r="O44" s="175">
        <f t="shared" ref="O44" si="140">I45/I44</f>
        <v>0.17254348848142925</v>
      </c>
      <c r="P44" s="179">
        <f t="shared" ref="P44" si="141">J45/J44</f>
        <v>0.16069868995633188</v>
      </c>
      <c r="Q44" s="4">
        <f t="shared" ref="Q44" si="142">STDEV(N44,O44,P44)</f>
        <v>1.2186885336315574E-2</v>
      </c>
      <c r="R44" s="53">
        <f t="shared" ref="R44" si="143">Q44/(AVERAGE(N44,O44,P44))</f>
        <v>7.05380032853508E-2</v>
      </c>
      <c r="S44" t="b">
        <f t="shared" ref="S44" si="144">IF(Q44&gt;0.05, TRUE, FALSE)</f>
        <v>0</v>
      </c>
      <c r="T44" s="117">
        <v>2.1760000000000002</v>
      </c>
      <c r="U44" s="101">
        <v>2.2759999999999998</v>
      </c>
      <c r="V44" s="124">
        <f t="shared" si="108"/>
        <v>6.0999999999999943E-2</v>
      </c>
      <c r="W44" s="124">
        <f t="shared" si="109"/>
        <v>3.8999999999999702E-2</v>
      </c>
      <c r="X44" s="125">
        <f t="shared" si="11"/>
        <v>4.9999999999999822E-2</v>
      </c>
      <c r="Y44" s="117">
        <v>2.0310000000000001</v>
      </c>
      <c r="Z44" s="101">
        <v>2.2210000000000001</v>
      </c>
      <c r="AA44" s="124">
        <f t="shared" si="110"/>
        <v>9.5999999999999641E-2</v>
      </c>
      <c r="AB44" s="124">
        <f t="shared" si="111"/>
        <v>9.4000000000000306E-2</v>
      </c>
      <c r="AC44" s="131">
        <f t="shared" si="12"/>
        <v>9.4999999999999973E-2</v>
      </c>
      <c r="AD44" s="117">
        <v>2.2429999999999999</v>
      </c>
      <c r="AE44" s="101">
        <v>2.3260000000000001</v>
      </c>
      <c r="AF44" s="136">
        <f t="shared" si="112"/>
        <v>4.7000000000000153E-2</v>
      </c>
      <c r="AG44" s="124">
        <f t="shared" si="113"/>
        <v>3.6000000000000032E-2</v>
      </c>
      <c r="AH44" s="131">
        <f t="shared" si="13"/>
        <v>4.1500000000000092E-2</v>
      </c>
      <c r="AI44" s="4"/>
      <c r="AJ44" s="4"/>
      <c r="AK44" s="4"/>
      <c r="AL44" s="4"/>
      <c r="AM44" s="4"/>
      <c r="AN44" s="4"/>
      <c r="AO44" s="4"/>
      <c r="AP44" s="4"/>
      <c r="AQ44" s="4"/>
      <c r="AT44" s="4"/>
      <c r="AU44" s="4"/>
      <c r="AV44" s="4"/>
      <c r="AW44" s="4"/>
      <c r="AX44" s="4"/>
      <c r="AY44" s="4"/>
    </row>
    <row r="45" spans="1:51">
      <c r="A45" s="56">
        <v>43</v>
      </c>
      <c r="B45" s="4"/>
      <c r="C45" s="28"/>
      <c r="D45" s="28"/>
      <c r="E45" s="117">
        <f>'2MASS Binaries'!J45</f>
        <v>6.5989108849523177</v>
      </c>
      <c r="F45" s="101">
        <f>'2MASS Binaries'!K45</f>
        <v>6.1899108849523179</v>
      </c>
      <c r="G45" s="116">
        <f>'2MASS Binaries'!L45</f>
        <v>5.883910884952317</v>
      </c>
      <c r="H45" s="117">
        <v>0.41399999999999998</v>
      </c>
      <c r="I45" s="101">
        <v>0.36699999999999999</v>
      </c>
      <c r="J45" s="116">
        <v>0.36799999999999999</v>
      </c>
      <c r="K45" s="4">
        <f t="shared" si="114"/>
        <v>2.6851443164195098E-2</v>
      </c>
      <c r="L45" s="4">
        <f t="shared" si="9"/>
        <v>0.36847173470910188</v>
      </c>
      <c r="M45" s="53">
        <f t="shared" si="10"/>
        <v>7.2872463841476359E-2</v>
      </c>
      <c r="N45" s="168"/>
      <c r="O45" s="169"/>
      <c r="P45" s="170"/>
      <c r="Q45" s="53"/>
      <c r="R45" s="53"/>
      <c r="S45"/>
      <c r="T45" s="117">
        <v>0.35399999999999998</v>
      </c>
      <c r="U45" s="101">
        <v>0.48199999999999998</v>
      </c>
      <c r="V45" s="124">
        <f t="shared" si="108"/>
        <v>0.06</v>
      </c>
      <c r="W45" s="124">
        <f t="shared" si="109"/>
        <v>6.8000000000000005E-2</v>
      </c>
      <c r="X45" s="125">
        <f t="shared" si="11"/>
        <v>6.4000000000000001E-2</v>
      </c>
      <c r="Y45" s="117">
        <v>0.35399999999999998</v>
      </c>
      <c r="Z45" s="101">
        <v>0.38</v>
      </c>
      <c r="AA45" s="124">
        <f t="shared" si="110"/>
        <v>1.3000000000000012E-2</v>
      </c>
      <c r="AB45" s="124">
        <f t="shared" si="111"/>
        <v>1.3000000000000012E-2</v>
      </c>
      <c r="AC45" s="131">
        <f t="shared" si="12"/>
        <v>1.3000000000000012E-2</v>
      </c>
      <c r="AD45" s="117">
        <v>0.35399999999999998</v>
      </c>
      <c r="AE45" s="101">
        <v>0.38200000000000001</v>
      </c>
      <c r="AF45" s="136">
        <f t="shared" si="112"/>
        <v>1.4000000000000012E-2</v>
      </c>
      <c r="AG45" s="124">
        <f t="shared" si="113"/>
        <v>1.4000000000000012E-2</v>
      </c>
      <c r="AH45" s="131">
        <f t="shared" si="13"/>
        <v>1.4000000000000012E-2</v>
      </c>
      <c r="AI45" s="4"/>
      <c r="AJ45" s="4"/>
      <c r="AK45" s="4"/>
      <c r="AL45" s="4"/>
      <c r="AM45" s="4"/>
      <c r="AN45" s="4"/>
      <c r="AO45" s="4"/>
      <c r="AP45" s="4"/>
      <c r="AQ45" s="4"/>
      <c r="AT45" s="4"/>
      <c r="AU45" s="4"/>
      <c r="AV45" s="4"/>
      <c r="AW45" s="4"/>
      <c r="AX45" s="4"/>
      <c r="AY45" s="4"/>
    </row>
    <row r="46" spans="1:51">
      <c r="A46" s="56">
        <v>44</v>
      </c>
      <c r="B46" s="4"/>
      <c r="C46" s="28" t="s">
        <v>11</v>
      </c>
      <c r="D46" s="28" t="s">
        <v>200</v>
      </c>
      <c r="E46" s="225">
        <f>'2MASS Binaries'!J46</f>
        <v>1.9059108849523181</v>
      </c>
      <c r="F46" s="101">
        <f>'2MASS Binaries'!K46</f>
        <v>2.157910884952317</v>
      </c>
      <c r="G46" s="116">
        <f>'2MASS Binaries'!L46</f>
        <v>2.0669108849523177</v>
      </c>
      <c r="H46" s="225">
        <v>1.913</v>
      </c>
      <c r="I46" s="101">
        <v>1.661</v>
      </c>
      <c r="J46" s="116">
        <v>1.702</v>
      </c>
      <c r="K46" s="4">
        <f>STDEV(I46,J46)</f>
        <v>2.8991378028648394E-2</v>
      </c>
      <c r="L46" s="4">
        <f>(I46*1/AC46^2+J46*1/AH46^2)/(1/AC46^2 + 1/AH46^2)</f>
        <v>1.6851046104928458</v>
      </c>
      <c r="M46" s="53">
        <f t="shared" si="10"/>
        <v>1.7204497482307186E-2</v>
      </c>
      <c r="N46" s="178">
        <f t="shared" ref="N46" si="145">H47/H46</f>
        <v>0.80554103502352326</v>
      </c>
      <c r="O46" s="175">
        <f t="shared" ref="O46" si="146">I47/I46</f>
        <v>0.77423239012642986</v>
      </c>
      <c r="P46" s="179">
        <f t="shared" ref="P46" si="147">J47/J46</f>
        <v>0.77085781433607525</v>
      </c>
      <c r="Q46" s="4">
        <f t="shared" ref="Q46" si="148">STDEV(N46,O46,P46)</f>
        <v>1.9124786727836386E-2</v>
      </c>
      <c r="R46" s="53">
        <f t="shared" ref="R46" si="149">Q46/(AVERAGE(N46,O46,P46))</f>
        <v>2.4408065042160428E-2</v>
      </c>
      <c r="S46" t="b">
        <f t="shared" ref="S46" si="150">IF(Q46&gt;0.05, TRUE, FALSE)</f>
        <v>0</v>
      </c>
      <c r="T46" s="227">
        <v>1.883</v>
      </c>
      <c r="U46" s="228">
        <v>1.9370000000000001</v>
      </c>
      <c r="V46" s="229">
        <f t="shared" si="108"/>
        <v>3.0000000000000027E-2</v>
      </c>
      <c r="W46" s="229">
        <f t="shared" si="109"/>
        <v>2.4000000000000021E-2</v>
      </c>
      <c r="X46" s="230">
        <f t="shared" si="11"/>
        <v>2.7000000000000024E-2</v>
      </c>
      <c r="Y46" s="117">
        <v>1.639</v>
      </c>
      <c r="Z46" s="101">
        <v>1.6819999999999999</v>
      </c>
      <c r="AA46" s="124">
        <f t="shared" si="110"/>
        <v>2.200000000000002E-2</v>
      </c>
      <c r="AB46" s="124">
        <f t="shared" si="111"/>
        <v>2.0999999999999908E-2</v>
      </c>
      <c r="AC46" s="131">
        <f t="shared" si="12"/>
        <v>2.1499999999999964E-2</v>
      </c>
      <c r="AD46" s="117">
        <v>1.6830000000000001</v>
      </c>
      <c r="AE46" s="101">
        <v>1.7190000000000001</v>
      </c>
      <c r="AF46" s="136">
        <f t="shared" si="112"/>
        <v>1.8999999999999906E-2</v>
      </c>
      <c r="AG46" s="124">
        <f t="shared" si="113"/>
        <v>1.7000000000000126E-2</v>
      </c>
      <c r="AH46" s="131">
        <f t="shared" si="13"/>
        <v>1.8000000000000016E-2</v>
      </c>
      <c r="AI46" s="4" t="s">
        <v>872</v>
      </c>
      <c r="AJ46" s="4"/>
      <c r="AK46" s="4"/>
      <c r="AL46" s="4"/>
      <c r="AM46" s="4"/>
      <c r="AN46" s="4"/>
      <c r="AO46" s="4"/>
      <c r="AP46" s="4"/>
      <c r="AQ46" s="4"/>
      <c r="AT46" s="4"/>
      <c r="AU46" s="4"/>
      <c r="AV46" s="4"/>
      <c r="AW46" s="4"/>
      <c r="AX46" s="4"/>
      <c r="AY46" s="4"/>
    </row>
    <row r="47" spans="1:51">
      <c r="A47" s="56">
        <v>45</v>
      </c>
      <c r="B47" s="4"/>
      <c r="C47" s="28"/>
      <c r="D47" s="28"/>
      <c r="E47" s="226">
        <f>'2MASS Binaries'!J47</f>
        <v>2.4744108849523236</v>
      </c>
      <c r="F47" s="101">
        <f>'2MASS Binaries'!K47</f>
        <v>2.7379108849523188</v>
      </c>
      <c r="G47" s="116">
        <f>'2MASS Binaries'!L47</f>
        <v>2.623410884952321</v>
      </c>
      <c r="H47" s="226">
        <v>1.5409999999999999</v>
      </c>
      <c r="I47" s="101">
        <v>1.286</v>
      </c>
      <c r="J47" s="102">
        <v>1.3120000000000001</v>
      </c>
      <c r="K47" s="4">
        <f>STDEV(I47,J47)</f>
        <v>1.8384776310850254E-2</v>
      </c>
      <c r="L47" s="4">
        <f>(I47*1/AC47^2+J47*1/AH47^2)/(1/AC47^2 + 1/AH47^2)</f>
        <v>1.2936294487090023</v>
      </c>
      <c r="M47" s="53">
        <f t="shared" si="10"/>
        <v>1.4211779369430425E-2</v>
      </c>
      <c r="N47" s="168"/>
      <c r="O47" s="169"/>
      <c r="P47" s="170"/>
      <c r="Q47" s="53"/>
      <c r="R47" s="53"/>
      <c r="S47" s="164"/>
      <c r="T47" s="231">
        <v>1.52</v>
      </c>
      <c r="U47" s="232">
        <v>1.5620000000000001</v>
      </c>
      <c r="V47" s="233">
        <f t="shared" si="108"/>
        <v>2.0999999999999908E-2</v>
      </c>
      <c r="W47" s="233">
        <f t="shared" si="109"/>
        <v>2.100000000000013E-2</v>
      </c>
      <c r="X47" s="234">
        <f t="shared" si="11"/>
        <v>2.1000000000000019E-2</v>
      </c>
      <c r="Y47" s="117">
        <v>1.2729999999999999</v>
      </c>
      <c r="Z47" s="101">
        <v>1.302</v>
      </c>
      <c r="AA47" s="124">
        <f t="shared" si="110"/>
        <v>1.3000000000000123E-2</v>
      </c>
      <c r="AB47" s="124">
        <f t="shared" si="111"/>
        <v>1.6000000000000014E-2</v>
      </c>
      <c r="AC47" s="131">
        <f t="shared" si="12"/>
        <v>1.4500000000000068E-2</v>
      </c>
      <c r="AD47" s="117">
        <v>1.294</v>
      </c>
      <c r="AE47" s="101">
        <v>1.339</v>
      </c>
      <c r="AF47" s="136">
        <f t="shared" si="112"/>
        <v>1.8000000000000016E-2</v>
      </c>
      <c r="AG47" s="124">
        <f t="shared" si="113"/>
        <v>2.6999999999999913E-2</v>
      </c>
      <c r="AH47" s="131">
        <f t="shared" si="13"/>
        <v>2.2499999999999964E-2</v>
      </c>
      <c r="AI47" s="4"/>
      <c r="AJ47" s="4"/>
      <c r="AK47" s="4"/>
      <c r="AL47" s="4"/>
      <c r="AM47" s="4"/>
      <c r="AN47" s="4"/>
      <c r="AO47" s="4"/>
      <c r="AP47" s="4"/>
      <c r="AQ47" s="4"/>
      <c r="AT47" s="4"/>
      <c r="AU47" s="4"/>
      <c r="AV47" s="4"/>
      <c r="AW47" s="4"/>
      <c r="AX47" s="4"/>
      <c r="AY47" s="4"/>
    </row>
    <row r="48" spans="1:51">
      <c r="A48" s="56">
        <v>46</v>
      </c>
      <c r="B48" s="4"/>
      <c r="C48" s="28" t="s">
        <v>291</v>
      </c>
      <c r="D48" s="28" t="s">
        <v>201</v>
      </c>
      <c r="E48" s="90">
        <f>'2MASS Binaries'!J48</f>
        <v>1.6049108849523179</v>
      </c>
      <c r="F48" s="101">
        <f>'2MASS Binaries'!K48</f>
        <v>1.5449108849523174</v>
      </c>
      <c r="G48" s="116">
        <f>'2MASS Binaries'!L48</f>
        <v>1.4809108849523174</v>
      </c>
      <c r="H48" s="117">
        <v>2.34</v>
      </c>
      <c r="I48" s="101">
        <v>2.411</v>
      </c>
      <c r="J48" s="102">
        <v>2.4900000000000002</v>
      </c>
      <c r="K48" s="28">
        <f t="shared" si="114"/>
        <v>7.5035547131565322E-2</v>
      </c>
      <c r="L48" s="4">
        <f t="shared" si="9"/>
        <v>2.4127765077291539</v>
      </c>
      <c r="M48" s="53">
        <f t="shared" si="10"/>
        <v>3.1099253035328556E-2</v>
      </c>
      <c r="N48" s="178">
        <f t="shared" ref="N48" si="151">H49/H48</f>
        <v>1.7948717948717951E-2</v>
      </c>
      <c r="O48" s="175">
        <f t="shared" ref="O48" si="152">I49/I48</f>
        <v>2.3226876814599753E-2</v>
      </c>
      <c r="P48" s="179">
        <f t="shared" ref="P48" si="153">J49/J48</f>
        <v>1.9277108433734938E-2</v>
      </c>
      <c r="Q48" s="4">
        <f t="shared" ref="Q48" si="154">STDEV(N48,O48,P48)</f>
        <v>2.7454280952354769E-3</v>
      </c>
      <c r="R48" s="53">
        <f t="shared" ref="R48" si="155">Q48/(AVERAGE(N48,O48,P48))</f>
        <v>0.13624344074175312</v>
      </c>
      <c r="S48" s="164" t="b">
        <f t="shared" ref="S48" si="156">IF(Q48&gt;0.05, TRUE, FALSE)</f>
        <v>0</v>
      </c>
      <c r="T48" s="117">
        <v>2.3119999999999998</v>
      </c>
      <c r="U48" s="101">
        <v>2.367</v>
      </c>
      <c r="V48" s="124">
        <f t="shared" si="108"/>
        <v>2.8000000000000025E-2</v>
      </c>
      <c r="W48" s="124">
        <f t="shared" si="109"/>
        <v>2.7000000000000135E-2</v>
      </c>
      <c r="X48" s="125">
        <f t="shared" si="11"/>
        <v>2.750000000000008E-2</v>
      </c>
      <c r="Y48" s="117">
        <v>2.383</v>
      </c>
      <c r="Z48" s="101">
        <v>2.4390000000000001</v>
      </c>
      <c r="AA48" s="124">
        <f t="shared" si="110"/>
        <v>2.8000000000000025E-2</v>
      </c>
      <c r="AB48" s="124">
        <f t="shared" si="111"/>
        <v>2.8000000000000025E-2</v>
      </c>
      <c r="AC48" s="131">
        <f t="shared" si="12"/>
        <v>2.8000000000000025E-2</v>
      </c>
      <c r="AD48" s="117">
        <v>2.4620000000000002</v>
      </c>
      <c r="AE48" s="101">
        <v>2.5179999999999998</v>
      </c>
      <c r="AF48" s="136">
        <f t="shared" si="112"/>
        <v>2.8000000000000025E-2</v>
      </c>
      <c r="AG48" s="124">
        <f t="shared" si="113"/>
        <v>2.7999999999999581E-2</v>
      </c>
      <c r="AH48" s="131">
        <f t="shared" si="13"/>
        <v>2.7999999999999803E-2</v>
      </c>
      <c r="AI48" s="4"/>
      <c r="AJ48" s="4"/>
      <c r="AK48" s="4"/>
      <c r="AL48" s="4"/>
      <c r="AM48" s="4"/>
      <c r="AN48" s="4"/>
      <c r="AO48" s="4"/>
      <c r="AP48" s="4"/>
      <c r="AQ48" s="4"/>
      <c r="AT48" s="4"/>
      <c r="AU48" s="4"/>
      <c r="AV48" s="4"/>
      <c r="AW48" s="4"/>
      <c r="AX48" s="4"/>
      <c r="AY48" s="4"/>
    </row>
    <row r="49" spans="1:51">
      <c r="A49" s="56">
        <v>47</v>
      </c>
      <c r="B49" s="4"/>
      <c r="C49" s="28"/>
      <c r="D49" s="28"/>
      <c r="E49" s="90">
        <f>'2MASS Binaries'!J49</f>
        <v>10.136793626378982</v>
      </c>
      <c r="F49" s="101">
        <f>'2MASS Binaries'!K49</f>
        <v>9.0641861071464653</v>
      </c>
      <c r="G49" s="116">
        <f>'2MASS Binaries'!L49</f>
        <v>8.8660601889977819</v>
      </c>
      <c r="H49" s="117">
        <v>4.2000000000000003E-2</v>
      </c>
      <c r="I49" s="101">
        <v>5.6000000000000001E-2</v>
      </c>
      <c r="J49" s="102">
        <v>4.8000000000000001E-2</v>
      </c>
      <c r="K49" s="28">
        <f t="shared" si="114"/>
        <v>7.0237691685684439E-3</v>
      </c>
      <c r="L49" s="4">
        <f t="shared" si="9"/>
        <v>4.7414634146341443E-2</v>
      </c>
      <c r="M49" s="53">
        <f t="shared" si="10"/>
        <v>0.14813504933709173</v>
      </c>
      <c r="N49" s="168"/>
      <c r="O49" s="169"/>
      <c r="P49" s="170"/>
      <c r="Q49" s="53"/>
      <c r="R49" s="53"/>
      <c r="S49" s="164"/>
      <c r="T49" s="117">
        <v>0.04</v>
      </c>
      <c r="U49" s="101">
        <v>4.2999999999999997E-2</v>
      </c>
      <c r="V49" s="124">
        <f t="shared" si="108"/>
        <v>2.0000000000000018E-3</v>
      </c>
      <c r="W49" s="124">
        <f t="shared" si="109"/>
        <v>9.9999999999999395E-4</v>
      </c>
      <c r="X49" s="125">
        <f t="shared" si="11"/>
        <v>1.4999999999999979E-3</v>
      </c>
      <c r="Y49" s="117">
        <v>5.3999999999999999E-2</v>
      </c>
      <c r="Z49" s="101">
        <v>5.8000000000000003E-2</v>
      </c>
      <c r="AA49" s="124">
        <f t="shared" si="110"/>
        <v>2.0000000000000018E-3</v>
      </c>
      <c r="AB49" s="124">
        <f t="shared" si="111"/>
        <v>2.0000000000000018E-3</v>
      </c>
      <c r="AC49" s="131">
        <f t="shared" si="12"/>
        <v>2.0000000000000018E-3</v>
      </c>
      <c r="AD49" s="117">
        <v>4.5999999999999999E-2</v>
      </c>
      <c r="AE49" s="101">
        <v>4.9000000000000002E-2</v>
      </c>
      <c r="AF49" s="136">
        <f t="shared" si="112"/>
        <v>2.0000000000000018E-3</v>
      </c>
      <c r="AG49" s="124">
        <f t="shared" si="113"/>
        <v>1.0000000000000009E-3</v>
      </c>
      <c r="AH49" s="131">
        <f t="shared" si="13"/>
        <v>1.5000000000000013E-3</v>
      </c>
      <c r="AI49" s="4"/>
      <c r="AJ49" s="4"/>
      <c r="AK49" s="4"/>
      <c r="AL49" s="4"/>
      <c r="AM49" s="4"/>
      <c r="AN49" s="4"/>
      <c r="AO49" s="4"/>
      <c r="AP49" s="4"/>
      <c r="AQ49" s="4"/>
      <c r="AT49" s="4"/>
      <c r="AU49" s="4"/>
      <c r="AV49" s="4"/>
      <c r="AW49" s="4"/>
      <c r="AX49" s="4"/>
      <c r="AY49" s="4"/>
    </row>
    <row r="50" spans="1:51">
      <c r="A50" s="56">
        <v>48</v>
      </c>
      <c r="B50" s="4"/>
      <c r="C50" s="28" t="s">
        <v>280</v>
      </c>
      <c r="D50" s="28" t="s">
        <v>201</v>
      </c>
      <c r="E50" s="90">
        <f>'2MASS Binaries'!J50</f>
        <v>1.6049108849523179</v>
      </c>
      <c r="F50" s="101">
        <f>'2MASS Binaries'!K50</f>
        <v>1.5449108849523174</v>
      </c>
      <c r="G50" s="116">
        <f>'2MASS Binaries'!L50</f>
        <v>1.4809108849523174</v>
      </c>
      <c r="H50" s="117">
        <v>2.34</v>
      </c>
      <c r="I50" s="101">
        <v>2.411</v>
      </c>
      <c r="J50" s="102">
        <v>2.4900000000000002</v>
      </c>
      <c r="K50" s="28">
        <f t="shared" si="114"/>
        <v>7.5035547131565322E-2</v>
      </c>
      <c r="L50" s="4">
        <f t="shared" si="9"/>
        <v>2.4127765077291539</v>
      </c>
      <c r="M50" s="53">
        <f t="shared" si="10"/>
        <v>3.1099253035328556E-2</v>
      </c>
      <c r="N50" s="178">
        <f t="shared" ref="N50" si="157">H51/H50</f>
        <v>0.49743589743589745</v>
      </c>
      <c r="O50" s="175">
        <f t="shared" ref="O50" si="158">I51/I50</f>
        <v>0.48237245956034841</v>
      </c>
      <c r="P50" s="179">
        <f t="shared" ref="P50" si="159">J51/J50</f>
        <v>0.48594377510040154</v>
      </c>
      <c r="Q50" s="4">
        <f t="shared" ref="Q50" si="160">STDEV(N50,O50,P50)</f>
        <v>7.8711533577906483E-3</v>
      </c>
      <c r="R50" s="53">
        <f t="shared" ref="R50" si="161">Q50/(AVERAGE(N50,O50,P50))</f>
        <v>1.6110131826719349E-2</v>
      </c>
      <c r="S50" s="164" t="b">
        <f t="shared" ref="S50" si="162">IF(Q50&gt;0.05, TRUE, FALSE)</f>
        <v>0</v>
      </c>
      <c r="T50" s="117">
        <v>2.3119999999999998</v>
      </c>
      <c r="U50" s="101">
        <v>2.367</v>
      </c>
      <c r="V50" s="124">
        <f t="shared" si="108"/>
        <v>2.8000000000000025E-2</v>
      </c>
      <c r="W50" s="124">
        <f t="shared" si="109"/>
        <v>2.7000000000000135E-2</v>
      </c>
      <c r="X50" s="125">
        <f t="shared" si="11"/>
        <v>2.750000000000008E-2</v>
      </c>
      <c r="Y50" s="117">
        <v>2.383</v>
      </c>
      <c r="Z50" s="101">
        <v>2.4390000000000001</v>
      </c>
      <c r="AA50" s="124">
        <f t="shared" si="110"/>
        <v>2.8000000000000025E-2</v>
      </c>
      <c r="AB50" s="124">
        <f t="shared" si="111"/>
        <v>2.8000000000000025E-2</v>
      </c>
      <c r="AC50" s="131">
        <f t="shared" si="12"/>
        <v>2.8000000000000025E-2</v>
      </c>
      <c r="AD50" s="117">
        <v>2.4620000000000002</v>
      </c>
      <c r="AE50" s="101">
        <v>2.5179999999999998</v>
      </c>
      <c r="AF50" s="136">
        <f t="shared" si="112"/>
        <v>2.8000000000000025E-2</v>
      </c>
      <c r="AG50" s="124">
        <f t="shared" si="113"/>
        <v>2.7999999999999581E-2</v>
      </c>
      <c r="AH50" s="131">
        <f t="shared" si="13"/>
        <v>2.7999999999999803E-2</v>
      </c>
      <c r="AI50" s="4"/>
      <c r="AJ50" s="4"/>
      <c r="AK50" s="4"/>
      <c r="AL50" s="4"/>
      <c r="AM50" s="4"/>
      <c r="AN50" s="4"/>
      <c r="AO50" s="4"/>
      <c r="AP50" s="4"/>
      <c r="AQ50" s="4"/>
      <c r="AT50" s="4"/>
      <c r="AU50" s="4"/>
      <c r="AV50" s="4"/>
      <c r="AW50" s="4"/>
      <c r="AX50" s="4"/>
      <c r="AY50" s="4"/>
    </row>
    <row r="51" spans="1:51">
      <c r="A51" s="56">
        <v>49</v>
      </c>
      <c r="B51" s="4"/>
      <c r="C51" s="28"/>
      <c r="D51" s="28"/>
      <c r="E51" s="90">
        <f>'2MASS Binaries'!J51</f>
        <v>3.4973157632365819</v>
      </c>
      <c r="F51" s="101">
        <f>'2MASS Binaries'!K51</f>
        <v>3.1644545896739107</v>
      </c>
      <c r="G51" s="116">
        <f>'2MASS Binaries'!L51</f>
        <v>2.9645604338674296</v>
      </c>
      <c r="H51" s="117">
        <v>1.1639999999999999</v>
      </c>
      <c r="I51" s="101">
        <v>1.163</v>
      </c>
      <c r="J51" s="102">
        <v>1.21</v>
      </c>
      <c r="K51" s="28">
        <f t="shared" si="114"/>
        <v>2.6851443164195094E-2</v>
      </c>
      <c r="L51" s="4">
        <f t="shared" si="9"/>
        <v>1.1813391812865499</v>
      </c>
      <c r="M51" s="53">
        <f t="shared" si="10"/>
        <v>2.2729664426225368E-2</v>
      </c>
      <c r="N51" s="171"/>
      <c r="O51" s="172"/>
      <c r="P51" s="173"/>
      <c r="Q51" s="53"/>
      <c r="R51" s="53"/>
      <c r="S51" s="164"/>
      <c r="T51" s="117">
        <v>1.1479999999999999</v>
      </c>
      <c r="U51" s="101">
        <v>1.181</v>
      </c>
      <c r="V51" s="124">
        <f t="shared" si="108"/>
        <v>1.6000000000000014E-2</v>
      </c>
      <c r="W51" s="124">
        <f t="shared" si="109"/>
        <v>1.7000000000000126E-2</v>
      </c>
      <c r="X51" s="125">
        <f t="shared" si="11"/>
        <v>1.650000000000007E-2</v>
      </c>
      <c r="Y51" s="117">
        <v>1.141</v>
      </c>
      <c r="Z51" s="101">
        <v>1.1830000000000001</v>
      </c>
      <c r="AA51" s="124">
        <f t="shared" si="110"/>
        <v>2.200000000000002E-2</v>
      </c>
      <c r="AB51" s="124">
        <f t="shared" si="111"/>
        <v>2.0000000000000018E-2</v>
      </c>
      <c r="AC51" s="131">
        <f t="shared" si="12"/>
        <v>2.1000000000000019E-2</v>
      </c>
      <c r="AD51" s="117">
        <v>1.1930000000000001</v>
      </c>
      <c r="AE51" s="101">
        <v>1.226</v>
      </c>
      <c r="AF51" s="136">
        <f t="shared" si="112"/>
        <v>1.6999999999999904E-2</v>
      </c>
      <c r="AG51" s="124">
        <f t="shared" si="113"/>
        <v>1.6000000000000014E-2</v>
      </c>
      <c r="AH51" s="131">
        <f t="shared" si="13"/>
        <v>1.6499999999999959E-2</v>
      </c>
      <c r="AI51" s="4"/>
      <c r="AJ51" s="4"/>
      <c r="AK51" s="4"/>
      <c r="AL51" s="4"/>
      <c r="AM51" s="4"/>
      <c r="AN51" s="4"/>
      <c r="AO51" s="4"/>
      <c r="AP51" s="4"/>
      <c r="AQ51" s="4"/>
      <c r="AT51" s="4"/>
      <c r="AU51" s="4"/>
      <c r="AV51" s="4"/>
      <c r="AW51" s="4"/>
      <c r="AX51" s="4"/>
      <c r="AY51" s="4"/>
    </row>
    <row r="52" spans="1:51">
      <c r="A52" s="56">
        <v>50</v>
      </c>
      <c r="B52" s="76" t="s">
        <v>95</v>
      </c>
      <c r="C52" s="28" t="s">
        <v>2</v>
      </c>
      <c r="D52" s="28" t="s">
        <v>191</v>
      </c>
      <c r="E52" s="113">
        <f>'2MASS Binaries'!J52</f>
        <v>0.15051391983432616</v>
      </c>
      <c r="F52" s="134">
        <f>'2MASS Binaries'!K52</f>
        <v>0.17051391983432573</v>
      </c>
      <c r="G52" s="174">
        <f>'2MASS Binaries'!L52</f>
        <v>0.18251391983432619</v>
      </c>
      <c r="H52" s="133">
        <v>2.93</v>
      </c>
      <c r="I52" s="134">
        <v>2.9249999999999998</v>
      </c>
      <c r="J52" s="114">
        <v>2.92</v>
      </c>
      <c r="K52" s="117">
        <f t="shared" si="114"/>
        <v>5.0000000000001155E-3</v>
      </c>
      <c r="L52" s="4">
        <f t="shared" si="9"/>
        <v>2.924884428223844</v>
      </c>
      <c r="M52" s="53">
        <f t="shared" si="10"/>
        <v>1.7094692534694097E-3</v>
      </c>
      <c r="N52" s="167">
        <f t="shared" ref="N52" si="163">H53/H52</f>
        <v>0.87064846416382258</v>
      </c>
      <c r="O52" s="176">
        <f t="shared" ref="O52" si="164">I53/I52</f>
        <v>0.89025641025641034</v>
      </c>
      <c r="P52" s="177">
        <f t="shared" ref="P52" si="165">J53/J52</f>
        <v>0.89178082191780828</v>
      </c>
      <c r="Q52" s="4">
        <f t="shared" ref="Q52" si="166">STDEV(N52,O52,P52)</f>
        <v>1.1785385901797143E-2</v>
      </c>
      <c r="R52" s="53">
        <f t="shared" ref="R52" si="167">Q52/(AVERAGE(N52,O52,P52))</f>
        <v>1.3328438327314698E-2</v>
      </c>
      <c r="S52" s="164" t="b">
        <f t="shared" ref="S52" si="168">IF(Q52&gt;0.05, TRUE, FALSE)</f>
        <v>0</v>
      </c>
      <c r="T52" s="133">
        <v>2.915</v>
      </c>
      <c r="U52" s="134">
        <v>2.944</v>
      </c>
      <c r="V52" s="122">
        <f t="shared" si="108"/>
        <v>1.5000000000000124E-2</v>
      </c>
      <c r="W52" s="122">
        <f t="shared" si="109"/>
        <v>1.399999999999979E-2</v>
      </c>
      <c r="X52" s="123">
        <f t="shared" si="11"/>
        <v>1.4499999999999957E-2</v>
      </c>
      <c r="Y52" s="133">
        <v>2.911</v>
      </c>
      <c r="Z52" s="134">
        <v>2.9390000000000001</v>
      </c>
      <c r="AA52" s="122">
        <f t="shared" si="110"/>
        <v>1.399999999999979E-2</v>
      </c>
      <c r="AB52" s="122">
        <f t="shared" si="111"/>
        <v>1.4000000000000234E-2</v>
      </c>
      <c r="AC52" s="130">
        <f t="shared" si="12"/>
        <v>1.4000000000000012E-2</v>
      </c>
      <c r="AD52" s="133">
        <v>2.9060000000000001</v>
      </c>
      <c r="AE52" s="134">
        <v>2.9340000000000002</v>
      </c>
      <c r="AF52" s="135">
        <f t="shared" si="112"/>
        <v>1.399999999999979E-2</v>
      </c>
      <c r="AG52" s="122">
        <f t="shared" si="113"/>
        <v>1.4000000000000234E-2</v>
      </c>
      <c r="AH52" s="130">
        <f t="shared" si="13"/>
        <v>1.4000000000000012E-2</v>
      </c>
      <c r="AI52" s="4"/>
      <c r="AJ52" s="4"/>
      <c r="AK52" s="4"/>
      <c r="AL52" s="4"/>
      <c r="AM52" s="4"/>
      <c r="AN52" s="4"/>
      <c r="AO52" s="4"/>
      <c r="AP52" s="4"/>
      <c r="AQ52" s="4"/>
      <c r="AT52" s="4"/>
      <c r="AU52" s="4"/>
      <c r="AV52" s="4"/>
      <c r="AW52" s="4"/>
      <c r="AX52" s="4"/>
      <c r="AY52" s="4"/>
    </row>
    <row r="53" spans="1:51">
      <c r="A53" s="56">
        <v>51</v>
      </c>
      <c r="B53" s="4"/>
      <c r="C53" s="28"/>
      <c r="D53" s="28"/>
      <c r="E53" s="90">
        <f>'2MASS Binaries'!J53</f>
        <v>0.91400092250040466</v>
      </c>
      <c r="F53" s="101">
        <f>'2MASS Binaries'!K53</f>
        <v>0.82952266414272025</v>
      </c>
      <c r="G53" s="116">
        <f>'2MASS Binaries'!L53</f>
        <v>0.8415226641427207</v>
      </c>
      <c r="H53" s="117">
        <v>2.5510000000000002</v>
      </c>
      <c r="I53" s="101">
        <v>2.6040000000000001</v>
      </c>
      <c r="J53" s="92">
        <v>2.6040000000000001</v>
      </c>
      <c r="K53" s="117">
        <f t="shared" si="114"/>
        <v>3.0599564267050128E-2</v>
      </c>
      <c r="L53" s="4">
        <f t="shared" si="9"/>
        <v>2.6001509814561552</v>
      </c>
      <c r="M53" s="53">
        <f t="shared" si="10"/>
        <v>1.1768379792281732E-2</v>
      </c>
      <c r="N53" s="168"/>
      <c r="O53" s="169"/>
      <c r="P53" s="170"/>
      <c r="Q53" s="53"/>
      <c r="R53" s="53"/>
      <c r="S53" s="164"/>
      <c r="T53" s="117">
        <v>2.4009999999999998</v>
      </c>
      <c r="U53" s="101">
        <v>2.6619999999999999</v>
      </c>
      <c r="V53" s="124">
        <f t="shared" si="108"/>
        <v>0.15000000000000036</v>
      </c>
      <c r="W53" s="124">
        <f t="shared" si="109"/>
        <v>0.11099999999999977</v>
      </c>
      <c r="X53" s="125">
        <f t="shared" si="11"/>
        <v>0.13050000000000006</v>
      </c>
      <c r="Y53" s="117">
        <v>2.5379999999999998</v>
      </c>
      <c r="Z53" s="101">
        <v>2.6629999999999998</v>
      </c>
      <c r="AA53" s="124">
        <f t="shared" si="110"/>
        <v>6.6000000000000281E-2</v>
      </c>
      <c r="AB53" s="124">
        <f t="shared" si="111"/>
        <v>5.8999999999999719E-2</v>
      </c>
      <c r="AC53" s="131">
        <f t="shared" si="12"/>
        <v>6.25E-2</v>
      </c>
      <c r="AD53" s="117">
        <v>2.5569999999999999</v>
      </c>
      <c r="AE53" s="101">
        <v>2.6469999999999998</v>
      </c>
      <c r="AF53" s="136">
        <f t="shared" si="112"/>
        <v>4.7000000000000153E-2</v>
      </c>
      <c r="AG53" s="124">
        <f t="shared" si="113"/>
        <v>4.2999999999999705E-2</v>
      </c>
      <c r="AH53" s="131">
        <f t="shared" si="13"/>
        <v>4.4999999999999929E-2</v>
      </c>
      <c r="AI53" s="4"/>
      <c r="AJ53" s="4"/>
      <c r="AK53" s="4"/>
      <c r="AL53" s="4"/>
      <c r="AM53" s="4"/>
      <c r="AN53" s="4"/>
      <c r="AO53" s="4"/>
      <c r="AP53" s="4"/>
      <c r="AQ53" s="4"/>
      <c r="AT53" s="4"/>
      <c r="AU53" s="4"/>
      <c r="AV53" s="4"/>
      <c r="AW53" s="4"/>
      <c r="AX53" s="4"/>
      <c r="AY53" s="4"/>
    </row>
    <row r="54" spans="1:51">
      <c r="A54" s="56">
        <v>52</v>
      </c>
      <c r="B54" s="4"/>
      <c r="C54" s="28" t="s">
        <v>69</v>
      </c>
      <c r="D54" s="28" t="s">
        <v>192</v>
      </c>
      <c r="E54" s="90">
        <f>'2MASS Binaries'!J54</f>
        <v>5.4513919834326074E-2</v>
      </c>
      <c r="F54" s="101">
        <f>'2MASS Binaries'!K54</f>
        <v>9.3513919834325776E-2</v>
      </c>
      <c r="G54" s="116">
        <f>'2MASS Binaries'!L54</f>
        <v>5.9513919834326856E-2</v>
      </c>
      <c r="H54" s="117">
        <v>2.9769999999999999</v>
      </c>
      <c r="I54" s="101">
        <v>2.9620000000000002</v>
      </c>
      <c r="J54" s="92">
        <v>2.98</v>
      </c>
      <c r="K54" s="117">
        <f t="shared" si="114"/>
        <v>9.643650760992814E-3</v>
      </c>
      <c r="L54" s="4">
        <f t="shared" si="9"/>
        <v>2.9730000000000003</v>
      </c>
      <c r="M54" s="53">
        <f t="shared" si="10"/>
        <v>3.2437439492071351E-3</v>
      </c>
      <c r="N54" s="178">
        <f t="shared" ref="N54" si="169">H55/H54</f>
        <v>0.21565334229089689</v>
      </c>
      <c r="O54" s="175">
        <f t="shared" ref="O54" si="170">I55/I54</f>
        <v>0.21370695476029708</v>
      </c>
      <c r="P54" s="179">
        <f t="shared" ref="P54" si="171">J55/J54</f>
        <v>0.21812080536912754</v>
      </c>
      <c r="Q54" s="4">
        <f t="shared" ref="Q54" si="172">STDEV(N54,O54,P54)</f>
        <v>2.2120456467102593E-3</v>
      </c>
      <c r="R54" s="53">
        <f t="shared" ref="R54" si="173">Q54/(AVERAGE(N54,O54,P54))</f>
        <v>1.0249159265536116E-2</v>
      </c>
      <c r="S54" s="164" t="b">
        <f t="shared" ref="S54" si="174">IF(Q54&gt;0.05, TRUE, FALSE)</f>
        <v>0</v>
      </c>
      <c r="T54" s="117">
        <v>2.9620000000000002</v>
      </c>
      <c r="U54" s="101">
        <v>2.992</v>
      </c>
      <c r="V54" s="124">
        <f t="shared" si="108"/>
        <v>1.499999999999968E-2</v>
      </c>
      <c r="W54" s="124">
        <f t="shared" si="109"/>
        <v>1.5000000000000124E-2</v>
      </c>
      <c r="X54" s="125">
        <f t="shared" si="11"/>
        <v>1.4999999999999902E-2</v>
      </c>
      <c r="Y54" s="117">
        <v>2.948</v>
      </c>
      <c r="Z54" s="101">
        <v>2.9780000000000002</v>
      </c>
      <c r="AA54" s="124">
        <f t="shared" si="110"/>
        <v>1.4000000000000234E-2</v>
      </c>
      <c r="AB54" s="124">
        <f t="shared" si="111"/>
        <v>1.6000000000000014E-2</v>
      </c>
      <c r="AC54" s="131">
        <f t="shared" si="12"/>
        <v>1.5000000000000124E-2</v>
      </c>
      <c r="AD54" s="117">
        <v>2.9649999999999999</v>
      </c>
      <c r="AE54" s="101">
        <v>2.9950000000000001</v>
      </c>
      <c r="AF54" s="136">
        <f t="shared" si="112"/>
        <v>1.5000000000000124E-2</v>
      </c>
      <c r="AG54" s="124">
        <f t="shared" si="113"/>
        <v>1.5000000000000124E-2</v>
      </c>
      <c r="AH54" s="131">
        <f t="shared" si="13"/>
        <v>1.5000000000000124E-2</v>
      </c>
      <c r="AI54" s="4"/>
      <c r="AJ54" s="4"/>
      <c r="AK54" s="4"/>
      <c r="AL54" s="4"/>
      <c r="AM54" s="4"/>
      <c r="AN54" s="4"/>
      <c r="AO54" s="4"/>
      <c r="AP54" s="4"/>
      <c r="AQ54" s="4"/>
      <c r="AT54" s="4"/>
      <c r="AU54" s="4"/>
      <c r="AV54" s="4"/>
      <c r="AW54" s="4"/>
      <c r="AX54" s="4"/>
      <c r="AY54" s="4"/>
    </row>
    <row r="55" spans="1:51">
      <c r="A55" s="56">
        <v>53</v>
      </c>
      <c r="B55" s="4"/>
      <c r="C55" s="28"/>
      <c r="D55" s="28"/>
      <c r="E55" s="90">
        <f>'2MASS Binaries'!J55</f>
        <v>5.8470139198343265</v>
      </c>
      <c r="F55" s="101">
        <f>'2MASS Binaries'!K55</f>
        <v>5.2355139198343288</v>
      </c>
      <c r="G55" s="116">
        <f>'2MASS Binaries'!L55</f>
        <v>5.022513919834326</v>
      </c>
      <c r="H55" s="117">
        <v>0.64200000000000002</v>
      </c>
      <c r="I55" s="101">
        <v>0.63300000000000001</v>
      </c>
      <c r="J55" s="92">
        <v>0.65</v>
      </c>
      <c r="K55" s="117">
        <f t="shared" si="114"/>
        <v>8.5049005481153891E-3</v>
      </c>
      <c r="L55" s="4">
        <f t="shared" si="9"/>
        <v>0.64114025664333196</v>
      </c>
      <c r="M55" s="53">
        <f t="shared" si="10"/>
        <v>1.326527301942091E-2</v>
      </c>
      <c r="N55" s="168"/>
      <c r="O55" s="169"/>
      <c r="P55" s="170"/>
      <c r="Q55" s="53"/>
      <c r="R55" s="53"/>
      <c r="S55" s="164"/>
      <c r="T55" s="117">
        <v>0.63400000000000001</v>
      </c>
      <c r="U55" s="101">
        <v>0.65100000000000002</v>
      </c>
      <c r="V55" s="124">
        <f t="shared" si="108"/>
        <v>8.0000000000000071E-3</v>
      </c>
      <c r="W55" s="124">
        <f t="shared" si="109"/>
        <v>9.000000000000008E-3</v>
      </c>
      <c r="X55" s="125">
        <f t="shared" si="11"/>
        <v>8.5000000000000075E-3</v>
      </c>
      <c r="Y55" s="117">
        <v>0.624</v>
      </c>
      <c r="Z55" s="101">
        <v>0.64200000000000002</v>
      </c>
      <c r="AA55" s="124">
        <f t="shared" si="110"/>
        <v>9.000000000000008E-3</v>
      </c>
      <c r="AB55" s="124">
        <f t="shared" si="111"/>
        <v>9.000000000000008E-3</v>
      </c>
      <c r="AC55" s="131">
        <f t="shared" si="12"/>
        <v>9.000000000000008E-3</v>
      </c>
      <c r="AD55" s="117">
        <v>0.64</v>
      </c>
      <c r="AE55" s="101">
        <v>0.66</v>
      </c>
      <c r="AF55" s="136">
        <f t="shared" si="112"/>
        <v>1.0000000000000009E-2</v>
      </c>
      <c r="AG55" s="124">
        <f t="shared" si="113"/>
        <v>1.0000000000000009E-2</v>
      </c>
      <c r="AH55" s="131">
        <f t="shared" si="13"/>
        <v>1.0000000000000009E-2</v>
      </c>
      <c r="AI55" s="4"/>
      <c r="AJ55" s="4"/>
      <c r="AK55" s="4"/>
      <c r="AL55" s="4"/>
      <c r="AM55" s="4"/>
      <c r="AN55" s="4"/>
      <c r="AO55" s="4"/>
      <c r="AP55" s="4"/>
      <c r="AQ55" s="4"/>
      <c r="AT55" s="4"/>
      <c r="AU55" s="4"/>
      <c r="AV55" s="4"/>
      <c r="AW55" s="4"/>
      <c r="AX55" s="4"/>
      <c r="AY55" s="4"/>
    </row>
    <row r="56" spans="1:51">
      <c r="A56" s="56">
        <v>54</v>
      </c>
      <c r="B56" s="4"/>
      <c r="C56" s="25" t="s">
        <v>78</v>
      </c>
      <c r="D56" s="28" t="s">
        <v>192</v>
      </c>
      <c r="E56" s="117">
        <f>'2MASS Binaries'!J56</f>
        <v>0.13551391983432737</v>
      </c>
      <c r="F56" s="101">
        <f>'2MASS Binaries'!K56</f>
        <v>0.21051391983432666</v>
      </c>
      <c r="G56" s="116">
        <f>'2MASS Binaries'!L56</f>
        <v>4.9513919834327069E-2</v>
      </c>
      <c r="H56" s="117">
        <v>2.9369999999999998</v>
      </c>
      <c r="I56" s="101">
        <v>2.9060000000000001</v>
      </c>
      <c r="J56" s="92">
        <v>2.9849999999999999</v>
      </c>
      <c r="K56" s="117">
        <f t="shared" si="114"/>
        <v>3.9803684921541169E-2</v>
      </c>
      <c r="L56" s="4">
        <f t="shared" si="9"/>
        <v>2.9409432739059969</v>
      </c>
      <c r="M56" s="53">
        <f t="shared" si="10"/>
        <v>1.3534325967694077E-2</v>
      </c>
      <c r="N56" s="178">
        <f t="shared" ref="N56" si="175">H57/H56</f>
        <v>0.12257405515832483</v>
      </c>
      <c r="O56" s="175">
        <f t="shared" ref="O56" si="176">I57/I56</f>
        <v>0.12078458362009634</v>
      </c>
      <c r="P56" s="179">
        <f t="shared" ref="P56" si="177">J57/J56</f>
        <v>0.12160804020100503</v>
      </c>
      <c r="Q56" s="4">
        <f t="shared" ref="Q56" si="178">STDEV(N56,O56,P56)</f>
        <v>8.9568167936840556E-4</v>
      </c>
      <c r="R56" s="53">
        <f t="shared" ref="R56" si="179">Q56/(AVERAGE(N56,O56,P56))</f>
        <v>7.3624393482142796E-3</v>
      </c>
      <c r="S56" s="164" t="b">
        <f t="shared" ref="S56" si="180">IF(Q56&gt;0.05, TRUE, FALSE)</f>
        <v>0</v>
      </c>
      <c r="T56" s="117">
        <v>2.9220000000000002</v>
      </c>
      <c r="U56" s="101">
        <v>2.952</v>
      </c>
      <c r="V56" s="124">
        <f t="shared" si="108"/>
        <v>1.499999999999968E-2</v>
      </c>
      <c r="W56" s="124">
        <f t="shared" si="109"/>
        <v>1.5000000000000124E-2</v>
      </c>
      <c r="X56" s="125">
        <f t="shared" si="11"/>
        <v>1.4999999999999902E-2</v>
      </c>
      <c r="Y56" s="90">
        <v>2.8919999999999999</v>
      </c>
      <c r="Z56" s="92">
        <v>2.92</v>
      </c>
      <c r="AA56" s="124">
        <f t="shared" si="110"/>
        <v>1.4000000000000234E-2</v>
      </c>
      <c r="AB56" s="124">
        <f t="shared" si="111"/>
        <v>1.399999999999979E-2</v>
      </c>
      <c r="AC56" s="131">
        <f t="shared" si="12"/>
        <v>1.4000000000000012E-2</v>
      </c>
      <c r="AD56" s="117">
        <v>2.97</v>
      </c>
      <c r="AE56" s="101">
        <v>3</v>
      </c>
      <c r="AF56" s="136">
        <f t="shared" si="112"/>
        <v>1.499999999999968E-2</v>
      </c>
      <c r="AG56" s="124">
        <f t="shared" si="113"/>
        <v>1.5000000000000124E-2</v>
      </c>
      <c r="AH56" s="131">
        <f t="shared" si="13"/>
        <v>1.4999999999999902E-2</v>
      </c>
      <c r="AI56" s="4"/>
      <c r="AJ56" s="4"/>
      <c r="AK56" s="4"/>
      <c r="AL56" s="4"/>
      <c r="AM56" s="4"/>
      <c r="AN56" s="4"/>
      <c r="AO56" s="4"/>
      <c r="AP56" s="4"/>
      <c r="AQ56" s="4"/>
      <c r="AT56" s="4"/>
      <c r="AU56" s="4"/>
      <c r="AV56" s="4"/>
      <c r="AW56" s="4"/>
      <c r="AX56" s="4"/>
      <c r="AY56" s="4"/>
    </row>
    <row r="57" spans="1:51">
      <c r="A57" s="56">
        <v>55</v>
      </c>
      <c r="B57" s="4"/>
      <c r="C57" s="28"/>
      <c r="D57" s="28"/>
      <c r="E57" s="117">
        <f>'2MASS Binaries'!J57</f>
        <v>7.506211299409328</v>
      </c>
      <c r="F57" s="101">
        <f>'2MASS Binaries'!K57</f>
        <v>6.9674801400093269</v>
      </c>
      <c r="G57" s="116">
        <f>'2MASS Binaries'!L57</f>
        <v>6.5988298817293272</v>
      </c>
      <c r="H57" s="117">
        <v>0.36</v>
      </c>
      <c r="I57" s="101">
        <v>0.35099999999999998</v>
      </c>
      <c r="J57" s="92">
        <v>0.36299999999999999</v>
      </c>
      <c r="K57" s="90">
        <f t="shared" si="114"/>
        <v>6.2449979983984034E-3</v>
      </c>
      <c r="L57" s="4">
        <f t="shared" si="9"/>
        <v>0.35967146695325103</v>
      </c>
      <c r="M57" s="53">
        <f t="shared" si="10"/>
        <v>1.7363062050207361E-2</v>
      </c>
      <c r="N57" s="168"/>
      <c r="O57" s="169"/>
      <c r="P57" s="170"/>
      <c r="Q57" s="53"/>
      <c r="R57" s="53"/>
      <c r="S57" s="164"/>
      <c r="T57" s="117">
        <v>0.35199999999999998</v>
      </c>
      <c r="U57" s="101">
        <v>0.36699999999999999</v>
      </c>
      <c r="V57" s="124">
        <f t="shared" si="108"/>
        <v>8.0000000000000071E-3</v>
      </c>
      <c r="W57" s="124">
        <f t="shared" si="109"/>
        <v>7.0000000000000062E-3</v>
      </c>
      <c r="X57" s="125">
        <f t="shared" si="11"/>
        <v>7.5000000000000067E-3</v>
      </c>
      <c r="Y57" s="90">
        <v>0.33100000000000002</v>
      </c>
      <c r="Z57" s="92">
        <v>0.372</v>
      </c>
      <c r="AA57" s="124">
        <f t="shared" si="110"/>
        <v>1.9999999999999962E-2</v>
      </c>
      <c r="AB57" s="124">
        <f t="shared" si="111"/>
        <v>2.1000000000000019E-2</v>
      </c>
      <c r="AC57" s="131">
        <f t="shared" si="12"/>
        <v>2.049999999999999E-2</v>
      </c>
      <c r="AD57" s="117">
        <v>0.34799999999999998</v>
      </c>
      <c r="AE57" s="101">
        <v>0.378</v>
      </c>
      <c r="AF57" s="136">
        <f t="shared" si="112"/>
        <v>1.5000000000000013E-2</v>
      </c>
      <c r="AG57" s="124">
        <f t="shared" si="113"/>
        <v>1.5000000000000013E-2</v>
      </c>
      <c r="AH57" s="131">
        <f t="shared" si="13"/>
        <v>1.5000000000000013E-2</v>
      </c>
      <c r="AI57" s="4"/>
      <c r="AJ57" s="4"/>
      <c r="AK57" s="4"/>
      <c r="AL57" s="4"/>
      <c r="AM57" s="4"/>
      <c r="AN57" s="4"/>
      <c r="AO57" s="4"/>
      <c r="AP57" s="4"/>
      <c r="AQ57" s="4"/>
      <c r="AT57" s="4"/>
      <c r="AU57" s="4"/>
      <c r="AV57" s="4"/>
      <c r="AW57" s="4"/>
      <c r="AX57" s="4"/>
      <c r="AY57" s="4"/>
    </row>
    <row r="58" spans="1:51">
      <c r="A58" s="56">
        <v>56</v>
      </c>
      <c r="B58" s="4"/>
      <c r="C58" s="28" t="s">
        <v>251</v>
      </c>
      <c r="D58" s="28" t="s">
        <v>178</v>
      </c>
      <c r="E58" s="90">
        <f>'2MASS Binaries'!J58</f>
        <v>0.36051391983432701</v>
      </c>
      <c r="F58" s="101">
        <f>'2MASS Binaries'!K58</f>
        <v>0.41451391983432728</v>
      </c>
      <c r="G58" s="116">
        <f>'2MASS Binaries'!L58</f>
        <v>0.36551391983432602</v>
      </c>
      <c r="H58" s="117">
        <v>2.831</v>
      </c>
      <c r="I58" s="101">
        <v>2.8119999999999998</v>
      </c>
      <c r="J58" s="92">
        <v>2.8359999999999999</v>
      </c>
      <c r="K58" s="117">
        <f t="shared" ref="K58" si="181">STDEV(H58,I58,J58)</f>
        <v>1.2662279942148419E-2</v>
      </c>
      <c r="L58" s="4">
        <f t="shared" si="9"/>
        <v>2.8266765346103613</v>
      </c>
      <c r="M58" s="53">
        <f t="shared" si="10"/>
        <v>4.4795645299732997E-3</v>
      </c>
      <c r="N58" s="178" t="s">
        <v>51</v>
      </c>
      <c r="O58" s="175" t="s">
        <v>51</v>
      </c>
      <c r="P58" s="179">
        <f t="shared" ref="P58" si="182">J59/J58</f>
        <v>0.10966149506346969</v>
      </c>
      <c r="Q58" s="4" t="s">
        <v>51</v>
      </c>
      <c r="R58" s="53" t="s">
        <v>51</v>
      </c>
      <c r="S58" s="4" t="s">
        <v>51</v>
      </c>
      <c r="T58" s="117">
        <v>2.8180000000000001</v>
      </c>
      <c r="U58" s="101">
        <v>2.8450000000000002</v>
      </c>
      <c r="V58" s="124">
        <f t="shared" si="108"/>
        <v>1.2999999999999901E-2</v>
      </c>
      <c r="W58" s="124">
        <f t="shared" si="109"/>
        <v>1.4000000000000234E-2</v>
      </c>
      <c r="X58" s="125">
        <f t="shared" si="11"/>
        <v>1.3500000000000068E-2</v>
      </c>
      <c r="Y58" s="90">
        <v>2.798</v>
      </c>
      <c r="Z58" s="92">
        <v>2.8260000000000001</v>
      </c>
      <c r="AA58" s="124">
        <f t="shared" si="110"/>
        <v>1.399999999999979E-2</v>
      </c>
      <c r="AB58" s="124">
        <f t="shared" si="111"/>
        <v>1.4000000000000234E-2</v>
      </c>
      <c r="AC58" s="131">
        <f t="shared" si="12"/>
        <v>1.4000000000000012E-2</v>
      </c>
      <c r="AD58" s="117">
        <v>2.823</v>
      </c>
      <c r="AE58" s="101">
        <v>2.85</v>
      </c>
      <c r="AF58" s="136">
        <f t="shared" si="112"/>
        <v>1.2999999999999901E-2</v>
      </c>
      <c r="AG58" s="124">
        <f t="shared" si="113"/>
        <v>1.4000000000000234E-2</v>
      </c>
      <c r="AH58" s="131">
        <f t="shared" si="13"/>
        <v>1.3500000000000068E-2</v>
      </c>
      <c r="AI58" s="4"/>
      <c r="AJ58" s="4"/>
      <c r="AK58" s="4"/>
      <c r="AL58" s="4"/>
      <c r="AM58" s="4"/>
      <c r="AN58" s="4"/>
      <c r="AO58" s="4"/>
      <c r="AP58" s="4"/>
      <c r="AQ58" s="4"/>
      <c r="AT58" s="4"/>
      <c r="AU58" s="4"/>
      <c r="AV58" s="4"/>
      <c r="AW58" s="4"/>
      <c r="AX58" s="4"/>
      <c r="AY58" s="4"/>
    </row>
    <row r="59" spans="1:51">
      <c r="A59" s="56">
        <v>57</v>
      </c>
      <c r="B59" s="4"/>
      <c r="C59" s="28"/>
      <c r="D59" s="28"/>
      <c r="E59" s="90"/>
      <c r="F59" s="101"/>
      <c r="G59" s="116">
        <f>'2MASS Binaries'!L59</f>
        <v>6.8915139198343258</v>
      </c>
      <c r="H59" s="117"/>
      <c r="I59" s="101"/>
      <c r="J59" s="92">
        <v>0.311</v>
      </c>
      <c r="K59" s="117"/>
      <c r="L59" s="4">
        <f>J59</f>
        <v>0.311</v>
      </c>
      <c r="M59" s="53"/>
      <c r="N59" s="168"/>
      <c r="O59" s="169"/>
      <c r="P59" s="170"/>
      <c r="Q59" s="53"/>
      <c r="R59" s="53"/>
      <c r="S59" s="164"/>
      <c r="T59" s="117"/>
      <c r="U59" s="101"/>
      <c r="V59" s="124"/>
      <c r="W59" s="124"/>
      <c r="X59" s="125"/>
      <c r="Y59" s="90"/>
      <c r="Z59" s="92"/>
      <c r="AA59" s="124"/>
      <c r="AB59" s="124"/>
      <c r="AC59" s="131"/>
      <c r="AD59" s="117">
        <v>0.30299999999999999</v>
      </c>
      <c r="AE59" s="101">
        <v>0.318</v>
      </c>
      <c r="AF59" s="136">
        <f t="shared" si="112"/>
        <v>8.0000000000000071E-3</v>
      </c>
      <c r="AG59" s="124">
        <f t="shared" si="113"/>
        <v>7.0000000000000062E-3</v>
      </c>
      <c r="AH59" s="131">
        <f t="shared" si="13"/>
        <v>7.5000000000000067E-3</v>
      </c>
      <c r="AI59" s="4"/>
      <c r="AJ59" s="4"/>
      <c r="AK59" s="4"/>
      <c r="AL59" s="4"/>
      <c r="AM59" s="4"/>
      <c r="AN59" s="4"/>
      <c r="AO59" s="4"/>
      <c r="AP59" s="4"/>
      <c r="AQ59" s="4"/>
      <c r="AT59" s="4"/>
      <c r="AU59" s="4"/>
      <c r="AV59" s="4"/>
      <c r="AW59" s="4"/>
      <c r="AX59" s="4"/>
      <c r="AY59" s="4"/>
    </row>
    <row r="60" spans="1:51">
      <c r="A60" s="56">
        <v>58</v>
      </c>
      <c r="B60" s="4"/>
      <c r="C60" s="28" t="s">
        <v>252</v>
      </c>
      <c r="D60" s="28" t="s">
        <v>178</v>
      </c>
      <c r="E60" s="90">
        <f>'2MASS Binaries'!J60</f>
        <v>0.36051391983432701</v>
      </c>
      <c r="F60" s="101">
        <f>'2MASS Binaries'!K60</f>
        <v>0.41451391983432728</v>
      </c>
      <c r="G60" s="116">
        <f>'2MASS Binaries'!L60</f>
        <v>0.36551391983432602</v>
      </c>
      <c r="H60" s="117">
        <v>2.831</v>
      </c>
      <c r="I60" s="101">
        <v>2.8119999999999998</v>
      </c>
      <c r="J60" s="92">
        <v>2.8359999999999999</v>
      </c>
      <c r="K60" s="117">
        <f t="shared" ref="K60" si="183">STDEV(H60,I60,J60)</f>
        <v>1.2662279942148419E-2</v>
      </c>
      <c r="L60" s="4">
        <f t="shared" si="9"/>
        <v>2.8266765346103613</v>
      </c>
      <c r="M60" s="53">
        <f t="shared" si="10"/>
        <v>4.4795645299732997E-3</v>
      </c>
      <c r="N60" s="178" t="s">
        <v>51</v>
      </c>
      <c r="O60" s="175" t="s">
        <v>51</v>
      </c>
      <c r="P60" s="179">
        <f t="shared" ref="P60" si="184">J61/J60</f>
        <v>5.500705218617772E-2</v>
      </c>
      <c r="Q60" s="4" t="s">
        <v>51</v>
      </c>
      <c r="R60" s="53" t="s">
        <v>51</v>
      </c>
      <c r="S60" s="4" t="s">
        <v>51</v>
      </c>
      <c r="T60" s="90">
        <v>2.8180000000000001</v>
      </c>
      <c r="U60" s="92">
        <v>2.8450000000000002</v>
      </c>
      <c r="V60" s="124">
        <f>ABS(T60-H60)</f>
        <v>1.2999999999999901E-2</v>
      </c>
      <c r="W60" s="124">
        <f>ABS(U60-H60)</f>
        <v>1.4000000000000234E-2</v>
      </c>
      <c r="X60" s="125">
        <f t="shared" si="11"/>
        <v>1.3500000000000068E-2</v>
      </c>
      <c r="Y60" s="90">
        <v>2.798</v>
      </c>
      <c r="Z60" s="92">
        <v>2.8260000000000001</v>
      </c>
      <c r="AA60" s="124">
        <f>ABS(Y60-I60)</f>
        <v>1.399999999999979E-2</v>
      </c>
      <c r="AB60" s="124">
        <f>ABS(Z60-I60)</f>
        <v>1.4000000000000234E-2</v>
      </c>
      <c r="AC60" s="131">
        <f t="shared" si="12"/>
        <v>1.4000000000000012E-2</v>
      </c>
      <c r="AD60" s="117">
        <v>2.823</v>
      </c>
      <c r="AE60" s="101">
        <v>2.85</v>
      </c>
      <c r="AF60" s="136">
        <f t="shared" si="112"/>
        <v>1.2999999999999901E-2</v>
      </c>
      <c r="AG60" s="124">
        <f t="shared" si="113"/>
        <v>1.4000000000000234E-2</v>
      </c>
      <c r="AH60" s="131">
        <f t="shared" si="13"/>
        <v>1.3500000000000068E-2</v>
      </c>
      <c r="AI60" s="4"/>
      <c r="AJ60" s="4"/>
      <c r="AK60" s="4"/>
      <c r="AL60" s="4"/>
      <c r="AM60" s="4"/>
      <c r="AN60" s="4"/>
      <c r="AO60" s="4"/>
      <c r="AP60" s="4"/>
      <c r="AQ60" s="4"/>
      <c r="AT60" s="4"/>
      <c r="AU60" s="4"/>
      <c r="AV60" s="4"/>
      <c r="AW60" s="4"/>
      <c r="AX60" s="4"/>
      <c r="AY60" s="4"/>
    </row>
    <row r="61" spans="1:51">
      <c r="A61" s="56">
        <v>59</v>
      </c>
      <c r="B61" s="4"/>
      <c r="C61" s="28"/>
      <c r="D61" s="28"/>
      <c r="E61" s="90"/>
      <c r="F61" s="101"/>
      <c r="G61" s="116">
        <f>'2MASS Binaries'!L61</f>
        <v>8.1685139198343268</v>
      </c>
      <c r="H61" s="117"/>
      <c r="I61" s="101"/>
      <c r="J61" s="92">
        <v>0.156</v>
      </c>
      <c r="K61" s="117"/>
      <c r="L61" s="4">
        <f>J61</f>
        <v>0.156</v>
      </c>
      <c r="M61" s="53"/>
      <c r="N61" s="168"/>
      <c r="O61" s="169"/>
      <c r="P61" s="170"/>
      <c r="Q61" s="53"/>
      <c r="R61" s="53"/>
      <c r="S61" s="164"/>
      <c r="T61" s="90"/>
      <c r="U61" s="92"/>
      <c r="V61" s="124"/>
      <c r="W61" s="124"/>
      <c r="X61" s="125"/>
      <c r="Y61" s="90"/>
      <c r="Z61" s="92"/>
      <c r="AA61" s="124"/>
      <c r="AB61" s="124"/>
      <c r="AC61" s="131"/>
      <c r="AD61" s="117">
        <v>0.152</v>
      </c>
      <c r="AE61" s="101">
        <v>0.161</v>
      </c>
      <c r="AF61" s="136">
        <f t="shared" si="112"/>
        <v>4.0000000000000036E-3</v>
      </c>
      <c r="AG61" s="124">
        <f t="shared" si="113"/>
        <v>5.0000000000000044E-3</v>
      </c>
      <c r="AH61" s="131">
        <f t="shared" si="13"/>
        <v>4.500000000000004E-3</v>
      </c>
      <c r="AI61" s="4"/>
      <c r="AJ61" s="4"/>
      <c r="AK61" s="4"/>
      <c r="AL61" s="4"/>
      <c r="AM61" s="4"/>
      <c r="AN61" s="4"/>
      <c r="AO61" s="4"/>
      <c r="AP61" s="4"/>
      <c r="AQ61" s="4"/>
      <c r="AT61" s="4"/>
      <c r="AU61" s="4"/>
      <c r="AV61" s="4"/>
      <c r="AW61" s="4"/>
      <c r="AX61" s="4"/>
      <c r="AY61" s="4"/>
    </row>
    <row r="62" spans="1:51">
      <c r="A62" s="56">
        <v>60</v>
      </c>
      <c r="B62" s="4"/>
      <c r="C62" s="28" t="s">
        <v>266</v>
      </c>
      <c r="D62" s="28" t="s">
        <v>661</v>
      </c>
      <c r="E62" s="90">
        <f>'2MASS Binaries'!J62</f>
        <v>0.14051391983432637</v>
      </c>
      <c r="F62" s="101">
        <f>'2MASS Binaries'!K62</f>
        <v>0.1935139198343272</v>
      </c>
      <c r="G62" s="116">
        <f>'2MASS Binaries'!L62</f>
        <v>0.20951391983432721</v>
      </c>
      <c r="H62" s="117">
        <v>2.9350000000000001</v>
      </c>
      <c r="I62" s="101">
        <v>2.9140000000000001</v>
      </c>
      <c r="J62" s="92">
        <v>2.907</v>
      </c>
      <c r="K62" s="117">
        <f t="shared" ref="K62" si="185">STDEV(H62,I62,J62)</f>
        <v>1.4571661996262924E-2</v>
      </c>
      <c r="L62" s="4">
        <f t="shared" si="9"/>
        <v>2.9180059502084905</v>
      </c>
      <c r="M62" s="53">
        <f t="shared" si="10"/>
        <v>4.9937053744601801E-3</v>
      </c>
      <c r="N62" s="178" t="s">
        <v>51</v>
      </c>
      <c r="O62" s="175" t="s">
        <v>51</v>
      </c>
      <c r="P62" s="179">
        <f t="shared" ref="P62" si="186">J63/J62</f>
        <v>0.18128654970760236</v>
      </c>
      <c r="Q62" s="4" t="s">
        <v>51</v>
      </c>
      <c r="R62" s="53" t="s">
        <v>51</v>
      </c>
      <c r="S62" s="4" t="s">
        <v>51</v>
      </c>
      <c r="T62" s="90">
        <v>2.92</v>
      </c>
      <c r="U62" s="92">
        <v>2.9489999999999998</v>
      </c>
      <c r="V62" s="124">
        <f>ABS(T62-H62)</f>
        <v>1.5000000000000124E-2</v>
      </c>
      <c r="W62" s="124">
        <f>ABS(U62-H62)</f>
        <v>1.399999999999979E-2</v>
      </c>
      <c r="X62" s="125">
        <f t="shared" si="11"/>
        <v>1.4499999999999957E-2</v>
      </c>
      <c r="Y62" s="90">
        <v>2.9</v>
      </c>
      <c r="Z62" s="92">
        <v>2.9279999999999999</v>
      </c>
      <c r="AA62" s="124">
        <f>ABS(Y62-I62)</f>
        <v>1.4000000000000234E-2</v>
      </c>
      <c r="AB62" s="124">
        <f>ABS(Z62-I62)</f>
        <v>1.399999999999979E-2</v>
      </c>
      <c r="AC62" s="131">
        <f t="shared" si="12"/>
        <v>1.4000000000000012E-2</v>
      </c>
      <c r="AD62" s="117">
        <v>2.8940000000000001</v>
      </c>
      <c r="AE62" s="101">
        <v>2.9209999999999998</v>
      </c>
      <c r="AF62" s="136">
        <f t="shared" si="112"/>
        <v>1.2999999999999901E-2</v>
      </c>
      <c r="AG62" s="124">
        <f t="shared" si="113"/>
        <v>1.399999999999979E-2</v>
      </c>
      <c r="AH62" s="131">
        <f t="shared" si="13"/>
        <v>1.3499999999999845E-2</v>
      </c>
      <c r="AI62" s="4"/>
      <c r="AJ62" s="4"/>
      <c r="AK62" s="4"/>
      <c r="AL62" s="4"/>
      <c r="AM62" s="4"/>
      <c r="AN62" s="4"/>
      <c r="AO62" s="4"/>
      <c r="AP62" s="4"/>
      <c r="AQ62" s="4"/>
      <c r="AT62" s="4"/>
      <c r="AU62" s="4"/>
      <c r="AV62" s="4"/>
      <c r="AW62" s="4"/>
      <c r="AX62" s="4"/>
      <c r="AY62" s="4"/>
    </row>
    <row r="63" spans="1:51">
      <c r="A63" s="56">
        <v>61</v>
      </c>
      <c r="B63" s="4"/>
      <c r="C63" s="28"/>
      <c r="D63" s="28"/>
      <c r="E63" s="90"/>
      <c r="F63" s="101"/>
      <c r="G63" s="116">
        <f>'2MASS Binaries'!L63</f>
        <v>5.6422052382498169</v>
      </c>
      <c r="H63" s="117"/>
      <c r="I63" s="101"/>
      <c r="J63" s="92">
        <v>0.52700000000000002</v>
      </c>
      <c r="K63" s="117"/>
      <c r="L63" s="4">
        <f>J63</f>
        <v>0.52700000000000002</v>
      </c>
      <c r="M63" s="53"/>
      <c r="N63" s="168"/>
      <c r="O63" s="169"/>
      <c r="P63" s="170"/>
      <c r="Q63" s="53"/>
      <c r="R63" s="53"/>
      <c r="S63" s="164"/>
      <c r="T63" s="90"/>
      <c r="U63" s="92"/>
      <c r="V63" s="124"/>
      <c r="W63" s="124"/>
      <c r="X63" s="125"/>
      <c r="Y63" s="90"/>
      <c r="Z63" s="92"/>
      <c r="AA63" s="124"/>
      <c r="AB63" s="124"/>
      <c r="AC63" s="131"/>
      <c r="AD63" s="117">
        <v>0.5</v>
      </c>
      <c r="AE63" s="101">
        <v>0.55300000000000005</v>
      </c>
      <c r="AF63" s="136">
        <f t="shared" si="112"/>
        <v>2.7000000000000024E-2</v>
      </c>
      <c r="AG63" s="124">
        <f t="shared" si="113"/>
        <v>2.6000000000000023E-2</v>
      </c>
      <c r="AH63" s="131">
        <f t="shared" si="13"/>
        <v>2.6500000000000024E-2</v>
      </c>
      <c r="AI63" s="4"/>
      <c r="AJ63" s="4"/>
      <c r="AK63" s="4"/>
      <c r="AL63" s="4"/>
      <c r="AM63" s="4"/>
      <c r="AN63" s="4"/>
      <c r="AO63" s="4"/>
      <c r="AP63" s="4"/>
      <c r="AQ63" s="4"/>
      <c r="AT63" s="4"/>
      <c r="AU63" s="4"/>
      <c r="AV63" s="4"/>
      <c r="AW63" s="4"/>
      <c r="AX63" s="4"/>
      <c r="AY63" s="4"/>
    </row>
    <row r="64" spans="1:51">
      <c r="A64" s="56">
        <v>62</v>
      </c>
      <c r="B64" s="4"/>
      <c r="C64" s="28" t="s">
        <v>275</v>
      </c>
      <c r="D64" s="28" t="s">
        <v>662</v>
      </c>
      <c r="E64" s="90">
        <f>'2MASS Binaries'!J64</f>
        <v>0.46451391983432622</v>
      </c>
      <c r="F64" s="101">
        <f>'2MASS Binaries'!K64</f>
        <v>0.53151391983432639</v>
      </c>
      <c r="G64" s="116">
        <f>'2MASS Binaries'!L64</f>
        <v>0.46851391983432578</v>
      </c>
      <c r="H64" s="117">
        <v>2.7829999999999999</v>
      </c>
      <c r="I64" s="101">
        <v>2.7570000000000001</v>
      </c>
      <c r="J64" s="92">
        <v>2.79</v>
      </c>
      <c r="K64" s="117">
        <f t="shared" ref="K64" si="187">STDEV(H64,I64,J64)</f>
        <v>1.7387735140993232E-2</v>
      </c>
      <c r="L64" s="4">
        <f t="shared" si="9"/>
        <v>2.7769937555753783</v>
      </c>
      <c r="M64" s="53">
        <f t="shared" si="10"/>
        <v>6.2613519047652975E-3</v>
      </c>
      <c r="N64" s="178" t="s">
        <v>51</v>
      </c>
      <c r="O64" s="175" t="s">
        <v>51</v>
      </c>
      <c r="P64" s="179">
        <f t="shared" ref="P64" si="188">J65/J64</f>
        <v>0.13620071684587814</v>
      </c>
      <c r="Q64" s="4" t="s">
        <v>51</v>
      </c>
      <c r="R64" s="53" t="s">
        <v>51</v>
      </c>
      <c r="S64" s="4" t="s">
        <v>51</v>
      </c>
      <c r="T64" s="90">
        <v>2.7690000000000001</v>
      </c>
      <c r="U64" s="92">
        <v>2.7970000000000002</v>
      </c>
      <c r="V64" s="124">
        <f>ABS(T64-H64)</f>
        <v>1.399999999999979E-2</v>
      </c>
      <c r="W64" s="124">
        <f>ABS(U64-H64)</f>
        <v>1.4000000000000234E-2</v>
      </c>
      <c r="X64" s="125">
        <f t="shared" si="11"/>
        <v>1.4000000000000012E-2</v>
      </c>
      <c r="Y64" s="90">
        <v>2.7429999999999999</v>
      </c>
      <c r="Z64" s="92">
        <v>2.7709999999999999</v>
      </c>
      <c r="AA64" s="124">
        <f>ABS(Y64-I64)</f>
        <v>1.4000000000000234E-2</v>
      </c>
      <c r="AB64" s="124">
        <f>ABS(Z64-I64)</f>
        <v>1.399999999999979E-2</v>
      </c>
      <c r="AC64" s="131">
        <f t="shared" si="12"/>
        <v>1.4000000000000012E-2</v>
      </c>
      <c r="AD64" s="117">
        <v>2.7759999999999998</v>
      </c>
      <c r="AE64" s="101">
        <v>2.8029999999999999</v>
      </c>
      <c r="AF64" s="136">
        <f t="shared" si="112"/>
        <v>1.4000000000000234E-2</v>
      </c>
      <c r="AG64" s="124">
        <f t="shared" si="113"/>
        <v>1.2999999999999901E-2</v>
      </c>
      <c r="AH64" s="131">
        <f t="shared" si="13"/>
        <v>1.3500000000000068E-2</v>
      </c>
      <c r="AI64" s="4"/>
      <c r="AJ64" s="4"/>
      <c r="AK64" s="4"/>
      <c r="AL64" s="4"/>
      <c r="AM64" s="4"/>
      <c r="AN64" s="4"/>
      <c r="AO64" s="4"/>
      <c r="AP64" s="4"/>
      <c r="AQ64" s="4"/>
      <c r="AT64" s="4"/>
      <c r="AU64" s="4"/>
      <c r="AV64" s="4"/>
      <c r="AW64" s="4"/>
      <c r="AX64" s="4"/>
      <c r="AY64" s="4"/>
    </row>
    <row r="65" spans="1:51">
      <c r="A65" s="56">
        <v>63</v>
      </c>
      <c r="B65" s="4"/>
      <c r="C65" s="4"/>
      <c r="D65" s="28"/>
      <c r="E65" s="90"/>
      <c r="F65" s="101"/>
      <c r="G65" s="116">
        <f>'2MASS Binaries'!L65</f>
        <v>6.5029794303443254</v>
      </c>
      <c r="H65" s="117"/>
      <c r="I65" s="101"/>
      <c r="J65" s="92">
        <v>0.38</v>
      </c>
      <c r="K65" s="117"/>
      <c r="L65" s="4">
        <f>J65</f>
        <v>0.38</v>
      </c>
      <c r="M65" s="53"/>
      <c r="N65" s="168"/>
      <c r="O65" s="169"/>
      <c r="P65" s="170"/>
      <c r="Q65" s="53"/>
      <c r="R65" s="53"/>
      <c r="S65" s="164"/>
      <c r="T65" s="90"/>
      <c r="U65" s="92"/>
      <c r="V65" s="124"/>
      <c r="W65" s="124"/>
      <c r="X65" s="125"/>
      <c r="Y65" s="90"/>
      <c r="Z65" s="92"/>
      <c r="AA65" s="124"/>
      <c r="AB65" s="124"/>
      <c r="AC65" s="131"/>
      <c r="AD65" s="117">
        <v>0.372</v>
      </c>
      <c r="AE65" s="101">
        <v>0.38800000000000001</v>
      </c>
      <c r="AF65" s="136">
        <f t="shared" si="112"/>
        <v>8.0000000000000071E-3</v>
      </c>
      <c r="AG65" s="124">
        <f t="shared" si="113"/>
        <v>8.0000000000000071E-3</v>
      </c>
      <c r="AH65" s="131">
        <f t="shared" si="13"/>
        <v>8.0000000000000071E-3</v>
      </c>
      <c r="AI65" s="4"/>
      <c r="AJ65" s="4"/>
      <c r="AK65" s="4"/>
      <c r="AL65" s="4"/>
      <c r="AM65" s="4"/>
      <c r="AN65" s="4"/>
      <c r="AO65" s="4"/>
      <c r="AP65" s="4"/>
      <c r="AQ65" s="4"/>
      <c r="AT65" s="4"/>
      <c r="AU65" s="4"/>
      <c r="AV65" s="4"/>
      <c r="AW65" s="4"/>
      <c r="AX65" s="4"/>
      <c r="AY65" s="4"/>
    </row>
    <row r="66" spans="1:51">
      <c r="A66" s="56">
        <v>64</v>
      </c>
      <c r="B66" s="4"/>
      <c r="C66" s="4" t="s">
        <v>276</v>
      </c>
      <c r="D66" s="28" t="s">
        <v>662</v>
      </c>
      <c r="E66" s="90">
        <f>'2MASS Binaries'!J66</f>
        <v>0.46451391983432622</v>
      </c>
      <c r="F66" s="101">
        <f>'2MASS Binaries'!K66</f>
        <v>0.53151391983432639</v>
      </c>
      <c r="G66" s="116">
        <f>'2MASS Binaries'!L66</f>
        <v>0.46851391983432578</v>
      </c>
      <c r="H66" s="117">
        <v>2.7829999999999999</v>
      </c>
      <c r="I66" s="101">
        <v>2.7570000000000001</v>
      </c>
      <c r="J66" s="92">
        <v>2.79</v>
      </c>
      <c r="K66" s="117">
        <f t="shared" ref="K66" si="189">STDEV(H66,I66,J66)</f>
        <v>1.7387735140993232E-2</v>
      </c>
      <c r="L66" s="4">
        <f t="shared" si="9"/>
        <v>2.7769937555753783</v>
      </c>
      <c r="M66" s="53">
        <f t="shared" si="10"/>
        <v>6.2613519047652975E-3</v>
      </c>
      <c r="N66" s="178" t="s">
        <v>51</v>
      </c>
      <c r="O66" s="175" t="s">
        <v>51</v>
      </c>
      <c r="P66" s="179">
        <f t="shared" ref="P66" si="190">J67/J66</f>
        <v>5.0537634408602143E-2</v>
      </c>
      <c r="Q66" s="4" t="s">
        <v>51</v>
      </c>
      <c r="R66" s="53" t="s">
        <v>51</v>
      </c>
      <c r="S66" s="4" t="s">
        <v>51</v>
      </c>
      <c r="T66" s="90">
        <v>2.7690000000000001</v>
      </c>
      <c r="U66" s="92">
        <v>2.7970000000000002</v>
      </c>
      <c r="V66" s="124">
        <f>ABS(T66-H66)</f>
        <v>1.399999999999979E-2</v>
      </c>
      <c r="W66" s="124">
        <f>ABS(U66-H66)</f>
        <v>1.4000000000000234E-2</v>
      </c>
      <c r="X66" s="125">
        <f t="shared" si="11"/>
        <v>1.4000000000000012E-2</v>
      </c>
      <c r="Y66" s="90">
        <v>2.7429999999999999</v>
      </c>
      <c r="Z66" s="92">
        <v>2.7709999999999999</v>
      </c>
      <c r="AA66" s="124">
        <f>ABS(Y66-I66)</f>
        <v>1.4000000000000234E-2</v>
      </c>
      <c r="AB66" s="124">
        <f>ABS(Z66-I66)</f>
        <v>1.399999999999979E-2</v>
      </c>
      <c r="AC66" s="131">
        <f t="shared" si="12"/>
        <v>1.4000000000000012E-2</v>
      </c>
      <c r="AD66" s="117">
        <v>2.7759999999999998</v>
      </c>
      <c r="AE66" s="101">
        <v>2.8029999999999999</v>
      </c>
      <c r="AF66" s="136">
        <f t="shared" ref="AF66:AF97" si="191">ABS(AD66-J66)</f>
        <v>1.4000000000000234E-2</v>
      </c>
      <c r="AG66" s="124">
        <f t="shared" ref="AG66:AG97" si="192">ABS(AE66-J66)</f>
        <v>1.2999999999999901E-2</v>
      </c>
      <c r="AH66" s="131">
        <f t="shared" si="13"/>
        <v>1.3500000000000068E-2</v>
      </c>
      <c r="AI66" s="4"/>
      <c r="AJ66" s="4"/>
      <c r="AK66" s="4"/>
      <c r="AL66" s="4"/>
      <c r="AM66" s="4"/>
      <c r="AN66" s="4"/>
      <c r="AO66" s="4"/>
      <c r="AP66" s="4"/>
      <c r="AQ66" s="4"/>
      <c r="AT66" s="4"/>
      <c r="AU66" s="4"/>
      <c r="AV66" s="4"/>
      <c r="AW66" s="4"/>
      <c r="AX66" s="4"/>
      <c r="AY66" s="4"/>
    </row>
    <row r="67" spans="1:51">
      <c r="A67" s="56">
        <v>65</v>
      </c>
      <c r="B67" s="4"/>
      <c r="C67" s="4"/>
      <c r="D67" s="28"/>
      <c r="E67" s="90"/>
      <c r="F67" s="101"/>
      <c r="G67" s="116">
        <f>'2MASS Binaries'!L67</f>
        <v>8.3798339502593251</v>
      </c>
      <c r="H67" s="117"/>
      <c r="I67" s="101"/>
      <c r="J67" s="92">
        <v>0.14099999999999999</v>
      </c>
      <c r="K67" s="117"/>
      <c r="L67" s="4">
        <f>J67</f>
        <v>0.14099999999999999</v>
      </c>
      <c r="M67" s="53"/>
      <c r="N67" s="168"/>
      <c r="O67" s="169"/>
      <c r="P67" s="170"/>
      <c r="Q67" s="53"/>
      <c r="R67" s="53"/>
      <c r="S67" s="164"/>
      <c r="T67" s="90"/>
      <c r="U67" s="92"/>
      <c r="V67" s="124"/>
      <c r="W67" s="124"/>
      <c r="X67" s="125"/>
      <c r="Y67" s="117"/>
      <c r="Z67" s="101"/>
      <c r="AA67" s="124"/>
      <c r="AB67" s="124"/>
      <c r="AC67" s="131"/>
      <c r="AD67" s="117">
        <v>0.13100000000000001</v>
      </c>
      <c r="AE67" s="101">
        <v>0.151</v>
      </c>
      <c r="AF67" s="136">
        <f t="shared" si="191"/>
        <v>9.9999999999999811E-3</v>
      </c>
      <c r="AG67" s="124">
        <f t="shared" si="192"/>
        <v>1.0000000000000009E-2</v>
      </c>
      <c r="AH67" s="131">
        <f t="shared" si="13"/>
        <v>9.999999999999995E-3</v>
      </c>
      <c r="AI67" s="4"/>
      <c r="AJ67" s="4"/>
      <c r="AK67" s="4"/>
      <c r="AL67" s="4"/>
      <c r="AM67" s="4"/>
      <c r="AN67" s="4"/>
      <c r="AO67" s="4"/>
      <c r="AP67" s="4"/>
      <c r="AQ67" s="4"/>
      <c r="AT67" s="4"/>
      <c r="AU67" s="4"/>
      <c r="AV67" s="4"/>
      <c r="AW67" s="4"/>
      <c r="AX67" s="4"/>
      <c r="AY67" s="4"/>
    </row>
    <row r="68" spans="1:51">
      <c r="A68" s="56">
        <v>66</v>
      </c>
      <c r="B68" s="4"/>
      <c r="C68" s="4" t="s">
        <v>172</v>
      </c>
      <c r="D68" s="28" t="s">
        <v>202</v>
      </c>
      <c r="E68" s="90">
        <f>'2MASS Binaries'!J68</f>
        <v>-0.45148608016567326</v>
      </c>
      <c r="F68" s="101">
        <f>'2MASS Binaries'!K68</f>
        <v>-0.47048608016567339</v>
      </c>
      <c r="G68" s="116">
        <f>'2MASS Binaries'!L68</f>
        <v>-0.5044860801656732</v>
      </c>
      <c r="H68" s="117">
        <v>3.3119999999999998</v>
      </c>
      <c r="I68" s="101">
        <v>3.3519999999999999</v>
      </c>
      <c r="J68" s="92">
        <v>3.407</v>
      </c>
      <c r="K68" s="117">
        <f t="shared" ref="K68:K88" si="193">STDEV(H68,I68,J68)</f>
        <v>4.7696960070847387E-2</v>
      </c>
      <c r="L68" s="4">
        <f t="shared" ref="L68:L108" si="194">(H68*1/X68^2+I68*1/AC68^2+J68*1/AH68^2)/(1/X68^2 + 1/AC68^2 + 1/AH68^2)</f>
        <v>3.347295877513309</v>
      </c>
      <c r="M68" s="53">
        <f t="shared" ref="M68:M108" si="195">K68/L68</f>
        <v>1.4249400655397468E-2</v>
      </c>
      <c r="N68" s="178">
        <f t="shared" ref="N68" si="196">H69/H68</f>
        <v>0.2195048309178744</v>
      </c>
      <c r="O68" s="175">
        <f t="shared" ref="O68" si="197">I69/I68</f>
        <v>0.19272076372315036</v>
      </c>
      <c r="P68" s="179">
        <f t="shared" ref="P68" si="198">J69/J68</f>
        <v>0.1810977399471676</v>
      </c>
      <c r="Q68" s="4">
        <f t="shared" ref="Q68" si="199">STDEV(N68,O68,P68)</f>
        <v>1.9695962251269933E-2</v>
      </c>
      <c r="R68" s="53">
        <f t="shared" ref="R68" si="200">Q68/(AVERAGE(N68,O68,P68))</f>
        <v>9.9588004228454804E-2</v>
      </c>
      <c r="S68" s="164" t="b">
        <f t="shared" ref="S68" si="201">IF(Q68&gt;0.05, TRUE, FALSE)</f>
        <v>0</v>
      </c>
      <c r="T68" s="90">
        <v>3.2850000000000001</v>
      </c>
      <c r="U68" s="92">
        <v>3.3410000000000002</v>
      </c>
      <c r="V68" s="124">
        <f t="shared" ref="V68:V88" si="202">ABS(T68-H68)</f>
        <v>2.6999999999999691E-2</v>
      </c>
      <c r="W68" s="124">
        <f t="shared" ref="W68:W88" si="203">ABS(U68-H68)</f>
        <v>2.9000000000000359E-2</v>
      </c>
      <c r="X68" s="125">
        <f t="shared" si="11"/>
        <v>2.8000000000000025E-2</v>
      </c>
      <c r="Y68" s="117">
        <v>3.3220000000000001</v>
      </c>
      <c r="Z68" s="101">
        <v>3.3849999999999998</v>
      </c>
      <c r="AA68" s="124">
        <f t="shared" ref="AA68:AA88" si="204">ABS(Y68-I68)</f>
        <v>2.9999999999999805E-2</v>
      </c>
      <c r="AB68" s="124">
        <f t="shared" ref="AB68:AB88" si="205">ABS(Z68-I68)</f>
        <v>3.2999999999999918E-2</v>
      </c>
      <c r="AC68" s="131">
        <f t="shared" si="12"/>
        <v>3.1499999999999861E-2</v>
      </c>
      <c r="AD68" s="117">
        <v>3.37</v>
      </c>
      <c r="AE68" s="101">
        <v>3.4470000000000001</v>
      </c>
      <c r="AF68" s="136">
        <f t="shared" si="191"/>
        <v>3.6999999999999922E-2</v>
      </c>
      <c r="AG68" s="124">
        <f t="shared" si="192"/>
        <v>4.0000000000000036E-2</v>
      </c>
      <c r="AH68" s="131">
        <f t="shared" si="13"/>
        <v>3.8499999999999979E-2</v>
      </c>
      <c r="AI68" s="4"/>
      <c r="AJ68" s="4"/>
      <c r="AK68" s="4"/>
      <c r="AL68" s="4"/>
      <c r="AM68" s="4"/>
      <c r="AN68" s="4"/>
      <c r="AO68" s="4"/>
      <c r="AP68" s="4"/>
      <c r="AQ68" s="4"/>
      <c r="AT68" s="4"/>
      <c r="AU68" s="4"/>
      <c r="AV68" s="4"/>
      <c r="AW68" s="4"/>
      <c r="AX68" s="4"/>
      <c r="AY68" s="4"/>
    </row>
    <row r="69" spans="1:51">
      <c r="A69" s="56">
        <v>67</v>
      </c>
      <c r="B69" s="4"/>
      <c r="C69" s="4"/>
      <c r="D69" s="28"/>
      <c r="E69" s="126">
        <f>'2MASS Binaries'!J69</f>
        <v>5.3840139198343246</v>
      </c>
      <c r="F69" s="119">
        <f>'2MASS Binaries'!K69</f>
        <v>5.1735139198343232</v>
      </c>
      <c r="G69" s="120">
        <f>'2MASS Binaries'!L69</f>
        <v>5.1715139198343252</v>
      </c>
      <c r="H69" s="118">
        <v>0.72699999999999998</v>
      </c>
      <c r="I69" s="119">
        <v>0.64600000000000002</v>
      </c>
      <c r="J69" s="127">
        <v>0.61699999999999999</v>
      </c>
      <c r="K69" s="117">
        <f t="shared" si="193"/>
        <v>5.7011694706729531E-2</v>
      </c>
      <c r="L69" s="4">
        <f t="shared" si="194"/>
        <v>0.67466153846153853</v>
      </c>
      <c r="M69" s="53">
        <f t="shared" si="195"/>
        <v>8.4504142383358474E-2</v>
      </c>
      <c r="N69" s="171"/>
      <c r="O69" s="172"/>
      <c r="P69" s="173"/>
      <c r="Q69" s="53"/>
      <c r="R69" s="53"/>
      <c r="S69" s="164"/>
      <c r="T69" s="118">
        <v>0.72</v>
      </c>
      <c r="U69" s="119">
        <v>0.73499999999999999</v>
      </c>
      <c r="V69" s="128">
        <f t="shared" si="202"/>
        <v>7.0000000000000062E-3</v>
      </c>
      <c r="W69" s="128">
        <f t="shared" si="203"/>
        <v>8.0000000000000071E-3</v>
      </c>
      <c r="X69" s="129">
        <f t="shared" ref="X69:X108" si="206">AVERAGE(V69, W69)</f>
        <v>7.5000000000000067E-3</v>
      </c>
      <c r="Y69" s="118">
        <v>0.63700000000000001</v>
      </c>
      <c r="Z69" s="119">
        <v>0.65500000000000003</v>
      </c>
      <c r="AA69" s="128">
        <f t="shared" si="204"/>
        <v>9.000000000000008E-3</v>
      </c>
      <c r="AB69" s="128">
        <f t="shared" si="205"/>
        <v>9.000000000000008E-3</v>
      </c>
      <c r="AC69" s="132">
        <f t="shared" ref="AC69:AC108" si="207">AVERAGE(AA69, AB69)</f>
        <v>9.000000000000008E-3</v>
      </c>
      <c r="AD69" s="118">
        <v>0.60699999999999998</v>
      </c>
      <c r="AE69" s="119">
        <v>0.627</v>
      </c>
      <c r="AF69" s="137">
        <f t="shared" si="191"/>
        <v>1.0000000000000009E-2</v>
      </c>
      <c r="AG69" s="128">
        <f t="shared" si="192"/>
        <v>1.0000000000000009E-2</v>
      </c>
      <c r="AH69" s="132">
        <f t="shared" ref="AH69:AH109" si="208">AVERAGE(AF69, AG69)</f>
        <v>1.0000000000000009E-2</v>
      </c>
      <c r="AI69" s="4"/>
      <c r="AJ69" s="4"/>
      <c r="AK69" s="4"/>
      <c r="AL69" s="4"/>
      <c r="AM69" s="4"/>
      <c r="AN69" s="4"/>
      <c r="AO69" s="4"/>
      <c r="AP69" s="4"/>
      <c r="AQ69" s="4"/>
      <c r="AT69" s="4"/>
      <c r="AU69" s="4"/>
      <c r="AV69" s="4"/>
      <c r="AW69" s="4"/>
      <c r="AX69" s="4"/>
      <c r="AY69" s="4"/>
    </row>
    <row r="70" spans="1:51">
      <c r="A70" s="56">
        <v>68</v>
      </c>
      <c r="B70" s="76" t="s">
        <v>96</v>
      </c>
      <c r="C70" s="222" t="s">
        <v>71</v>
      </c>
      <c r="D70" s="28" t="s">
        <v>178</v>
      </c>
      <c r="E70" s="117">
        <f>'2MASS Binaries'!J70</f>
        <v>0.523068657938631</v>
      </c>
      <c r="F70" s="101">
        <f>'2MASS Binaries'!K70</f>
        <v>0.54306865793863057</v>
      </c>
      <c r="G70" s="116">
        <f>'2MASS Binaries'!L70</f>
        <v>0.48706865793863052</v>
      </c>
      <c r="H70" s="117">
        <v>3.5720000000000001</v>
      </c>
      <c r="I70" s="101">
        <v>3.621</v>
      </c>
      <c r="J70" s="116">
        <v>3.835</v>
      </c>
      <c r="K70" s="28">
        <f t="shared" si="193"/>
        <v>0.13986064492915792</v>
      </c>
      <c r="L70" s="4">
        <f t="shared" si="194"/>
        <v>3.6569447262080303</v>
      </c>
      <c r="M70" s="53">
        <f t="shared" si="195"/>
        <v>3.8245217087047041E-2</v>
      </c>
      <c r="N70" s="167">
        <f t="shared" ref="N70" si="209">H71/H70</f>
        <v>0.57586786114221722</v>
      </c>
      <c r="O70" s="176">
        <f t="shared" ref="O70" si="210">I71/I70</f>
        <v>0.52333609500138079</v>
      </c>
      <c r="P70" s="177">
        <f t="shared" ref="P70" si="211">J71/J70</f>
        <v>0.63780964797913953</v>
      </c>
      <c r="Q70" s="4">
        <f t="shared" ref="Q70" si="212">STDEV(N70,O70,P70)</f>
        <v>5.7301200891688692E-2</v>
      </c>
      <c r="R70" s="53">
        <f t="shared" ref="R70" si="213">Q70/(AVERAGE(N70,O70,P70))</f>
        <v>9.8965029558236758E-2</v>
      </c>
      <c r="S70" s="162" t="b">
        <f t="shared" ref="S70" si="214">IF(Q70&gt;0.05, TRUE, FALSE)</f>
        <v>1</v>
      </c>
      <c r="T70" s="117">
        <v>3.5249999999999999</v>
      </c>
      <c r="U70" s="101">
        <v>3.62</v>
      </c>
      <c r="V70" s="124">
        <f t="shared" si="202"/>
        <v>4.7000000000000153E-2</v>
      </c>
      <c r="W70" s="124">
        <f t="shared" si="203"/>
        <v>4.8000000000000043E-2</v>
      </c>
      <c r="X70" s="125">
        <f t="shared" si="206"/>
        <v>4.7500000000000098E-2</v>
      </c>
      <c r="Y70" s="117">
        <v>3.573</v>
      </c>
      <c r="Z70" s="101">
        <v>3.67</v>
      </c>
      <c r="AA70" s="124">
        <f t="shared" si="204"/>
        <v>4.8000000000000043E-2</v>
      </c>
      <c r="AB70" s="124">
        <f t="shared" si="205"/>
        <v>4.8999999999999932E-2</v>
      </c>
      <c r="AC70" s="131">
        <f t="shared" si="207"/>
        <v>4.8499999999999988E-2</v>
      </c>
      <c r="AD70" s="117">
        <v>3.7770000000000001</v>
      </c>
      <c r="AE70" s="101">
        <v>3.8929999999999998</v>
      </c>
      <c r="AF70" s="136">
        <f t="shared" si="191"/>
        <v>5.7999999999999829E-2</v>
      </c>
      <c r="AG70" s="124">
        <f t="shared" si="192"/>
        <v>5.7999999999999829E-2</v>
      </c>
      <c r="AH70" s="131">
        <f t="shared" si="208"/>
        <v>5.7999999999999829E-2</v>
      </c>
      <c r="AI70" s="4"/>
      <c r="AJ70" s="4"/>
      <c r="AK70" s="4"/>
      <c r="AL70" s="4"/>
      <c r="AM70" s="4"/>
      <c r="AN70" s="4"/>
      <c r="AO70" s="4"/>
      <c r="AP70" s="4"/>
      <c r="AQ70" s="4"/>
      <c r="AT70" s="4"/>
      <c r="AU70" s="4"/>
      <c r="AV70" s="4"/>
      <c r="AW70" s="4"/>
      <c r="AX70" s="4"/>
      <c r="AY70" s="4"/>
    </row>
    <row r="71" spans="1:51">
      <c r="A71" s="56">
        <v>69</v>
      </c>
      <c r="B71" s="4"/>
      <c r="C71" s="4"/>
      <c r="D71" s="28"/>
      <c r="E71" s="235">
        <f>'2MASS Binaries'!J71</f>
        <v>1.773068657938631</v>
      </c>
      <c r="F71" s="101">
        <f>'2MASS Binaries'!K71</f>
        <v>1.8930686579386307</v>
      </c>
      <c r="G71" s="116">
        <f>'2MASS Binaries'!L71</f>
        <v>1.5370686579386306</v>
      </c>
      <c r="H71" s="235">
        <v>2.0569999999999999</v>
      </c>
      <c r="I71" s="101">
        <v>1.895</v>
      </c>
      <c r="J71" s="116">
        <v>2.4460000000000002</v>
      </c>
      <c r="K71" s="224">
        <f>STDEV(I71,J71)</f>
        <v>0.389615836433788</v>
      </c>
      <c r="L71" s="4">
        <f>(I71*1/AC71^2+J71*1/AH71^2)/(1/AC71^2 + 1/AH71^2)</f>
        <v>2.3452835639246059</v>
      </c>
      <c r="M71" s="223">
        <f t="shared" si="195"/>
        <v>0.16612738963718462</v>
      </c>
      <c r="N71" s="168"/>
      <c r="O71" s="169"/>
      <c r="P71" s="170"/>
      <c r="Q71" s="53"/>
      <c r="R71" s="53"/>
      <c r="S71" s="164"/>
      <c r="T71" s="117">
        <v>2.008</v>
      </c>
      <c r="U71" s="101">
        <v>2.1640000000000001</v>
      </c>
      <c r="V71" s="124">
        <f t="shared" si="202"/>
        <v>4.8999999999999932E-2</v>
      </c>
      <c r="W71" s="124">
        <f t="shared" si="203"/>
        <v>0.10700000000000021</v>
      </c>
      <c r="X71" s="125">
        <f t="shared" si="206"/>
        <v>7.8000000000000069E-2</v>
      </c>
      <c r="Y71" s="117">
        <v>1.7310000000000001</v>
      </c>
      <c r="Z71" s="101">
        <v>2.1560000000000001</v>
      </c>
      <c r="AA71" s="124">
        <f t="shared" si="204"/>
        <v>0.16399999999999992</v>
      </c>
      <c r="AB71" s="124">
        <f t="shared" si="205"/>
        <v>0.26100000000000012</v>
      </c>
      <c r="AC71" s="131">
        <f t="shared" si="207"/>
        <v>0.21250000000000002</v>
      </c>
      <c r="AD71" s="117">
        <v>2.347</v>
      </c>
      <c r="AE71" s="101">
        <v>2.548</v>
      </c>
      <c r="AF71" s="136">
        <f t="shared" si="191"/>
        <v>9.9000000000000199E-2</v>
      </c>
      <c r="AG71" s="124">
        <f t="shared" si="192"/>
        <v>0.10199999999999987</v>
      </c>
      <c r="AH71" s="131">
        <f t="shared" si="208"/>
        <v>0.10050000000000003</v>
      </c>
      <c r="AI71" s="4"/>
      <c r="AJ71" s="4"/>
      <c r="AK71" s="4"/>
      <c r="AL71" s="4"/>
      <c r="AM71" s="4"/>
      <c r="AN71" s="4"/>
      <c r="AO71" s="4"/>
      <c r="AP71" s="4"/>
      <c r="AQ71" s="4"/>
      <c r="AT71" s="4"/>
      <c r="AU71" s="4"/>
      <c r="AV71" s="4"/>
      <c r="AW71" s="4"/>
      <c r="AX71" s="4"/>
      <c r="AY71" s="4"/>
    </row>
    <row r="72" spans="1:51">
      <c r="A72" s="56">
        <v>70</v>
      </c>
      <c r="B72" s="4"/>
      <c r="C72" s="4" t="s">
        <v>33</v>
      </c>
      <c r="D72" s="28" t="s">
        <v>179</v>
      </c>
      <c r="E72" s="90">
        <f>'2MASS Binaries'!J72</f>
        <v>1.7940686579386309</v>
      </c>
      <c r="F72" s="101">
        <f>'2MASS Binaries'!K72</f>
        <v>1.7460686579386309</v>
      </c>
      <c r="G72" s="116">
        <f>'2MASS Binaries'!L72</f>
        <v>1.6740686579386308</v>
      </c>
      <c r="H72" s="117">
        <v>2.02</v>
      </c>
      <c r="I72" s="101">
        <v>2.105</v>
      </c>
      <c r="J72" s="116">
        <v>2.3109999999999999</v>
      </c>
      <c r="K72" s="28">
        <f t="shared" si="193"/>
        <v>0.14963399791936766</v>
      </c>
      <c r="L72" s="4">
        <f t="shared" si="194"/>
        <v>2.2011986126562402</v>
      </c>
      <c r="M72" s="53">
        <f t="shared" si="195"/>
        <v>6.7978417330910756E-2</v>
      </c>
      <c r="N72" s="178">
        <f t="shared" ref="N72" si="215">H73/H72</f>
        <v>0.60990099009900989</v>
      </c>
      <c r="O72" s="175">
        <f t="shared" ref="O72" si="216">I73/I72</f>
        <v>0.56437054631828976</v>
      </c>
      <c r="P72" s="179">
        <f t="shared" ref="P72" si="217">J73/J72</f>
        <v>0.51968844655993085</v>
      </c>
      <c r="Q72" s="4">
        <f t="shared" ref="Q72" si="218">STDEV(N72,O72,P72)</f>
        <v>4.5106936572023831E-2</v>
      </c>
      <c r="R72" s="53">
        <f t="shared" ref="R72" si="219">Q72/(AVERAGE(N72,O72,P72))</f>
        <v>7.9884301327022816E-2</v>
      </c>
      <c r="S72" s="164" t="b">
        <f t="shared" ref="S72" si="220">IF(Q72&gt;0.05, TRUE, FALSE)</f>
        <v>0</v>
      </c>
      <c r="T72" s="117">
        <v>1.986</v>
      </c>
      <c r="U72" s="101">
        <v>2.0819999999999999</v>
      </c>
      <c r="V72" s="124">
        <f t="shared" si="202"/>
        <v>3.400000000000003E-2</v>
      </c>
      <c r="W72" s="124">
        <f t="shared" si="203"/>
        <v>6.1999999999999833E-2</v>
      </c>
      <c r="X72" s="125">
        <f t="shared" si="206"/>
        <v>4.7999999999999932E-2</v>
      </c>
      <c r="Y72" s="117">
        <v>2.0179999999999998</v>
      </c>
      <c r="Z72" s="101">
        <v>2.2309999999999999</v>
      </c>
      <c r="AA72" s="124">
        <f t="shared" si="204"/>
        <v>8.7000000000000188E-2</v>
      </c>
      <c r="AB72" s="124">
        <f t="shared" si="205"/>
        <v>0.12599999999999989</v>
      </c>
      <c r="AC72" s="131">
        <f t="shared" si="207"/>
        <v>0.10650000000000004</v>
      </c>
      <c r="AD72" s="117">
        <v>2.2730000000000001</v>
      </c>
      <c r="AE72" s="101">
        <v>2.3439999999999999</v>
      </c>
      <c r="AF72" s="136">
        <f t="shared" si="191"/>
        <v>3.7999999999999812E-2</v>
      </c>
      <c r="AG72" s="124">
        <f t="shared" si="192"/>
        <v>3.2999999999999918E-2</v>
      </c>
      <c r="AH72" s="131">
        <f t="shared" si="208"/>
        <v>3.5499999999999865E-2</v>
      </c>
      <c r="AI72" s="4"/>
      <c r="AJ72" s="4"/>
      <c r="AK72" s="4"/>
      <c r="AL72" s="4"/>
      <c r="AM72" s="4"/>
      <c r="AN72" s="4"/>
      <c r="AO72" s="4"/>
      <c r="AP72" s="4"/>
      <c r="AQ72" s="4"/>
      <c r="AT72" s="4"/>
      <c r="AU72" s="4"/>
      <c r="AV72" s="4"/>
      <c r="AW72" s="4"/>
      <c r="AX72" s="4"/>
      <c r="AY72" s="4"/>
    </row>
    <row r="73" spans="1:51">
      <c r="A73" s="56">
        <v>71</v>
      </c>
      <c r="B73" s="4"/>
      <c r="C73" s="4"/>
      <c r="D73" s="28"/>
      <c r="E73" s="90">
        <f>'2MASS Binaries'!J73</f>
        <v>3.2575686579386298</v>
      </c>
      <c r="F73" s="101">
        <f>'2MASS Binaries'!K73</f>
        <v>3.110068657938629</v>
      </c>
      <c r="G73" s="116">
        <f>'2MASS Binaries'!L73</f>
        <v>3.017068657938629</v>
      </c>
      <c r="H73" s="117">
        <v>1.232</v>
      </c>
      <c r="I73" s="101">
        <v>1.1879999999999999</v>
      </c>
      <c r="J73" s="102">
        <v>1.2010000000000001</v>
      </c>
      <c r="K73" s="28">
        <f t="shared" si="193"/>
        <v>2.2605309110914636E-2</v>
      </c>
      <c r="L73" s="4">
        <f t="shared" si="194"/>
        <v>1.2125928990003447</v>
      </c>
      <c r="M73" s="53">
        <f t="shared" si="195"/>
        <v>1.8642125588522195E-2</v>
      </c>
      <c r="N73" s="168"/>
      <c r="O73" s="169"/>
      <c r="P73" s="170"/>
      <c r="Q73" s="53"/>
      <c r="R73" s="53"/>
      <c r="S73" s="164"/>
      <c r="T73" s="117">
        <v>1.222</v>
      </c>
      <c r="U73" s="101">
        <v>1.242</v>
      </c>
      <c r="V73" s="124">
        <f t="shared" si="202"/>
        <v>1.0000000000000009E-2</v>
      </c>
      <c r="W73" s="124">
        <f t="shared" si="203"/>
        <v>1.0000000000000009E-2</v>
      </c>
      <c r="X73" s="125">
        <f t="shared" si="206"/>
        <v>1.0000000000000009E-2</v>
      </c>
      <c r="Y73" s="117">
        <v>1.173</v>
      </c>
      <c r="Z73" s="101">
        <v>1.2010000000000001</v>
      </c>
      <c r="AA73" s="124">
        <f t="shared" si="204"/>
        <v>1.4999999999999902E-2</v>
      </c>
      <c r="AB73" s="124">
        <f t="shared" si="205"/>
        <v>1.3000000000000123E-2</v>
      </c>
      <c r="AC73" s="131">
        <f t="shared" si="207"/>
        <v>1.4000000000000012E-2</v>
      </c>
      <c r="AD73" s="117">
        <v>1.1870000000000001</v>
      </c>
      <c r="AE73" s="101">
        <v>1.2130000000000001</v>
      </c>
      <c r="AF73" s="136">
        <f t="shared" si="191"/>
        <v>1.4000000000000012E-2</v>
      </c>
      <c r="AG73" s="124">
        <f t="shared" si="192"/>
        <v>1.2000000000000011E-2</v>
      </c>
      <c r="AH73" s="131">
        <f t="shared" si="208"/>
        <v>1.3000000000000012E-2</v>
      </c>
      <c r="AI73" s="4"/>
      <c r="AJ73" s="4"/>
      <c r="AK73" s="4"/>
      <c r="AL73" s="4"/>
      <c r="AM73" s="4"/>
      <c r="AN73" s="4"/>
      <c r="AO73" s="4"/>
      <c r="AP73" s="4"/>
      <c r="AQ73" s="4"/>
      <c r="AT73" s="4"/>
      <c r="AU73" s="4"/>
      <c r="AV73" s="4"/>
      <c r="AW73" s="4"/>
      <c r="AX73" s="4"/>
      <c r="AY73" s="4"/>
    </row>
    <row r="74" spans="1:51">
      <c r="A74" s="56">
        <v>72</v>
      </c>
      <c r="B74" s="4"/>
      <c r="C74" s="4" t="s">
        <v>307</v>
      </c>
      <c r="D74" s="28" t="s">
        <v>180</v>
      </c>
      <c r="E74" s="90">
        <f>'2MASS Binaries'!J74</f>
        <v>-0.38993134206136926</v>
      </c>
      <c r="F74" s="101">
        <f>'2MASS Binaries'!K74</f>
        <v>-0.37393134206136924</v>
      </c>
      <c r="G74" s="116">
        <f>'2MASS Binaries'!L74</f>
        <v>-0.38693134206136914</v>
      </c>
      <c r="H74" s="117">
        <v>4.9850000000000003</v>
      </c>
      <c r="I74" s="101">
        <v>5.0510000000000002</v>
      </c>
      <c r="J74" s="102">
        <v>5.2240000000000002</v>
      </c>
      <c r="K74" s="28">
        <f t="shared" si="193"/>
        <v>0.1234274415733119</v>
      </c>
      <c r="L74" s="4">
        <f t="shared" si="194"/>
        <v>5.083143536481753</v>
      </c>
      <c r="M74" s="53">
        <f t="shared" si="195"/>
        <v>2.4281714786818901E-2</v>
      </c>
      <c r="N74" s="178">
        <f t="shared" ref="N74" si="221">H75/H74</f>
        <v>0.28766298896690068</v>
      </c>
      <c r="O74" s="175">
        <f t="shared" ref="O74" si="222">I75/I74</f>
        <v>0.26133438922985547</v>
      </c>
      <c r="P74" s="179">
        <f t="shared" ref="P74" si="223">J75/J74</f>
        <v>0.24693721286370596</v>
      </c>
      <c r="Q74" s="4">
        <f t="shared" ref="Q74" si="224">STDEV(N74,O74,P74)</f>
        <v>2.06521293923859E-2</v>
      </c>
      <c r="R74" s="53">
        <f t="shared" ref="R74" si="225">Q74/(AVERAGE(N74,O74,P74))</f>
        <v>7.7841054871871082E-2</v>
      </c>
      <c r="S74" s="164" t="b">
        <f t="shared" ref="S74" si="226">IF(Q74&gt;0.05, TRUE, FALSE)</f>
        <v>0</v>
      </c>
      <c r="T74" s="90">
        <v>4.9409999999999998</v>
      </c>
      <c r="U74" s="92">
        <v>5.0289999999999999</v>
      </c>
      <c r="V74" s="124">
        <f t="shared" si="202"/>
        <v>4.4000000000000483E-2</v>
      </c>
      <c r="W74" s="124">
        <f t="shared" si="203"/>
        <v>4.3999999999999595E-2</v>
      </c>
      <c r="X74" s="125">
        <f t="shared" si="206"/>
        <v>4.4000000000000039E-2</v>
      </c>
      <c r="Y74" s="117">
        <v>5.0060000000000002</v>
      </c>
      <c r="Z74" s="101">
        <v>5.0960000000000001</v>
      </c>
      <c r="AA74" s="124">
        <f t="shared" si="204"/>
        <v>4.4999999999999929E-2</v>
      </c>
      <c r="AB74" s="124">
        <f t="shared" si="205"/>
        <v>4.4999999999999929E-2</v>
      </c>
      <c r="AC74" s="131">
        <f t="shared" si="207"/>
        <v>4.4999999999999929E-2</v>
      </c>
      <c r="AD74" s="117">
        <v>5.1779999999999999</v>
      </c>
      <c r="AE74" s="101">
        <v>5.27</v>
      </c>
      <c r="AF74" s="136">
        <f t="shared" si="191"/>
        <v>4.6000000000000263E-2</v>
      </c>
      <c r="AG74" s="124">
        <f t="shared" si="192"/>
        <v>4.5999999999999375E-2</v>
      </c>
      <c r="AH74" s="131">
        <f t="shared" si="208"/>
        <v>4.5999999999999819E-2</v>
      </c>
      <c r="AI74" s="4"/>
      <c r="AJ74" s="4"/>
      <c r="AK74" s="4"/>
      <c r="AL74" s="4"/>
      <c r="AM74" s="4"/>
      <c r="AN74" s="4"/>
      <c r="AO74" s="4"/>
      <c r="AP74" s="4"/>
      <c r="AQ74" s="4"/>
      <c r="AT74" s="4"/>
      <c r="AU74" s="4"/>
      <c r="AV74" s="4"/>
      <c r="AW74" s="4"/>
      <c r="AX74" s="4"/>
      <c r="AY74" s="4"/>
    </row>
    <row r="75" spans="1:51">
      <c r="A75" s="56">
        <v>73</v>
      </c>
      <c r="B75" s="4"/>
      <c r="C75" s="4"/>
      <c r="D75" s="28"/>
      <c r="E75" s="90">
        <f>'2MASS Binaries'!J75</f>
        <v>2.710568657938631</v>
      </c>
      <c r="F75" s="101">
        <f>'2MASS Binaries'!K75</f>
        <v>2.6445686579386445</v>
      </c>
      <c r="G75" s="116">
        <f>'2MASS Binaries'!L75</f>
        <v>2.6805686579386494</v>
      </c>
      <c r="H75" s="117">
        <v>1.4339999999999999</v>
      </c>
      <c r="I75" s="101">
        <v>1.32</v>
      </c>
      <c r="J75" s="102">
        <v>1.29</v>
      </c>
      <c r="K75" s="28">
        <f t="shared" si="193"/>
        <v>7.5973679652890258E-2</v>
      </c>
      <c r="L75" s="4">
        <f t="shared" si="194"/>
        <v>1.3306277398458357</v>
      </c>
      <c r="M75" s="53">
        <f t="shared" si="195"/>
        <v>5.7096118905271311E-2</v>
      </c>
      <c r="N75" s="168"/>
      <c r="O75" s="169"/>
      <c r="P75" s="170"/>
      <c r="Q75" s="53"/>
      <c r="R75" s="53"/>
      <c r="S75" s="164"/>
      <c r="T75" s="90">
        <v>1.4119999999999999</v>
      </c>
      <c r="U75" s="92">
        <v>1.4550000000000001</v>
      </c>
      <c r="V75" s="124">
        <f t="shared" si="202"/>
        <v>2.200000000000002E-2</v>
      </c>
      <c r="W75" s="124">
        <f t="shared" si="203"/>
        <v>2.100000000000013E-2</v>
      </c>
      <c r="X75" s="125">
        <f t="shared" si="206"/>
        <v>2.1500000000000075E-2</v>
      </c>
      <c r="Y75" s="90">
        <v>1.3009999999999999</v>
      </c>
      <c r="Z75" s="92">
        <v>1.3520000000000001</v>
      </c>
      <c r="AA75" s="124">
        <f t="shared" si="204"/>
        <v>1.9000000000000128E-2</v>
      </c>
      <c r="AB75" s="124">
        <f t="shared" si="205"/>
        <v>3.2000000000000028E-2</v>
      </c>
      <c r="AC75" s="131">
        <f t="shared" si="207"/>
        <v>2.5500000000000078E-2</v>
      </c>
      <c r="AD75" s="117">
        <v>1.2769999999999999</v>
      </c>
      <c r="AE75" s="101">
        <v>1.3049999999999999</v>
      </c>
      <c r="AF75" s="136">
        <f t="shared" si="191"/>
        <v>1.3000000000000123E-2</v>
      </c>
      <c r="AG75" s="124">
        <f t="shared" si="192"/>
        <v>1.4999999999999902E-2</v>
      </c>
      <c r="AH75" s="131">
        <f t="shared" si="208"/>
        <v>1.4000000000000012E-2</v>
      </c>
      <c r="AI75" s="4"/>
      <c r="AJ75" s="4"/>
      <c r="AK75" s="4"/>
      <c r="AL75" s="4"/>
      <c r="AM75" s="4"/>
      <c r="AN75" s="4"/>
      <c r="AO75" s="4"/>
      <c r="AP75" s="4"/>
      <c r="AQ75" s="4"/>
      <c r="AT75" s="4"/>
      <c r="AU75" s="4"/>
      <c r="AV75" s="4"/>
      <c r="AW75" s="4"/>
      <c r="AX75" s="4"/>
      <c r="AY75" s="4"/>
    </row>
    <row r="76" spans="1:51">
      <c r="A76" s="56">
        <v>74</v>
      </c>
      <c r="B76" s="4"/>
      <c r="C76" s="165" t="s">
        <v>306</v>
      </c>
      <c r="D76" s="28" t="s">
        <v>180</v>
      </c>
      <c r="E76" s="117">
        <f>'2MASS Binaries'!J76</f>
        <v>-0.38993134206136926</v>
      </c>
      <c r="F76" s="101">
        <f>'2MASS Binaries'!K76</f>
        <v>-0.37393134206136924</v>
      </c>
      <c r="G76" s="116">
        <f>'2MASS Binaries'!L76</f>
        <v>-0.38693134206136914</v>
      </c>
      <c r="H76" s="117">
        <v>4.9850000000000003</v>
      </c>
      <c r="I76" s="101">
        <v>5.0510000000000002</v>
      </c>
      <c r="J76" s="102">
        <v>5.2240000000000002</v>
      </c>
      <c r="K76" s="28">
        <f t="shared" si="193"/>
        <v>0.1234274415733119</v>
      </c>
      <c r="L76" s="4">
        <f t="shared" si="194"/>
        <v>5.083143536481753</v>
      </c>
      <c r="M76" s="53">
        <f t="shared" si="195"/>
        <v>2.4281714786818901E-2</v>
      </c>
      <c r="N76" s="178">
        <f t="shared" ref="N76" si="227">H77/H76</f>
        <v>0.16028084252758273</v>
      </c>
      <c r="O76" s="175">
        <f t="shared" ref="O76" si="228">I77/I76</f>
        <v>0.17640071273015245</v>
      </c>
      <c r="P76" s="179">
        <f t="shared" ref="P76" si="229">J77/J76</f>
        <v>0.1881699846860643</v>
      </c>
      <c r="Q76" s="4">
        <f t="shared" ref="Q76" si="230">STDEV(N76,O76,P76)</f>
        <v>1.4001013225572297E-2</v>
      </c>
      <c r="R76" s="53">
        <f t="shared" ref="R76" si="231">Q76/(AVERAGE(N76,O76,P76))</f>
        <v>8.0028420381913185E-2</v>
      </c>
      <c r="S76" s="164" t="b">
        <f t="shared" ref="S76" si="232">IF(Q76&gt;0.05, TRUE, FALSE)</f>
        <v>0</v>
      </c>
      <c r="T76" s="90">
        <v>4.9409999999999998</v>
      </c>
      <c r="U76" s="92">
        <v>5.0289999999999999</v>
      </c>
      <c r="V76" s="124">
        <f t="shared" si="202"/>
        <v>4.4000000000000483E-2</v>
      </c>
      <c r="W76" s="124">
        <f t="shared" si="203"/>
        <v>4.3999999999999595E-2</v>
      </c>
      <c r="X76" s="125">
        <f t="shared" si="206"/>
        <v>4.4000000000000039E-2</v>
      </c>
      <c r="Y76" s="90">
        <v>5.0060000000000002</v>
      </c>
      <c r="Z76" s="92">
        <v>5.0960000000000001</v>
      </c>
      <c r="AA76" s="124">
        <f t="shared" si="204"/>
        <v>4.4999999999999929E-2</v>
      </c>
      <c r="AB76" s="124">
        <f t="shared" si="205"/>
        <v>4.4999999999999929E-2</v>
      </c>
      <c r="AC76" s="131">
        <f t="shared" si="207"/>
        <v>4.4999999999999929E-2</v>
      </c>
      <c r="AD76" s="117">
        <v>5.1779999999999999</v>
      </c>
      <c r="AE76" s="101">
        <v>5.27</v>
      </c>
      <c r="AF76" s="136">
        <f t="shared" si="191"/>
        <v>4.6000000000000263E-2</v>
      </c>
      <c r="AG76" s="124">
        <f t="shared" si="192"/>
        <v>4.5999999999999375E-2</v>
      </c>
      <c r="AH76" s="131">
        <f t="shared" si="208"/>
        <v>4.5999999999999819E-2</v>
      </c>
      <c r="AI76" s="4"/>
      <c r="AJ76" s="4"/>
      <c r="AK76" s="4"/>
      <c r="AL76" s="4"/>
      <c r="AM76" s="4"/>
      <c r="AN76" s="4"/>
      <c r="AO76" s="4"/>
      <c r="AP76" s="4"/>
      <c r="AQ76" s="4"/>
      <c r="AT76" s="4"/>
      <c r="AU76" s="4"/>
      <c r="AV76" s="4"/>
      <c r="AW76" s="4"/>
      <c r="AX76" s="4"/>
      <c r="AY76" s="4"/>
    </row>
    <row r="77" spans="1:51">
      <c r="A77" s="56">
        <v>75</v>
      </c>
      <c r="B77" s="4"/>
      <c r="C77" s="4"/>
      <c r="D77" s="28"/>
      <c r="E77" s="117">
        <f>'2MASS Binaries'!J77</f>
        <v>4.8832987780136312</v>
      </c>
      <c r="F77" s="101">
        <f>'2MASS Binaries'!K77</f>
        <v>3.8883825915786305</v>
      </c>
      <c r="G77" s="116">
        <f>'2MASS Binaries'!L77</f>
        <v>3.5975814387436307</v>
      </c>
      <c r="H77" s="117">
        <v>0.79900000000000004</v>
      </c>
      <c r="I77" s="101">
        <v>0.89100000000000001</v>
      </c>
      <c r="J77" s="102">
        <v>0.98299999999999998</v>
      </c>
      <c r="K77" s="165">
        <f t="shared" si="193"/>
        <v>9.1999999999999971E-2</v>
      </c>
      <c r="L77" s="4">
        <f t="shared" si="194"/>
        <v>0.85223625178757223</v>
      </c>
      <c r="M77" s="162">
        <f t="shared" si="195"/>
        <v>0.10795128675532079</v>
      </c>
      <c r="N77" s="168"/>
      <c r="O77" s="169"/>
      <c r="P77" s="170"/>
      <c r="Q77" s="53"/>
      <c r="R77" s="53"/>
      <c r="S77" s="164"/>
      <c r="T77" s="90">
        <v>0.78900000000000003</v>
      </c>
      <c r="U77" s="92">
        <v>0.81</v>
      </c>
      <c r="V77" s="124">
        <f t="shared" si="202"/>
        <v>1.0000000000000009E-2</v>
      </c>
      <c r="W77" s="124">
        <f t="shared" si="203"/>
        <v>1.100000000000001E-2</v>
      </c>
      <c r="X77" s="125">
        <f t="shared" si="206"/>
        <v>1.0500000000000009E-2</v>
      </c>
      <c r="Y77" s="90">
        <v>0.879</v>
      </c>
      <c r="Z77" s="92">
        <v>0.90600000000000003</v>
      </c>
      <c r="AA77" s="124">
        <f t="shared" si="204"/>
        <v>1.2000000000000011E-2</v>
      </c>
      <c r="AB77" s="124">
        <f t="shared" si="205"/>
        <v>1.5000000000000013E-2</v>
      </c>
      <c r="AC77" s="131">
        <f t="shared" si="207"/>
        <v>1.3500000000000012E-2</v>
      </c>
      <c r="AD77" s="117">
        <v>0.95899999999999996</v>
      </c>
      <c r="AE77" s="101">
        <v>1.0029999999999999</v>
      </c>
      <c r="AF77" s="136">
        <f t="shared" si="191"/>
        <v>2.4000000000000021E-2</v>
      </c>
      <c r="AG77" s="124">
        <f t="shared" si="192"/>
        <v>1.9999999999999907E-2</v>
      </c>
      <c r="AH77" s="131">
        <f t="shared" si="208"/>
        <v>2.1999999999999964E-2</v>
      </c>
      <c r="AI77" s="4"/>
      <c r="AJ77" s="4"/>
      <c r="AK77" s="4"/>
      <c r="AL77" s="4"/>
      <c r="AM77" s="4"/>
      <c r="AN77" s="4"/>
      <c r="AO77" s="4"/>
      <c r="AP77" s="4"/>
      <c r="AQ77" s="4"/>
      <c r="AT77" s="4"/>
      <c r="AU77" s="4"/>
      <c r="AV77" s="4"/>
      <c r="AW77" s="4"/>
      <c r="AX77" s="4"/>
      <c r="AY77" s="4"/>
    </row>
    <row r="78" spans="1:51">
      <c r="A78" s="56">
        <v>76</v>
      </c>
      <c r="B78" s="4"/>
      <c r="C78" s="4" t="s">
        <v>35</v>
      </c>
      <c r="D78" s="28" t="s">
        <v>181</v>
      </c>
      <c r="E78" s="90">
        <f>'2MASS Binaries'!J78</f>
        <v>-0.5029313420613688</v>
      </c>
      <c r="F78" s="101">
        <f>'2MASS Binaries'!K78</f>
        <v>-0.52193134206136893</v>
      </c>
      <c r="G78" s="116">
        <f>'2MASS Binaries'!L78</f>
        <v>-0.54293134206136884</v>
      </c>
      <c r="H78" s="117">
        <v>5.1529999999999996</v>
      </c>
      <c r="I78" s="101">
        <v>5.2770000000000001</v>
      </c>
      <c r="J78" s="102">
        <v>5.4640000000000004</v>
      </c>
      <c r="K78" s="28">
        <f t="shared" si="193"/>
        <v>0.15655989269286091</v>
      </c>
      <c r="L78" s="4">
        <f t="shared" si="194"/>
        <v>5.2958600389231281</v>
      </c>
      <c r="M78" s="53">
        <f t="shared" si="195"/>
        <v>2.9562694546719205E-2</v>
      </c>
      <c r="N78" s="178">
        <f t="shared" ref="N78" si="233">H79/H78</f>
        <v>0.33106928003104991</v>
      </c>
      <c r="O78" s="175">
        <f t="shared" ref="O78" si="234">I79/I78</f>
        <v>0.32689027856736785</v>
      </c>
      <c r="P78" s="179">
        <f t="shared" ref="P78" si="235">J79/J78</f>
        <v>0.31680087847730598</v>
      </c>
      <c r="Q78" s="4">
        <f t="shared" ref="Q78" si="236">STDEV(N78,O78,P78)</f>
        <v>7.3353860419848767E-3</v>
      </c>
      <c r="R78" s="53">
        <f t="shared" ref="R78" si="237">Q78/(AVERAGE(N78,O78,P78))</f>
        <v>2.2575965631076483E-2</v>
      </c>
      <c r="S78" s="164" t="b">
        <f t="shared" ref="S78" si="238">IF(Q78&gt;0.05, TRUE, FALSE)</f>
        <v>0</v>
      </c>
      <c r="T78" s="90">
        <v>5.1079999999999997</v>
      </c>
      <c r="U78" s="92">
        <v>5.1980000000000004</v>
      </c>
      <c r="V78" s="124">
        <f t="shared" si="202"/>
        <v>4.4999999999999929E-2</v>
      </c>
      <c r="W78" s="124">
        <f t="shared" si="203"/>
        <v>4.5000000000000817E-2</v>
      </c>
      <c r="X78" s="125">
        <f t="shared" si="206"/>
        <v>4.5000000000000373E-2</v>
      </c>
      <c r="Y78" s="90">
        <v>5.2309999999999999</v>
      </c>
      <c r="Z78" s="92">
        <v>5.3230000000000004</v>
      </c>
      <c r="AA78" s="124">
        <f t="shared" si="204"/>
        <v>4.6000000000000263E-2</v>
      </c>
      <c r="AB78" s="124">
        <f t="shared" si="205"/>
        <v>4.6000000000000263E-2</v>
      </c>
      <c r="AC78" s="131">
        <f t="shared" si="207"/>
        <v>4.6000000000000263E-2</v>
      </c>
      <c r="AD78" s="117">
        <v>5.4180000000000001</v>
      </c>
      <c r="AE78" s="101">
        <v>5.51</v>
      </c>
      <c r="AF78" s="136">
        <f t="shared" si="191"/>
        <v>4.6000000000000263E-2</v>
      </c>
      <c r="AG78" s="124">
        <f t="shared" si="192"/>
        <v>4.5999999999999375E-2</v>
      </c>
      <c r="AH78" s="131">
        <f t="shared" si="208"/>
        <v>4.5999999999999819E-2</v>
      </c>
      <c r="AI78" s="4"/>
      <c r="AJ78" s="4"/>
      <c r="AK78" s="4"/>
      <c r="AL78" s="4"/>
      <c r="AM78" s="4"/>
      <c r="AN78" s="4"/>
      <c r="AO78" s="4"/>
      <c r="AP78" s="4"/>
      <c r="AQ78" s="4"/>
      <c r="AT78" s="4"/>
      <c r="AU78" s="4"/>
      <c r="AV78" s="4"/>
      <c r="AW78" s="4"/>
      <c r="AX78" s="4"/>
      <c r="AY78" s="4"/>
    </row>
    <row r="79" spans="1:51">
      <c r="A79" s="56">
        <v>77</v>
      </c>
      <c r="B79" s="4"/>
      <c r="C79" s="4"/>
      <c r="D79" s="28"/>
      <c r="E79" s="90">
        <f>'2MASS Binaries'!J79</f>
        <v>2.1680686579386306</v>
      </c>
      <c r="F79" s="101">
        <f>'2MASS Binaries'!K79</f>
        <v>2.0560686579386278</v>
      </c>
      <c r="G79" s="116">
        <f>'2MASS Binaries'!L79</f>
        <v>2.0150686579386274</v>
      </c>
      <c r="H79" s="117">
        <v>1.706</v>
      </c>
      <c r="I79" s="101">
        <v>1.7250000000000001</v>
      </c>
      <c r="J79" s="102">
        <v>1.7310000000000001</v>
      </c>
      <c r="K79" s="28">
        <f t="shared" si="193"/>
        <v>1.3051181300301336E-2</v>
      </c>
      <c r="L79" s="4">
        <f t="shared" si="194"/>
        <v>1.720244798041616</v>
      </c>
      <c r="M79" s="53">
        <f t="shared" si="195"/>
        <v>7.5868163154216399E-3</v>
      </c>
      <c r="N79" s="168"/>
      <c r="O79" s="169"/>
      <c r="P79" s="170"/>
      <c r="Q79" s="53"/>
      <c r="R79" s="53"/>
      <c r="S79" s="164"/>
      <c r="T79" s="90">
        <v>1.6830000000000001</v>
      </c>
      <c r="U79" s="92">
        <v>1.7290000000000001</v>
      </c>
      <c r="V79" s="124">
        <f t="shared" si="202"/>
        <v>2.2999999999999909E-2</v>
      </c>
      <c r="W79" s="124">
        <f t="shared" si="203"/>
        <v>2.3000000000000131E-2</v>
      </c>
      <c r="X79" s="125">
        <f t="shared" si="206"/>
        <v>2.300000000000002E-2</v>
      </c>
      <c r="Y79" s="90">
        <v>1.7010000000000001</v>
      </c>
      <c r="Z79" s="92">
        <v>1.7490000000000001</v>
      </c>
      <c r="AA79" s="124">
        <f t="shared" si="204"/>
        <v>2.4000000000000021E-2</v>
      </c>
      <c r="AB79" s="124">
        <f t="shared" si="205"/>
        <v>2.4000000000000021E-2</v>
      </c>
      <c r="AC79" s="131">
        <f t="shared" si="207"/>
        <v>2.4000000000000021E-2</v>
      </c>
      <c r="AD79" s="117">
        <v>1.7070000000000001</v>
      </c>
      <c r="AE79" s="101">
        <v>1.7549999999999999</v>
      </c>
      <c r="AF79" s="136">
        <f t="shared" si="191"/>
        <v>2.4000000000000021E-2</v>
      </c>
      <c r="AG79" s="124">
        <f t="shared" si="192"/>
        <v>2.3999999999999799E-2</v>
      </c>
      <c r="AH79" s="131">
        <f t="shared" si="208"/>
        <v>2.399999999999991E-2</v>
      </c>
      <c r="AI79" s="4"/>
      <c r="AJ79" s="4"/>
      <c r="AK79" s="4"/>
      <c r="AL79" s="4"/>
      <c r="AM79" s="4"/>
      <c r="AN79" s="4"/>
      <c r="AO79" s="4"/>
      <c r="AP79" s="4"/>
      <c r="AQ79" s="4"/>
      <c r="AT79" s="4"/>
      <c r="AU79" s="4"/>
      <c r="AV79" s="4"/>
      <c r="AW79" s="4"/>
      <c r="AX79" s="4"/>
      <c r="AY79" s="4"/>
    </row>
    <row r="80" spans="1:51">
      <c r="A80" s="56">
        <v>78</v>
      </c>
      <c r="B80" s="4"/>
      <c r="C80" s="4" t="s">
        <v>34</v>
      </c>
      <c r="D80" s="28" t="s">
        <v>182</v>
      </c>
      <c r="E80" s="90">
        <f>'2MASS Binaries'!J80</f>
        <v>0.98206865793863063</v>
      </c>
      <c r="F80" s="101">
        <f>'2MASS Binaries'!K80</f>
        <v>1.0050686579386312</v>
      </c>
      <c r="G80" s="116">
        <f>'2MASS Binaries'!L80</f>
        <v>0.92506865793863113</v>
      </c>
      <c r="H80" s="117">
        <v>2.9870000000000001</v>
      </c>
      <c r="I80" s="101">
        <v>3.0059999999999998</v>
      </c>
      <c r="J80" s="102">
        <v>3.14</v>
      </c>
      <c r="K80" s="28">
        <f t="shared" si="193"/>
        <v>8.3392645559026049E-2</v>
      </c>
      <c r="L80" s="4">
        <f t="shared" si="194"/>
        <v>3.037206119954408</v>
      </c>
      <c r="M80" s="53">
        <f t="shared" si="195"/>
        <v>2.7457025392888999E-2</v>
      </c>
      <c r="N80" s="178">
        <f t="shared" ref="N80" si="239">H81/H80</f>
        <v>0.65517241379310343</v>
      </c>
      <c r="O80" s="175">
        <f t="shared" ref="O80" si="240">I81/I80</f>
        <v>0.69594145043246847</v>
      </c>
      <c r="P80" s="179">
        <f t="shared" ref="P80" si="241">J81/J80</f>
        <v>0.74522292993630568</v>
      </c>
      <c r="Q80" s="4">
        <f t="shared" ref="Q80" si="242">STDEV(N80,O80,P80)</f>
        <v>4.5092264725128013E-2</v>
      </c>
      <c r="R80" s="53">
        <f t="shared" ref="R80" si="243">Q80/(AVERAGE(N80,O80,P80))</f>
        <v>6.4530086268637071E-2</v>
      </c>
      <c r="S80" s="164" t="b">
        <f t="shared" ref="S80" si="244">IF(Q80&gt;0.05, TRUE, FALSE)</f>
        <v>0</v>
      </c>
      <c r="T80" s="90">
        <v>2.9540000000000002</v>
      </c>
      <c r="U80" s="92">
        <v>3.02</v>
      </c>
      <c r="V80" s="124">
        <f t="shared" si="202"/>
        <v>3.2999999999999918E-2</v>
      </c>
      <c r="W80" s="124">
        <f t="shared" si="203"/>
        <v>3.2999999999999918E-2</v>
      </c>
      <c r="X80" s="125">
        <f t="shared" si="206"/>
        <v>3.2999999999999918E-2</v>
      </c>
      <c r="Y80" s="90">
        <v>2.972</v>
      </c>
      <c r="Z80" s="92">
        <v>3.04</v>
      </c>
      <c r="AA80" s="124">
        <f t="shared" si="204"/>
        <v>3.3999999999999808E-2</v>
      </c>
      <c r="AB80" s="124">
        <f t="shared" si="205"/>
        <v>3.4000000000000252E-2</v>
      </c>
      <c r="AC80" s="131">
        <f t="shared" si="207"/>
        <v>3.400000000000003E-2</v>
      </c>
      <c r="AD80" s="117">
        <v>3.1030000000000002</v>
      </c>
      <c r="AE80" s="101">
        <v>3.1779999999999999</v>
      </c>
      <c r="AF80" s="136">
        <f t="shared" si="191"/>
        <v>3.6999999999999922E-2</v>
      </c>
      <c r="AG80" s="124">
        <f t="shared" si="192"/>
        <v>3.7999999999999812E-2</v>
      </c>
      <c r="AH80" s="131">
        <f t="shared" si="208"/>
        <v>3.7499999999999867E-2</v>
      </c>
      <c r="AI80" s="4"/>
      <c r="AJ80" s="4"/>
      <c r="AK80" s="4"/>
      <c r="AL80" s="4"/>
      <c r="AM80" s="4"/>
      <c r="AN80" s="4"/>
      <c r="AO80" s="4"/>
      <c r="AP80" s="4"/>
      <c r="AQ80" s="4"/>
      <c r="AT80" s="4"/>
      <c r="AU80" s="4"/>
      <c r="AV80" s="4"/>
      <c r="AW80" s="4"/>
      <c r="AX80" s="4"/>
      <c r="AY80" s="4"/>
    </row>
    <row r="81" spans="1:51">
      <c r="A81" s="56">
        <v>79</v>
      </c>
      <c r="B81" s="4"/>
      <c r="C81" s="4"/>
      <c r="D81" s="28"/>
      <c r="E81" s="90">
        <f>'2MASS Binaries'!J81</f>
        <v>1.8555686579386297</v>
      </c>
      <c r="F81" s="101">
        <f>'2MASS Binaries'!K81</f>
        <v>1.7480686579386289</v>
      </c>
      <c r="G81" s="116">
        <f>'2MASS Binaries'!L81</f>
        <v>1.6480686579386319</v>
      </c>
      <c r="H81" s="117">
        <v>1.9570000000000001</v>
      </c>
      <c r="I81" s="101">
        <v>2.0920000000000001</v>
      </c>
      <c r="J81" s="102">
        <v>2.34</v>
      </c>
      <c r="K81" s="28">
        <f t="shared" si="193"/>
        <v>0.19425841895097698</v>
      </c>
      <c r="L81" s="4">
        <f t="shared" si="194"/>
        <v>2.1132189110909572</v>
      </c>
      <c r="M81" s="53">
        <f t="shared" si="195"/>
        <v>9.1925364632805762E-2</v>
      </c>
      <c r="N81" s="168"/>
      <c r="O81" s="169"/>
      <c r="P81" s="170"/>
      <c r="Q81" s="53"/>
      <c r="R81" s="53"/>
      <c r="S81" s="164"/>
      <c r="T81" s="90">
        <v>1.921</v>
      </c>
      <c r="U81" s="92">
        <v>1.9970000000000001</v>
      </c>
      <c r="V81" s="124">
        <f t="shared" si="202"/>
        <v>3.6000000000000032E-2</v>
      </c>
      <c r="W81" s="124">
        <f t="shared" si="203"/>
        <v>4.0000000000000036E-2</v>
      </c>
      <c r="X81" s="125">
        <f t="shared" si="206"/>
        <v>3.8000000000000034E-2</v>
      </c>
      <c r="Y81" s="90">
        <v>1.9990000000000001</v>
      </c>
      <c r="Z81" s="92">
        <v>2.2490000000000001</v>
      </c>
      <c r="AA81" s="124">
        <f t="shared" si="204"/>
        <v>9.2999999999999972E-2</v>
      </c>
      <c r="AB81" s="124">
        <f t="shared" si="205"/>
        <v>0.15700000000000003</v>
      </c>
      <c r="AC81" s="131">
        <f t="shared" si="207"/>
        <v>0.125</v>
      </c>
      <c r="AD81" s="117">
        <v>2.2909999999999999</v>
      </c>
      <c r="AE81" s="101">
        <v>2.3820000000000001</v>
      </c>
      <c r="AF81" s="136">
        <f t="shared" si="191"/>
        <v>4.8999999999999932E-2</v>
      </c>
      <c r="AG81" s="124">
        <f t="shared" si="192"/>
        <v>4.2000000000000259E-2</v>
      </c>
      <c r="AH81" s="131">
        <f t="shared" si="208"/>
        <v>4.5500000000000096E-2</v>
      </c>
      <c r="AI81" s="4"/>
      <c r="AJ81" s="4"/>
      <c r="AK81" s="4"/>
      <c r="AL81" s="4"/>
      <c r="AM81" s="4"/>
      <c r="AN81" s="4"/>
      <c r="AO81" s="4"/>
      <c r="AP81" s="4"/>
      <c r="AQ81" s="4"/>
      <c r="AT81" s="4"/>
      <c r="AU81" s="4"/>
      <c r="AV81" s="4"/>
      <c r="AW81" s="4"/>
      <c r="AX81" s="4"/>
      <c r="AY81" s="4"/>
    </row>
    <row r="82" spans="1:51">
      <c r="A82" s="56">
        <v>80</v>
      </c>
      <c r="B82" s="4"/>
      <c r="C82" s="4" t="s">
        <v>76</v>
      </c>
      <c r="D82" s="28" t="s">
        <v>197</v>
      </c>
      <c r="E82" s="90">
        <f>'2MASS Binaries'!J82</f>
        <v>1.6750686579386311</v>
      </c>
      <c r="F82" s="101">
        <f>'2MASS Binaries'!K82</f>
        <v>1.7080686579386306</v>
      </c>
      <c r="G82" s="116">
        <f>'2MASS Binaries'!L82</f>
        <v>1.608068657938631</v>
      </c>
      <c r="H82" s="117">
        <v>2.2810000000000001</v>
      </c>
      <c r="I82" s="101">
        <v>2.2450000000000001</v>
      </c>
      <c r="J82" s="102">
        <v>2.38</v>
      </c>
      <c r="K82" s="28">
        <f t="shared" si="193"/>
        <v>6.9907081186386139E-2</v>
      </c>
      <c r="L82" s="4">
        <f t="shared" si="194"/>
        <v>2.3284822446502851</v>
      </c>
      <c r="M82" s="53">
        <f t="shared" si="195"/>
        <v>3.0022595768981475E-2</v>
      </c>
      <c r="N82" s="178">
        <f t="shared" ref="N82" si="245">H83/H82</f>
        <v>3.7264357737834285E-2</v>
      </c>
      <c r="O82" s="175">
        <f t="shared" ref="O82" si="246">I83/I82</f>
        <v>3.2962138084632511E-2</v>
      </c>
      <c r="P82" s="179">
        <f t="shared" ref="P82" si="247">J83/J82</f>
        <v>2.5630252100840335E-2</v>
      </c>
      <c r="Q82" s="4">
        <f t="shared" ref="Q82" si="248">STDEV(N82,O82,P82)</f>
        <v>5.882432320002534E-3</v>
      </c>
      <c r="R82" s="53">
        <f t="shared" ref="R82" si="249">Q82/(AVERAGE(N82,O82,P82))</f>
        <v>0.18410072678583689</v>
      </c>
      <c r="S82" s="164" t="b">
        <f t="shared" ref="S82" si="250">IF(Q82&gt;0.05, TRUE, FALSE)</f>
        <v>0</v>
      </c>
      <c r="T82" s="90">
        <v>2.2429999999999999</v>
      </c>
      <c r="U82" s="92">
        <v>2.3140000000000001</v>
      </c>
      <c r="V82" s="124">
        <f t="shared" si="202"/>
        <v>3.8000000000000256E-2</v>
      </c>
      <c r="W82" s="124">
        <f t="shared" si="203"/>
        <v>3.2999999999999918E-2</v>
      </c>
      <c r="X82" s="125">
        <f t="shared" si="206"/>
        <v>3.5500000000000087E-2</v>
      </c>
      <c r="Y82" s="90">
        <v>2.1680000000000001</v>
      </c>
      <c r="Z82" s="92">
        <v>2.2869999999999999</v>
      </c>
      <c r="AA82" s="124">
        <f t="shared" si="204"/>
        <v>7.6999999999999957E-2</v>
      </c>
      <c r="AB82" s="124">
        <f t="shared" si="205"/>
        <v>4.1999999999999815E-2</v>
      </c>
      <c r="AC82" s="131">
        <f t="shared" si="207"/>
        <v>5.9499999999999886E-2</v>
      </c>
      <c r="AD82" s="117">
        <v>2.35</v>
      </c>
      <c r="AE82" s="101">
        <v>2.4079999999999999</v>
      </c>
      <c r="AF82" s="136">
        <f t="shared" si="191"/>
        <v>2.9999999999999805E-2</v>
      </c>
      <c r="AG82" s="124">
        <f t="shared" si="192"/>
        <v>2.8000000000000025E-2</v>
      </c>
      <c r="AH82" s="131">
        <f t="shared" si="208"/>
        <v>2.8999999999999915E-2</v>
      </c>
      <c r="AI82" s="4"/>
      <c r="AJ82" s="4"/>
      <c r="AK82" s="4"/>
      <c r="AL82" s="4"/>
      <c r="AM82" s="4"/>
      <c r="AN82" s="4"/>
      <c r="AO82" s="4"/>
      <c r="AP82" s="4"/>
      <c r="AQ82" s="4"/>
      <c r="AT82" s="4"/>
      <c r="AU82" s="4"/>
      <c r="AV82" s="4"/>
      <c r="AW82" s="4"/>
      <c r="AX82" s="4"/>
      <c r="AY82" s="4"/>
    </row>
    <row r="83" spans="1:51">
      <c r="A83" s="56">
        <v>81</v>
      </c>
      <c r="B83" s="4"/>
      <c r="C83" s="4"/>
      <c r="D83" s="28"/>
      <c r="E83" s="90">
        <f>'2MASS Binaries'!J83</f>
        <v>8.7985686579386311</v>
      </c>
      <c r="F83" s="101">
        <f>'2MASS Binaries'!K83</f>
        <v>8.449068657938632</v>
      </c>
      <c r="G83" s="116">
        <f>'2MASS Binaries'!L83</f>
        <v>8.2930686579386315</v>
      </c>
      <c r="H83" s="117">
        <v>8.5000000000000006E-2</v>
      </c>
      <c r="I83" s="101">
        <v>7.3999999999999996E-2</v>
      </c>
      <c r="J83" s="102">
        <v>6.0999999999999999E-2</v>
      </c>
      <c r="K83" s="28">
        <f t="shared" si="193"/>
        <v>1.2013880860626724E-2</v>
      </c>
      <c r="L83" s="4">
        <f t="shared" si="194"/>
        <v>7.174242424242426E-2</v>
      </c>
      <c r="M83" s="53">
        <f t="shared" si="195"/>
        <v>0.16745852941950656</v>
      </c>
      <c r="N83" s="168"/>
      <c r="O83" s="169"/>
      <c r="P83" s="170"/>
      <c r="Q83" s="53"/>
      <c r="R83" s="53"/>
      <c r="S83" s="164"/>
      <c r="T83" s="90">
        <v>8.3000000000000004E-2</v>
      </c>
      <c r="U83" s="92">
        <v>8.7999999999999995E-2</v>
      </c>
      <c r="V83" s="124">
        <f t="shared" si="202"/>
        <v>2.0000000000000018E-3</v>
      </c>
      <c r="W83" s="124">
        <f t="shared" si="203"/>
        <v>2.9999999999999888E-3</v>
      </c>
      <c r="X83" s="125">
        <f t="shared" si="206"/>
        <v>2.4999999999999953E-3</v>
      </c>
      <c r="Y83" s="90">
        <v>7.1999999999999995E-2</v>
      </c>
      <c r="Z83" s="92">
        <v>7.5999999999999998E-2</v>
      </c>
      <c r="AA83" s="124">
        <f t="shared" si="204"/>
        <v>2.0000000000000018E-3</v>
      </c>
      <c r="AB83" s="124">
        <f t="shared" si="205"/>
        <v>2.0000000000000018E-3</v>
      </c>
      <c r="AC83" s="131">
        <f t="shared" si="207"/>
        <v>2.0000000000000018E-3</v>
      </c>
      <c r="AD83" s="117">
        <v>5.8999999999999997E-2</v>
      </c>
      <c r="AE83" s="101">
        <v>6.3E-2</v>
      </c>
      <c r="AF83" s="136">
        <f t="shared" si="191"/>
        <v>2.0000000000000018E-3</v>
      </c>
      <c r="AG83" s="124">
        <f t="shared" si="192"/>
        <v>2.0000000000000018E-3</v>
      </c>
      <c r="AH83" s="131">
        <f t="shared" si="208"/>
        <v>2.0000000000000018E-3</v>
      </c>
      <c r="AI83" s="4"/>
      <c r="AJ83" s="4"/>
      <c r="AK83" s="4"/>
      <c r="AL83" s="4"/>
      <c r="AM83" s="4"/>
      <c r="AN83" s="4"/>
      <c r="AO83" s="4"/>
      <c r="AP83" s="4"/>
      <c r="AQ83" s="4"/>
      <c r="AT83" s="4"/>
      <c r="AU83" s="4"/>
      <c r="AV83" s="4"/>
      <c r="AW83" s="4"/>
      <c r="AX83" s="4"/>
      <c r="AY83" s="4"/>
    </row>
    <row r="84" spans="1:51">
      <c r="A84" s="56">
        <v>82</v>
      </c>
      <c r="B84" s="4"/>
      <c r="C84" s="4" t="s">
        <v>36</v>
      </c>
      <c r="D84" s="28" t="s">
        <v>183</v>
      </c>
      <c r="E84" s="90">
        <f>'2MASS Binaries'!J84</f>
        <v>1.0020686579386311</v>
      </c>
      <c r="F84" s="101">
        <f>'2MASS Binaries'!K84</f>
        <v>0.97806865793863107</v>
      </c>
      <c r="G84" s="116">
        <f>'2MASS Binaries'!L84</f>
        <v>0.89006865793863099</v>
      </c>
      <c r="H84" s="117">
        <v>2.9649999999999999</v>
      </c>
      <c r="I84" s="101">
        <v>3.036</v>
      </c>
      <c r="J84" s="102">
        <v>3.1850000000000001</v>
      </c>
      <c r="K84" s="28">
        <f t="shared" si="193"/>
        <v>0.112280897752022</v>
      </c>
      <c r="L84" s="4">
        <f t="shared" si="194"/>
        <v>3.0485770505806498</v>
      </c>
      <c r="M84" s="53">
        <f t="shared" si="195"/>
        <v>3.6830592072664307E-2</v>
      </c>
      <c r="N84" s="178">
        <f t="shared" ref="N84" si="251">H85/H84</f>
        <v>0.98043844856661055</v>
      </c>
      <c r="O84" s="175">
        <f t="shared" ref="O84" si="252">I85/I84</f>
        <v>0.98913043478260876</v>
      </c>
      <c r="P84" s="179">
        <f t="shared" ref="P84" si="253">J85/J84</f>
        <v>0.98932496075353216</v>
      </c>
      <c r="Q84" s="4">
        <f t="shared" ref="Q84" si="254">STDEV(N84,O84,P84)</f>
        <v>5.0754074316054117E-3</v>
      </c>
      <c r="R84" s="53">
        <f t="shared" ref="R84" si="255">Q84/(AVERAGE(N84,O84,P84))</f>
        <v>5.1459170544975738E-3</v>
      </c>
      <c r="S84" s="164" t="b">
        <f t="shared" ref="S84" si="256">IF(Q84&gt;0.05, TRUE, FALSE)</f>
        <v>0</v>
      </c>
      <c r="T84" s="90">
        <v>2.9329999999999998</v>
      </c>
      <c r="U84" s="92">
        <v>2.9980000000000002</v>
      </c>
      <c r="V84" s="124">
        <f t="shared" si="202"/>
        <v>3.2000000000000028E-2</v>
      </c>
      <c r="W84" s="124">
        <f t="shared" si="203"/>
        <v>3.3000000000000362E-2</v>
      </c>
      <c r="X84" s="125">
        <f t="shared" si="206"/>
        <v>3.2500000000000195E-2</v>
      </c>
      <c r="Y84" s="90">
        <v>3.0019999999999998</v>
      </c>
      <c r="Z84" s="92">
        <v>3.0710000000000002</v>
      </c>
      <c r="AA84" s="124">
        <f t="shared" si="204"/>
        <v>3.4000000000000252E-2</v>
      </c>
      <c r="AB84" s="124">
        <f t="shared" si="205"/>
        <v>3.5000000000000142E-2</v>
      </c>
      <c r="AC84" s="131">
        <f t="shared" si="207"/>
        <v>3.4500000000000197E-2</v>
      </c>
      <c r="AD84" s="117">
        <v>3.1459999999999999</v>
      </c>
      <c r="AE84" s="101">
        <v>3.2240000000000002</v>
      </c>
      <c r="AF84" s="136">
        <f t="shared" si="191"/>
        <v>3.9000000000000146E-2</v>
      </c>
      <c r="AG84" s="124">
        <f t="shared" si="192"/>
        <v>3.9000000000000146E-2</v>
      </c>
      <c r="AH84" s="131">
        <f t="shared" si="208"/>
        <v>3.9000000000000146E-2</v>
      </c>
      <c r="AI84" s="4"/>
      <c r="AJ84" s="4"/>
      <c r="AK84" s="4"/>
      <c r="AL84" s="4"/>
      <c r="AM84" s="4"/>
      <c r="AN84" s="4"/>
      <c r="AO84" s="4"/>
      <c r="AP84" s="4"/>
      <c r="AQ84" s="4"/>
      <c r="AT84" s="4"/>
      <c r="AU84" s="4"/>
      <c r="AV84" s="4"/>
      <c r="AW84" s="4"/>
      <c r="AX84" s="4"/>
      <c r="AY84" s="4"/>
    </row>
    <row r="85" spans="1:51">
      <c r="A85" s="56">
        <v>83</v>
      </c>
      <c r="B85" s="4"/>
      <c r="C85" s="4"/>
      <c r="D85" s="28"/>
      <c r="E85" s="90">
        <f>'2MASS Binaries'!J85</f>
        <v>1.0560686579386305</v>
      </c>
      <c r="F85" s="101">
        <f>'2MASS Binaries'!K85</f>
        <v>1.0070686579386319</v>
      </c>
      <c r="G85" s="116">
        <f>'2MASS Binaries'!L85</f>
        <v>0.91606865793863346</v>
      </c>
      <c r="H85" s="117">
        <v>2.907</v>
      </c>
      <c r="I85" s="101">
        <v>3.0030000000000001</v>
      </c>
      <c r="J85" s="102">
        <v>3.1509999999999998</v>
      </c>
      <c r="K85" s="28">
        <f t="shared" si="193"/>
        <v>0.12292002820262164</v>
      </c>
      <c r="L85" s="4">
        <f t="shared" si="194"/>
        <v>3.0064787763815572</v>
      </c>
      <c r="M85" s="53">
        <f t="shared" si="195"/>
        <v>4.0885047707059433E-2</v>
      </c>
      <c r="N85" s="168"/>
      <c r="O85" s="169"/>
      <c r="P85" s="170"/>
      <c r="Q85" s="53"/>
      <c r="R85" s="53"/>
      <c r="S85" s="164"/>
      <c r="T85" s="90">
        <v>2.8620000000000001</v>
      </c>
      <c r="U85" s="92">
        <v>2.9529999999999998</v>
      </c>
      <c r="V85" s="124">
        <f t="shared" si="202"/>
        <v>4.4999999999999929E-2</v>
      </c>
      <c r="W85" s="124">
        <f t="shared" si="203"/>
        <v>4.5999999999999819E-2</v>
      </c>
      <c r="X85" s="125">
        <f t="shared" si="206"/>
        <v>4.5499999999999874E-2</v>
      </c>
      <c r="Y85" s="90">
        <v>2.956</v>
      </c>
      <c r="Z85" s="92">
        <v>3.052</v>
      </c>
      <c r="AA85" s="124">
        <f t="shared" si="204"/>
        <v>4.7000000000000153E-2</v>
      </c>
      <c r="AB85" s="124">
        <f t="shared" si="205"/>
        <v>4.8999999999999932E-2</v>
      </c>
      <c r="AC85" s="131">
        <f t="shared" si="207"/>
        <v>4.8000000000000043E-2</v>
      </c>
      <c r="AD85" s="117">
        <v>3.0979999999999999</v>
      </c>
      <c r="AE85" s="101">
        <v>3.206</v>
      </c>
      <c r="AF85" s="136">
        <f t="shared" si="191"/>
        <v>5.2999999999999936E-2</v>
      </c>
      <c r="AG85" s="124">
        <f t="shared" si="192"/>
        <v>5.500000000000016E-2</v>
      </c>
      <c r="AH85" s="131">
        <f t="shared" si="208"/>
        <v>5.4000000000000048E-2</v>
      </c>
      <c r="AI85" s="4"/>
      <c r="AJ85" s="4"/>
      <c r="AK85" s="4"/>
      <c r="AL85" s="4"/>
      <c r="AM85" s="4"/>
      <c r="AN85" s="4"/>
      <c r="AO85" s="4"/>
      <c r="AP85" s="4"/>
      <c r="AQ85" s="4"/>
      <c r="AT85" s="4"/>
      <c r="AU85" s="4"/>
      <c r="AV85" s="4"/>
      <c r="AW85" s="4"/>
      <c r="AX85" s="4"/>
      <c r="AY85" s="4"/>
    </row>
    <row r="86" spans="1:51">
      <c r="A86" s="56">
        <v>84</v>
      </c>
      <c r="B86" s="4"/>
      <c r="C86" s="4" t="s">
        <v>168</v>
      </c>
      <c r="D86" s="28" t="s">
        <v>174</v>
      </c>
      <c r="E86" s="90">
        <f>'2MASS Binaries'!J86</f>
        <v>1.5690686579386304</v>
      </c>
      <c r="F86" s="101">
        <f>'2MASS Binaries'!K86</f>
        <v>1.5840686579386309</v>
      </c>
      <c r="G86" s="116">
        <f>'2MASS Binaries'!L86</f>
        <v>1.6130686579386309</v>
      </c>
      <c r="H86" s="117">
        <v>2.3860000000000001</v>
      </c>
      <c r="I86" s="101">
        <v>2.3849999999999998</v>
      </c>
      <c r="J86" s="102">
        <v>2.375</v>
      </c>
      <c r="K86" s="28">
        <f t="shared" si="193"/>
        <v>6.0827625302982066E-3</v>
      </c>
      <c r="L86" s="4">
        <f t="shared" si="194"/>
        <v>2.3823029721331062</v>
      </c>
      <c r="M86" s="53">
        <f t="shared" si="195"/>
        <v>2.5533119009005481E-3</v>
      </c>
      <c r="N86" s="178">
        <f t="shared" ref="N86" si="257">H87/H86</f>
        <v>0.18440905280804692</v>
      </c>
      <c r="O86" s="175">
        <f t="shared" ref="O86" si="258">I87/I86</f>
        <v>0.18364779874213838</v>
      </c>
      <c r="P86" s="179">
        <f t="shared" ref="P86" si="259">J87/J86</f>
        <v>0.17684210526315788</v>
      </c>
      <c r="Q86" s="4">
        <f t="shared" ref="Q86" si="260">STDEV(N86,O86,P86)</f>
        <v>4.1664466601210324E-3</v>
      </c>
      <c r="R86" s="53">
        <f t="shared" ref="R86" si="261">Q86/(AVERAGE(N86,O86,P86))</f>
        <v>2.2938821636696183E-2</v>
      </c>
      <c r="S86" s="164" t="b">
        <f t="shared" ref="S86" si="262">IF(Q86&gt;0.05, TRUE, FALSE)</f>
        <v>0</v>
      </c>
      <c r="T86" s="90">
        <v>2.3580000000000001</v>
      </c>
      <c r="U86" s="92">
        <v>2.4119999999999999</v>
      </c>
      <c r="V86" s="124">
        <f t="shared" si="202"/>
        <v>2.8000000000000025E-2</v>
      </c>
      <c r="W86" s="124">
        <f t="shared" si="203"/>
        <v>2.5999999999999801E-2</v>
      </c>
      <c r="X86" s="125">
        <f t="shared" si="206"/>
        <v>2.6999999999999913E-2</v>
      </c>
      <c r="Y86" s="90">
        <v>2.3559999999999999</v>
      </c>
      <c r="Z86" s="92">
        <v>2.4129999999999998</v>
      </c>
      <c r="AA86" s="124">
        <f t="shared" si="204"/>
        <v>2.8999999999999915E-2</v>
      </c>
      <c r="AB86" s="124">
        <f t="shared" si="205"/>
        <v>2.8000000000000025E-2</v>
      </c>
      <c r="AC86" s="131">
        <f t="shared" si="207"/>
        <v>2.849999999999997E-2</v>
      </c>
      <c r="AD86" s="117">
        <v>2.3450000000000002</v>
      </c>
      <c r="AE86" s="101">
        <v>2.4039999999999999</v>
      </c>
      <c r="AF86" s="136">
        <f t="shared" si="191"/>
        <v>2.9999999999999805E-2</v>
      </c>
      <c r="AG86" s="124">
        <f t="shared" si="192"/>
        <v>2.8999999999999915E-2</v>
      </c>
      <c r="AH86" s="131">
        <f t="shared" si="208"/>
        <v>2.949999999999986E-2</v>
      </c>
      <c r="AI86" s="4"/>
      <c r="AJ86" s="4"/>
      <c r="AK86" s="4"/>
      <c r="AL86" s="4"/>
      <c r="AM86" s="4"/>
      <c r="AN86" s="4"/>
      <c r="AO86" s="4"/>
      <c r="AP86" s="4"/>
      <c r="AQ86" s="4"/>
      <c r="AT86" s="4"/>
      <c r="AU86" s="4"/>
      <c r="AV86" s="4"/>
      <c r="AW86" s="4"/>
      <c r="AX86" s="4"/>
      <c r="AY86" s="4"/>
    </row>
    <row r="87" spans="1:51">
      <c r="A87" s="56">
        <v>85</v>
      </c>
      <c r="B87" s="4"/>
      <c r="C87" s="4"/>
      <c r="D87" s="28"/>
      <c r="E87" s="90">
        <f>'2MASS Binaries'!J87</f>
        <v>6.3555686579386297</v>
      </c>
      <c r="F87" s="101">
        <f>'2MASS Binaries'!K87</f>
        <v>5.7505686579386293</v>
      </c>
      <c r="G87" s="116">
        <f>'2MASS Binaries'!L87</f>
        <v>5.5235686579386281</v>
      </c>
      <c r="H87" s="117">
        <v>0.44</v>
      </c>
      <c r="I87" s="101">
        <v>0.438</v>
      </c>
      <c r="J87" s="102">
        <v>0.42</v>
      </c>
      <c r="K87" s="28">
        <f t="shared" si="193"/>
        <v>1.1015141094572214E-2</v>
      </c>
      <c r="L87" s="4">
        <f t="shared" si="194"/>
        <v>0.43263308915946369</v>
      </c>
      <c r="M87" s="53">
        <f t="shared" si="195"/>
        <v>2.546069954097329E-2</v>
      </c>
      <c r="N87" s="168"/>
      <c r="O87" s="169"/>
      <c r="P87" s="170"/>
      <c r="Q87" s="53"/>
      <c r="R87" s="53"/>
      <c r="S87" s="164"/>
      <c r="T87" s="90">
        <v>0.42799999999999999</v>
      </c>
      <c r="U87" s="92">
        <v>0.45300000000000001</v>
      </c>
      <c r="V87" s="124">
        <f t="shared" si="202"/>
        <v>1.2000000000000011E-2</v>
      </c>
      <c r="W87" s="124">
        <f t="shared" si="203"/>
        <v>1.3000000000000012E-2</v>
      </c>
      <c r="X87" s="125">
        <f t="shared" si="206"/>
        <v>1.2500000000000011E-2</v>
      </c>
      <c r="Y87" s="117">
        <v>0.42699999999999999</v>
      </c>
      <c r="Z87" s="101">
        <v>0.45</v>
      </c>
      <c r="AA87" s="124">
        <f t="shared" si="204"/>
        <v>1.100000000000001E-2</v>
      </c>
      <c r="AB87" s="124">
        <f t="shared" si="205"/>
        <v>1.2000000000000011E-2</v>
      </c>
      <c r="AC87" s="131">
        <f t="shared" si="207"/>
        <v>1.150000000000001E-2</v>
      </c>
      <c r="AD87" s="117">
        <v>0.40799999999999997</v>
      </c>
      <c r="AE87" s="101">
        <v>0.432</v>
      </c>
      <c r="AF87" s="136">
        <f t="shared" si="191"/>
        <v>1.2000000000000011E-2</v>
      </c>
      <c r="AG87" s="124">
        <f t="shared" si="192"/>
        <v>1.2000000000000011E-2</v>
      </c>
      <c r="AH87" s="131">
        <f t="shared" si="208"/>
        <v>1.2000000000000011E-2</v>
      </c>
      <c r="AI87" s="4"/>
      <c r="AJ87" s="4"/>
      <c r="AK87" s="4"/>
      <c r="AL87" s="4"/>
      <c r="AM87" s="4"/>
      <c r="AN87" s="4"/>
      <c r="AO87" s="4"/>
      <c r="AP87" s="4"/>
      <c r="AQ87" s="4"/>
      <c r="AT87" s="4"/>
      <c r="AU87" s="4"/>
      <c r="AV87" s="4"/>
      <c r="AW87" s="4"/>
      <c r="AX87" s="4"/>
      <c r="AY87" s="4"/>
    </row>
    <row r="88" spans="1:51">
      <c r="A88" s="56">
        <v>86</v>
      </c>
      <c r="B88" s="4"/>
      <c r="C88" s="4" t="s">
        <v>249</v>
      </c>
      <c r="D88" s="28" t="s">
        <v>191</v>
      </c>
      <c r="E88" s="90">
        <f>'2MASS Binaries'!J88</f>
        <v>1.2780686579386309</v>
      </c>
      <c r="F88" s="101">
        <f>'2MASS Binaries'!K88</f>
        <v>1.3250686579386306</v>
      </c>
      <c r="G88" s="116">
        <f>'2MASS Binaries'!L88</f>
        <v>1.3280686579386307</v>
      </c>
      <c r="H88" s="117">
        <v>2.669</v>
      </c>
      <c r="I88" s="101">
        <v>2.6469999999999998</v>
      </c>
      <c r="J88" s="102">
        <v>2.6669999999999998</v>
      </c>
      <c r="K88" s="28">
        <f t="shared" si="193"/>
        <v>1.2165525060596523E-2</v>
      </c>
      <c r="L88" s="4">
        <f t="shared" si="194"/>
        <v>2.6613197178959735</v>
      </c>
      <c r="M88" s="53">
        <f t="shared" si="195"/>
        <v>4.5712377129248222E-3</v>
      </c>
      <c r="N88" s="178" t="s">
        <v>51</v>
      </c>
      <c r="O88" s="175" t="s">
        <v>51</v>
      </c>
      <c r="P88" s="179">
        <f t="shared" ref="P88" si="263">J89/J88</f>
        <v>5.249343832020998E-2</v>
      </c>
      <c r="Q88" s="4" t="s">
        <v>51</v>
      </c>
      <c r="R88" s="53" t="s">
        <v>51</v>
      </c>
      <c r="S88" s="4" t="s">
        <v>51</v>
      </c>
      <c r="T88" s="90">
        <v>2.6360000000000001</v>
      </c>
      <c r="U88" s="92">
        <v>2.702</v>
      </c>
      <c r="V88" s="124">
        <f t="shared" si="202"/>
        <v>3.2999999999999918E-2</v>
      </c>
      <c r="W88" s="124">
        <f t="shared" si="203"/>
        <v>3.2999999999999918E-2</v>
      </c>
      <c r="X88" s="125">
        <f t="shared" si="206"/>
        <v>3.2999999999999918E-2</v>
      </c>
      <c r="Y88" s="117">
        <v>2.613</v>
      </c>
      <c r="Z88" s="101">
        <v>2.6829999999999998</v>
      </c>
      <c r="AA88" s="124">
        <f t="shared" si="204"/>
        <v>3.3999999999999808E-2</v>
      </c>
      <c r="AB88" s="124">
        <f t="shared" si="205"/>
        <v>3.6000000000000032E-2</v>
      </c>
      <c r="AC88" s="131">
        <f t="shared" si="207"/>
        <v>3.499999999999992E-2</v>
      </c>
      <c r="AD88" s="117">
        <v>2.6320000000000001</v>
      </c>
      <c r="AE88" s="101">
        <v>2.702</v>
      </c>
      <c r="AF88" s="136">
        <f t="shared" si="191"/>
        <v>3.4999999999999698E-2</v>
      </c>
      <c r="AG88" s="124">
        <f t="shared" si="192"/>
        <v>3.5000000000000142E-2</v>
      </c>
      <c r="AH88" s="131">
        <f t="shared" si="208"/>
        <v>3.499999999999992E-2</v>
      </c>
      <c r="AI88" s="4"/>
      <c r="AJ88" s="4"/>
      <c r="AK88" s="4"/>
      <c r="AL88" s="4"/>
      <c r="AM88" s="4"/>
      <c r="AN88" s="4"/>
      <c r="AO88" s="4"/>
      <c r="AP88" s="4"/>
      <c r="AQ88" s="4"/>
      <c r="AT88" s="4"/>
      <c r="AU88" s="4"/>
      <c r="AV88" s="4"/>
      <c r="AW88" s="4"/>
      <c r="AX88" s="4"/>
      <c r="AY88" s="4"/>
    </row>
    <row r="89" spans="1:51">
      <c r="A89" s="56">
        <v>87</v>
      </c>
      <c r="B89" s="4"/>
      <c r="C89" s="4"/>
      <c r="D89" s="28"/>
      <c r="E89" s="90"/>
      <c r="F89" s="101"/>
      <c r="G89" s="116">
        <f>'2MASS Binaries'!L89</f>
        <v>7.1040686579386305</v>
      </c>
      <c r="H89" s="117"/>
      <c r="I89" s="101"/>
      <c r="J89" s="102">
        <v>0.14000000000000001</v>
      </c>
      <c r="K89" s="28"/>
      <c r="L89" s="4">
        <f>J89</f>
        <v>0.14000000000000001</v>
      </c>
      <c r="M89" s="53"/>
      <c r="N89" s="168"/>
      <c r="O89" s="169"/>
      <c r="P89" s="170"/>
      <c r="Q89" s="53"/>
      <c r="R89" s="53"/>
      <c r="S89" s="164"/>
      <c r="T89" s="90"/>
      <c r="U89" s="92"/>
      <c r="V89" s="124"/>
      <c r="W89" s="124"/>
      <c r="X89" s="125"/>
      <c r="Y89" s="117"/>
      <c r="Z89" s="101"/>
      <c r="AA89" s="124"/>
      <c r="AB89" s="124"/>
      <c r="AC89" s="131"/>
      <c r="AD89" s="117">
        <v>0.13600000000000001</v>
      </c>
      <c r="AE89" s="101">
        <v>0.14399999999999999</v>
      </c>
      <c r="AF89" s="136">
        <f t="shared" si="191"/>
        <v>4.0000000000000036E-3</v>
      </c>
      <c r="AG89" s="124">
        <f t="shared" si="192"/>
        <v>3.9999999999999758E-3</v>
      </c>
      <c r="AH89" s="131">
        <f t="shared" si="208"/>
        <v>3.9999999999999897E-3</v>
      </c>
      <c r="AI89" s="4"/>
      <c r="AJ89" s="4"/>
      <c r="AK89" s="4"/>
      <c r="AL89" s="4"/>
      <c r="AM89" s="4"/>
      <c r="AN89" s="4"/>
      <c r="AO89" s="4"/>
      <c r="AP89" s="4"/>
      <c r="AQ89" s="4"/>
      <c r="AT89" s="4"/>
      <c r="AU89" s="4"/>
      <c r="AV89" s="4"/>
      <c r="AW89" s="4"/>
      <c r="AX89" s="4"/>
      <c r="AY89" s="4"/>
    </row>
    <row r="90" spans="1:51">
      <c r="A90" s="56">
        <v>88</v>
      </c>
      <c r="B90" s="4"/>
      <c r="C90" s="4" t="s">
        <v>263</v>
      </c>
      <c r="D90" s="28" t="s">
        <v>659</v>
      </c>
      <c r="E90" s="90">
        <f>'2MASS Binaries'!J90</f>
        <v>1.6030686579386311</v>
      </c>
      <c r="F90" s="101">
        <f>'2MASS Binaries'!K90</f>
        <v>1.5600686579386309</v>
      </c>
      <c r="G90" s="116">
        <f>'2MASS Binaries'!L90</f>
        <v>1.4610686579386307</v>
      </c>
      <c r="H90" s="117">
        <v>2.355</v>
      </c>
      <c r="I90" s="101">
        <v>2.407</v>
      </c>
      <c r="J90" s="102">
        <v>2.5190000000000001</v>
      </c>
      <c r="K90" s="28">
        <f>STDEV(H90,I90,J90)</f>
        <v>8.3809307359027932E-2</v>
      </c>
      <c r="L90" s="4">
        <f t="shared" si="194"/>
        <v>2.4217220517322238</v>
      </c>
      <c r="M90" s="53">
        <f t="shared" si="195"/>
        <v>3.4607318911383869E-2</v>
      </c>
      <c r="N90" s="178">
        <f t="shared" ref="N90" si="264">H91/H90</f>
        <v>1.6985138004246284E-2</v>
      </c>
      <c r="O90" s="175">
        <f t="shared" ref="O90" si="265">I91/I90</f>
        <v>1.6618196925633568E-2</v>
      </c>
      <c r="P90" s="179">
        <f t="shared" ref="P90" si="266">J91/J90</f>
        <v>1.5482334259626836E-2</v>
      </c>
      <c r="Q90" s="4">
        <f t="shared" ref="Q90" si="267">STDEV(N90,O90,P90)</f>
        <v>7.8350163220885301E-4</v>
      </c>
      <c r="R90" s="53">
        <f t="shared" ref="R90" si="268">Q90/(AVERAGE(N90,O90,P90))</f>
        <v>4.7885766567669401E-2</v>
      </c>
      <c r="S90" s="164" t="b">
        <f t="shared" ref="S90" si="269">IF(Q90&gt;0.05, TRUE, FALSE)</f>
        <v>0</v>
      </c>
      <c r="T90" s="117">
        <v>2.3260000000000001</v>
      </c>
      <c r="U90" s="101">
        <v>2.3820000000000001</v>
      </c>
      <c r="V90" s="124">
        <f>ABS(T90-H90)</f>
        <v>2.8999999999999915E-2</v>
      </c>
      <c r="W90" s="124">
        <f>ABS(U90-H90)</f>
        <v>2.7000000000000135E-2</v>
      </c>
      <c r="X90" s="125">
        <f t="shared" si="206"/>
        <v>2.8000000000000025E-2</v>
      </c>
      <c r="Y90" s="117">
        <v>2.379</v>
      </c>
      <c r="Z90" s="101">
        <v>2.4340000000000002</v>
      </c>
      <c r="AA90" s="124">
        <f>ABS(Y90-I90)</f>
        <v>2.8000000000000025E-2</v>
      </c>
      <c r="AB90" s="124">
        <f>ABS(Z90-I90)</f>
        <v>2.7000000000000135E-2</v>
      </c>
      <c r="AC90" s="131">
        <f t="shared" si="207"/>
        <v>2.750000000000008E-2</v>
      </c>
      <c r="AD90" s="117">
        <v>2.4889999999999999</v>
      </c>
      <c r="AE90" s="101">
        <v>2.5499999999999998</v>
      </c>
      <c r="AF90" s="136">
        <f t="shared" si="191"/>
        <v>3.0000000000000249E-2</v>
      </c>
      <c r="AG90" s="124">
        <f t="shared" si="192"/>
        <v>3.0999999999999694E-2</v>
      </c>
      <c r="AH90" s="131">
        <f t="shared" si="208"/>
        <v>3.0499999999999972E-2</v>
      </c>
      <c r="AI90" s="4"/>
      <c r="AJ90" s="4"/>
      <c r="AK90" s="4"/>
      <c r="AL90" s="4"/>
      <c r="AM90" s="4"/>
      <c r="AN90" s="4"/>
      <c r="AO90" s="4"/>
      <c r="AP90" s="4"/>
      <c r="AQ90" s="4"/>
      <c r="AT90" s="4"/>
      <c r="AU90" s="4"/>
      <c r="AV90" s="4"/>
      <c r="AW90" s="4"/>
      <c r="AX90" s="4"/>
      <c r="AY90" s="4"/>
    </row>
    <row r="91" spans="1:51">
      <c r="A91" s="56">
        <v>89</v>
      </c>
      <c r="B91" s="4"/>
      <c r="C91" s="4"/>
      <c r="D91" s="28"/>
      <c r="E91" s="90">
        <f>'2MASS Binaries'!J91</f>
        <v>9.9738756380536309</v>
      </c>
      <c r="F91" s="101">
        <f>'2MASS Binaries'!K91</f>
        <v>9.4020977669736308</v>
      </c>
      <c r="G91" s="116">
        <f>'2MASS Binaries'!L91</f>
        <v>9.0126794668836308</v>
      </c>
      <c r="H91" s="117">
        <v>0.04</v>
      </c>
      <c r="I91" s="101">
        <v>0.04</v>
      </c>
      <c r="J91" s="102">
        <v>3.9E-2</v>
      </c>
      <c r="K91" s="28">
        <f>STDEV(H91,I91,J91)</f>
        <v>5.7735026918962634E-4</v>
      </c>
      <c r="L91" s="4">
        <f t="shared" si="194"/>
        <v>3.9576271186440679E-2</v>
      </c>
      <c r="M91" s="53">
        <f t="shared" si="195"/>
        <v>1.4588293739695056E-2</v>
      </c>
      <c r="N91" s="168"/>
      <c r="O91" s="169"/>
      <c r="P91" s="170"/>
      <c r="Q91" s="53"/>
      <c r="R91" s="53"/>
      <c r="S91" s="164"/>
      <c r="T91" s="117">
        <v>3.7999999999999999E-2</v>
      </c>
      <c r="U91" s="101">
        <v>4.2999999999999997E-2</v>
      </c>
      <c r="V91" s="124">
        <f>ABS(T91-H91)</f>
        <v>2.0000000000000018E-3</v>
      </c>
      <c r="W91" s="124">
        <f>ABS(U91-H91)</f>
        <v>2.9999999999999957E-3</v>
      </c>
      <c r="X91" s="125">
        <f t="shared" si="206"/>
        <v>2.4999999999999988E-3</v>
      </c>
      <c r="Y91" s="117">
        <v>3.9E-2</v>
      </c>
      <c r="Z91" s="101">
        <v>4.2000000000000003E-2</v>
      </c>
      <c r="AA91" s="124">
        <f>ABS(Y91-I91)</f>
        <v>1.0000000000000009E-3</v>
      </c>
      <c r="AB91" s="124">
        <f>ABS(Z91-I91)</f>
        <v>2.0000000000000018E-3</v>
      </c>
      <c r="AC91" s="131">
        <f t="shared" si="207"/>
        <v>1.5000000000000013E-3</v>
      </c>
      <c r="AD91" s="117">
        <v>3.6999999999999998E-2</v>
      </c>
      <c r="AE91" s="101">
        <v>0.04</v>
      </c>
      <c r="AF91" s="136">
        <f t="shared" si="191"/>
        <v>2.0000000000000018E-3</v>
      </c>
      <c r="AG91" s="124">
        <f t="shared" si="192"/>
        <v>1.0000000000000009E-3</v>
      </c>
      <c r="AH91" s="131">
        <f t="shared" si="208"/>
        <v>1.5000000000000013E-3</v>
      </c>
      <c r="AI91" s="4"/>
      <c r="AJ91" s="4"/>
      <c r="AK91" s="4"/>
      <c r="AL91" s="4"/>
      <c r="AM91" s="4"/>
      <c r="AN91" s="4"/>
      <c r="AO91" s="4"/>
      <c r="AP91" s="4"/>
      <c r="AQ91" s="4"/>
      <c r="AT91" s="4"/>
      <c r="AU91" s="4"/>
      <c r="AV91" s="4"/>
      <c r="AW91" s="4"/>
      <c r="AX91" s="4"/>
      <c r="AY91" s="4"/>
    </row>
    <row r="92" spans="1:51">
      <c r="A92" s="56">
        <v>90</v>
      </c>
      <c r="B92" s="4"/>
      <c r="C92" s="4" t="s">
        <v>264</v>
      </c>
      <c r="D92" s="28" t="s">
        <v>659</v>
      </c>
      <c r="E92" s="90">
        <f>'2MASS Binaries'!J92</f>
        <v>1.6280686579386305</v>
      </c>
      <c r="F92" s="101">
        <f>'2MASS Binaries'!K92</f>
        <v>1.6690686579386309</v>
      </c>
      <c r="G92" s="116">
        <f>'2MASS Binaries'!L92</f>
        <v>1.6010686579386304</v>
      </c>
      <c r="H92" s="117">
        <v>2.331</v>
      </c>
      <c r="I92" s="101">
        <v>2.298</v>
      </c>
      <c r="J92" s="102">
        <v>2.387</v>
      </c>
      <c r="K92" s="28">
        <f t="shared" ref="K92" si="270">STDEV(H92,I92,J92)</f>
        <v>4.4992591982829046E-2</v>
      </c>
      <c r="L92" s="4">
        <f t="shared" si="194"/>
        <v>2.3442243080368326</v>
      </c>
      <c r="M92" s="53">
        <f t="shared" si="195"/>
        <v>1.9192955140247662E-2</v>
      </c>
      <c r="N92" s="178" t="s">
        <v>51</v>
      </c>
      <c r="O92" s="175" t="s">
        <v>51</v>
      </c>
      <c r="P92" s="179">
        <f t="shared" ref="P92" si="271">J93/J92</f>
        <v>3.0582320904901549E-2</v>
      </c>
      <c r="Q92" s="4" t="s">
        <v>51</v>
      </c>
      <c r="R92" s="53" t="s">
        <v>51</v>
      </c>
      <c r="S92" s="4" t="s">
        <v>51</v>
      </c>
      <c r="T92" s="117">
        <v>2.2999999999999998</v>
      </c>
      <c r="U92" s="101">
        <v>2.359</v>
      </c>
      <c r="V92" s="124">
        <f>ABS(T92-H92)</f>
        <v>3.1000000000000139E-2</v>
      </c>
      <c r="W92" s="124">
        <f>ABS(U92-H92)</f>
        <v>2.8000000000000025E-2</v>
      </c>
      <c r="X92" s="125">
        <f t="shared" si="206"/>
        <v>2.9500000000000082E-2</v>
      </c>
      <c r="Y92" s="117">
        <v>2.2589999999999999</v>
      </c>
      <c r="Z92" s="101">
        <v>2.331</v>
      </c>
      <c r="AA92" s="124">
        <f>ABS(Y92-I92)</f>
        <v>3.9000000000000146E-2</v>
      </c>
      <c r="AB92" s="124">
        <f>ABS(Z92-I92)</f>
        <v>3.2999999999999918E-2</v>
      </c>
      <c r="AC92" s="131">
        <f t="shared" si="207"/>
        <v>3.6000000000000032E-2</v>
      </c>
      <c r="AD92" s="117">
        <v>2.3570000000000002</v>
      </c>
      <c r="AE92" s="101">
        <v>2.415</v>
      </c>
      <c r="AF92" s="136">
        <f t="shared" si="191"/>
        <v>2.9999999999999805E-2</v>
      </c>
      <c r="AG92" s="124">
        <f t="shared" si="192"/>
        <v>2.8000000000000025E-2</v>
      </c>
      <c r="AH92" s="131">
        <f t="shared" si="208"/>
        <v>2.8999999999999915E-2</v>
      </c>
      <c r="AI92" s="4"/>
      <c r="AJ92" s="4"/>
      <c r="AK92" s="4"/>
      <c r="AL92" s="4"/>
      <c r="AM92" s="4"/>
      <c r="AN92" s="4"/>
      <c r="AO92" s="4"/>
      <c r="AP92" s="4"/>
      <c r="AQ92" s="4"/>
      <c r="AT92" s="4"/>
      <c r="AU92" s="4"/>
      <c r="AV92" s="4"/>
      <c r="AW92" s="4"/>
      <c r="AX92" s="4"/>
      <c r="AY92" s="4"/>
    </row>
    <row r="93" spans="1:51">
      <c r="A93" s="56">
        <v>91</v>
      </c>
      <c r="B93" s="4"/>
      <c r="C93" s="4"/>
      <c r="D93" s="28"/>
      <c r="E93" s="90"/>
      <c r="F93" s="101"/>
      <c r="G93" s="116">
        <f>'2MASS Binaries'!L93</f>
        <v>8.0518201208436295</v>
      </c>
      <c r="H93" s="117"/>
      <c r="I93" s="101"/>
      <c r="J93" s="102">
        <v>7.2999999999999995E-2</v>
      </c>
      <c r="K93" s="28"/>
      <c r="L93" s="4">
        <f>J93</f>
        <v>7.2999999999999995E-2</v>
      </c>
      <c r="M93" s="53"/>
      <c r="N93" s="168"/>
      <c r="O93" s="169"/>
      <c r="P93" s="170"/>
      <c r="Q93" s="53"/>
      <c r="R93" s="53"/>
      <c r="S93" s="164"/>
      <c r="T93" s="117"/>
      <c r="U93" s="101"/>
      <c r="V93" s="124"/>
      <c r="W93" s="124"/>
      <c r="X93" s="125"/>
      <c r="Y93" s="117"/>
      <c r="Z93" s="101"/>
      <c r="AA93" s="124"/>
      <c r="AB93" s="124"/>
      <c r="AC93" s="131"/>
      <c r="AD93" s="117">
        <v>7.0999999999999994E-2</v>
      </c>
      <c r="AE93" s="101">
        <v>7.5999999999999998E-2</v>
      </c>
      <c r="AF93" s="136">
        <f t="shared" si="191"/>
        <v>2.0000000000000018E-3</v>
      </c>
      <c r="AG93" s="124">
        <f t="shared" si="192"/>
        <v>3.0000000000000027E-3</v>
      </c>
      <c r="AH93" s="131">
        <f t="shared" si="208"/>
        <v>2.5000000000000022E-3</v>
      </c>
      <c r="AI93" s="4"/>
      <c r="AJ93" s="4"/>
      <c r="AK93" s="4"/>
      <c r="AL93" s="4"/>
      <c r="AM93" s="4"/>
      <c r="AN93" s="4"/>
      <c r="AO93" s="4"/>
      <c r="AP93" s="4"/>
      <c r="AQ93" s="4"/>
      <c r="AT93" s="4"/>
      <c r="AU93" s="4"/>
      <c r="AV93" s="4"/>
      <c r="AW93" s="4"/>
      <c r="AX93" s="4"/>
      <c r="AY93" s="4"/>
    </row>
    <row r="94" spans="1:51">
      <c r="A94" s="56">
        <v>92</v>
      </c>
      <c r="B94" s="4"/>
      <c r="C94" s="165" t="s">
        <v>169</v>
      </c>
      <c r="D94" s="28" t="s">
        <v>186</v>
      </c>
      <c r="E94" s="90">
        <f>'2MASS Binaries'!J94</f>
        <v>0.51606865793863044</v>
      </c>
      <c r="F94" s="92">
        <f>'2MASS Binaries'!K94</f>
        <v>-0.16093134206136916</v>
      </c>
      <c r="G94" s="102">
        <f>'2MASS Binaries'!L94</f>
        <v>-0.3389313420613691</v>
      </c>
      <c r="H94" s="90">
        <v>3.5830000000000002</v>
      </c>
      <c r="I94" s="92">
        <v>4.7350000000000003</v>
      </c>
      <c r="J94" s="102">
        <v>5.15</v>
      </c>
      <c r="K94" s="165">
        <f t="shared" ref="K94:K108" si="272">STDEV(H94,I94,J94)</f>
        <v>0.81187211636644641</v>
      </c>
      <c r="L94" s="4">
        <f t="shared" si="194"/>
        <v>4.5154580567525961</v>
      </c>
      <c r="M94" s="162">
        <f t="shared" si="195"/>
        <v>0.17979839612336571</v>
      </c>
      <c r="N94" s="178">
        <f t="shared" ref="N94" si="273">H95/H94</f>
        <v>0.79067820262349986</v>
      </c>
      <c r="O94" s="175">
        <f t="shared" ref="O94" si="274">I95/I94</f>
        <v>0.82470960929250259</v>
      </c>
      <c r="P94" s="179">
        <f t="shared" ref="P94" si="275">J95/J94</f>
        <v>0.88757281553398049</v>
      </c>
      <c r="Q94" s="4">
        <f t="shared" ref="Q94" si="276">STDEV(N94,O94,P94)</f>
        <v>4.9157036373072623E-2</v>
      </c>
      <c r="R94" s="53">
        <f t="shared" ref="R94" si="277">Q94/(AVERAGE(N94,O94,P94))</f>
        <v>5.8918669155999262E-2</v>
      </c>
      <c r="S94" s="164" t="b">
        <f t="shared" ref="S94" si="278">IF(Q94&gt;0.05, TRUE, FALSE)</f>
        <v>0</v>
      </c>
      <c r="T94" s="117">
        <v>3.536</v>
      </c>
      <c r="U94" s="101">
        <v>3.6309999999999998</v>
      </c>
      <c r="V94" s="124">
        <f t="shared" ref="V94:V108" si="279">ABS(T94-H94)</f>
        <v>4.7000000000000153E-2</v>
      </c>
      <c r="W94" s="124">
        <f t="shared" ref="W94:W108" si="280">ABS(U94-H94)</f>
        <v>4.7999999999999599E-2</v>
      </c>
      <c r="X94" s="125">
        <f t="shared" si="206"/>
        <v>4.7499999999999876E-2</v>
      </c>
      <c r="Y94" s="117">
        <v>4.6909999999999998</v>
      </c>
      <c r="Z94" s="101">
        <v>4.7789999999999999</v>
      </c>
      <c r="AA94" s="124">
        <f t="shared" ref="AA94:AA108" si="281">ABS(Y94-I94)</f>
        <v>4.4000000000000483E-2</v>
      </c>
      <c r="AB94" s="124">
        <f t="shared" ref="AB94:AB108" si="282">ABS(Z94-I94)</f>
        <v>4.3999999999999595E-2</v>
      </c>
      <c r="AC94" s="131">
        <f t="shared" si="207"/>
        <v>4.4000000000000039E-2</v>
      </c>
      <c r="AD94" s="117">
        <v>5.1040000000000001</v>
      </c>
      <c r="AE94" s="101">
        <v>5.1959999999999997</v>
      </c>
      <c r="AF94" s="136">
        <f t="shared" si="191"/>
        <v>4.6000000000000263E-2</v>
      </c>
      <c r="AG94" s="124">
        <f t="shared" si="192"/>
        <v>4.5999999999999375E-2</v>
      </c>
      <c r="AH94" s="131">
        <f t="shared" si="208"/>
        <v>4.5999999999999819E-2</v>
      </c>
      <c r="AI94" s="4" t="s">
        <v>681</v>
      </c>
      <c r="AJ94" s="4"/>
      <c r="AK94" s="4"/>
      <c r="AL94" s="4"/>
      <c r="AM94" s="4"/>
      <c r="AN94" s="4"/>
      <c r="AO94" s="4"/>
      <c r="AP94" s="4"/>
      <c r="AQ94" s="4"/>
      <c r="AT94" s="4"/>
      <c r="AU94" s="4"/>
      <c r="AV94" s="4"/>
      <c r="AW94" s="4"/>
      <c r="AX94" s="4"/>
      <c r="AY94" s="4"/>
    </row>
    <row r="95" spans="1:51">
      <c r="A95" s="56">
        <v>93</v>
      </c>
      <c r="B95" s="4"/>
      <c r="C95" s="4"/>
      <c r="D95" s="28"/>
      <c r="E95" s="90">
        <f>'2MASS Binaries'!J95</f>
        <v>1.1263815187574018</v>
      </c>
      <c r="F95" s="92">
        <f>'2MASS Binaries'!K95</f>
        <v>0.37574407041171298</v>
      </c>
      <c r="G95" s="102">
        <f>'2MASS Binaries'!L95</f>
        <v>4.832355790298859E-2</v>
      </c>
      <c r="H95" s="90">
        <v>2.8330000000000002</v>
      </c>
      <c r="I95" s="92">
        <v>3.9049999999999998</v>
      </c>
      <c r="J95" s="102">
        <v>4.5709999999999997</v>
      </c>
      <c r="K95" s="165">
        <f t="shared" si="272"/>
        <v>0.876867910995342</v>
      </c>
      <c r="L95" s="4">
        <f t="shared" si="194"/>
        <v>4.2895741790781807</v>
      </c>
      <c r="M95" s="162">
        <f t="shared" si="195"/>
        <v>0.20441840480860476</v>
      </c>
      <c r="N95" s="168"/>
      <c r="O95" s="169"/>
      <c r="P95" s="170"/>
      <c r="Q95" s="53"/>
      <c r="R95" s="53"/>
      <c r="S95" s="164"/>
      <c r="T95" s="117">
        <v>2.5550000000000002</v>
      </c>
      <c r="U95" s="101">
        <v>3.113</v>
      </c>
      <c r="V95" s="124">
        <f t="shared" si="279"/>
        <v>0.27800000000000002</v>
      </c>
      <c r="W95" s="124">
        <f t="shared" si="280"/>
        <v>0.2799999999999998</v>
      </c>
      <c r="X95" s="125">
        <f t="shared" si="206"/>
        <v>0.27899999999999991</v>
      </c>
      <c r="Y95" s="117">
        <v>3.6970000000000001</v>
      </c>
      <c r="Z95" s="101">
        <v>4.1070000000000002</v>
      </c>
      <c r="AA95" s="124">
        <f t="shared" si="281"/>
        <v>0.20799999999999974</v>
      </c>
      <c r="AB95" s="124">
        <f t="shared" si="282"/>
        <v>0.2020000000000004</v>
      </c>
      <c r="AC95" s="131">
        <f t="shared" si="207"/>
        <v>0.20500000000000007</v>
      </c>
      <c r="AD95" s="117">
        <v>4.4690000000000003</v>
      </c>
      <c r="AE95" s="101">
        <v>4.67</v>
      </c>
      <c r="AF95" s="136">
        <f t="shared" si="191"/>
        <v>0.10199999999999942</v>
      </c>
      <c r="AG95" s="124">
        <f t="shared" si="192"/>
        <v>9.9000000000000199E-2</v>
      </c>
      <c r="AH95" s="131">
        <f t="shared" si="208"/>
        <v>0.10049999999999981</v>
      </c>
      <c r="AI95" s="4" t="s">
        <v>682</v>
      </c>
      <c r="AJ95" s="4"/>
      <c r="AK95" s="4"/>
      <c r="AL95" s="4"/>
      <c r="AM95" s="4"/>
      <c r="AN95" s="4"/>
      <c r="AO95" s="4"/>
      <c r="AP95" s="4"/>
      <c r="AQ95" s="4"/>
      <c r="AT95" s="4"/>
      <c r="AU95" s="4"/>
      <c r="AV95" s="4"/>
      <c r="AW95" s="4"/>
      <c r="AX95" s="4"/>
      <c r="AY95" s="4"/>
    </row>
    <row r="96" spans="1:51">
      <c r="A96" s="56">
        <v>94</v>
      </c>
      <c r="B96" s="4"/>
      <c r="C96" s="101" t="s">
        <v>220</v>
      </c>
      <c r="D96" s="101" t="s">
        <v>188</v>
      </c>
      <c r="E96" s="117">
        <f>'2MASS Binaries'!J96</f>
        <v>1.9470686579386305</v>
      </c>
      <c r="F96" s="101">
        <f>'2MASS Binaries'!K96</f>
        <v>1.9000686579386308</v>
      </c>
      <c r="G96" s="116">
        <f>'2MASS Binaries'!L96</f>
        <v>1.8990686579386304</v>
      </c>
      <c r="H96" s="101">
        <v>1.8680000000000001</v>
      </c>
      <c r="I96" s="101">
        <v>1.881</v>
      </c>
      <c r="J96" s="101">
        <v>1.8140000000000001</v>
      </c>
      <c r="K96" s="117">
        <f t="shared" si="272"/>
        <v>3.5529330606322046E-2</v>
      </c>
      <c r="L96" s="101">
        <f t="shared" si="194"/>
        <v>1.8598228949103093</v>
      </c>
      <c r="M96" s="170">
        <f t="shared" si="195"/>
        <v>1.9103609652055317E-2</v>
      </c>
      <c r="N96" s="175">
        <f t="shared" ref="N96" si="283">H97/H96</f>
        <v>1.177730192719486E-2</v>
      </c>
      <c r="O96" s="175">
        <f t="shared" ref="O96" si="284">I97/I96</f>
        <v>1.1695906432748537E-2</v>
      </c>
      <c r="P96" s="179">
        <f t="shared" ref="P96" si="285">J97/J96</f>
        <v>1.1025358324145534E-2</v>
      </c>
      <c r="Q96" s="4">
        <f t="shared" ref="Q96" si="286">STDEV(N96,O96,P96)</f>
        <v>4.1264980605715143E-4</v>
      </c>
      <c r="R96" s="53">
        <f t="shared" ref="R96" si="287">Q96/(AVERAGE(N96,O96,P96))</f>
        <v>3.5884082649219405E-2</v>
      </c>
      <c r="S96" s="164" t="b">
        <f t="shared" ref="S96" si="288">IF(Q96&gt;0.05, TRUE, FALSE)</f>
        <v>0</v>
      </c>
      <c r="T96" s="117">
        <v>1.831</v>
      </c>
      <c r="U96" s="101">
        <v>1.903</v>
      </c>
      <c r="V96" s="124">
        <f t="shared" si="279"/>
        <v>3.7000000000000144E-2</v>
      </c>
      <c r="W96" s="124">
        <f t="shared" si="280"/>
        <v>3.499999999999992E-2</v>
      </c>
      <c r="X96" s="125">
        <f t="shared" si="206"/>
        <v>3.6000000000000032E-2</v>
      </c>
      <c r="Y96" s="117">
        <v>1.8109999999999999</v>
      </c>
      <c r="Z96" s="101">
        <v>1.9239999999999999</v>
      </c>
      <c r="AA96" s="124">
        <f t="shared" si="281"/>
        <v>7.0000000000000062E-2</v>
      </c>
      <c r="AB96" s="124">
        <f t="shared" si="282"/>
        <v>4.2999999999999927E-2</v>
      </c>
      <c r="AC96" s="131">
        <f t="shared" si="207"/>
        <v>5.6499999999999995E-2</v>
      </c>
      <c r="AD96" s="117">
        <v>1.7829999999999999</v>
      </c>
      <c r="AE96" s="101">
        <v>1.9019999999999999</v>
      </c>
      <c r="AF96" s="136">
        <f t="shared" si="191"/>
        <v>3.1000000000000139E-2</v>
      </c>
      <c r="AG96" s="124">
        <f t="shared" si="192"/>
        <v>8.7999999999999856E-2</v>
      </c>
      <c r="AH96" s="131">
        <f t="shared" si="208"/>
        <v>5.9499999999999997E-2</v>
      </c>
      <c r="AI96" s="4"/>
      <c r="AJ96" s="4"/>
      <c r="AK96" s="4"/>
      <c r="AL96" s="4"/>
      <c r="AM96" s="4"/>
      <c r="AN96" s="4"/>
      <c r="AO96" s="4"/>
      <c r="AP96" s="4"/>
      <c r="AQ96" s="4"/>
      <c r="AT96" s="4"/>
      <c r="AU96" s="4"/>
      <c r="AV96" s="4"/>
      <c r="AW96" s="4"/>
      <c r="AX96" s="4"/>
      <c r="AY96" s="4"/>
    </row>
    <row r="97" spans="1:51">
      <c r="A97" s="56">
        <v>95</v>
      </c>
      <c r="B97" s="4"/>
      <c r="C97" s="101"/>
      <c r="D97" s="101"/>
      <c r="E97" s="117">
        <f>'2MASS Binaries'!J97</f>
        <v>11.085974328398631</v>
      </c>
      <c r="F97" s="101">
        <f>'2MASS Binaries'!K97</f>
        <v>10.537779221055297</v>
      </c>
      <c r="G97" s="116">
        <f>'2MASS Binaries'!L97</f>
        <v>10.665417213565298</v>
      </c>
      <c r="H97" s="101">
        <v>2.1999999999999999E-2</v>
      </c>
      <c r="I97" s="101">
        <v>2.1999999999999999E-2</v>
      </c>
      <c r="J97" s="101">
        <v>0.02</v>
      </c>
      <c r="K97" s="117">
        <f t="shared" si="272"/>
        <v>1.1547005383792505E-3</v>
      </c>
      <c r="L97" s="101">
        <f>(H97*1/X97^2+I97*1/AC97^2+J97*1/X97^2)/(1/X97^2 + 1/AC97^2 + 1/X97^2)</f>
        <v>2.1333333333333333E-2</v>
      </c>
      <c r="M97" s="170">
        <f t="shared" si="195"/>
        <v>5.4126587736527371E-2</v>
      </c>
      <c r="N97" s="169"/>
      <c r="O97" s="169"/>
      <c r="P97" s="170"/>
      <c r="Q97" s="53"/>
      <c r="R97" s="53"/>
      <c r="S97" s="164"/>
      <c r="T97" s="117">
        <v>0.02</v>
      </c>
      <c r="U97" s="101">
        <v>2.4E-2</v>
      </c>
      <c r="V97" s="124">
        <f t="shared" si="279"/>
        <v>1.9999999999999983E-3</v>
      </c>
      <c r="W97" s="124">
        <f t="shared" si="280"/>
        <v>2.0000000000000018E-3</v>
      </c>
      <c r="X97" s="125">
        <f t="shared" si="206"/>
        <v>2E-3</v>
      </c>
      <c r="Y97" s="117">
        <v>0.02</v>
      </c>
      <c r="Z97" s="101">
        <v>2.4E-2</v>
      </c>
      <c r="AA97" s="124">
        <f t="shared" si="281"/>
        <v>1.9999999999999983E-3</v>
      </c>
      <c r="AB97" s="124">
        <f t="shared" si="282"/>
        <v>2.0000000000000018E-3</v>
      </c>
      <c r="AC97" s="131">
        <f t="shared" si="207"/>
        <v>2E-3</v>
      </c>
      <c r="AD97" s="90">
        <v>0.02</v>
      </c>
      <c r="AE97" s="92">
        <v>0.02</v>
      </c>
      <c r="AF97" s="136">
        <f t="shared" si="191"/>
        <v>0</v>
      </c>
      <c r="AG97" s="124">
        <f t="shared" si="192"/>
        <v>0</v>
      </c>
      <c r="AH97" s="131">
        <f t="shared" si="208"/>
        <v>0</v>
      </c>
      <c r="AI97" s="4"/>
      <c r="AJ97" s="4"/>
      <c r="AK97" s="4"/>
      <c r="AL97" s="4"/>
      <c r="AM97" s="4"/>
      <c r="AN97" s="4"/>
      <c r="AO97" s="4"/>
      <c r="AP97" s="4"/>
      <c r="AQ97" s="4"/>
      <c r="AT97" s="4"/>
      <c r="AU97" s="4"/>
      <c r="AV97" s="4"/>
      <c r="AW97" s="4"/>
      <c r="AX97" s="4"/>
      <c r="AY97" s="4"/>
    </row>
    <row r="98" spans="1:51">
      <c r="A98" s="56">
        <v>96</v>
      </c>
      <c r="B98" s="4"/>
      <c r="C98" s="4" t="s">
        <v>219</v>
      </c>
      <c r="D98" s="28" t="s">
        <v>188</v>
      </c>
      <c r="E98" s="117">
        <f>'2MASS Binaries'!J98</f>
        <v>1.9470686579386305</v>
      </c>
      <c r="F98" s="101">
        <f>'2MASS Binaries'!K98</f>
        <v>1.9000686579386308</v>
      </c>
      <c r="G98" s="116">
        <f>'2MASS Binaries'!L98</f>
        <v>1.8990686579386304</v>
      </c>
      <c r="H98" s="117">
        <v>1.8680000000000001</v>
      </c>
      <c r="I98" s="101">
        <v>1.881</v>
      </c>
      <c r="J98" s="102">
        <v>1.8140000000000001</v>
      </c>
      <c r="K98" s="28">
        <f t="shared" si="272"/>
        <v>3.5529330606322046E-2</v>
      </c>
      <c r="L98" s="4">
        <f t="shared" si="194"/>
        <v>1.8598228949103093</v>
      </c>
      <c r="M98" s="53">
        <f t="shared" si="195"/>
        <v>1.9103609652055317E-2</v>
      </c>
      <c r="N98" s="178">
        <f t="shared" ref="N98" si="289">H99/H98</f>
        <v>2.8372591006423982E-2</v>
      </c>
      <c r="O98" s="175">
        <f t="shared" ref="O98" si="290">I99/I98</f>
        <v>2.5518341307814992E-2</v>
      </c>
      <c r="P98" s="179">
        <f t="shared" ref="P98" si="291">J99/J98</f>
        <v>2.0948180815876516E-2</v>
      </c>
      <c r="Q98" s="4">
        <f t="shared" ref="Q98" si="292">STDEV(N98,O98,P98)</f>
        <v>3.7451073625373748E-3</v>
      </c>
      <c r="R98" s="53">
        <f t="shared" ref="R98" si="293">Q98/(AVERAGE(N98,O98,P98))</f>
        <v>0.15012633925896962</v>
      </c>
      <c r="S98" s="164" t="b">
        <f t="shared" ref="S98" si="294">IF(Q98&gt;0.05, TRUE, FALSE)</f>
        <v>0</v>
      </c>
      <c r="T98" s="117">
        <v>1.831</v>
      </c>
      <c r="U98" s="101">
        <v>1.903</v>
      </c>
      <c r="V98" s="124">
        <f t="shared" si="279"/>
        <v>3.7000000000000144E-2</v>
      </c>
      <c r="W98" s="124">
        <f t="shared" si="280"/>
        <v>3.499999999999992E-2</v>
      </c>
      <c r="X98" s="125">
        <f t="shared" si="206"/>
        <v>3.6000000000000032E-2</v>
      </c>
      <c r="Y98" s="117">
        <v>1.8109999999999999</v>
      </c>
      <c r="Z98" s="101">
        <v>1.9239999999999999</v>
      </c>
      <c r="AA98" s="124">
        <f t="shared" si="281"/>
        <v>7.0000000000000062E-2</v>
      </c>
      <c r="AB98" s="124">
        <f t="shared" si="282"/>
        <v>4.2999999999999927E-2</v>
      </c>
      <c r="AC98" s="131">
        <f t="shared" si="207"/>
        <v>5.6499999999999995E-2</v>
      </c>
      <c r="AD98" s="90">
        <v>1.7829999999999999</v>
      </c>
      <c r="AE98" s="92">
        <v>1.9019999999999999</v>
      </c>
      <c r="AF98" s="136">
        <f t="shared" ref="AF98:AF109" si="295">ABS(AD98-J98)</f>
        <v>3.1000000000000139E-2</v>
      </c>
      <c r="AG98" s="124">
        <f t="shared" ref="AG98:AG109" si="296">ABS(AE98-J98)</f>
        <v>8.7999999999999856E-2</v>
      </c>
      <c r="AH98" s="131">
        <f t="shared" si="208"/>
        <v>5.9499999999999997E-2</v>
      </c>
      <c r="AI98" s="4"/>
      <c r="AJ98" s="4"/>
      <c r="AK98" s="4"/>
      <c r="AL98" s="4"/>
      <c r="AM98" s="4"/>
      <c r="AN98" s="4"/>
      <c r="AO98" s="4"/>
      <c r="AP98" s="4"/>
      <c r="AQ98" s="4"/>
      <c r="AT98" s="4"/>
      <c r="AU98" s="4"/>
      <c r="AV98" s="4"/>
      <c r="AW98" s="4"/>
      <c r="AX98" s="4"/>
      <c r="AY98" s="4"/>
    </row>
    <row r="99" spans="1:51">
      <c r="A99" s="56">
        <v>97</v>
      </c>
      <c r="B99" s="4"/>
      <c r="C99" s="4"/>
      <c r="D99" s="28"/>
      <c r="E99" s="117">
        <f>'2MASS Binaries'!J99</f>
        <v>9.5404019912719633</v>
      </c>
      <c r="F99" s="101">
        <f>'2MASS Binaries'!K99</f>
        <v>9.1227353246052996</v>
      </c>
      <c r="G99" s="116">
        <f>'2MASS Binaries'!L99</f>
        <v>9.0177353246052991</v>
      </c>
      <c r="H99" s="117">
        <v>5.2999999999999999E-2</v>
      </c>
      <c r="I99" s="101">
        <v>4.8000000000000001E-2</v>
      </c>
      <c r="J99" s="102">
        <v>3.7999999999999999E-2</v>
      </c>
      <c r="K99" s="28">
        <f t="shared" si="272"/>
        <v>7.6376261582596534E-3</v>
      </c>
      <c r="L99" s="4">
        <f t="shared" si="194"/>
        <v>4.6333333333333324E-2</v>
      </c>
      <c r="M99" s="53">
        <f t="shared" si="195"/>
        <v>0.16484085233653931</v>
      </c>
      <c r="N99" s="168"/>
      <c r="O99" s="169"/>
      <c r="P99" s="170"/>
      <c r="Q99" s="53"/>
      <c r="R99" s="53"/>
      <c r="S99" s="164"/>
      <c r="T99" s="117">
        <v>5.0999999999999997E-2</v>
      </c>
      <c r="U99" s="101">
        <v>5.3999999999999999E-2</v>
      </c>
      <c r="V99" s="124">
        <f t="shared" si="279"/>
        <v>2.0000000000000018E-3</v>
      </c>
      <c r="W99" s="124">
        <f t="shared" si="280"/>
        <v>1.0000000000000009E-3</v>
      </c>
      <c r="X99" s="125">
        <f t="shared" si="206"/>
        <v>1.5000000000000013E-3</v>
      </c>
      <c r="Y99" s="117">
        <v>4.5999999999999999E-2</v>
      </c>
      <c r="Z99" s="101">
        <v>4.9000000000000002E-2</v>
      </c>
      <c r="AA99" s="124">
        <f t="shared" si="281"/>
        <v>2.0000000000000018E-3</v>
      </c>
      <c r="AB99" s="124">
        <f t="shared" si="282"/>
        <v>1.0000000000000009E-3</v>
      </c>
      <c r="AC99" s="131">
        <f t="shared" si="207"/>
        <v>1.5000000000000013E-3</v>
      </c>
      <c r="AD99" s="90">
        <v>3.6999999999999998E-2</v>
      </c>
      <c r="AE99" s="92">
        <v>0.04</v>
      </c>
      <c r="AF99" s="136">
        <f t="shared" si="295"/>
        <v>1.0000000000000009E-3</v>
      </c>
      <c r="AG99" s="124">
        <f t="shared" si="296"/>
        <v>2.0000000000000018E-3</v>
      </c>
      <c r="AH99" s="131">
        <f t="shared" si="208"/>
        <v>1.5000000000000013E-3</v>
      </c>
      <c r="AI99" s="4"/>
      <c r="AJ99" s="4"/>
      <c r="AK99" s="4"/>
      <c r="AL99" s="4"/>
      <c r="AM99" s="4"/>
      <c r="AN99" s="4"/>
      <c r="AO99" s="4"/>
      <c r="AP99" s="4"/>
      <c r="AQ99" s="4"/>
      <c r="AT99" s="4"/>
      <c r="AU99" s="4"/>
      <c r="AV99" s="4"/>
      <c r="AW99" s="4"/>
      <c r="AX99" s="4"/>
      <c r="AY99" s="4"/>
    </row>
    <row r="100" spans="1:51">
      <c r="A100" s="56">
        <v>98</v>
      </c>
      <c r="B100" s="4"/>
      <c r="C100" s="4" t="s">
        <v>288</v>
      </c>
      <c r="D100" s="28" t="s">
        <v>188</v>
      </c>
      <c r="E100" s="117">
        <f>'2MASS Binaries'!J100</f>
        <v>1.9470686579386305</v>
      </c>
      <c r="F100" s="101">
        <f>'2MASS Binaries'!K100</f>
        <v>1.9000686579386308</v>
      </c>
      <c r="G100" s="116">
        <f>'2MASS Binaries'!L100</f>
        <v>1.8990686579386304</v>
      </c>
      <c r="H100" s="117">
        <v>1.8680000000000001</v>
      </c>
      <c r="I100" s="101">
        <v>1.881</v>
      </c>
      <c r="J100" s="102">
        <v>1.8140000000000001</v>
      </c>
      <c r="K100" s="28">
        <f t="shared" si="272"/>
        <v>3.5529330606322046E-2</v>
      </c>
      <c r="L100" s="4">
        <f t="shared" si="194"/>
        <v>1.8598228949103093</v>
      </c>
      <c r="M100" s="53">
        <f t="shared" si="195"/>
        <v>1.9103609652055317E-2</v>
      </c>
      <c r="N100" s="178">
        <f t="shared" ref="N100" si="297">H101/H100</f>
        <v>0.19218415417558884</v>
      </c>
      <c r="O100" s="175">
        <f t="shared" ref="O100" si="298">I101/I100</f>
        <v>0.20042530568846359</v>
      </c>
      <c r="P100" s="179">
        <f t="shared" ref="P100" si="299">J101/J100</f>
        <v>0.1918412348401323</v>
      </c>
      <c r="Q100" s="4">
        <f t="shared" ref="Q100" si="300">STDEV(N100,O100,P100)</f>
        <v>4.8600487696105615E-3</v>
      </c>
      <c r="R100" s="53">
        <f t="shared" ref="R100" si="301">Q100/(AVERAGE(N100,O100,P100))</f>
        <v>2.4946751609579855E-2</v>
      </c>
      <c r="S100" s="164" t="b">
        <f t="shared" ref="S100" si="302">IF(Q100&gt;0.05, TRUE, FALSE)</f>
        <v>0</v>
      </c>
      <c r="T100" s="117">
        <v>1.831</v>
      </c>
      <c r="U100" s="101">
        <v>1.903</v>
      </c>
      <c r="V100" s="124">
        <f t="shared" si="279"/>
        <v>3.7000000000000144E-2</v>
      </c>
      <c r="W100" s="124">
        <f t="shared" si="280"/>
        <v>3.499999999999992E-2</v>
      </c>
      <c r="X100" s="125">
        <f t="shared" si="206"/>
        <v>3.6000000000000032E-2</v>
      </c>
      <c r="Y100" s="117">
        <v>1.8109999999999999</v>
      </c>
      <c r="Z100" s="101">
        <v>1.9239999999999999</v>
      </c>
      <c r="AA100" s="124">
        <f t="shared" si="281"/>
        <v>7.0000000000000062E-2</v>
      </c>
      <c r="AB100" s="124">
        <f t="shared" si="282"/>
        <v>4.2999999999999927E-2</v>
      </c>
      <c r="AC100" s="131">
        <f t="shared" si="207"/>
        <v>5.6499999999999995E-2</v>
      </c>
      <c r="AD100" s="90">
        <v>1.7829999999999999</v>
      </c>
      <c r="AE100" s="92">
        <v>1.9019999999999999</v>
      </c>
      <c r="AF100" s="136">
        <f t="shared" si="295"/>
        <v>3.1000000000000139E-2</v>
      </c>
      <c r="AG100" s="124">
        <f t="shared" si="296"/>
        <v>8.7999999999999856E-2</v>
      </c>
      <c r="AH100" s="131">
        <f t="shared" si="208"/>
        <v>5.9499999999999997E-2</v>
      </c>
      <c r="AI100" s="4"/>
      <c r="AJ100" s="4"/>
      <c r="AK100" s="4"/>
      <c r="AL100" s="4"/>
      <c r="AM100" s="4"/>
      <c r="AN100" s="4"/>
      <c r="AO100" s="4"/>
      <c r="AP100" s="4"/>
      <c r="AQ100" s="4"/>
      <c r="AT100" s="4"/>
      <c r="AU100" s="4"/>
      <c r="AV100" s="4"/>
      <c r="AW100" s="4"/>
      <c r="AX100" s="4"/>
      <c r="AY100" s="4"/>
    </row>
    <row r="101" spans="1:51">
      <c r="A101" s="56">
        <v>99</v>
      </c>
      <c r="B101" s="4"/>
      <c r="C101" s="4"/>
      <c r="D101" s="28"/>
      <c r="E101" s="117">
        <f>'2MASS Binaries'!J101</f>
        <v>6.6570686579386305</v>
      </c>
      <c r="F101" s="101">
        <f>'2MASS Binaries'!K101</f>
        <v>5.9800686579386308</v>
      </c>
      <c r="G101" s="116">
        <f>'2MASS Binaries'!L101</f>
        <v>5.7890686579386301</v>
      </c>
      <c r="H101" s="117">
        <v>0.35899999999999999</v>
      </c>
      <c r="I101" s="101">
        <v>0.377</v>
      </c>
      <c r="J101" s="102">
        <v>0.34799999999999998</v>
      </c>
      <c r="K101" s="28">
        <f t="shared" si="272"/>
        <v>1.4640127503998512E-2</v>
      </c>
      <c r="L101" s="4">
        <f t="shared" si="194"/>
        <v>0.36087613488975351</v>
      </c>
      <c r="M101" s="53">
        <f t="shared" si="195"/>
        <v>4.0568289472705153E-2</v>
      </c>
      <c r="N101" s="168"/>
      <c r="O101" s="169"/>
      <c r="P101" s="170"/>
      <c r="Q101" s="53"/>
      <c r="R101" s="53"/>
      <c r="S101" s="164"/>
      <c r="T101" s="117">
        <v>0.34799999999999998</v>
      </c>
      <c r="U101" s="101">
        <v>0.37</v>
      </c>
      <c r="V101" s="124">
        <f t="shared" si="279"/>
        <v>1.100000000000001E-2</v>
      </c>
      <c r="W101" s="124">
        <f t="shared" si="280"/>
        <v>1.100000000000001E-2</v>
      </c>
      <c r="X101" s="125">
        <f t="shared" si="206"/>
        <v>1.100000000000001E-2</v>
      </c>
      <c r="Y101" s="117">
        <v>0.36599999999999999</v>
      </c>
      <c r="Z101" s="101">
        <v>0.38900000000000001</v>
      </c>
      <c r="AA101" s="124">
        <f t="shared" si="281"/>
        <v>1.100000000000001E-2</v>
      </c>
      <c r="AB101" s="124">
        <f t="shared" si="282"/>
        <v>1.2000000000000011E-2</v>
      </c>
      <c r="AC101" s="131">
        <f t="shared" si="207"/>
        <v>1.150000000000001E-2</v>
      </c>
      <c r="AD101" s="90">
        <v>0.33700000000000002</v>
      </c>
      <c r="AE101" s="92">
        <v>0.35899999999999999</v>
      </c>
      <c r="AF101" s="136">
        <f t="shared" si="295"/>
        <v>1.0999999999999954E-2</v>
      </c>
      <c r="AG101" s="124">
        <f t="shared" si="296"/>
        <v>1.100000000000001E-2</v>
      </c>
      <c r="AH101" s="131">
        <f t="shared" si="208"/>
        <v>1.0999999999999982E-2</v>
      </c>
      <c r="AI101" s="4"/>
      <c r="AJ101" s="4"/>
      <c r="AK101" s="4"/>
      <c r="AL101" s="4"/>
      <c r="AM101" s="4"/>
      <c r="AN101" s="4"/>
      <c r="AO101" s="4"/>
      <c r="AP101" s="4"/>
      <c r="AQ101" s="4"/>
      <c r="AT101" s="4"/>
      <c r="AU101" s="4"/>
      <c r="AV101" s="4"/>
      <c r="AW101" s="4"/>
      <c r="AX101" s="4"/>
      <c r="AY101" s="4"/>
    </row>
    <row r="102" spans="1:51">
      <c r="A102" s="56">
        <v>100</v>
      </c>
      <c r="B102" s="4"/>
      <c r="C102" s="4" t="s">
        <v>289</v>
      </c>
      <c r="D102" s="28" t="s">
        <v>189</v>
      </c>
      <c r="E102" s="117">
        <f>'2MASS Binaries'!J102</f>
        <v>1.7620686579386309</v>
      </c>
      <c r="F102" s="101">
        <f>'2MASS Binaries'!K102</f>
        <v>1.797068657938631</v>
      </c>
      <c r="G102" s="116">
        <f>'2MASS Binaries'!L102</f>
        <v>1.7430686579386307</v>
      </c>
      <c r="H102" s="117">
        <v>2.0880000000000001</v>
      </c>
      <c r="I102" s="101">
        <v>1.992</v>
      </c>
      <c r="J102" s="102">
        <v>2.1859999999999999</v>
      </c>
      <c r="K102" s="28">
        <f t="shared" si="272"/>
        <v>9.7001718197840855E-2</v>
      </c>
      <c r="L102" s="4">
        <f t="shared" si="194"/>
        <v>2.0165180638881792</v>
      </c>
      <c r="M102" s="53">
        <f t="shared" si="195"/>
        <v>4.810357017621035E-2</v>
      </c>
      <c r="N102" s="178">
        <f t="shared" ref="N102" si="303">H103/H102</f>
        <v>3.6877394636015325E-2</v>
      </c>
      <c r="O102" s="175">
        <f t="shared" ref="O102" si="304">I103/I102</f>
        <v>3.5642570281124497E-2</v>
      </c>
      <c r="P102" s="179">
        <f t="shared" ref="P102" si="305">J103/J102</f>
        <v>3.1107044830741084E-2</v>
      </c>
      <c r="Q102" s="4">
        <f t="shared" ref="Q102" si="306">STDEV(N102,O102,P102)</f>
        <v>3.0384403667489145E-3</v>
      </c>
      <c r="R102" s="53">
        <f t="shared" ref="R102" si="307">Q102/(AVERAGE(N102,O102,P102))</f>
        <v>8.7962791963445072E-2</v>
      </c>
      <c r="S102" s="164" t="b">
        <f t="shared" ref="S102" si="308">IF(Q102&gt;0.05, TRUE, FALSE)</f>
        <v>0</v>
      </c>
      <c r="T102" s="117">
        <v>2.0230000000000001</v>
      </c>
      <c r="U102" s="101">
        <v>2.1949999999999998</v>
      </c>
      <c r="V102" s="124">
        <f t="shared" si="279"/>
        <v>6.4999999999999947E-2</v>
      </c>
      <c r="W102" s="124">
        <f t="shared" si="280"/>
        <v>0.10699999999999976</v>
      </c>
      <c r="X102" s="125">
        <f t="shared" si="206"/>
        <v>8.5999999999999854E-2</v>
      </c>
      <c r="Y102" s="117">
        <v>1.964</v>
      </c>
      <c r="Z102" s="101">
        <v>2.0329999999999999</v>
      </c>
      <c r="AA102" s="124">
        <f t="shared" si="281"/>
        <v>2.8000000000000025E-2</v>
      </c>
      <c r="AB102" s="124">
        <f t="shared" si="282"/>
        <v>4.0999999999999925E-2</v>
      </c>
      <c r="AC102" s="131">
        <f t="shared" si="207"/>
        <v>3.4499999999999975E-2</v>
      </c>
      <c r="AD102" s="90">
        <v>2.0099999999999998</v>
      </c>
      <c r="AE102" s="92">
        <v>2.2589999999999999</v>
      </c>
      <c r="AF102" s="136">
        <f t="shared" si="295"/>
        <v>0.17600000000000016</v>
      </c>
      <c r="AG102" s="124">
        <f t="shared" si="296"/>
        <v>7.2999999999999954E-2</v>
      </c>
      <c r="AH102" s="131">
        <f t="shared" si="208"/>
        <v>0.12450000000000006</v>
      </c>
      <c r="AI102" s="4"/>
      <c r="AJ102" s="4"/>
      <c r="AK102" s="4"/>
      <c r="AL102" s="4"/>
      <c r="AM102" s="4"/>
      <c r="AN102" s="4"/>
      <c r="AO102" s="4"/>
      <c r="AP102" s="4"/>
      <c r="AQ102" s="4"/>
      <c r="AT102" s="4"/>
      <c r="AU102" s="4"/>
      <c r="AV102" s="4"/>
      <c r="AW102" s="4"/>
      <c r="AX102" s="4"/>
      <c r="AY102" s="4"/>
    </row>
    <row r="103" spans="1:51">
      <c r="A103" s="56">
        <v>101</v>
      </c>
      <c r="B103" s="4"/>
      <c r="C103" s="4"/>
      <c r="D103" s="28"/>
      <c r="E103" s="117">
        <f>'2MASS Binaries'!J103</f>
        <v>8.9720686579386282</v>
      </c>
      <c r="F103" s="101">
        <f>'2MASS Binaries'!K103</f>
        <v>8.4980686579386315</v>
      </c>
      <c r="G103" s="116">
        <f>'2MASS Binaries'!L103</f>
        <v>8.1434019912719648</v>
      </c>
      <c r="H103" s="117">
        <v>7.6999999999999999E-2</v>
      </c>
      <c r="I103" s="101">
        <v>7.0999999999999994E-2</v>
      </c>
      <c r="J103" s="102">
        <v>6.8000000000000005E-2</v>
      </c>
      <c r="K103" s="28">
        <f t="shared" si="272"/>
        <v>4.5825756949558379E-3</v>
      </c>
      <c r="L103" s="4">
        <f t="shared" si="194"/>
        <v>7.1999999999999995E-2</v>
      </c>
      <c r="M103" s="53">
        <f t="shared" si="195"/>
        <v>6.364688465216442E-2</v>
      </c>
      <c r="N103" s="168"/>
      <c r="O103" s="169"/>
      <c r="P103" s="170"/>
      <c r="Q103" s="53"/>
      <c r="R103" s="53"/>
      <c r="S103" s="164"/>
      <c r="T103" s="90">
        <v>7.3999999999999996E-2</v>
      </c>
      <c r="U103" s="92">
        <v>7.9000000000000001E-2</v>
      </c>
      <c r="V103" s="124">
        <f t="shared" si="279"/>
        <v>3.0000000000000027E-3</v>
      </c>
      <c r="W103" s="124">
        <f t="shared" si="280"/>
        <v>2.0000000000000018E-3</v>
      </c>
      <c r="X103" s="125">
        <f t="shared" si="206"/>
        <v>2.5000000000000022E-3</v>
      </c>
      <c r="Y103" s="117">
        <v>6.9000000000000006E-2</v>
      </c>
      <c r="Z103" s="101">
        <v>7.3999999999999996E-2</v>
      </c>
      <c r="AA103" s="124">
        <f t="shared" si="281"/>
        <v>1.9999999999999879E-3</v>
      </c>
      <c r="AB103" s="124">
        <f t="shared" si="282"/>
        <v>3.0000000000000027E-3</v>
      </c>
      <c r="AC103" s="131">
        <f t="shared" si="207"/>
        <v>2.4999999999999953E-3</v>
      </c>
      <c r="AD103" s="117">
        <v>6.6000000000000003E-2</v>
      </c>
      <c r="AE103" s="92">
        <v>7.0999999999999994E-2</v>
      </c>
      <c r="AF103" s="136">
        <f t="shared" si="295"/>
        <v>2.0000000000000018E-3</v>
      </c>
      <c r="AG103" s="124">
        <f t="shared" si="296"/>
        <v>2.9999999999999888E-3</v>
      </c>
      <c r="AH103" s="131">
        <f t="shared" si="208"/>
        <v>2.4999999999999953E-3</v>
      </c>
      <c r="AI103" s="4"/>
      <c r="AJ103" s="4"/>
      <c r="AK103" s="4"/>
      <c r="AL103" s="4"/>
      <c r="AM103" s="4"/>
      <c r="AN103" s="4"/>
      <c r="AO103" s="4"/>
      <c r="AP103" s="4"/>
      <c r="AQ103" s="4"/>
      <c r="AT103" s="4"/>
      <c r="AU103" s="4"/>
      <c r="AV103" s="4"/>
      <c r="AW103" s="4"/>
      <c r="AX103" s="4"/>
      <c r="AY103" s="4"/>
    </row>
    <row r="104" spans="1:51">
      <c r="A104" s="56">
        <v>102</v>
      </c>
      <c r="B104" s="4"/>
      <c r="C104" s="4" t="s">
        <v>271</v>
      </c>
      <c r="D104" s="28" t="s">
        <v>189</v>
      </c>
      <c r="E104" s="117">
        <f>'2MASS Binaries'!J104</f>
        <v>1.7620686579386309</v>
      </c>
      <c r="F104" s="101">
        <f>'2MASS Binaries'!K104</f>
        <v>1.797068657938631</v>
      </c>
      <c r="G104" s="116">
        <f>'2MASS Binaries'!L104</f>
        <v>1.7430686579386307</v>
      </c>
      <c r="H104" s="117">
        <v>2.0880000000000001</v>
      </c>
      <c r="I104" s="101">
        <v>1.992</v>
      </c>
      <c r="J104" s="102">
        <v>2.1859999999999999</v>
      </c>
      <c r="K104" s="28">
        <f t="shared" si="272"/>
        <v>9.7001718197840855E-2</v>
      </c>
      <c r="L104" s="4">
        <f t="shared" si="194"/>
        <v>2.0165180638881792</v>
      </c>
      <c r="M104" s="53">
        <f t="shared" si="195"/>
        <v>4.810357017621035E-2</v>
      </c>
      <c r="N104" s="178">
        <f t="shared" ref="N104" si="309">H105/H104</f>
        <v>1.532567049808429E-2</v>
      </c>
      <c r="O104" s="175">
        <f t="shared" ref="O104" si="310">I105/I104</f>
        <v>1.4056224899598393E-2</v>
      </c>
      <c r="P104" s="179">
        <f t="shared" ref="P104" si="311">J105/J104</f>
        <v>1.1893870082342177E-2</v>
      </c>
      <c r="Q104" s="4">
        <f t="shared" ref="Q104" si="312">STDEV(N104,O104,P104)</f>
        <v>1.7351524705682265E-3</v>
      </c>
      <c r="R104" s="53">
        <f t="shared" ref="R104" si="313">Q104/(AVERAGE(N104,O104,P104))</f>
        <v>0.12611413383051193</v>
      </c>
      <c r="S104" s="164" t="b">
        <f t="shared" ref="S104" si="314">IF(Q104&gt;0.05, TRUE, FALSE)</f>
        <v>0</v>
      </c>
      <c r="T104" s="90">
        <v>2.0230000000000001</v>
      </c>
      <c r="U104" s="92">
        <v>2.1949999999999998</v>
      </c>
      <c r="V104" s="124">
        <f t="shared" si="279"/>
        <v>6.4999999999999947E-2</v>
      </c>
      <c r="W104" s="124">
        <f t="shared" si="280"/>
        <v>0.10699999999999976</v>
      </c>
      <c r="X104" s="125">
        <f t="shared" si="206"/>
        <v>8.5999999999999854E-2</v>
      </c>
      <c r="Y104" s="117">
        <v>1.964</v>
      </c>
      <c r="Z104" s="101">
        <v>2.0329999999999999</v>
      </c>
      <c r="AA104" s="124">
        <f t="shared" si="281"/>
        <v>2.8000000000000025E-2</v>
      </c>
      <c r="AB104" s="124">
        <f t="shared" si="282"/>
        <v>4.0999999999999925E-2</v>
      </c>
      <c r="AC104" s="131">
        <f t="shared" si="207"/>
        <v>3.4499999999999975E-2</v>
      </c>
      <c r="AD104" s="117">
        <v>2.0099999999999998</v>
      </c>
      <c r="AE104" s="92">
        <v>2.2589999999999999</v>
      </c>
      <c r="AF104" s="136">
        <f t="shared" si="295"/>
        <v>0.17600000000000016</v>
      </c>
      <c r="AG104" s="124">
        <f t="shared" si="296"/>
        <v>7.2999999999999954E-2</v>
      </c>
      <c r="AH104" s="131">
        <f t="shared" si="208"/>
        <v>0.12450000000000006</v>
      </c>
      <c r="AI104" s="4"/>
      <c r="AJ104" s="4"/>
      <c r="AK104" s="4"/>
      <c r="AL104" s="4"/>
      <c r="AM104" s="4"/>
      <c r="AN104" s="4"/>
      <c r="AO104" s="4"/>
      <c r="AP104" s="4"/>
      <c r="AQ104" s="4"/>
      <c r="AT104" s="4"/>
      <c r="AU104" s="4"/>
      <c r="AV104" s="4"/>
      <c r="AW104" s="4"/>
      <c r="AX104" s="4"/>
      <c r="AY104" s="4"/>
    </row>
    <row r="105" spans="1:51">
      <c r="A105" s="56">
        <v>103</v>
      </c>
      <c r="B105" s="4"/>
      <c r="C105" s="4"/>
      <c r="D105" s="28"/>
      <c r="E105" s="117">
        <f>'2MASS Binaries'!J105</f>
        <v>10.378581408998631</v>
      </c>
      <c r="F105" s="101">
        <f>'2MASS Binaries'!K105</f>
        <v>10.059528959171965</v>
      </c>
      <c r="G105" s="116">
        <f>'2MASS Binaries'!L105</f>
        <v>9.7074901737986306</v>
      </c>
      <c r="H105" s="117">
        <v>3.2000000000000001E-2</v>
      </c>
      <c r="I105" s="101">
        <v>2.8000000000000001E-2</v>
      </c>
      <c r="J105" s="102">
        <v>2.5999999999999999E-2</v>
      </c>
      <c r="K105" s="28">
        <f t="shared" si="272"/>
        <v>3.0550504633038941E-3</v>
      </c>
      <c r="L105" s="4">
        <f t="shared" si="194"/>
        <v>2.777647918188459E-2</v>
      </c>
      <c r="M105" s="53">
        <f t="shared" si="195"/>
        <v>0.10998695850899465</v>
      </c>
      <c r="N105" s="168"/>
      <c r="O105" s="169"/>
      <c r="P105" s="170"/>
      <c r="Q105" s="53"/>
      <c r="R105" s="53"/>
      <c r="S105" s="164"/>
      <c r="T105" s="90">
        <v>2.9000000000000001E-2</v>
      </c>
      <c r="U105" s="92">
        <v>3.5999999999999997E-2</v>
      </c>
      <c r="V105" s="124">
        <f t="shared" si="279"/>
        <v>2.9999999999999992E-3</v>
      </c>
      <c r="W105" s="124">
        <f t="shared" si="280"/>
        <v>3.9999999999999966E-3</v>
      </c>
      <c r="X105" s="125">
        <f t="shared" si="206"/>
        <v>3.4999999999999979E-3</v>
      </c>
      <c r="Y105" s="117">
        <v>2.7E-2</v>
      </c>
      <c r="Z105" s="101">
        <v>0.03</v>
      </c>
      <c r="AA105" s="124">
        <f t="shared" si="281"/>
        <v>1.0000000000000009E-3</v>
      </c>
      <c r="AB105" s="124">
        <f t="shared" si="282"/>
        <v>1.9999999999999983E-3</v>
      </c>
      <c r="AC105" s="131">
        <f t="shared" si="207"/>
        <v>1.4999999999999996E-3</v>
      </c>
      <c r="AD105" s="117">
        <v>2.4E-2</v>
      </c>
      <c r="AE105" s="92">
        <v>2.8000000000000001E-2</v>
      </c>
      <c r="AF105" s="136">
        <f t="shared" si="295"/>
        <v>1.9999999999999983E-3</v>
      </c>
      <c r="AG105" s="124">
        <f t="shared" si="296"/>
        <v>2.0000000000000018E-3</v>
      </c>
      <c r="AH105" s="131">
        <f t="shared" si="208"/>
        <v>2E-3</v>
      </c>
      <c r="AI105" s="4"/>
      <c r="AJ105" s="4"/>
      <c r="AK105" s="4"/>
      <c r="AL105" s="4"/>
      <c r="AM105" s="4"/>
      <c r="AN105" s="4"/>
      <c r="AO105" s="4"/>
      <c r="AP105" s="4"/>
      <c r="AQ105" s="4"/>
      <c r="AT105" s="4"/>
      <c r="AU105" s="4"/>
      <c r="AV105" s="4"/>
      <c r="AW105" s="4"/>
      <c r="AX105" s="4"/>
      <c r="AY105" s="4"/>
    </row>
    <row r="106" spans="1:51">
      <c r="A106" s="56">
        <v>104</v>
      </c>
      <c r="B106" s="4"/>
      <c r="C106" s="4" t="s">
        <v>272</v>
      </c>
      <c r="D106" s="28" t="s">
        <v>189</v>
      </c>
      <c r="E106" s="117">
        <f>'2MASS Binaries'!J106</f>
        <v>1.7620686579386309</v>
      </c>
      <c r="F106" s="101">
        <f>'2MASS Binaries'!K106</f>
        <v>1.797068657938631</v>
      </c>
      <c r="G106" s="116">
        <f>'2MASS Binaries'!L106</f>
        <v>1.7430686579386307</v>
      </c>
      <c r="H106" s="117">
        <v>2.0880000000000001</v>
      </c>
      <c r="I106" s="101">
        <v>1.992</v>
      </c>
      <c r="J106" s="102">
        <v>2.1859999999999999</v>
      </c>
      <c r="K106" s="28">
        <f t="shared" si="272"/>
        <v>9.7001718197840855E-2</v>
      </c>
      <c r="L106" s="4">
        <f t="shared" si="194"/>
        <v>2.0165180638881792</v>
      </c>
      <c r="M106" s="53">
        <f t="shared" si="195"/>
        <v>4.810357017621035E-2</v>
      </c>
      <c r="N106" s="178">
        <f t="shared" ref="N106" si="315">H107/H106</f>
        <v>2.3467432950191571E-2</v>
      </c>
      <c r="O106" s="175">
        <f t="shared" ref="O106" si="316">I107/I106</f>
        <v>3.2630522088353417E-2</v>
      </c>
      <c r="P106" s="179">
        <f t="shared" ref="P106" si="317">J107/J106</f>
        <v>2.0128087831655993E-2</v>
      </c>
      <c r="Q106" s="4">
        <f t="shared" ref="Q106" si="318">STDEV(N106,O106,P106)</f>
        <v>6.4733336429491951E-3</v>
      </c>
      <c r="R106" s="53">
        <f t="shared" ref="R106" si="319">Q106/(AVERAGE(N106,O106,P106))</f>
        <v>0.25476858298831406</v>
      </c>
      <c r="S106" s="164" t="b">
        <f t="shared" ref="S106" si="320">IF(Q106&gt;0.05, TRUE, FALSE)</f>
        <v>0</v>
      </c>
      <c r="T106" s="90">
        <v>2.0230000000000001</v>
      </c>
      <c r="U106" s="92">
        <v>2.1949999999999998</v>
      </c>
      <c r="V106" s="124">
        <f t="shared" si="279"/>
        <v>6.4999999999999947E-2</v>
      </c>
      <c r="W106" s="124">
        <f t="shared" si="280"/>
        <v>0.10699999999999976</v>
      </c>
      <c r="X106" s="125">
        <f t="shared" si="206"/>
        <v>8.5999999999999854E-2</v>
      </c>
      <c r="Y106" s="117">
        <v>1.964</v>
      </c>
      <c r="Z106" s="101">
        <v>2.0329999999999999</v>
      </c>
      <c r="AA106" s="124">
        <f t="shared" si="281"/>
        <v>2.8000000000000025E-2</v>
      </c>
      <c r="AB106" s="124">
        <f t="shared" si="282"/>
        <v>4.0999999999999925E-2</v>
      </c>
      <c r="AC106" s="131">
        <f t="shared" si="207"/>
        <v>3.4499999999999975E-2</v>
      </c>
      <c r="AD106" s="117">
        <v>2.0099999999999998</v>
      </c>
      <c r="AE106" s="92">
        <v>2.2589999999999999</v>
      </c>
      <c r="AF106" s="136">
        <f t="shared" si="295"/>
        <v>0.17600000000000016</v>
      </c>
      <c r="AG106" s="124">
        <f t="shared" si="296"/>
        <v>7.2999999999999954E-2</v>
      </c>
      <c r="AH106" s="131">
        <f t="shared" si="208"/>
        <v>0.12450000000000006</v>
      </c>
      <c r="AI106" s="4"/>
      <c r="AJ106" s="4"/>
      <c r="AK106" s="4"/>
      <c r="AL106" s="4"/>
      <c r="AM106" s="4"/>
      <c r="AN106" s="4"/>
      <c r="AO106" s="4"/>
      <c r="AP106" s="4"/>
      <c r="AQ106" s="4"/>
      <c r="AT106" s="4"/>
      <c r="AU106" s="4"/>
      <c r="AV106" s="4"/>
      <c r="AW106" s="4"/>
      <c r="AX106" s="4"/>
      <c r="AY106" s="4"/>
    </row>
    <row r="107" spans="1:51">
      <c r="A107" s="56">
        <v>105</v>
      </c>
      <c r="B107" s="4"/>
      <c r="C107" s="4"/>
      <c r="D107" s="28"/>
      <c r="E107" s="117">
        <f>'2MASS Binaries'!J107</f>
        <v>9.6530096225619637</v>
      </c>
      <c r="F107" s="101">
        <f>'2MASS Binaries'!K107</f>
        <v>8.6268251149986312</v>
      </c>
      <c r="G107" s="116">
        <f>'2MASS Binaries'!L107</f>
        <v>8.8185614014236311</v>
      </c>
      <c r="H107" s="117">
        <v>4.9000000000000002E-2</v>
      </c>
      <c r="I107" s="101">
        <v>6.5000000000000002E-2</v>
      </c>
      <c r="J107" s="102">
        <v>4.3999999999999997E-2</v>
      </c>
      <c r="K107" s="28">
        <f t="shared" si="272"/>
        <v>1.0969655114602893E-2</v>
      </c>
      <c r="L107" s="4">
        <f t="shared" si="194"/>
        <v>5.0049180327868849E-2</v>
      </c>
      <c r="M107" s="53">
        <f t="shared" si="195"/>
        <v>0.21917751784827269</v>
      </c>
      <c r="N107" s="168"/>
      <c r="O107" s="169"/>
      <c r="P107" s="170"/>
      <c r="Q107" s="53"/>
      <c r="R107" s="53"/>
      <c r="S107" s="164"/>
      <c r="T107" s="90">
        <v>4.8000000000000001E-2</v>
      </c>
      <c r="U107" s="92">
        <v>0.05</v>
      </c>
      <c r="V107" s="124">
        <f t="shared" si="279"/>
        <v>1.0000000000000009E-3</v>
      </c>
      <c r="W107" s="124">
        <f t="shared" si="280"/>
        <v>1.0000000000000009E-3</v>
      </c>
      <c r="X107" s="125">
        <f t="shared" si="206"/>
        <v>1.0000000000000009E-3</v>
      </c>
      <c r="Y107" s="90">
        <v>6.3E-2</v>
      </c>
      <c r="Z107" s="92">
        <v>6.7000000000000004E-2</v>
      </c>
      <c r="AA107" s="124">
        <f t="shared" si="281"/>
        <v>2.0000000000000018E-3</v>
      </c>
      <c r="AB107" s="124">
        <f t="shared" si="282"/>
        <v>2.0000000000000018E-3</v>
      </c>
      <c r="AC107" s="131">
        <f t="shared" si="207"/>
        <v>2.0000000000000018E-3</v>
      </c>
      <c r="AD107" s="117">
        <v>4.2000000000000003E-2</v>
      </c>
      <c r="AE107" s="92">
        <v>4.4999999999999998E-2</v>
      </c>
      <c r="AF107" s="136">
        <f t="shared" si="295"/>
        <v>1.9999999999999948E-3</v>
      </c>
      <c r="AG107" s="124">
        <f t="shared" si="296"/>
        <v>1.0000000000000009E-3</v>
      </c>
      <c r="AH107" s="131">
        <f t="shared" si="208"/>
        <v>1.4999999999999979E-3</v>
      </c>
      <c r="AI107" s="4"/>
      <c r="AJ107" s="4"/>
      <c r="AK107" s="4"/>
      <c r="AL107" s="4"/>
      <c r="AM107" s="4"/>
      <c r="AN107" s="4"/>
      <c r="AO107" s="4"/>
      <c r="AP107" s="4"/>
      <c r="AQ107" s="4"/>
      <c r="AT107" s="4"/>
      <c r="AU107" s="4"/>
      <c r="AV107" s="4"/>
      <c r="AW107" s="4"/>
      <c r="AX107" s="4"/>
      <c r="AY107" s="4"/>
    </row>
    <row r="108" spans="1:51">
      <c r="A108" s="56">
        <v>106</v>
      </c>
      <c r="B108" s="4"/>
      <c r="C108" s="4" t="s">
        <v>250</v>
      </c>
      <c r="D108" s="28" t="s">
        <v>180</v>
      </c>
      <c r="E108" s="117">
        <f>'2MASS Binaries'!J108</f>
        <v>2.0680686579386309</v>
      </c>
      <c r="F108" s="101">
        <f>'2MASS Binaries'!K108</f>
        <v>2.1180686579386307</v>
      </c>
      <c r="G108" s="116">
        <f>'2MASS Binaries'!L108</f>
        <v>2.1370686579386309</v>
      </c>
      <c r="H108" s="117">
        <v>1.7609999999999999</v>
      </c>
      <c r="I108" s="101">
        <v>1.6890000000000001</v>
      </c>
      <c r="J108" s="102">
        <v>1.655</v>
      </c>
      <c r="K108" s="28">
        <f t="shared" si="272"/>
        <v>5.4123315986119379E-2</v>
      </c>
      <c r="L108" s="4">
        <f t="shared" si="194"/>
        <v>1.7085279857259223</v>
      </c>
      <c r="M108" s="53">
        <f t="shared" si="195"/>
        <v>3.1678331545223926E-2</v>
      </c>
      <c r="N108" s="178" t="s">
        <v>51</v>
      </c>
      <c r="O108" s="175" t="s">
        <v>51</v>
      </c>
      <c r="P108" s="179">
        <f t="shared" ref="P108" si="321">J109/J108</f>
        <v>1.2084592145015106E-2</v>
      </c>
      <c r="Q108" s="4" t="s">
        <v>51</v>
      </c>
      <c r="R108" s="53" t="s">
        <v>51</v>
      </c>
      <c r="S108" s="4" t="s">
        <v>51</v>
      </c>
      <c r="T108" s="90">
        <v>1.744</v>
      </c>
      <c r="U108" s="92">
        <v>1.78</v>
      </c>
      <c r="V108" s="124">
        <f t="shared" si="279"/>
        <v>1.6999999999999904E-2</v>
      </c>
      <c r="W108" s="124">
        <f t="shared" si="280"/>
        <v>1.9000000000000128E-2</v>
      </c>
      <c r="X108" s="125">
        <f t="shared" si="206"/>
        <v>1.8000000000000016E-2</v>
      </c>
      <c r="Y108" s="90">
        <v>1.6679999999999999</v>
      </c>
      <c r="Z108" s="92">
        <v>1.7070000000000001</v>
      </c>
      <c r="AA108" s="124">
        <f t="shared" si="281"/>
        <v>2.100000000000013E-2</v>
      </c>
      <c r="AB108" s="124">
        <f t="shared" si="282"/>
        <v>1.8000000000000016E-2</v>
      </c>
      <c r="AC108" s="131">
        <f t="shared" si="207"/>
        <v>1.9500000000000073E-2</v>
      </c>
      <c r="AD108" s="117">
        <v>1.633</v>
      </c>
      <c r="AE108" s="92">
        <v>1.677</v>
      </c>
      <c r="AF108" s="136">
        <f t="shared" si="295"/>
        <v>2.200000000000002E-2</v>
      </c>
      <c r="AG108" s="124">
        <f t="shared" si="296"/>
        <v>2.200000000000002E-2</v>
      </c>
      <c r="AH108" s="131">
        <f t="shared" si="208"/>
        <v>2.200000000000002E-2</v>
      </c>
      <c r="AI108" s="4"/>
      <c r="AJ108" s="4"/>
      <c r="AK108" s="4"/>
      <c r="AL108" s="4"/>
      <c r="AM108" s="4"/>
      <c r="AN108" s="4"/>
      <c r="AO108" s="4"/>
      <c r="AP108" s="4"/>
      <c r="AQ108" s="4"/>
      <c r="AT108" s="4"/>
      <c r="AU108" s="4"/>
      <c r="AV108" s="4"/>
      <c r="AW108" s="4"/>
      <c r="AX108" s="4"/>
      <c r="AY108" s="4"/>
    </row>
    <row r="109" spans="1:51">
      <c r="A109" s="56">
        <v>107</v>
      </c>
      <c r="B109" s="4"/>
      <c r="C109" s="4"/>
      <c r="D109" s="28"/>
      <c r="E109" s="118"/>
      <c r="F109" s="119"/>
      <c r="G109" s="120">
        <f>'2MASS Binaries'!L109</f>
        <v>10.40206865793863</v>
      </c>
      <c r="H109" s="118"/>
      <c r="I109" s="119"/>
      <c r="J109" s="121">
        <v>0.02</v>
      </c>
      <c r="K109" s="28"/>
      <c r="L109" s="4">
        <f>J109</f>
        <v>0.02</v>
      </c>
      <c r="M109" s="53"/>
      <c r="N109" s="171"/>
      <c r="O109" s="172"/>
      <c r="P109" s="173"/>
      <c r="Q109" s="53"/>
      <c r="R109" s="53"/>
      <c r="S109" s="164"/>
      <c r="T109" s="126"/>
      <c r="U109" s="127"/>
      <c r="V109" s="128"/>
      <c r="W109" s="128"/>
      <c r="X109" s="129"/>
      <c r="Y109" s="126"/>
      <c r="Z109" s="127"/>
      <c r="AA109" s="128"/>
      <c r="AB109" s="128"/>
      <c r="AC109" s="132"/>
      <c r="AD109" s="118">
        <v>0.02</v>
      </c>
      <c r="AE109" s="127">
        <v>0.02</v>
      </c>
      <c r="AF109" s="137">
        <f t="shared" si="295"/>
        <v>0</v>
      </c>
      <c r="AG109" s="128">
        <f t="shared" si="296"/>
        <v>0</v>
      </c>
      <c r="AH109" s="132">
        <f t="shared" si="208"/>
        <v>0</v>
      </c>
      <c r="AI109" s="4"/>
      <c r="AJ109" s="4"/>
      <c r="AK109" s="4"/>
      <c r="AL109" s="4"/>
      <c r="AM109" s="4"/>
      <c r="AN109" s="4"/>
      <c r="AO109" s="4"/>
      <c r="AP109" s="4"/>
      <c r="AQ109" s="4"/>
      <c r="AT109" s="4"/>
      <c r="AU109" s="4"/>
      <c r="AV109" s="4"/>
      <c r="AW109" s="4"/>
      <c r="AX109" s="4"/>
      <c r="AY109" s="4"/>
    </row>
    <row r="110" spans="1:51">
      <c r="D110" s="25"/>
      <c r="E110" s="25"/>
      <c r="F110" s="25"/>
      <c r="N110" s="25"/>
      <c r="O110" s="25"/>
      <c r="P110" s="25"/>
      <c r="Q110" s="25"/>
      <c r="R110" s="25"/>
      <c r="S110" s="25"/>
      <c r="AB110" s="25"/>
      <c r="AC110" s="25"/>
      <c r="AD110" s="25"/>
      <c r="AF110" s="54"/>
      <c r="AG110" s="54"/>
      <c r="AH110" s="25"/>
      <c r="AT110" s="4"/>
      <c r="AU110" s="4"/>
      <c r="AV110" s="4"/>
      <c r="AW110" s="4"/>
      <c r="AX110" s="4"/>
      <c r="AY110" s="4"/>
    </row>
    <row r="111" spans="1:51">
      <c r="D111" s="25"/>
      <c r="E111" s="41" t="s">
        <v>874</v>
      </c>
      <c r="F111" s="41" t="s">
        <v>875</v>
      </c>
      <c r="G111" s="24" t="s">
        <v>876</v>
      </c>
      <c r="L111" s="24" t="s">
        <v>904</v>
      </c>
      <c r="N111" s="25"/>
      <c r="O111" s="25"/>
      <c r="P111" s="41" t="s">
        <v>903</v>
      </c>
      <c r="Q111" s="25"/>
      <c r="R111" s="25"/>
      <c r="S111" s="25"/>
      <c r="AH111" s="25"/>
    </row>
    <row r="112" spans="1:51">
      <c r="E112" s="221">
        <f t="shared" ref="E112:G131" si="322">E2</f>
        <v>0.21215998882512821</v>
      </c>
      <c r="F112" s="221">
        <f t="shared" si="322"/>
        <v>0.22715998882512789</v>
      </c>
      <c r="G112" s="221">
        <f t="shared" si="322"/>
        <v>0.2351599888251279</v>
      </c>
      <c r="J112" s="54">
        <f t="shared" ref="J112:J143" si="323">J2</f>
        <v>4.1760000000000002</v>
      </c>
      <c r="L112" s="54">
        <f t="shared" ref="L112:L143" si="324">L2</f>
        <v>4.073093067155992</v>
      </c>
      <c r="N112" s="25"/>
      <c r="O112" s="25"/>
      <c r="P112" s="72">
        <f t="shared" ref="P112:P143" si="325">P2</f>
        <v>0.36805555555555552</v>
      </c>
      <c r="Q112" s="25"/>
      <c r="R112" s="25"/>
      <c r="S112" s="25"/>
      <c r="AH112" s="25"/>
    </row>
    <row r="113" spans="5:34">
      <c r="E113" s="221">
        <f t="shared" si="322"/>
        <v>2.2421599888251311</v>
      </c>
      <c r="F113" s="221">
        <f t="shared" si="322"/>
        <v>2.1711599888251261</v>
      </c>
      <c r="G113" s="221">
        <f t="shared" si="322"/>
        <v>2.300659988825112</v>
      </c>
      <c r="J113" s="54">
        <f t="shared" si="323"/>
        <v>1.5369999999999999</v>
      </c>
      <c r="L113" s="54">
        <f t="shared" si="324"/>
        <v>1.6211557078786245</v>
      </c>
      <c r="N113" s="25"/>
      <c r="O113" s="25"/>
      <c r="P113" s="72">
        <f t="shared" si="325"/>
        <v>0</v>
      </c>
      <c r="Q113" s="25"/>
      <c r="R113" s="25"/>
      <c r="S113" s="25"/>
      <c r="AH113" s="25"/>
    </row>
    <row r="114" spans="5:34">
      <c r="E114" s="221">
        <f t="shared" si="322"/>
        <v>2.4171599888251283</v>
      </c>
      <c r="F114" s="221">
        <f t="shared" si="322"/>
        <v>2.4191599888251289</v>
      </c>
      <c r="G114" s="221">
        <f t="shared" si="322"/>
        <v>2.3781599888251286</v>
      </c>
      <c r="J114" s="54">
        <f t="shared" si="323"/>
        <v>1.49</v>
      </c>
      <c r="L114" s="54">
        <f t="shared" si="324"/>
        <v>1.5197332683560754</v>
      </c>
      <c r="N114" s="25"/>
      <c r="O114" s="25"/>
      <c r="P114" s="72">
        <f t="shared" si="325"/>
        <v>0.50671140939597314</v>
      </c>
      <c r="Q114" s="25"/>
      <c r="R114" s="25"/>
      <c r="S114" s="25"/>
      <c r="AH114" s="25"/>
    </row>
    <row r="115" spans="5:34">
      <c r="E115" s="221">
        <f t="shared" si="322"/>
        <v>4.7131599888251436</v>
      </c>
      <c r="F115" s="221">
        <f t="shared" si="322"/>
        <v>4.4331599888251301</v>
      </c>
      <c r="G115" s="221">
        <f t="shared" si="322"/>
        <v>4.3626599888251238</v>
      </c>
      <c r="J115" s="54">
        <f t="shared" si="323"/>
        <v>0.755</v>
      </c>
      <c r="L115" s="54">
        <f t="shared" si="324"/>
        <v>0.7696341301460824</v>
      </c>
      <c r="N115" s="25"/>
      <c r="O115" s="25"/>
      <c r="P115" s="72">
        <f t="shared" si="325"/>
        <v>0</v>
      </c>
      <c r="Q115" s="25"/>
      <c r="R115" s="25"/>
      <c r="S115" s="25"/>
      <c r="AH115" s="25"/>
    </row>
    <row r="116" spans="5:34">
      <c r="E116" s="221">
        <f t="shared" si="322"/>
        <v>2.2311599888251283</v>
      </c>
      <c r="F116" s="221">
        <f t="shared" si="322"/>
        <v>2.0441599888251281</v>
      </c>
      <c r="G116" s="221">
        <f t="shared" si="322"/>
        <v>1.9991599888251281</v>
      </c>
      <c r="J116" s="54">
        <f t="shared" si="323"/>
        <v>1.74</v>
      </c>
      <c r="L116" s="54">
        <f t="shared" si="324"/>
        <v>1.7146666666666668</v>
      </c>
      <c r="N116" s="25"/>
      <c r="O116" s="25"/>
      <c r="P116" s="72">
        <f t="shared" si="325"/>
        <v>0.86609195402298844</v>
      </c>
      <c r="Q116" s="25"/>
      <c r="R116" s="25"/>
      <c r="S116" s="25"/>
      <c r="AH116" s="25"/>
    </row>
    <row r="117" spans="5:34">
      <c r="E117" s="221">
        <f t="shared" si="322"/>
        <v>2.6176599888251264</v>
      </c>
      <c r="F117" s="221">
        <f t="shared" si="322"/>
        <v>2.4156599888251273</v>
      </c>
      <c r="G117" s="221">
        <f t="shared" si="322"/>
        <v>2.3476599888251277</v>
      </c>
      <c r="J117" s="54">
        <f t="shared" si="323"/>
        <v>1.5069999999999999</v>
      </c>
      <c r="L117" s="54">
        <f t="shared" si="324"/>
        <v>1.4872797397641577</v>
      </c>
      <c r="N117" s="25"/>
      <c r="O117" s="25"/>
      <c r="P117" s="72">
        <f t="shared" si="325"/>
        <v>0</v>
      </c>
      <c r="Q117" s="25"/>
      <c r="R117" s="25"/>
      <c r="S117" s="25"/>
      <c r="AH117" s="25"/>
    </row>
    <row r="118" spans="5:34">
      <c r="E118" s="221">
        <f t="shared" si="322"/>
        <v>0.77115998882512837</v>
      </c>
      <c r="F118" s="221">
        <f t="shared" si="322"/>
        <v>0.79315998882512773</v>
      </c>
      <c r="G118" s="221">
        <f t="shared" si="322"/>
        <v>0.8031599888251284</v>
      </c>
      <c r="J118" s="54">
        <f t="shared" si="323"/>
        <v>3.246</v>
      </c>
      <c r="L118" s="54">
        <f t="shared" si="324"/>
        <v>3.2154109604149097</v>
      </c>
      <c r="P118" s="54">
        <f t="shared" si="325"/>
        <v>0.19839802834257547</v>
      </c>
      <c r="AH118" s="25"/>
    </row>
    <row r="119" spans="5:34">
      <c r="E119" s="221">
        <f t="shared" si="322"/>
        <v>5.9816173185617947</v>
      </c>
      <c r="F119" s="221">
        <f t="shared" si="322"/>
        <v>4.9491533347351284</v>
      </c>
      <c r="G119" s="221">
        <f t="shared" si="322"/>
        <v>4.8927452053284615</v>
      </c>
      <c r="J119" s="54">
        <f t="shared" si="323"/>
        <v>0.64400000000000002</v>
      </c>
      <c r="L119" s="54">
        <f t="shared" si="324"/>
        <v>0.61955535793686078</v>
      </c>
      <c r="P119" s="54">
        <f t="shared" si="325"/>
        <v>0</v>
      </c>
      <c r="AH119" s="25"/>
    </row>
    <row r="120" spans="5:34">
      <c r="E120" s="221">
        <f t="shared" si="322"/>
        <v>1.4051599888251278</v>
      </c>
      <c r="F120" s="221">
        <f t="shared" si="322"/>
        <v>1.4471599888251276</v>
      </c>
      <c r="G120" s="221">
        <f t="shared" si="322"/>
        <v>1.3531599888251282</v>
      </c>
      <c r="J120" s="54">
        <f t="shared" si="323"/>
        <v>2.6190000000000002</v>
      </c>
      <c r="L120" s="54">
        <f t="shared" si="324"/>
        <v>2.5396399732685424</v>
      </c>
      <c r="P120" s="54">
        <f t="shared" si="325"/>
        <v>0.4379534173348606</v>
      </c>
      <c r="AH120" s="25"/>
    </row>
    <row r="121" spans="5:34">
      <c r="E121" s="221">
        <f t="shared" si="322"/>
        <v>3.3751599888251302</v>
      </c>
      <c r="F121" s="221">
        <f t="shared" si="322"/>
        <v>3.2521599888251309</v>
      </c>
      <c r="G121" s="221">
        <f t="shared" si="322"/>
        <v>3.1536599888251304</v>
      </c>
      <c r="J121" s="54">
        <f t="shared" si="323"/>
        <v>1.147</v>
      </c>
      <c r="L121" s="54">
        <f t="shared" si="324"/>
        <v>1.1670929525651763</v>
      </c>
      <c r="P121" s="54">
        <f t="shared" si="325"/>
        <v>0</v>
      </c>
      <c r="AH121" s="25"/>
    </row>
    <row r="122" spans="5:34">
      <c r="E122" s="221">
        <f t="shared" si="322"/>
        <v>-6.2840011174872146E-2</v>
      </c>
      <c r="F122" s="221">
        <f t="shared" si="322"/>
        <v>1.5998882512846535E-4</v>
      </c>
      <c r="G122" s="221">
        <f t="shared" si="322"/>
        <v>2.1599888251282451E-3</v>
      </c>
      <c r="J122" s="54">
        <f t="shared" si="323"/>
        <v>4.5199999999999996</v>
      </c>
      <c r="L122" s="54">
        <f t="shared" si="324"/>
        <v>4.435448708936689</v>
      </c>
      <c r="P122" s="54">
        <f t="shared" si="325"/>
        <v>0.55088495575221252</v>
      </c>
      <c r="AH122" s="25"/>
    </row>
    <row r="123" spans="5:34">
      <c r="E123" s="221">
        <f t="shared" si="322"/>
        <v>1.3816599888251266</v>
      </c>
      <c r="F123" s="221">
        <f t="shared" si="322"/>
        <v>1.4706599888251342</v>
      </c>
      <c r="G123" s="221">
        <f t="shared" si="322"/>
        <v>1.4806599888251304</v>
      </c>
      <c r="J123" s="54">
        <f t="shared" si="323"/>
        <v>2.4900000000000002</v>
      </c>
      <c r="L123" s="54">
        <f t="shared" si="324"/>
        <v>2.5012246489859593</v>
      </c>
      <c r="P123" s="54">
        <f t="shared" si="325"/>
        <v>0</v>
      </c>
      <c r="AH123" s="25"/>
    </row>
    <row r="124" spans="5:34">
      <c r="E124" s="221">
        <f t="shared" si="322"/>
        <v>2.8941599888251286</v>
      </c>
      <c r="F124" s="221">
        <f t="shared" si="322"/>
        <v>2.6681599888251277</v>
      </c>
      <c r="G124" s="221">
        <f t="shared" si="322"/>
        <v>2.5571599888251288</v>
      </c>
      <c r="J124" s="54">
        <f t="shared" si="323"/>
        <v>1.361</v>
      </c>
      <c r="L124" s="54">
        <f t="shared" si="324"/>
        <v>1.3328831878414107</v>
      </c>
      <c r="P124" s="54">
        <f t="shared" si="325"/>
        <v>0.28728875826598094</v>
      </c>
      <c r="AH124" s="25"/>
    </row>
    <row r="125" spans="5:34">
      <c r="E125" s="221">
        <f t="shared" si="322"/>
        <v>6.8941599888251286</v>
      </c>
      <c r="F125" s="221">
        <f t="shared" si="322"/>
        <v>6.0681599888251281</v>
      </c>
      <c r="G125" s="221">
        <f t="shared" si="322"/>
        <v>5.7871599888251293</v>
      </c>
      <c r="J125" s="54">
        <f t="shared" si="323"/>
        <v>0.39100000000000001</v>
      </c>
      <c r="L125" s="54">
        <f t="shared" si="324"/>
        <v>0.38464832760013873</v>
      </c>
      <c r="P125" s="54">
        <f t="shared" si="325"/>
        <v>0</v>
      </c>
      <c r="AH125" s="25"/>
    </row>
    <row r="126" spans="5:34">
      <c r="E126" s="221">
        <f t="shared" si="322"/>
        <v>-0.94881882079493707</v>
      </c>
      <c r="F126" s="221">
        <f t="shared" si="322"/>
        <v>-0.95581882079493763</v>
      </c>
      <c r="G126" s="221">
        <f t="shared" si="322"/>
        <v>-0.98281882079493688</v>
      </c>
      <c r="J126" s="54">
        <f t="shared" si="323"/>
        <v>4.5620000000000003</v>
      </c>
      <c r="L126" s="54">
        <f t="shared" si="324"/>
        <v>4.3042113394157795</v>
      </c>
      <c r="P126" s="54">
        <f t="shared" si="325"/>
        <v>0.132617273125822</v>
      </c>
      <c r="AH126" s="25"/>
    </row>
    <row r="127" spans="5:34">
      <c r="E127" s="221">
        <f t="shared" si="322"/>
        <v>5.0169317324800629</v>
      </c>
      <c r="F127" s="221">
        <f t="shared" si="322"/>
        <v>5.1075093977250621</v>
      </c>
      <c r="G127" s="221">
        <f t="shared" si="322"/>
        <v>5.2347526745300632</v>
      </c>
      <c r="J127" s="54">
        <f t="shared" si="323"/>
        <v>0.60499999999999998</v>
      </c>
      <c r="L127" s="54">
        <f t="shared" si="324"/>
        <v>0.63349999999999995</v>
      </c>
      <c r="P127" s="54">
        <f t="shared" si="325"/>
        <v>0</v>
      </c>
      <c r="AH127" s="25"/>
    </row>
    <row r="128" spans="5:34">
      <c r="E128" s="221">
        <f t="shared" si="322"/>
        <v>-0.94881882079493707</v>
      </c>
      <c r="F128" s="221">
        <f t="shared" si="322"/>
        <v>-0.95581882079493763</v>
      </c>
      <c r="G128" s="221">
        <f t="shared" si="322"/>
        <v>-0.98281882079493688</v>
      </c>
      <c r="J128" s="54">
        <f t="shared" si="323"/>
        <v>4.5620000000000003</v>
      </c>
      <c r="L128" s="54">
        <f t="shared" si="324"/>
        <v>4.3042113394157795</v>
      </c>
      <c r="P128" s="54">
        <f t="shared" si="325"/>
        <v>0.85028496273564225</v>
      </c>
      <c r="AH128" s="25"/>
    </row>
    <row r="129" spans="5:34">
      <c r="E129" s="221">
        <f t="shared" si="322"/>
        <v>-0.79881882079493705</v>
      </c>
      <c r="F129" s="221">
        <f t="shared" si="322"/>
        <v>-0.70581882079493763</v>
      </c>
      <c r="G129" s="221">
        <f t="shared" si="322"/>
        <v>-0.68281882079493683</v>
      </c>
      <c r="J129" s="54">
        <f t="shared" si="323"/>
        <v>3.879</v>
      </c>
      <c r="L129" s="54">
        <f t="shared" si="324"/>
        <v>3.8806329593473743</v>
      </c>
      <c r="P129" s="54">
        <f t="shared" si="325"/>
        <v>0</v>
      </c>
      <c r="AH129" s="25"/>
    </row>
    <row r="130" spans="5:34">
      <c r="E130" s="221">
        <f t="shared" si="322"/>
        <v>-0.72381882079493742</v>
      </c>
      <c r="F130" s="221">
        <f t="shared" si="322"/>
        <v>-0.73281882079493688</v>
      </c>
      <c r="G130" s="221">
        <f t="shared" si="322"/>
        <v>-0.71981882079493698</v>
      </c>
      <c r="J130" s="54">
        <f t="shared" si="323"/>
        <v>3.9340000000000002</v>
      </c>
      <c r="L130" s="54">
        <f t="shared" si="324"/>
        <v>3.8822936496019733</v>
      </c>
      <c r="P130" s="54">
        <f t="shared" si="325"/>
        <v>0.16319267920691408</v>
      </c>
      <c r="AH130" s="25"/>
    </row>
    <row r="131" spans="5:34">
      <c r="E131" s="221">
        <f t="shared" si="322"/>
        <v>6.1386672605050618</v>
      </c>
      <c r="F131" s="221">
        <f t="shared" si="322"/>
        <v>5.2675449422483958</v>
      </c>
      <c r="G131" s="221">
        <f t="shared" si="322"/>
        <v>5.0640032002350637</v>
      </c>
      <c r="J131" s="54">
        <f t="shared" si="323"/>
        <v>0.64200000000000002</v>
      </c>
      <c r="L131" s="54">
        <f t="shared" si="324"/>
        <v>0.63058289241622589</v>
      </c>
      <c r="P131" s="54">
        <f t="shared" si="325"/>
        <v>0</v>
      </c>
      <c r="AH131" s="25"/>
    </row>
    <row r="132" spans="5:34">
      <c r="E132" s="221">
        <f t="shared" ref="E132:G151" si="326">E22</f>
        <v>-1.2878188207949375</v>
      </c>
      <c r="F132" s="221">
        <f t="shared" si="326"/>
        <v>-1.2888188207949369</v>
      </c>
      <c r="G132" s="221">
        <f t="shared" si="326"/>
        <v>-1.3338188207949369</v>
      </c>
      <c r="J132" s="54">
        <f t="shared" si="323"/>
        <v>5.5339999999999998</v>
      </c>
      <c r="L132" s="54">
        <f t="shared" si="324"/>
        <v>5.3331751173049522</v>
      </c>
      <c r="P132" s="54">
        <f t="shared" si="325"/>
        <v>0.57354535598120704</v>
      </c>
    </row>
    <row r="133" spans="5:34">
      <c r="E133" s="221">
        <f t="shared" si="326"/>
        <v>0.41218117920506248</v>
      </c>
      <c r="F133" s="221">
        <f t="shared" si="326"/>
        <v>0.21118117920506307</v>
      </c>
      <c r="G133" s="221">
        <f t="shared" si="326"/>
        <v>0.26618117920506323</v>
      </c>
      <c r="J133" s="54">
        <f t="shared" si="323"/>
        <v>3.1739999999999999</v>
      </c>
      <c r="L133" s="54">
        <f t="shared" si="324"/>
        <v>3.1685269504847811</v>
      </c>
      <c r="P133" s="54">
        <f t="shared" si="325"/>
        <v>0</v>
      </c>
    </row>
    <row r="134" spans="5:34">
      <c r="E134" s="221">
        <f t="shared" si="326"/>
        <v>-1.2878188207949375</v>
      </c>
      <c r="F134" s="221">
        <f t="shared" si="326"/>
        <v>-1.2888188207949369</v>
      </c>
      <c r="G134" s="221">
        <f t="shared" si="326"/>
        <v>-1.3338188207949369</v>
      </c>
      <c r="J134" s="54">
        <f t="shared" si="323"/>
        <v>5.5339999999999998</v>
      </c>
      <c r="L134" s="54">
        <f t="shared" si="324"/>
        <v>5.3331751173049522</v>
      </c>
      <c r="P134" s="54">
        <f t="shared" si="325"/>
        <v>8.3483917600289129E-2</v>
      </c>
    </row>
    <row r="135" spans="5:34">
      <c r="E135" s="221">
        <f t="shared" si="326"/>
        <v>6.8138853411000628</v>
      </c>
      <c r="F135" s="221">
        <f t="shared" si="326"/>
        <v>6.2216249067600629</v>
      </c>
      <c r="G135" s="221">
        <f t="shared" si="326"/>
        <v>6.0032070694100632</v>
      </c>
      <c r="J135" s="54">
        <f t="shared" si="323"/>
        <v>0.46200000000000002</v>
      </c>
      <c r="L135" s="54">
        <f t="shared" si="324"/>
        <v>0.4688715899489081</v>
      </c>
      <c r="P135" s="54">
        <f t="shared" si="325"/>
        <v>0</v>
      </c>
    </row>
    <row r="136" spans="5:34">
      <c r="E136" s="221">
        <f t="shared" si="326"/>
        <v>2.4579108849523177</v>
      </c>
      <c r="F136" s="221">
        <f t="shared" si="326"/>
        <v>2.4989108849523181</v>
      </c>
      <c r="G136" s="221">
        <f t="shared" si="326"/>
        <v>2.4639108849523179</v>
      </c>
      <c r="J136" s="54">
        <f t="shared" si="323"/>
        <v>1.44</v>
      </c>
      <c r="L136" s="54">
        <f t="shared" si="324"/>
        <v>1.4893514180024658</v>
      </c>
      <c r="P136" s="54">
        <f t="shared" si="325"/>
        <v>4.6527777777777779E-2</v>
      </c>
    </row>
    <row r="137" spans="5:34">
      <c r="E137" s="221">
        <f t="shared" si="326"/>
        <v>8.903910884952321</v>
      </c>
      <c r="F137" s="221">
        <f t="shared" si="326"/>
        <v>8.367410884952319</v>
      </c>
      <c r="G137" s="221">
        <f t="shared" si="326"/>
        <v>8.3459108849523176</v>
      </c>
      <c r="J137" s="54">
        <f t="shared" si="323"/>
        <v>6.7000000000000004E-2</v>
      </c>
      <c r="L137" s="54">
        <f t="shared" si="324"/>
        <v>8.0092783505154655E-2</v>
      </c>
      <c r="P137" s="54">
        <f t="shared" si="325"/>
        <v>0</v>
      </c>
    </row>
    <row r="138" spans="5:34">
      <c r="E138" s="221">
        <f t="shared" si="326"/>
        <v>-0.15608911504768219</v>
      </c>
      <c r="F138" s="221">
        <f t="shared" si="326"/>
        <v>-0.18008911504768221</v>
      </c>
      <c r="G138" s="221">
        <f t="shared" si="326"/>
        <v>-0.23608911504768226</v>
      </c>
      <c r="J138" s="54">
        <f t="shared" si="323"/>
        <v>4.8339999999999996</v>
      </c>
      <c r="L138" s="54">
        <f t="shared" si="324"/>
        <v>4.6689544825696938</v>
      </c>
      <c r="P138" s="54">
        <f t="shared" si="325"/>
        <v>0.29230450972279687</v>
      </c>
    </row>
    <row r="139" spans="5:34">
      <c r="E139" s="221">
        <f t="shared" si="326"/>
        <v>3.3439108849523178</v>
      </c>
      <c r="F139" s="221">
        <f t="shared" si="326"/>
        <v>2.9099108849523176</v>
      </c>
      <c r="G139" s="221">
        <f t="shared" si="326"/>
        <v>2.503910884952318</v>
      </c>
      <c r="J139" s="54">
        <f t="shared" si="323"/>
        <v>1.413</v>
      </c>
      <c r="L139" s="54">
        <f t="shared" si="324"/>
        <v>1.2585442218421694</v>
      </c>
      <c r="P139" s="54">
        <f t="shared" si="325"/>
        <v>0</v>
      </c>
    </row>
    <row r="140" spans="5:34">
      <c r="E140" s="221">
        <f t="shared" si="326"/>
        <v>-0.15608911504768219</v>
      </c>
      <c r="F140" s="221">
        <f t="shared" si="326"/>
        <v>-0.18008911504768221</v>
      </c>
      <c r="G140" s="221">
        <f t="shared" si="326"/>
        <v>-0.23608911504768226</v>
      </c>
      <c r="J140" s="54">
        <f t="shared" si="323"/>
        <v>4.8339999999999996</v>
      </c>
      <c r="L140" s="54">
        <f t="shared" si="324"/>
        <v>4.6689544825696938</v>
      </c>
      <c r="P140" s="54">
        <f t="shared" si="325"/>
        <v>3.9718659495242038E-2</v>
      </c>
    </row>
    <row r="141" spans="5:34">
      <c r="E141" s="221">
        <f t="shared" si="326"/>
        <v>7.7439108849523182</v>
      </c>
      <c r="F141" s="221">
        <f t="shared" si="326"/>
        <v>7.2099108849523175</v>
      </c>
      <c r="G141" s="221">
        <f t="shared" si="326"/>
        <v>6.8139108849523176</v>
      </c>
      <c r="J141" s="54">
        <f t="shared" si="323"/>
        <v>0.192</v>
      </c>
      <c r="L141" s="54">
        <f t="shared" si="324"/>
        <v>0.18864216778126905</v>
      </c>
      <c r="P141" s="54">
        <f t="shared" si="325"/>
        <v>0</v>
      </c>
    </row>
    <row r="142" spans="5:34">
      <c r="E142" s="221">
        <f t="shared" si="326"/>
        <v>2.2729108849523172</v>
      </c>
      <c r="F142" s="221">
        <f t="shared" si="326"/>
        <v>2.3399108849523174</v>
      </c>
      <c r="G142" s="221">
        <f t="shared" si="326"/>
        <v>2.362910884952317</v>
      </c>
      <c r="J142" s="54">
        <f t="shared" si="323"/>
        <v>1.498</v>
      </c>
      <c r="L142" s="54">
        <f t="shared" si="324"/>
        <v>1.5648413950937503</v>
      </c>
      <c r="P142" s="54">
        <f t="shared" si="325"/>
        <v>4.2723631508678236E-2</v>
      </c>
    </row>
    <row r="143" spans="5:34">
      <c r="E143" s="221">
        <f t="shared" si="326"/>
        <v>9.3179108849523224</v>
      </c>
      <c r="F143" s="221">
        <f t="shared" si="326"/>
        <v>8.5069108849523154</v>
      </c>
      <c r="G143" s="221">
        <f t="shared" si="326"/>
        <v>8.4034108849523186</v>
      </c>
      <c r="J143" s="54">
        <f t="shared" si="323"/>
        <v>6.4000000000000001E-2</v>
      </c>
      <c r="L143" s="54">
        <f t="shared" si="324"/>
        <v>6.9765458422174839E-2</v>
      </c>
      <c r="P143" s="54">
        <f t="shared" si="325"/>
        <v>0</v>
      </c>
    </row>
    <row r="144" spans="5:34">
      <c r="E144" s="221">
        <f t="shared" si="326"/>
        <v>-0.40508911504768275</v>
      </c>
      <c r="F144" s="221">
        <f t="shared" si="326"/>
        <v>-0.31908911504768245</v>
      </c>
      <c r="G144" s="221">
        <f t="shared" si="326"/>
        <v>-0.34108911504768269</v>
      </c>
      <c r="J144" s="54">
        <f t="shared" ref="J144:J175" si="327">J34</f>
        <v>4.9649999999999999</v>
      </c>
      <c r="L144" s="54">
        <f t="shared" ref="L144:L175" si="328">L34</f>
        <v>4.8762121835796179</v>
      </c>
      <c r="P144" s="54">
        <f t="shared" ref="P144:P175" si="329">P34</f>
        <v>0.4535750251762336</v>
      </c>
    </row>
    <row r="145" spans="5:16">
      <c r="E145" s="221">
        <f t="shared" si="326"/>
        <v>1.8474108849523079</v>
      </c>
      <c r="F145" s="221">
        <f t="shared" si="326"/>
        <v>1.822910884952317</v>
      </c>
      <c r="G145" s="221">
        <f t="shared" si="326"/>
        <v>1.7089108849523296</v>
      </c>
      <c r="J145" s="54">
        <f t="shared" si="327"/>
        <v>2.2519999999999998</v>
      </c>
      <c r="L145" s="54">
        <f t="shared" si="328"/>
        <v>1.9715102302351002</v>
      </c>
      <c r="P145" s="54">
        <f t="shared" si="329"/>
        <v>0</v>
      </c>
    </row>
    <row r="146" spans="5:16">
      <c r="E146" s="221">
        <f t="shared" si="326"/>
        <v>2.0779108849523169</v>
      </c>
      <c r="F146" s="221">
        <f t="shared" si="326"/>
        <v>2.1509108849523173</v>
      </c>
      <c r="G146" s="221">
        <f t="shared" si="326"/>
        <v>2.1099108849523169</v>
      </c>
      <c r="J146" s="54">
        <f t="shared" si="327"/>
        <v>1.675</v>
      </c>
      <c r="L146" s="54">
        <f t="shared" si="328"/>
        <v>1.7071559676660337</v>
      </c>
      <c r="P146" s="54">
        <f t="shared" si="329"/>
        <v>0.10865671641791044</v>
      </c>
    </row>
    <row r="147" spans="5:16">
      <c r="E147" s="221">
        <f t="shared" si="326"/>
        <v>7.5619108849523151</v>
      </c>
      <c r="F147" s="221">
        <f t="shared" si="326"/>
        <v>7.0509108849523159</v>
      </c>
      <c r="G147" s="221">
        <f t="shared" si="326"/>
        <v>6.8934108849523152</v>
      </c>
      <c r="J147" s="54">
        <f t="shared" si="327"/>
        <v>0.182</v>
      </c>
      <c r="L147" s="54">
        <f t="shared" si="328"/>
        <v>0.19860795168595874</v>
      </c>
      <c r="P147" s="54">
        <f t="shared" si="329"/>
        <v>0</v>
      </c>
    </row>
    <row r="148" spans="5:16">
      <c r="E148" s="221">
        <f t="shared" si="326"/>
        <v>1.6359108849523176</v>
      </c>
      <c r="F148" s="221">
        <f t="shared" si="326"/>
        <v>1.4889108849523174</v>
      </c>
      <c r="G148" s="221">
        <f t="shared" si="326"/>
        <v>1.3969108849523177</v>
      </c>
      <c r="J148" s="54">
        <f t="shared" si="327"/>
        <v>2.573</v>
      </c>
      <c r="L148" s="54">
        <f t="shared" si="328"/>
        <v>2.4471197698375677</v>
      </c>
      <c r="P148" s="54">
        <f t="shared" si="329"/>
        <v>3.1480761756704237E-2</v>
      </c>
    </row>
    <row r="149" spans="5:16">
      <c r="E149" s="221">
        <f t="shared" si="326"/>
        <v>9.0559108849523184</v>
      </c>
      <c r="F149" s="221">
        <f t="shared" si="326"/>
        <v>8.4489108849523173</v>
      </c>
      <c r="G149" s="221">
        <f t="shared" si="326"/>
        <v>8.070407337212318</v>
      </c>
      <c r="J149" s="54">
        <f t="shared" si="327"/>
        <v>8.1000000000000003E-2</v>
      </c>
      <c r="L149" s="54">
        <f t="shared" si="328"/>
        <v>8.1297180469594249E-2</v>
      </c>
      <c r="P149" s="54">
        <f t="shared" si="329"/>
        <v>0</v>
      </c>
    </row>
    <row r="150" spans="5:16">
      <c r="E150" s="221">
        <f t="shared" si="326"/>
        <v>1.0289108849523174</v>
      </c>
      <c r="F150" s="221">
        <f t="shared" si="326"/>
        <v>1.0789108849523172</v>
      </c>
      <c r="G150" s="221">
        <f t="shared" si="326"/>
        <v>1.0319108849523175</v>
      </c>
      <c r="J150" s="54">
        <f t="shared" si="327"/>
        <v>2.9750000000000001</v>
      </c>
      <c r="L150" s="54">
        <f t="shared" si="328"/>
        <v>2.9228495252809346</v>
      </c>
      <c r="P150" s="54">
        <f t="shared" si="329"/>
        <v>0.20504201680672268</v>
      </c>
    </row>
    <row r="151" spans="5:16">
      <c r="E151" s="221">
        <f t="shared" si="326"/>
        <v>5.9089108849523164</v>
      </c>
      <c r="F151" s="221">
        <f t="shared" si="326"/>
        <v>5.2479108849523186</v>
      </c>
      <c r="G151" s="221">
        <f t="shared" si="326"/>
        <v>5.0214108849523171</v>
      </c>
      <c r="J151" s="54">
        <f t="shared" si="327"/>
        <v>0.61</v>
      </c>
      <c r="L151" s="54">
        <f t="shared" si="328"/>
        <v>0.59743456669261163</v>
      </c>
      <c r="P151" s="54">
        <f t="shared" si="329"/>
        <v>0</v>
      </c>
    </row>
    <row r="152" spans="5:16">
      <c r="E152" s="221">
        <f t="shared" ref="E152:G171" si="330">E42</f>
        <v>1.2349108849523178</v>
      </c>
      <c r="F152" s="221">
        <f t="shared" si="330"/>
        <v>1.2979108849523175</v>
      </c>
      <c r="G152" s="221">
        <f t="shared" si="330"/>
        <v>1.2479108849523177</v>
      </c>
      <c r="J152" s="54">
        <f t="shared" si="327"/>
        <v>2.7360000000000002</v>
      </c>
      <c r="L152" s="54">
        <f t="shared" si="328"/>
        <v>2.6958801787472542</v>
      </c>
      <c r="P152" s="54">
        <f t="shared" si="329"/>
        <v>0.34649122807017541</v>
      </c>
    </row>
    <row r="153" spans="5:16">
      <c r="E153" s="221">
        <f t="shared" si="330"/>
        <v>4.0349108849523176</v>
      </c>
      <c r="F153" s="221">
        <f t="shared" si="330"/>
        <v>3.9979108849523177</v>
      </c>
      <c r="G153" s="221">
        <f t="shared" si="330"/>
        <v>3.7979108849523175</v>
      </c>
      <c r="J153" s="54">
        <f t="shared" si="327"/>
        <v>0.94799999999999995</v>
      </c>
      <c r="L153" s="54">
        <f t="shared" si="328"/>
        <v>0.96757450821734159</v>
      </c>
      <c r="P153" s="54">
        <f t="shared" si="329"/>
        <v>0</v>
      </c>
    </row>
    <row r="154" spans="5:16">
      <c r="E154" s="221">
        <f t="shared" si="330"/>
        <v>1.6989108849523173</v>
      </c>
      <c r="F154" s="221">
        <f t="shared" si="330"/>
        <v>1.7399108849523177</v>
      </c>
      <c r="G154" s="221">
        <f t="shared" si="330"/>
        <v>1.6839108849523168</v>
      </c>
      <c r="J154" s="54">
        <f t="shared" si="327"/>
        <v>2.29</v>
      </c>
      <c r="L154" s="54">
        <f t="shared" si="328"/>
        <v>2.2540282805534884</v>
      </c>
      <c r="P154" s="54">
        <f t="shared" si="329"/>
        <v>0.16069868995633188</v>
      </c>
    </row>
    <row r="155" spans="5:16">
      <c r="E155" s="221">
        <f t="shared" si="330"/>
        <v>6.5989108849523177</v>
      </c>
      <c r="F155" s="221">
        <f t="shared" si="330"/>
        <v>6.1899108849523179</v>
      </c>
      <c r="G155" s="221">
        <f t="shared" si="330"/>
        <v>5.883910884952317</v>
      </c>
      <c r="J155" s="54">
        <f t="shared" si="327"/>
        <v>0.36799999999999999</v>
      </c>
      <c r="L155" s="54">
        <f t="shared" si="328"/>
        <v>0.36847173470910188</v>
      </c>
      <c r="P155" s="54">
        <f t="shared" si="329"/>
        <v>0</v>
      </c>
    </row>
    <row r="156" spans="5:16">
      <c r="E156" s="221">
        <f t="shared" si="330"/>
        <v>1.9059108849523181</v>
      </c>
      <c r="F156" s="221">
        <f t="shared" si="330"/>
        <v>2.157910884952317</v>
      </c>
      <c r="G156" s="221">
        <f t="shared" si="330"/>
        <v>2.0669108849523177</v>
      </c>
      <c r="J156" s="54">
        <f t="shared" si="327"/>
        <v>1.702</v>
      </c>
      <c r="L156" s="54">
        <f t="shared" si="328"/>
        <v>1.6851046104928458</v>
      </c>
      <c r="P156" s="54">
        <f t="shared" si="329"/>
        <v>0.77085781433607525</v>
      </c>
    </row>
    <row r="157" spans="5:16">
      <c r="E157" s="221">
        <f t="shared" si="330"/>
        <v>2.4744108849523236</v>
      </c>
      <c r="F157" s="221">
        <f t="shared" si="330"/>
        <v>2.7379108849523188</v>
      </c>
      <c r="G157" s="221">
        <f t="shared" si="330"/>
        <v>2.623410884952321</v>
      </c>
      <c r="J157" s="54">
        <f t="shared" si="327"/>
        <v>1.3120000000000001</v>
      </c>
      <c r="L157" s="54">
        <f t="shared" si="328"/>
        <v>1.2936294487090023</v>
      </c>
      <c r="P157" s="54">
        <f t="shared" si="329"/>
        <v>0</v>
      </c>
    </row>
    <row r="158" spans="5:16">
      <c r="E158" s="221">
        <f t="shared" si="330"/>
        <v>1.6049108849523179</v>
      </c>
      <c r="F158" s="221">
        <f t="shared" si="330"/>
        <v>1.5449108849523174</v>
      </c>
      <c r="G158" s="221">
        <f t="shared" si="330"/>
        <v>1.4809108849523174</v>
      </c>
      <c r="J158" s="54">
        <f t="shared" si="327"/>
        <v>2.4900000000000002</v>
      </c>
      <c r="L158" s="54">
        <f t="shared" si="328"/>
        <v>2.4127765077291539</v>
      </c>
      <c r="P158" s="54">
        <f t="shared" si="329"/>
        <v>1.9277108433734938E-2</v>
      </c>
    </row>
    <row r="159" spans="5:16">
      <c r="E159" s="221">
        <f t="shared" si="330"/>
        <v>10.136793626378982</v>
      </c>
      <c r="F159" s="221">
        <f t="shared" si="330"/>
        <v>9.0641861071464653</v>
      </c>
      <c r="G159" s="221">
        <f t="shared" si="330"/>
        <v>8.8660601889977819</v>
      </c>
      <c r="J159" s="54">
        <f t="shared" si="327"/>
        <v>4.8000000000000001E-2</v>
      </c>
      <c r="L159" s="54">
        <f t="shared" si="328"/>
        <v>4.7414634146341443E-2</v>
      </c>
      <c r="P159" s="54">
        <f t="shared" si="329"/>
        <v>0</v>
      </c>
    </row>
    <row r="160" spans="5:16">
      <c r="E160" s="221">
        <f t="shared" si="330"/>
        <v>1.6049108849523179</v>
      </c>
      <c r="F160" s="221">
        <f t="shared" si="330"/>
        <v>1.5449108849523174</v>
      </c>
      <c r="G160" s="221">
        <f t="shared" si="330"/>
        <v>1.4809108849523174</v>
      </c>
      <c r="J160" s="54">
        <f t="shared" si="327"/>
        <v>2.4900000000000002</v>
      </c>
      <c r="L160" s="54">
        <f t="shared" si="328"/>
        <v>2.4127765077291539</v>
      </c>
      <c r="P160" s="54">
        <f t="shared" si="329"/>
        <v>0.48594377510040154</v>
      </c>
    </row>
    <row r="161" spans="5:16">
      <c r="E161" s="221">
        <f t="shared" si="330"/>
        <v>3.4973157632365819</v>
      </c>
      <c r="F161" s="221">
        <f t="shared" si="330"/>
        <v>3.1644545896739107</v>
      </c>
      <c r="G161" s="221">
        <f t="shared" si="330"/>
        <v>2.9645604338674296</v>
      </c>
      <c r="J161" s="54">
        <f t="shared" si="327"/>
        <v>1.21</v>
      </c>
      <c r="L161" s="54">
        <f t="shared" si="328"/>
        <v>1.1813391812865499</v>
      </c>
      <c r="P161" s="54">
        <f t="shared" si="329"/>
        <v>0</v>
      </c>
    </row>
    <row r="162" spans="5:16">
      <c r="E162" s="221">
        <f t="shared" si="330"/>
        <v>0.15051391983432616</v>
      </c>
      <c r="F162" s="221">
        <f t="shared" si="330"/>
        <v>0.17051391983432573</v>
      </c>
      <c r="G162" s="221">
        <f t="shared" si="330"/>
        <v>0.18251391983432619</v>
      </c>
      <c r="J162" s="54">
        <f t="shared" si="327"/>
        <v>2.92</v>
      </c>
      <c r="L162" s="54">
        <f t="shared" si="328"/>
        <v>2.924884428223844</v>
      </c>
      <c r="P162" s="54">
        <f t="shared" si="329"/>
        <v>0.89178082191780828</v>
      </c>
    </row>
    <row r="163" spans="5:16">
      <c r="E163" s="221">
        <f t="shared" si="330"/>
        <v>0.91400092250040466</v>
      </c>
      <c r="F163" s="221">
        <f t="shared" si="330"/>
        <v>0.82952266414272025</v>
      </c>
      <c r="G163" s="221">
        <f t="shared" si="330"/>
        <v>0.8415226641427207</v>
      </c>
      <c r="J163" s="54">
        <f t="shared" si="327"/>
        <v>2.6040000000000001</v>
      </c>
      <c r="L163" s="54">
        <f t="shared" si="328"/>
        <v>2.6001509814561552</v>
      </c>
      <c r="P163" s="54">
        <f t="shared" si="329"/>
        <v>0</v>
      </c>
    </row>
    <row r="164" spans="5:16">
      <c r="E164" s="221">
        <f t="shared" si="330"/>
        <v>5.4513919834326074E-2</v>
      </c>
      <c r="F164" s="221">
        <f t="shared" si="330"/>
        <v>9.3513919834325776E-2</v>
      </c>
      <c r="G164" s="221">
        <f t="shared" si="330"/>
        <v>5.9513919834326856E-2</v>
      </c>
      <c r="J164" s="54">
        <f t="shared" si="327"/>
        <v>2.98</v>
      </c>
      <c r="L164" s="54">
        <f t="shared" si="328"/>
        <v>2.9730000000000003</v>
      </c>
      <c r="P164" s="54">
        <f t="shared" si="329"/>
        <v>0.21812080536912754</v>
      </c>
    </row>
    <row r="165" spans="5:16">
      <c r="E165" s="221">
        <f t="shared" si="330"/>
        <v>5.8470139198343265</v>
      </c>
      <c r="F165" s="221">
        <f t="shared" si="330"/>
        <v>5.2355139198343288</v>
      </c>
      <c r="G165" s="221">
        <f t="shared" si="330"/>
        <v>5.022513919834326</v>
      </c>
      <c r="J165" s="54">
        <f t="shared" si="327"/>
        <v>0.65</v>
      </c>
      <c r="L165" s="54">
        <f t="shared" si="328"/>
        <v>0.64114025664333196</v>
      </c>
      <c r="P165" s="54">
        <f t="shared" si="329"/>
        <v>0</v>
      </c>
    </row>
    <row r="166" spans="5:16">
      <c r="E166" s="221">
        <f t="shared" si="330"/>
        <v>0.13551391983432737</v>
      </c>
      <c r="F166" s="221">
        <f t="shared" si="330"/>
        <v>0.21051391983432666</v>
      </c>
      <c r="G166" s="221">
        <f t="shared" si="330"/>
        <v>4.9513919834327069E-2</v>
      </c>
      <c r="J166" s="54">
        <f t="shared" si="327"/>
        <v>2.9849999999999999</v>
      </c>
      <c r="L166" s="54">
        <f t="shared" si="328"/>
        <v>2.9409432739059969</v>
      </c>
      <c r="P166" s="54">
        <f t="shared" si="329"/>
        <v>0.12160804020100503</v>
      </c>
    </row>
    <row r="167" spans="5:16">
      <c r="E167" s="221">
        <f t="shared" si="330"/>
        <v>7.506211299409328</v>
      </c>
      <c r="F167" s="221">
        <f t="shared" si="330"/>
        <v>6.9674801400093269</v>
      </c>
      <c r="G167" s="221">
        <f t="shared" si="330"/>
        <v>6.5988298817293272</v>
      </c>
      <c r="J167" s="54">
        <f t="shared" si="327"/>
        <v>0.36299999999999999</v>
      </c>
      <c r="L167" s="54">
        <f t="shared" si="328"/>
        <v>0.35967146695325103</v>
      </c>
      <c r="P167" s="54">
        <f t="shared" si="329"/>
        <v>0</v>
      </c>
    </row>
    <row r="168" spans="5:16">
      <c r="E168" s="221">
        <f t="shared" si="330"/>
        <v>0.36051391983432701</v>
      </c>
      <c r="F168" s="221">
        <f t="shared" si="330"/>
        <v>0.41451391983432728</v>
      </c>
      <c r="G168" s="221">
        <f t="shared" si="330"/>
        <v>0.36551391983432602</v>
      </c>
      <c r="J168" s="54">
        <f t="shared" si="327"/>
        <v>2.8359999999999999</v>
      </c>
      <c r="L168" s="54">
        <f t="shared" si="328"/>
        <v>2.8266765346103613</v>
      </c>
      <c r="P168" s="54">
        <f t="shared" si="329"/>
        <v>0.10966149506346969</v>
      </c>
    </row>
    <row r="169" spans="5:16">
      <c r="E169" s="221">
        <f t="shared" si="330"/>
        <v>0</v>
      </c>
      <c r="F169" s="221">
        <f t="shared" si="330"/>
        <v>0</v>
      </c>
      <c r="G169" s="221">
        <f t="shared" si="330"/>
        <v>6.8915139198343258</v>
      </c>
      <c r="J169" s="54">
        <f t="shared" si="327"/>
        <v>0.311</v>
      </c>
      <c r="L169" s="54">
        <f t="shared" si="328"/>
        <v>0.311</v>
      </c>
      <c r="P169" s="54">
        <f t="shared" si="329"/>
        <v>0</v>
      </c>
    </row>
    <row r="170" spans="5:16">
      <c r="E170" s="221">
        <f t="shared" si="330"/>
        <v>0.36051391983432701</v>
      </c>
      <c r="F170" s="221">
        <f t="shared" si="330"/>
        <v>0.41451391983432728</v>
      </c>
      <c r="G170" s="221">
        <f t="shared" si="330"/>
        <v>0.36551391983432602</v>
      </c>
      <c r="J170" s="54">
        <f t="shared" si="327"/>
        <v>2.8359999999999999</v>
      </c>
      <c r="L170" s="54">
        <f t="shared" si="328"/>
        <v>2.8266765346103613</v>
      </c>
      <c r="P170" s="54">
        <f t="shared" si="329"/>
        <v>5.500705218617772E-2</v>
      </c>
    </row>
    <row r="171" spans="5:16">
      <c r="E171" s="221">
        <f t="shared" si="330"/>
        <v>0</v>
      </c>
      <c r="F171" s="221">
        <f t="shared" si="330"/>
        <v>0</v>
      </c>
      <c r="G171" s="221">
        <f t="shared" si="330"/>
        <v>8.1685139198343268</v>
      </c>
      <c r="J171" s="54">
        <f t="shared" si="327"/>
        <v>0.156</v>
      </c>
      <c r="L171" s="54">
        <f t="shared" si="328"/>
        <v>0.156</v>
      </c>
      <c r="P171" s="54">
        <f t="shared" si="329"/>
        <v>0</v>
      </c>
    </row>
    <row r="172" spans="5:16">
      <c r="E172" s="221">
        <f t="shared" ref="E172:G191" si="331">E62</f>
        <v>0.14051391983432637</v>
      </c>
      <c r="F172" s="221">
        <f t="shared" si="331"/>
        <v>0.1935139198343272</v>
      </c>
      <c r="G172" s="221">
        <f t="shared" si="331"/>
        <v>0.20951391983432721</v>
      </c>
      <c r="J172" s="54">
        <f t="shared" si="327"/>
        <v>2.907</v>
      </c>
      <c r="L172" s="54">
        <f t="shared" si="328"/>
        <v>2.9180059502084905</v>
      </c>
      <c r="P172" s="54">
        <f t="shared" si="329"/>
        <v>0.18128654970760236</v>
      </c>
    </row>
    <row r="173" spans="5:16">
      <c r="E173" s="221">
        <f t="shared" si="331"/>
        <v>0</v>
      </c>
      <c r="F173" s="221">
        <f t="shared" si="331"/>
        <v>0</v>
      </c>
      <c r="G173" s="221">
        <f t="shared" si="331"/>
        <v>5.6422052382498169</v>
      </c>
      <c r="J173" s="54">
        <f t="shared" si="327"/>
        <v>0.52700000000000002</v>
      </c>
      <c r="L173" s="54">
        <f t="shared" si="328"/>
        <v>0.52700000000000002</v>
      </c>
      <c r="P173" s="54">
        <f t="shared" si="329"/>
        <v>0</v>
      </c>
    </row>
    <row r="174" spans="5:16">
      <c r="E174" s="221">
        <f t="shared" si="331"/>
        <v>0.46451391983432622</v>
      </c>
      <c r="F174" s="221">
        <f t="shared" si="331"/>
        <v>0.53151391983432639</v>
      </c>
      <c r="G174" s="221">
        <f t="shared" si="331"/>
        <v>0.46851391983432578</v>
      </c>
      <c r="J174" s="54">
        <f t="shared" si="327"/>
        <v>2.79</v>
      </c>
      <c r="L174" s="54">
        <f t="shared" si="328"/>
        <v>2.7769937555753783</v>
      </c>
      <c r="P174" s="54">
        <f t="shared" si="329"/>
        <v>0.13620071684587814</v>
      </c>
    </row>
    <row r="175" spans="5:16">
      <c r="E175" s="221">
        <f t="shared" si="331"/>
        <v>0</v>
      </c>
      <c r="F175" s="221">
        <f t="shared" si="331"/>
        <v>0</v>
      </c>
      <c r="G175" s="221">
        <f t="shared" si="331"/>
        <v>6.5029794303443254</v>
      </c>
      <c r="J175" s="54">
        <f t="shared" si="327"/>
        <v>0.38</v>
      </c>
      <c r="L175" s="54">
        <f t="shared" si="328"/>
        <v>0.38</v>
      </c>
      <c r="P175" s="54">
        <f t="shared" si="329"/>
        <v>0</v>
      </c>
    </row>
    <row r="176" spans="5:16">
      <c r="E176" s="221">
        <f t="shared" si="331"/>
        <v>0.46451391983432622</v>
      </c>
      <c r="F176" s="221">
        <f t="shared" si="331"/>
        <v>0.53151391983432639</v>
      </c>
      <c r="G176" s="221">
        <f t="shared" si="331"/>
        <v>0.46851391983432578</v>
      </c>
      <c r="J176" s="54">
        <f t="shared" ref="J176:J207" si="332">J66</f>
        <v>2.79</v>
      </c>
      <c r="L176" s="54">
        <f t="shared" ref="L176:L207" si="333">L66</f>
        <v>2.7769937555753783</v>
      </c>
      <c r="P176" s="54">
        <f t="shared" ref="P176:P207" si="334">P66</f>
        <v>5.0537634408602143E-2</v>
      </c>
    </row>
    <row r="177" spans="5:16">
      <c r="E177" s="221">
        <f t="shared" si="331"/>
        <v>0</v>
      </c>
      <c r="F177" s="221">
        <f t="shared" si="331"/>
        <v>0</v>
      </c>
      <c r="G177" s="221">
        <f t="shared" si="331"/>
        <v>8.3798339502593251</v>
      </c>
      <c r="J177" s="54">
        <f t="shared" si="332"/>
        <v>0.14099999999999999</v>
      </c>
      <c r="L177" s="54">
        <f t="shared" si="333"/>
        <v>0.14099999999999999</v>
      </c>
      <c r="P177" s="54">
        <f t="shared" si="334"/>
        <v>0</v>
      </c>
    </row>
    <row r="178" spans="5:16">
      <c r="E178" s="221">
        <f t="shared" si="331"/>
        <v>-0.45148608016567326</v>
      </c>
      <c r="F178" s="221">
        <f t="shared" si="331"/>
        <v>-0.47048608016567339</v>
      </c>
      <c r="G178" s="221">
        <f t="shared" si="331"/>
        <v>-0.5044860801656732</v>
      </c>
      <c r="J178" s="54">
        <f t="shared" si="332"/>
        <v>3.407</v>
      </c>
      <c r="L178" s="54">
        <f t="shared" si="333"/>
        <v>3.347295877513309</v>
      </c>
      <c r="P178" s="54">
        <f t="shared" si="334"/>
        <v>0.1810977399471676</v>
      </c>
    </row>
    <row r="179" spans="5:16">
      <c r="E179" s="221">
        <f t="shared" si="331"/>
        <v>5.3840139198343246</v>
      </c>
      <c r="F179" s="221">
        <f t="shared" si="331"/>
        <v>5.1735139198343232</v>
      </c>
      <c r="G179" s="221">
        <f t="shared" si="331"/>
        <v>5.1715139198343252</v>
      </c>
      <c r="J179" s="54">
        <f t="shared" si="332"/>
        <v>0.61699999999999999</v>
      </c>
      <c r="L179" s="54">
        <f t="shared" si="333"/>
        <v>0.67466153846153853</v>
      </c>
      <c r="P179" s="54">
        <f t="shared" si="334"/>
        <v>0</v>
      </c>
    </row>
    <row r="180" spans="5:16">
      <c r="E180" s="221">
        <f t="shared" si="331"/>
        <v>0.523068657938631</v>
      </c>
      <c r="F180" s="221">
        <f t="shared" si="331"/>
        <v>0.54306865793863057</v>
      </c>
      <c r="G180" s="221">
        <f t="shared" si="331"/>
        <v>0.48706865793863052</v>
      </c>
      <c r="J180" s="54">
        <f t="shared" si="332"/>
        <v>3.835</v>
      </c>
      <c r="L180" s="54">
        <f t="shared" si="333"/>
        <v>3.6569447262080303</v>
      </c>
      <c r="P180" s="54">
        <f t="shared" si="334"/>
        <v>0.63780964797913953</v>
      </c>
    </row>
    <row r="181" spans="5:16">
      <c r="E181" s="221">
        <f t="shared" si="331"/>
        <v>1.773068657938631</v>
      </c>
      <c r="F181" s="221">
        <f t="shared" si="331"/>
        <v>1.8930686579386307</v>
      </c>
      <c r="G181" s="221">
        <f t="shared" si="331"/>
        <v>1.5370686579386306</v>
      </c>
      <c r="J181" s="54">
        <f t="shared" si="332"/>
        <v>2.4460000000000002</v>
      </c>
      <c r="L181" s="54">
        <f t="shared" si="333"/>
        <v>2.3452835639246059</v>
      </c>
      <c r="P181" s="54">
        <f t="shared" si="334"/>
        <v>0</v>
      </c>
    </row>
    <row r="182" spans="5:16">
      <c r="E182" s="221">
        <f t="shared" si="331"/>
        <v>1.7940686579386309</v>
      </c>
      <c r="F182" s="221">
        <f t="shared" si="331"/>
        <v>1.7460686579386309</v>
      </c>
      <c r="G182" s="221">
        <f t="shared" si="331"/>
        <v>1.6740686579386308</v>
      </c>
      <c r="J182" s="54">
        <f t="shared" si="332"/>
        <v>2.3109999999999999</v>
      </c>
      <c r="L182" s="54">
        <f t="shared" si="333"/>
        <v>2.2011986126562402</v>
      </c>
      <c r="P182" s="54">
        <f t="shared" si="334"/>
        <v>0.51968844655993085</v>
      </c>
    </row>
    <row r="183" spans="5:16">
      <c r="E183" s="221">
        <f t="shared" si="331"/>
        <v>3.2575686579386298</v>
      </c>
      <c r="F183" s="221">
        <f t="shared" si="331"/>
        <v>3.110068657938629</v>
      </c>
      <c r="G183" s="221">
        <f t="shared" si="331"/>
        <v>3.017068657938629</v>
      </c>
      <c r="J183" s="54">
        <f t="shared" si="332"/>
        <v>1.2010000000000001</v>
      </c>
      <c r="L183" s="54">
        <f t="shared" si="333"/>
        <v>1.2125928990003447</v>
      </c>
      <c r="P183" s="54">
        <f t="shared" si="334"/>
        <v>0</v>
      </c>
    </row>
    <row r="184" spans="5:16">
      <c r="E184" s="221">
        <f t="shared" si="331"/>
        <v>-0.38993134206136926</v>
      </c>
      <c r="F184" s="221">
        <f t="shared" si="331"/>
        <v>-0.37393134206136924</v>
      </c>
      <c r="G184" s="221">
        <f t="shared" si="331"/>
        <v>-0.38693134206136914</v>
      </c>
      <c r="J184" s="54">
        <f t="shared" si="332"/>
        <v>5.2240000000000002</v>
      </c>
      <c r="L184" s="54">
        <f t="shared" si="333"/>
        <v>5.083143536481753</v>
      </c>
      <c r="P184" s="54">
        <f t="shared" si="334"/>
        <v>0.24693721286370596</v>
      </c>
    </row>
    <row r="185" spans="5:16">
      <c r="E185" s="221">
        <f t="shared" si="331"/>
        <v>2.710568657938631</v>
      </c>
      <c r="F185" s="221">
        <f t="shared" si="331"/>
        <v>2.6445686579386445</v>
      </c>
      <c r="G185" s="221">
        <f t="shared" si="331"/>
        <v>2.6805686579386494</v>
      </c>
      <c r="J185" s="54">
        <f t="shared" si="332"/>
        <v>1.29</v>
      </c>
      <c r="L185" s="54">
        <f t="shared" si="333"/>
        <v>1.3306277398458357</v>
      </c>
      <c r="P185" s="54">
        <f t="shared" si="334"/>
        <v>0</v>
      </c>
    </row>
    <row r="186" spans="5:16">
      <c r="E186" s="221">
        <f t="shared" si="331"/>
        <v>-0.38993134206136926</v>
      </c>
      <c r="F186" s="221">
        <f t="shared" si="331"/>
        <v>-0.37393134206136924</v>
      </c>
      <c r="G186" s="221">
        <f t="shared" si="331"/>
        <v>-0.38693134206136914</v>
      </c>
      <c r="J186" s="54">
        <f t="shared" si="332"/>
        <v>5.2240000000000002</v>
      </c>
      <c r="L186" s="54">
        <f t="shared" si="333"/>
        <v>5.083143536481753</v>
      </c>
      <c r="P186" s="54">
        <f t="shared" si="334"/>
        <v>0.1881699846860643</v>
      </c>
    </row>
    <row r="187" spans="5:16">
      <c r="E187" s="221">
        <f t="shared" si="331"/>
        <v>4.8832987780136312</v>
      </c>
      <c r="F187" s="221">
        <f t="shared" si="331"/>
        <v>3.8883825915786305</v>
      </c>
      <c r="G187" s="221">
        <f t="shared" si="331"/>
        <v>3.5975814387436307</v>
      </c>
      <c r="J187" s="54">
        <f t="shared" si="332"/>
        <v>0.98299999999999998</v>
      </c>
      <c r="L187" s="54">
        <f t="shared" si="333"/>
        <v>0.85223625178757223</v>
      </c>
      <c r="P187" s="54">
        <f t="shared" si="334"/>
        <v>0</v>
      </c>
    </row>
    <row r="188" spans="5:16">
      <c r="E188" s="221">
        <f t="shared" si="331"/>
        <v>-0.5029313420613688</v>
      </c>
      <c r="F188" s="221">
        <f t="shared" si="331"/>
        <v>-0.52193134206136893</v>
      </c>
      <c r="G188" s="221">
        <f t="shared" si="331"/>
        <v>-0.54293134206136884</v>
      </c>
      <c r="J188" s="54">
        <f t="shared" si="332"/>
        <v>5.4640000000000004</v>
      </c>
      <c r="L188" s="54">
        <f t="shared" si="333"/>
        <v>5.2958600389231281</v>
      </c>
      <c r="P188" s="54">
        <f t="shared" si="334"/>
        <v>0.31680087847730598</v>
      </c>
    </row>
    <row r="189" spans="5:16">
      <c r="E189" s="221">
        <f t="shared" si="331"/>
        <v>2.1680686579386306</v>
      </c>
      <c r="F189" s="221">
        <f t="shared" si="331"/>
        <v>2.0560686579386278</v>
      </c>
      <c r="G189" s="221">
        <f t="shared" si="331"/>
        <v>2.0150686579386274</v>
      </c>
      <c r="J189" s="54">
        <f t="shared" si="332"/>
        <v>1.7310000000000001</v>
      </c>
      <c r="L189" s="54">
        <f t="shared" si="333"/>
        <v>1.720244798041616</v>
      </c>
      <c r="P189" s="54">
        <f t="shared" si="334"/>
        <v>0</v>
      </c>
    </row>
    <row r="190" spans="5:16">
      <c r="E190" s="221">
        <f t="shared" si="331"/>
        <v>0.98206865793863063</v>
      </c>
      <c r="F190" s="221">
        <f t="shared" si="331"/>
        <v>1.0050686579386312</v>
      </c>
      <c r="G190" s="221">
        <f t="shared" si="331"/>
        <v>0.92506865793863113</v>
      </c>
      <c r="J190" s="54">
        <f t="shared" si="332"/>
        <v>3.14</v>
      </c>
      <c r="L190" s="54">
        <f t="shared" si="333"/>
        <v>3.037206119954408</v>
      </c>
      <c r="P190" s="54">
        <f t="shared" si="334"/>
        <v>0.74522292993630568</v>
      </c>
    </row>
    <row r="191" spans="5:16">
      <c r="E191" s="221">
        <f t="shared" si="331"/>
        <v>1.8555686579386297</v>
      </c>
      <c r="F191" s="221">
        <f t="shared" si="331"/>
        <v>1.7480686579386289</v>
      </c>
      <c r="G191" s="221">
        <f t="shared" si="331"/>
        <v>1.6480686579386319</v>
      </c>
      <c r="J191" s="54">
        <f t="shared" si="332"/>
        <v>2.34</v>
      </c>
      <c r="L191" s="54">
        <f t="shared" si="333"/>
        <v>2.1132189110909572</v>
      </c>
      <c r="P191" s="54">
        <f t="shared" si="334"/>
        <v>0</v>
      </c>
    </row>
    <row r="192" spans="5:16">
      <c r="E192" s="221">
        <f t="shared" ref="E192:G211" si="335">E82</f>
        <v>1.6750686579386311</v>
      </c>
      <c r="F192" s="221">
        <f t="shared" si="335"/>
        <v>1.7080686579386306</v>
      </c>
      <c r="G192" s="221">
        <f t="shared" si="335"/>
        <v>1.608068657938631</v>
      </c>
      <c r="J192" s="54">
        <f t="shared" si="332"/>
        <v>2.38</v>
      </c>
      <c r="L192" s="54">
        <f t="shared" si="333"/>
        <v>2.3284822446502851</v>
      </c>
      <c r="P192" s="54">
        <f t="shared" si="334"/>
        <v>2.5630252100840335E-2</v>
      </c>
    </row>
    <row r="193" spans="5:16">
      <c r="E193" s="221">
        <f t="shared" si="335"/>
        <v>8.7985686579386311</v>
      </c>
      <c r="F193" s="221">
        <f t="shared" si="335"/>
        <v>8.449068657938632</v>
      </c>
      <c r="G193" s="221">
        <f t="shared" si="335"/>
        <v>8.2930686579386315</v>
      </c>
      <c r="J193" s="54">
        <f t="shared" si="332"/>
        <v>6.0999999999999999E-2</v>
      </c>
      <c r="L193" s="54">
        <f t="shared" si="333"/>
        <v>7.174242424242426E-2</v>
      </c>
      <c r="P193" s="54">
        <f t="shared" si="334"/>
        <v>0</v>
      </c>
    </row>
    <row r="194" spans="5:16">
      <c r="E194" s="221">
        <f t="shared" si="335"/>
        <v>1.0020686579386311</v>
      </c>
      <c r="F194" s="221">
        <f t="shared" si="335"/>
        <v>0.97806865793863107</v>
      </c>
      <c r="G194" s="221">
        <f t="shared" si="335"/>
        <v>0.89006865793863099</v>
      </c>
      <c r="J194" s="54">
        <f t="shared" si="332"/>
        <v>3.1850000000000001</v>
      </c>
      <c r="L194" s="54">
        <f t="shared" si="333"/>
        <v>3.0485770505806498</v>
      </c>
      <c r="P194" s="54">
        <f t="shared" si="334"/>
        <v>0.98932496075353216</v>
      </c>
    </row>
    <row r="195" spans="5:16">
      <c r="E195" s="221">
        <f t="shared" si="335"/>
        <v>1.0560686579386305</v>
      </c>
      <c r="F195" s="221">
        <f t="shared" si="335"/>
        <v>1.0070686579386319</v>
      </c>
      <c r="G195" s="221">
        <f t="shared" si="335"/>
        <v>0.91606865793863346</v>
      </c>
      <c r="J195" s="54">
        <f t="shared" si="332"/>
        <v>3.1509999999999998</v>
      </c>
      <c r="L195" s="54">
        <f t="shared" si="333"/>
        <v>3.0064787763815572</v>
      </c>
      <c r="P195" s="54">
        <f t="shared" si="334"/>
        <v>0</v>
      </c>
    </row>
    <row r="196" spans="5:16">
      <c r="E196" s="221">
        <f t="shared" si="335"/>
        <v>1.5690686579386304</v>
      </c>
      <c r="F196" s="221">
        <f t="shared" si="335"/>
        <v>1.5840686579386309</v>
      </c>
      <c r="G196" s="221">
        <f t="shared" si="335"/>
        <v>1.6130686579386309</v>
      </c>
      <c r="J196" s="54">
        <f t="shared" si="332"/>
        <v>2.375</v>
      </c>
      <c r="L196" s="54">
        <f t="shared" si="333"/>
        <v>2.3823029721331062</v>
      </c>
      <c r="P196" s="54">
        <f t="shared" si="334"/>
        <v>0.17684210526315788</v>
      </c>
    </row>
    <row r="197" spans="5:16">
      <c r="E197" s="221">
        <f t="shared" si="335"/>
        <v>6.3555686579386297</v>
      </c>
      <c r="F197" s="221">
        <f t="shared" si="335"/>
        <v>5.7505686579386293</v>
      </c>
      <c r="G197" s="221">
        <f t="shared" si="335"/>
        <v>5.5235686579386281</v>
      </c>
      <c r="J197" s="54">
        <f t="shared" si="332"/>
        <v>0.42</v>
      </c>
      <c r="L197" s="54">
        <f t="shared" si="333"/>
        <v>0.43263308915946369</v>
      </c>
      <c r="P197" s="54">
        <f t="shared" si="334"/>
        <v>0</v>
      </c>
    </row>
    <row r="198" spans="5:16">
      <c r="E198" s="221">
        <f t="shared" si="335"/>
        <v>1.2780686579386309</v>
      </c>
      <c r="F198" s="221">
        <f t="shared" si="335"/>
        <v>1.3250686579386306</v>
      </c>
      <c r="G198" s="221">
        <f t="shared" si="335"/>
        <v>1.3280686579386307</v>
      </c>
      <c r="J198" s="54">
        <f t="shared" si="332"/>
        <v>2.6669999999999998</v>
      </c>
      <c r="L198" s="54">
        <f t="shared" si="333"/>
        <v>2.6613197178959735</v>
      </c>
      <c r="P198" s="54">
        <f t="shared" si="334"/>
        <v>5.249343832020998E-2</v>
      </c>
    </row>
    <row r="199" spans="5:16">
      <c r="E199" s="221">
        <f t="shared" si="335"/>
        <v>0</v>
      </c>
      <c r="F199" s="221">
        <f t="shared" si="335"/>
        <v>0</v>
      </c>
      <c r="G199" s="221">
        <f t="shared" si="335"/>
        <v>7.1040686579386305</v>
      </c>
      <c r="J199" s="54">
        <f t="shared" si="332"/>
        <v>0.14000000000000001</v>
      </c>
      <c r="L199" s="54">
        <f t="shared" si="333"/>
        <v>0.14000000000000001</v>
      </c>
      <c r="P199" s="54">
        <f t="shared" si="334"/>
        <v>0</v>
      </c>
    </row>
    <row r="200" spans="5:16">
      <c r="E200" s="221">
        <f t="shared" si="335"/>
        <v>1.6030686579386311</v>
      </c>
      <c r="F200" s="221">
        <f t="shared" si="335"/>
        <v>1.5600686579386309</v>
      </c>
      <c r="G200" s="221">
        <f t="shared" si="335"/>
        <v>1.4610686579386307</v>
      </c>
      <c r="J200" s="54">
        <f t="shared" si="332"/>
        <v>2.5190000000000001</v>
      </c>
      <c r="L200" s="54">
        <f t="shared" si="333"/>
        <v>2.4217220517322238</v>
      </c>
      <c r="P200" s="54">
        <f t="shared" si="334"/>
        <v>1.5482334259626836E-2</v>
      </c>
    </row>
    <row r="201" spans="5:16">
      <c r="E201" s="221">
        <f t="shared" si="335"/>
        <v>9.9738756380536309</v>
      </c>
      <c r="F201" s="221">
        <f t="shared" si="335"/>
        <v>9.4020977669736308</v>
      </c>
      <c r="G201" s="221">
        <f t="shared" si="335"/>
        <v>9.0126794668836308</v>
      </c>
      <c r="J201" s="54">
        <f t="shared" si="332"/>
        <v>3.9E-2</v>
      </c>
      <c r="L201" s="54">
        <f t="shared" si="333"/>
        <v>3.9576271186440679E-2</v>
      </c>
      <c r="P201" s="54">
        <f t="shared" si="334"/>
        <v>0</v>
      </c>
    </row>
    <row r="202" spans="5:16">
      <c r="E202" s="221">
        <f t="shared" si="335"/>
        <v>1.6280686579386305</v>
      </c>
      <c r="F202" s="221">
        <f t="shared" si="335"/>
        <v>1.6690686579386309</v>
      </c>
      <c r="G202" s="221">
        <f t="shared" si="335"/>
        <v>1.6010686579386304</v>
      </c>
      <c r="J202" s="54">
        <f t="shared" si="332"/>
        <v>2.387</v>
      </c>
      <c r="L202" s="54">
        <f t="shared" si="333"/>
        <v>2.3442243080368326</v>
      </c>
      <c r="P202" s="54">
        <f t="shared" si="334"/>
        <v>3.0582320904901549E-2</v>
      </c>
    </row>
    <row r="203" spans="5:16">
      <c r="E203" s="221">
        <f t="shared" si="335"/>
        <v>0</v>
      </c>
      <c r="F203" s="221">
        <f t="shared" si="335"/>
        <v>0</v>
      </c>
      <c r="G203" s="221">
        <f t="shared" si="335"/>
        <v>8.0518201208436295</v>
      </c>
      <c r="J203" s="54">
        <f t="shared" si="332"/>
        <v>7.2999999999999995E-2</v>
      </c>
      <c r="L203" s="54">
        <f t="shared" si="333"/>
        <v>7.2999999999999995E-2</v>
      </c>
      <c r="P203" s="54">
        <f t="shared" si="334"/>
        <v>0</v>
      </c>
    </row>
    <row r="204" spans="5:16">
      <c r="E204" s="221">
        <f t="shared" si="335"/>
        <v>0.51606865793863044</v>
      </c>
      <c r="F204" s="221">
        <f t="shared" si="335"/>
        <v>-0.16093134206136916</v>
      </c>
      <c r="G204" s="221">
        <f t="shared" si="335"/>
        <v>-0.3389313420613691</v>
      </c>
      <c r="J204" s="54">
        <f t="shared" si="332"/>
        <v>5.15</v>
      </c>
      <c r="L204" s="54">
        <f t="shared" si="333"/>
        <v>4.5154580567525961</v>
      </c>
      <c r="P204" s="54">
        <f t="shared" si="334"/>
        <v>0.88757281553398049</v>
      </c>
    </row>
    <row r="205" spans="5:16">
      <c r="E205" s="221">
        <f t="shared" si="335"/>
        <v>1.1263815187574018</v>
      </c>
      <c r="F205" s="221">
        <f t="shared" si="335"/>
        <v>0.37574407041171298</v>
      </c>
      <c r="G205" s="221">
        <f t="shared" si="335"/>
        <v>4.832355790298859E-2</v>
      </c>
      <c r="J205" s="54">
        <f t="shared" si="332"/>
        <v>4.5709999999999997</v>
      </c>
      <c r="L205" s="54">
        <f t="shared" si="333"/>
        <v>4.2895741790781807</v>
      </c>
      <c r="P205" s="54">
        <f t="shared" si="334"/>
        <v>0</v>
      </c>
    </row>
    <row r="206" spans="5:16">
      <c r="E206" s="221">
        <f t="shared" si="335"/>
        <v>1.9470686579386305</v>
      </c>
      <c r="F206" s="221">
        <f t="shared" si="335"/>
        <v>1.9000686579386308</v>
      </c>
      <c r="G206" s="221">
        <f t="shared" si="335"/>
        <v>1.8990686579386304</v>
      </c>
      <c r="J206" s="54">
        <f t="shared" si="332"/>
        <v>1.8140000000000001</v>
      </c>
      <c r="L206" s="54">
        <f t="shared" si="333"/>
        <v>1.8598228949103093</v>
      </c>
      <c r="P206" s="54">
        <f t="shared" si="334"/>
        <v>1.1025358324145534E-2</v>
      </c>
    </row>
    <row r="207" spans="5:16">
      <c r="E207" s="221">
        <f t="shared" si="335"/>
        <v>11.085974328398631</v>
      </c>
      <c r="F207" s="221">
        <f t="shared" si="335"/>
        <v>10.537779221055297</v>
      </c>
      <c r="G207" s="221">
        <f t="shared" si="335"/>
        <v>10.665417213565298</v>
      </c>
      <c r="J207" s="54">
        <f t="shared" si="332"/>
        <v>0.02</v>
      </c>
      <c r="L207" s="54">
        <f t="shared" si="333"/>
        <v>2.1333333333333333E-2</v>
      </c>
      <c r="P207" s="54">
        <f t="shared" si="334"/>
        <v>0</v>
      </c>
    </row>
    <row r="208" spans="5:16">
      <c r="E208" s="221">
        <f t="shared" si="335"/>
        <v>1.9470686579386305</v>
      </c>
      <c r="F208" s="221">
        <f t="shared" si="335"/>
        <v>1.9000686579386308</v>
      </c>
      <c r="G208" s="221">
        <f t="shared" si="335"/>
        <v>1.8990686579386304</v>
      </c>
      <c r="J208" s="54">
        <f t="shared" ref="J208:J219" si="336">J98</f>
        <v>1.8140000000000001</v>
      </c>
      <c r="L208" s="54">
        <f t="shared" ref="L208:L239" si="337">L98</f>
        <v>1.8598228949103093</v>
      </c>
      <c r="P208" s="54">
        <f t="shared" ref="P208:P239" si="338">P98</f>
        <v>2.0948180815876516E-2</v>
      </c>
    </row>
    <row r="209" spans="5:16">
      <c r="E209" s="221">
        <f t="shared" si="335"/>
        <v>9.5404019912719633</v>
      </c>
      <c r="F209" s="221">
        <f t="shared" si="335"/>
        <v>9.1227353246052996</v>
      </c>
      <c r="G209" s="221">
        <f t="shared" si="335"/>
        <v>9.0177353246052991</v>
      </c>
      <c r="J209" s="54">
        <f t="shared" si="336"/>
        <v>3.7999999999999999E-2</v>
      </c>
      <c r="L209" s="54">
        <f t="shared" si="337"/>
        <v>4.6333333333333324E-2</v>
      </c>
      <c r="P209" s="54">
        <f t="shared" si="338"/>
        <v>0</v>
      </c>
    </row>
    <row r="210" spans="5:16">
      <c r="E210" s="221">
        <f t="shared" si="335"/>
        <v>1.9470686579386305</v>
      </c>
      <c r="F210" s="221">
        <f t="shared" si="335"/>
        <v>1.9000686579386308</v>
      </c>
      <c r="G210" s="221">
        <f t="shared" si="335"/>
        <v>1.8990686579386304</v>
      </c>
      <c r="J210" s="54">
        <f t="shared" si="336"/>
        <v>1.8140000000000001</v>
      </c>
      <c r="L210" s="54">
        <f t="shared" si="337"/>
        <v>1.8598228949103093</v>
      </c>
      <c r="P210" s="54">
        <f t="shared" si="338"/>
        <v>0.1918412348401323</v>
      </c>
    </row>
    <row r="211" spans="5:16">
      <c r="E211" s="221">
        <f t="shared" si="335"/>
        <v>6.6570686579386305</v>
      </c>
      <c r="F211" s="221">
        <f t="shared" si="335"/>
        <v>5.9800686579386308</v>
      </c>
      <c r="G211" s="221">
        <f t="shared" si="335"/>
        <v>5.7890686579386301</v>
      </c>
      <c r="J211" s="54">
        <f t="shared" si="336"/>
        <v>0.34799999999999998</v>
      </c>
      <c r="L211" s="54">
        <f t="shared" si="337"/>
        <v>0.36087613488975351</v>
      </c>
      <c r="P211" s="54">
        <f t="shared" si="338"/>
        <v>0</v>
      </c>
    </row>
    <row r="212" spans="5:16">
      <c r="E212" s="221">
        <f t="shared" ref="E212:G219" si="339">E102</f>
        <v>1.7620686579386309</v>
      </c>
      <c r="F212" s="221">
        <f t="shared" si="339"/>
        <v>1.797068657938631</v>
      </c>
      <c r="G212" s="221">
        <f t="shared" si="339"/>
        <v>1.7430686579386307</v>
      </c>
      <c r="J212" s="54">
        <f t="shared" si="336"/>
        <v>2.1859999999999999</v>
      </c>
      <c r="L212" s="54">
        <f t="shared" si="337"/>
        <v>2.0165180638881792</v>
      </c>
      <c r="P212" s="54">
        <f t="shared" si="338"/>
        <v>3.1107044830741084E-2</v>
      </c>
    </row>
    <row r="213" spans="5:16">
      <c r="E213" s="221">
        <f t="shared" si="339"/>
        <v>8.9720686579386282</v>
      </c>
      <c r="F213" s="221">
        <f t="shared" si="339"/>
        <v>8.4980686579386315</v>
      </c>
      <c r="G213" s="221">
        <f t="shared" si="339"/>
        <v>8.1434019912719648</v>
      </c>
      <c r="J213" s="54">
        <f t="shared" si="336"/>
        <v>6.8000000000000005E-2</v>
      </c>
      <c r="L213" s="54">
        <f t="shared" si="337"/>
        <v>7.1999999999999995E-2</v>
      </c>
      <c r="P213" s="54">
        <f t="shared" si="338"/>
        <v>0</v>
      </c>
    </row>
    <row r="214" spans="5:16">
      <c r="E214" s="221">
        <f t="shared" si="339"/>
        <v>1.7620686579386309</v>
      </c>
      <c r="F214" s="221">
        <f t="shared" si="339"/>
        <v>1.797068657938631</v>
      </c>
      <c r="G214" s="221">
        <f t="shared" si="339"/>
        <v>1.7430686579386307</v>
      </c>
      <c r="J214" s="54">
        <f t="shared" si="336"/>
        <v>2.1859999999999999</v>
      </c>
      <c r="L214" s="54">
        <f t="shared" si="337"/>
        <v>2.0165180638881792</v>
      </c>
      <c r="P214" s="54">
        <f t="shared" si="338"/>
        <v>1.1893870082342177E-2</v>
      </c>
    </row>
    <row r="215" spans="5:16">
      <c r="E215" s="221">
        <f t="shared" si="339"/>
        <v>10.378581408998631</v>
      </c>
      <c r="F215" s="221">
        <f t="shared" si="339"/>
        <v>10.059528959171965</v>
      </c>
      <c r="G215" s="221">
        <f t="shared" si="339"/>
        <v>9.7074901737986306</v>
      </c>
      <c r="J215" s="54">
        <f t="shared" si="336"/>
        <v>2.5999999999999999E-2</v>
      </c>
      <c r="L215" s="54">
        <f t="shared" si="337"/>
        <v>2.777647918188459E-2</v>
      </c>
      <c r="P215" s="54">
        <f t="shared" si="338"/>
        <v>0</v>
      </c>
    </row>
    <row r="216" spans="5:16">
      <c r="E216" s="221">
        <f t="shared" si="339"/>
        <v>1.7620686579386309</v>
      </c>
      <c r="F216" s="221">
        <f t="shared" si="339"/>
        <v>1.797068657938631</v>
      </c>
      <c r="G216" s="221">
        <f t="shared" si="339"/>
        <v>1.7430686579386307</v>
      </c>
      <c r="J216" s="54">
        <f t="shared" si="336"/>
        <v>2.1859999999999999</v>
      </c>
      <c r="L216" s="54">
        <f t="shared" si="337"/>
        <v>2.0165180638881792</v>
      </c>
      <c r="P216" s="54">
        <f t="shared" si="338"/>
        <v>2.0128087831655993E-2</v>
      </c>
    </row>
    <row r="217" spans="5:16">
      <c r="E217" s="221">
        <f t="shared" si="339"/>
        <v>9.6530096225619637</v>
      </c>
      <c r="F217" s="221">
        <f t="shared" si="339"/>
        <v>8.6268251149986312</v>
      </c>
      <c r="G217" s="221">
        <f t="shared" si="339"/>
        <v>8.8185614014236311</v>
      </c>
      <c r="J217" s="54">
        <f t="shared" si="336"/>
        <v>4.3999999999999997E-2</v>
      </c>
      <c r="L217" s="54">
        <f t="shared" si="337"/>
        <v>5.0049180327868849E-2</v>
      </c>
      <c r="P217" s="54">
        <f t="shared" si="338"/>
        <v>0</v>
      </c>
    </row>
    <row r="218" spans="5:16">
      <c r="E218" s="221">
        <f t="shared" si="339"/>
        <v>2.0680686579386309</v>
      </c>
      <c r="F218" s="221">
        <f t="shared" si="339"/>
        <v>2.1180686579386307</v>
      </c>
      <c r="G218" s="221">
        <f t="shared" si="339"/>
        <v>2.1370686579386309</v>
      </c>
      <c r="J218" s="54">
        <f t="shared" si="336"/>
        <v>1.655</v>
      </c>
      <c r="L218" s="54">
        <f t="shared" si="337"/>
        <v>1.7085279857259223</v>
      </c>
      <c r="P218" s="54">
        <f t="shared" si="338"/>
        <v>1.2084592145015106E-2</v>
      </c>
    </row>
    <row r="219" spans="5:16">
      <c r="E219" s="221">
        <f t="shared" si="339"/>
        <v>0</v>
      </c>
      <c r="F219" s="221">
        <f t="shared" si="339"/>
        <v>0</v>
      </c>
      <c r="G219" s="221">
        <f t="shared" si="339"/>
        <v>10.40206865793863</v>
      </c>
      <c r="J219" s="54">
        <f t="shared" si="336"/>
        <v>0.02</v>
      </c>
      <c r="L219" s="54">
        <f t="shared" si="337"/>
        <v>0.02</v>
      </c>
      <c r="P219" s="54">
        <f t="shared" si="338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AB127"/>
  <sheetViews>
    <sheetView workbookViewId="0">
      <selection activeCell="J5" sqref="J5"/>
    </sheetView>
  </sheetViews>
  <sheetFormatPr baseColWidth="10" defaultRowHeight="15" x14ac:dyDescent="0"/>
  <cols>
    <col min="1" max="1" width="13.1640625" style="1" customWidth="1"/>
    <col min="2" max="2" width="12.33203125" style="1" customWidth="1"/>
    <col min="3" max="3" width="10.83203125" style="1"/>
    <col min="4" max="9" width="11" style="1" bestFit="1" customWidth="1"/>
    <col min="10" max="10" width="13.1640625" style="1" customWidth="1"/>
    <col min="11" max="11" width="11.83203125" style="1" bestFit="1" customWidth="1"/>
    <col min="12" max="12" width="18.6640625" style="1" customWidth="1"/>
    <col min="13" max="13" width="44.6640625" style="1" customWidth="1"/>
    <col min="14" max="14" width="41.6640625" style="1" customWidth="1"/>
    <col min="15" max="16384" width="10.83203125" style="1"/>
  </cols>
  <sheetData>
    <row r="1" spans="1:15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41" t="s">
        <v>216</v>
      </c>
      <c r="H1" s="41" t="s">
        <v>217</v>
      </c>
      <c r="I1" s="41" t="s">
        <v>218</v>
      </c>
      <c r="J1" s="41" t="s">
        <v>165</v>
      </c>
      <c r="K1" s="24" t="s">
        <v>164</v>
      </c>
      <c r="L1" s="24" t="s">
        <v>204</v>
      </c>
      <c r="M1" s="24" t="s">
        <v>64</v>
      </c>
      <c r="N1" s="24" t="s">
        <v>123</v>
      </c>
    </row>
    <row r="2" spans="1:15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</row>
    <row r="3" spans="1:15">
      <c r="A3" s="1" t="str">
        <f>'All Binaries'!A3</f>
        <v>HD73340</v>
      </c>
      <c r="B3" s="1" t="str">
        <f>'All Binaries'!B3</f>
        <v>B8p</v>
      </c>
      <c r="C3" s="1">
        <f>'All Binaries'!D3</f>
        <v>145</v>
      </c>
      <c r="D3" s="4">
        <f>'2MASS Binaries'!J2</f>
        <v>0.21215998882512821</v>
      </c>
      <c r="E3" s="4">
        <f>'2MASS Binaries'!K2</f>
        <v>0.22715998882512789</v>
      </c>
      <c r="F3" s="4">
        <f>'2MASS Binaries'!L2</f>
        <v>0.2351599888251279</v>
      </c>
      <c r="G3" s="4">
        <f>'2MASS Binaries'!G2</f>
        <v>2.0300000000000029</v>
      </c>
      <c r="H3" s="4">
        <f>'2MASS Binaries'!H2</f>
        <v>1.9439999999999982</v>
      </c>
      <c r="I3" s="4">
        <f>'2MASS Binaries'!I2</f>
        <v>2.0654999999999841</v>
      </c>
      <c r="J3" s="54">
        <f>'All Binaries'!O3</f>
        <v>0.57160817307811362</v>
      </c>
      <c r="K3" s="4">
        <f>'All Binaries'!P3</f>
        <v>220.95558371663049</v>
      </c>
      <c r="L3" s="1" t="str">
        <f>'All Binaries'!Q3</f>
        <v>OK</v>
      </c>
      <c r="N3" s="1" t="s">
        <v>884</v>
      </c>
      <c r="O3" s="38">
        <v>1</v>
      </c>
    </row>
    <row r="4" spans="1:15">
      <c r="A4" s="55" t="str">
        <f>'All Binaries'!A4</f>
        <v>HD 73340</v>
      </c>
      <c r="D4" s="4">
        <f>'2MASS Binaries'!J3</f>
        <v>2.2421599888251311</v>
      </c>
      <c r="E4" s="4">
        <f>'2MASS Binaries'!K3</f>
        <v>2.1711599888251261</v>
      </c>
      <c r="F4" s="4">
        <f>'2MASS Binaries'!L3</f>
        <v>2.300659988825112</v>
      </c>
      <c r="G4" s="48">
        <f>'2MASS Binaries'!G3</f>
        <v>3.0066592756745815E-2</v>
      </c>
      <c r="H4" s="48">
        <f>'2MASS Binaries'!H3</f>
        <v>3.0066592756745815E-2</v>
      </c>
      <c r="I4" s="48">
        <f>'2MASS Binaries'!I3</f>
        <v>3.0149626863362672E-2</v>
      </c>
      <c r="J4" s="51">
        <f>'All Binaries'!O5</f>
        <v>3.4296490384686817E-3</v>
      </c>
      <c r="K4" s="48">
        <f>'All Binaries'!P5</f>
        <v>0.5</v>
      </c>
      <c r="M4" s="25"/>
      <c r="O4" s="38"/>
    </row>
    <row r="5" spans="1:15">
      <c r="A5" s="1" t="str">
        <f>'All Binaries'!A6</f>
        <v>HD73503</v>
      </c>
      <c r="B5" s="1" t="str">
        <f>'All Binaries'!B6</f>
        <v>A0V</v>
      </c>
      <c r="C5" s="1">
        <f>'All Binaries'!D6</f>
        <v>145</v>
      </c>
      <c r="D5" s="4">
        <f>'2MASS Binaries'!J4</f>
        <v>2.4171599888251283</v>
      </c>
      <c r="E5" s="4">
        <f>'2MASS Binaries'!K4</f>
        <v>2.4191599888251289</v>
      </c>
      <c r="F5" s="4">
        <f>'2MASS Binaries'!L4</f>
        <v>2.3781599888251286</v>
      </c>
      <c r="G5" s="4">
        <f>'2MASS Binaries'!G4</f>
        <v>2.2960000000000154</v>
      </c>
      <c r="H5" s="4">
        <f>'2MASS Binaries'!H4</f>
        <v>2.0140000000000011</v>
      </c>
      <c r="I5" s="4">
        <f>'2MASS Binaries'!I4</f>
        <v>1.9844999999999953</v>
      </c>
      <c r="J5" s="54">
        <f>'All Binaries'!O6</f>
        <v>1.2028845830368915</v>
      </c>
      <c r="K5" s="4">
        <f>'All Binaries'!P6</f>
        <v>134.34707643263948</v>
      </c>
      <c r="L5" s="1" t="str">
        <f>'All Binaries'!Q6</f>
        <v>OK</v>
      </c>
      <c r="M5" s="25"/>
      <c r="O5" s="38">
        <v>2</v>
      </c>
    </row>
    <row r="6" spans="1:15">
      <c r="A6" s="55" t="str">
        <f>'All Binaries'!A7</f>
        <v>HD 73503</v>
      </c>
      <c r="D6" s="4">
        <f>'2MASS Binaries'!J5</f>
        <v>4.7131599888251436</v>
      </c>
      <c r="E6" s="4">
        <f>'2MASS Binaries'!K5</f>
        <v>4.4331599888251301</v>
      </c>
      <c r="F6" s="4">
        <f>'2MASS Binaries'!L5</f>
        <v>4.3626599888251238</v>
      </c>
      <c r="G6" s="48">
        <f>'2MASS Binaries'!G5</f>
        <v>3.0066592756745815E-2</v>
      </c>
      <c r="H6" s="48">
        <f>'2MASS Binaries'!H5</f>
        <v>3.0066592756745815E-2</v>
      </c>
      <c r="I6" s="48">
        <f>'2MASS Binaries'!I5</f>
        <v>3.0066592756745815E-2</v>
      </c>
      <c r="J6" s="51">
        <f>'All Binaries'!O8</f>
        <v>7.2173074982213488E-3</v>
      </c>
      <c r="K6" s="48">
        <f>'All Binaries'!P8</f>
        <v>0.5</v>
      </c>
      <c r="O6" s="236"/>
    </row>
    <row r="7" spans="1:15">
      <c r="A7" s="213" t="str">
        <f>'All Binaries'!A61</f>
        <v>HD73722</v>
      </c>
      <c r="B7" s="25" t="str">
        <f>'All Binaries'!$B$61</f>
        <v>F5V</v>
      </c>
      <c r="C7" s="25">
        <f>'All Binaries'!$D$61</f>
        <v>145</v>
      </c>
      <c r="D7" s="28">
        <f>'2MASS Binaries'!G6</f>
        <v>0.38649999999999807</v>
      </c>
      <c r="E7" s="28">
        <f>'2MASS Binaries'!H6</f>
        <v>0.37149999999999928</v>
      </c>
      <c r="F7" s="28">
        <f>'2MASS Binaries'!I6</f>
        <v>0.34849999999999959</v>
      </c>
      <c r="G7" s="182">
        <f>'2MASS Binaries'!G6</f>
        <v>0.38649999999999807</v>
      </c>
      <c r="H7" s="182">
        <f>'2MASS Binaries'!H6</f>
        <v>0.37149999999999928</v>
      </c>
      <c r="I7" s="182">
        <f>'2MASS Binaries'!I6</f>
        <v>0.34849999999999959</v>
      </c>
      <c r="J7" s="182">
        <f>'All Binaries'!O61</f>
        <v>0.40373915751857581</v>
      </c>
      <c r="K7" s="28">
        <f>'All Binaries'!P61</f>
        <v>167.89833985404863</v>
      </c>
      <c r="L7" s="25" t="str">
        <f>'All Binaries'!$Q$61</f>
        <v>OK</v>
      </c>
      <c r="M7" s="25" t="s">
        <v>847</v>
      </c>
      <c r="O7" s="38">
        <v>3</v>
      </c>
    </row>
    <row r="8" spans="1:15">
      <c r="A8" s="58" t="str">
        <f>'All Binaries'!A62</f>
        <v>HD 73722</v>
      </c>
      <c r="B8" s="25"/>
      <c r="C8" s="25"/>
      <c r="D8" s="28">
        <f>'2MASS Binaries'!G7</f>
        <v>3.0016662039607268E-2</v>
      </c>
      <c r="E8" s="28">
        <f>'2MASS Binaries'!H7</f>
        <v>3.0016662039607268E-2</v>
      </c>
      <c r="F8" s="28">
        <f>'2MASS Binaries'!I7</f>
        <v>3.0016662039607268E-2</v>
      </c>
      <c r="G8" s="49">
        <f>'2MASS Binaries'!G7</f>
        <v>3.0016662039607268E-2</v>
      </c>
      <c r="H8" s="49">
        <f>'2MASS Binaries'!H7</f>
        <v>3.0016662039607268E-2</v>
      </c>
      <c r="I8" s="49">
        <f>'2MASS Binaries'!I7</f>
        <v>3.0016662039607268E-2</v>
      </c>
      <c r="J8" s="53">
        <f>'All Binaries'!$O$63</f>
        <v>2.422434945111455E-3</v>
      </c>
      <c r="K8" s="49">
        <f>'All Binaries'!$P$63</f>
        <v>0.5</v>
      </c>
      <c r="L8" s="25"/>
      <c r="M8" s="25"/>
      <c r="O8" s="38"/>
    </row>
    <row r="9" spans="1:15">
      <c r="A9" s="1" t="str">
        <f>'All Binaries'!A9</f>
        <v>Hogg13</v>
      </c>
      <c r="B9" s="1" t="str">
        <f>'All Binaries'!B9</f>
        <v>B8V</v>
      </c>
      <c r="C9" s="1">
        <f>'All Binaries'!D9</f>
        <v>145</v>
      </c>
      <c r="D9" s="4">
        <f>'2MASS Binaries'!J8</f>
        <v>0.77115998882512837</v>
      </c>
      <c r="E9" s="4">
        <f>'2MASS Binaries'!K8</f>
        <v>0.79315998882512773</v>
      </c>
      <c r="F9" s="4">
        <f>'2MASS Binaries'!L8</f>
        <v>0.8031599888251284</v>
      </c>
      <c r="G9" s="4">
        <f>'2MASS Binaries'!G8</f>
        <v>5.2104573297366663</v>
      </c>
      <c r="H9" s="4">
        <f>'2MASS Binaries'!H8</f>
        <v>4.1559933459100007</v>
      </c>
      <c r="I9" s="4">
        <f>'2MASS Binaries'!I8</f>
        <v>4.0895852165033331</v>
      </c>
      <c r="J9" s="54">
        <f>'All Binaries'!O9</f>
        <v>1.109016142345</v>
      </c>
      <c r="K9" s="4">
        <f>'All Binaries'!P9</f>
        <v>205.09290339699999</v>
      </c>
      <c r="L9" s="1" t="str">
        <f>'All Binaries'!Q9</f>
        <v>OK</v>
      </c>
      <c r="O9" s="38">
        <v>4</v>
      </c>
    </row>
    <row r="10" spans="1:15">
      <c r="A10" s="55" t="str">
        <f>'All Binaries'!A10</f>
        <v>HD 73952</v>
      </c>
      <c r="D10" s="4">
        <f>'2MASS Binaries'!J9</f>
        <v>5.9816173185617947</v>
      </c>
      <c r="E10" s="4">
        <f>'2MASS Binaries'!K9</f>
        <v>4.9491533347351284</v>
      </c>
      <c r="F10" s="4">
        <f>'2MASS Binaries'!L9</f>
        <v>4.8927452053284615</v>
      </c>
      <c r="G10" s="48">
        <f>'2MASS Binaries'!G9</f>
        <v>5.3973147124894309E-2</v>
      </c>
      <c r="H10" s="48">
        <f>'2MASS Binaries'!H9</f>
        <v>4.3324333674661195E-2</v>
      </c>
      <c r="I10" s="48">
        <f>'2MASS Binaries'!I9</f>
        <v>5.5672843163638158E-2</v>
      </c>
      <c r="J10" s="51">
        <f>'All Binaries'!O11</f>
        <v>6.6540968540700005E-3</v>
      </c>
      <c r="K10" s="48">
        <f>'All Binaries'!P11</f>
        <v>0.5</v>
      </c>
      <c r="O10" s="38"/>
    </row>
    <row r="11" spans="1:15">
      <c r="A11" s="1" t="str">
        <f>'All Binaries'!A12</f>
        <v>PSPC13</v>
      </c>
      <c r="B11" s="1" t="str">
        <f>'All Binaries'!B12</f>
        <v>A0IVp</v>
      </c>
      <c r="C11" s="1">
        <f>'All Binaries'!D12</f>
        <v>145</v>
      </c>
      <c r="D11" s="4">
        <f>'2MASS Binaries'!J10</f>
        <v>1.4051599888251278</v>
      </c>
      <c r="E11" s="4">
        <f>'2MASS Binaries'!K10</f>
        <v>1.4471599888251276</v>
      </c>
      <c r="F11" s="4">
        <f>'2MASS Binaries'!L10</f>
        <v>1.3531599888251282</v>
      </c>
      <c r="G11" s="4">
        <f>'2MASS Binaries'!G10</f>
        <v>1.9700000000000024</v>
      </c>
      <c r="H11" s="4">
        <f>'2MASS Binaries'!H10</f>
        <v>1.8050000000000033</v>
      </c>
      <c r="I11" s="4">
        <f>'2MASS Binaries'!I10</f>
        <v>1.8005000000000022</v>
      </c>
      <c r="J11" s="54">
        <f>'All Binaries'!O12</f>
        <v>0.57335679368763881</v>
      </c>
      <c r="K11" s="4">
        <f>'All Binaries'!P12</f>
        <v>352.70535172623102</v>
      </c>
      <c r="L11" s="1" t="str">
        <f>'All Binaries'!Q12</f>
        <v>OK</v>
      </c>
      <c r="O11" s="38">
        <v>5</v>
      </c>
    </row>
    <row r="12" spans="1:15">
      <c r="A12" s="55" t="str">
        <f>'All Binaries'!A13</f>
        <v>HD 74169</v>
      </c>
      <c r="D12" s="4">
        <f>'2MASS Binaries'!J11</f>
        <v>3.3751599888251302</v>
      </c>
      <c r="E12" s="4">
        <f>'2MASS Binaries'!K11</f>
        <v>3.2521599888251309</v>
      </c>
      <c r="F12" s="4">
        <f>'2MASS Binaries'!L11</f>
        <v>3.1536599888251304</v>
      </c>
      <c r="G12" s="48">
        <f>'2MASS Binaries'!G11</f>
        <v>3.0066592756745815E-2</v>
      </c>
      <c r="H12" s="48">
        <f>'2MASS Binaries'!H11</f>
        <v>3.0066592756745815E-2</v>
      </c>
      <c r="I12" s="48">
        <f>'2MASS Binaries'!I11</f>
        <v>3.0066592756745815E-2</v>
      </c>
      <c r="J12" s="51">
        <f>'All Binaries'!O14</f>
        <v>3.4401407621258329E-3</v>
      </c>
      <c r="K12" s="48">
        <f>'All Binaries'!P14</f>
        <v>0.5</v>
      </c>
      <c r="O12" s="236"/>
    </row>
    <row r="13" spans="1:15">
      <c r="A13" s="1" t="str">
        <f>'All Binaries'!A15</f>
        <v>PSPC46</v>
      </c>
      <c r="B13" s="1" t="str">
        <f>'All Binaries'!B15</f>
        <v>B8s</v>
      </c>
      <c r="C13" s="1">
        <f>'All Binaries'!D15</f>
        <v>145</v>
      </c>
      <c r="D13" s="4">
        <f>'2MASS Binaries'!J12</f>
        <v>-6.2840011174872146E-2</v>
      </c>
      <c r="E13" s="4">
        <f>'2MASS Binaries'!K12</f>
        <v>1.5998882512846535E-4</v>
      </c>
      <c r="F13" s="4">
        <f>'2MASS Binaries'!L12</f>
        <v>2.1599888251282451E-3</v>
      </c>
      <c r="G13" s="4">
        <f>'2MASS Binaries'!G12</f>
        <v>1.4444999999999988</v>
      </c>
      <c r="H13" s="4">
        <f>'2MASS Binaries'!H12</f>
        <v>1.4705000000000057</v>
      </c>
      <c r="I13" s="4">
        <f>'2MASS Binaries'!I12</f>
        <v>1.4785000000000021</v>
      </c>
      <c r="J13" s="54">
        <f>'All Binaries'!O15</f>
        <v>0.57152964787734195</v>
      </c>
      <c r="K13" s="4">
        <f>'All Binaries'!P15</f>
        <v>158.91550380481891</v>
      </c>
      <c r="L13" s="1" t="str">
        <f>'All Binaries'!Q15</f>
        <v>OK</v>
      </c>
      <c r="O13" s="38">
        <v>6</v>
      </c>
    </row>
    <row r="14" spans="1:15">
      <c r="A14" s="55" t="str">
        <f>'All Binaries'!A16</f>
        <v>HD 74535</v>
      </c>
      <c r="D14" s="4">
        <f>'2MASS Binaries'!J13</f>
        <v>1.3816599888251266</v>
      </c>
      <c r="E14" s="4">
        <f>'2MASS Binaries'!K13</f>
        <v>1.4706599888251342</v>
      </c>
      <c r="F14" s="4">
        <f>'2MASS Binaries'!L13</f>
        <v>1.4806599888251304</v>
      </c>
      <c r="G14" s="48">
        <f>'2MASS Binaries'!G13</f>
        <v>3.0016662039607268E-2</v>
      </c>
      <c r="H14" s="48">
        <f>'2MASS Binaries'!H13</f>
        <v>3.0016662039607268E-2</v>
      </c>
      <c r="I14" s="48">
        <f>'2MASS Binaries'!I13</f>
        <v>3.0066592756745815E-2</v>
      </c>
      <c r="J14" s="51">
        <f>'All Binaries'!O17</f>
        <v>3.429177887264052E-3</v>
      </c>
      <c r="K14" s="48">
        <f>'All Binaries'!P17</f>
        <v>0.5</v>
      </c>
      <c r="O14" s="38"/>
    </row>
    <row r="15" spans="1:15">
      <c r="A15" s="190" t="str">
        <f>'All Binaries'!A64</f>
        <v>Hogg5</v>
      </c>
      <c r="B15" s="214" t="str">
        <f>'All Binaries'!B64</f>
        <v>F5V</v>
      </c>
      <c r="C15" s="214">
        <f>'All Binaries'!D64</f>
        <v>145</v>
      </c>
      <c r="D15" s="193">
        <f>'2MASS Binaries'!J14</f>
        <v>2.8941599888251286</v>
      </c>
      <c r="E15" s="193">
        <f>'2MASS Binaries'!K14</f>
        <v>2.6681599888251277</v>
      </c>
      <c r="F15" s="193">
        <f>'2MASS Binaries'!L14</f>
        <v>2.5571599888251288</v>
      </c>
      <c r="G15" s="193">
        <f>'2MASS Binaries'!G14</f>
        <v>4</v>
      </c>
      <c r="H15" s="193">
        <f>'2MASS Binaries'!H14</f>
        <v>3.4000000000000004</v>
      </c>
      <c r="I15" s="193">
        <f>'2MASS Binaries'!I14</f>
        <v>3.23</v>
      </c>
      <c r="J15" s="192">
        <f>'All Binaries'!O64</f>
        <v>0.399158497655</v>
      </c>
      <c r="K15" s="194">
        <f>'All Binaries'!P64</f>
        <v>18.434948822900001</v>
      </c>
      <c r="L15" s="25" t="str">
        <f>'All Binaries'!Q64</f>
        <v>PSF Done</v>
      </c>
      <c r="M15" s="25"/>
      <c r="O15" s="38">
        <v>7</v>
      </c>
    </row>
    <row r="16" spans="1:15">
      <c r="A16" s="215" t="str">
        <f>'All Binaries'!A65</f>
        <v>SAO 236200</v>
      </c>
      <c r="B16" s="197"/>
      <c r="C16" s="197"/>
      <c r="D16" s="185">
        <f>'2MASS Binaries'!J15</f>
        <v>6.8941599888251286</v>
      </c>
      <c r="E16" s="185">
        <f>'2MASS Binaries'!K15</f>
        <v>6.0681599888251281</v>
      </c>
      <c r="F16" s="185">
        <f>'2MASS Binaries'!L15</f>
        <v>5.7871599888251293</v>
      </c>
      <c r="G16" s="198">
        <f>'2MASS Binaries'!G15</f>
        <v>0.25</v>
      </c>
      <c r="H16" s="198">
        <f>'2MASS Binaries'!H15</f>
        <v>0.15811388300841897</v>
      </c>
      <c r="I16" s="198">
        <f>'2MASS Binaries'!I15</f>
        <v>0.13</v>
      </c>
      <c r="J16" s="216">
        <f>'All Binaries'!O66</f>
        <v>2.3949509859300003E-3</v>
      </c>
      <c r="K16" s="217">
        <f>'All Binaries'!P66</f>
        <v>0.5</v>
      </c>
      <c r="L16" s="25"/>
      <c r="M16" s="25"/>
      <c r="O16" s="38"/>
    </row>
    <row r="17" spans="1:15">
      <c r="A17" s="62" t="s">
        <v>92</v>
      </c>
      <c r="B17" s="62" t="s">
        <v>92</v>
      </c>
      <c r="C17" s="62" t="s">
        <v>92</v>
      </c>
      <c r="D17" s="62" t="s">
        <v>92</v>
      </c>
      <c r="E17" s="62" t="s">
        <v>92</v>
      </c>
      <c r="F17" s="62" t="s">
        <v>92</v>
      </c>
      <c r="G17" s="62" t="s">
        <v>92</v>
      </c>
      <c r="H17" s="62" t="s">
        <v>92</v>
      </c>
      <c r="I17" s="62" t="s">
        <v>92</v>
      </c>
      <c r="J17" s="62" t="s">
        <v>92</v>
      </c>
      <c r="K17" s="62" t="s">
        <v>92</v>
      </c>
      <c r="L17" s="62" t="s">
        <v>92</v>
      </c>
      <c r="M17" s="62" t="s">
        <v>92</v>
      </c>
      <c r="N17" s="62" t="s">
        <v>92</v>
      </c>
    </row>
    <row r="18" spans="1:15">
      <c r="A18" s="1" t="str">
        <f>'All Binaries'!A110</f>
        <v>M56 a</v>
      </c>
      <c r="B18" s="1" t="str">
        <f>'All Binaries'!B110</f>
        <v>B8V</v>
      </c>
      <c r="C18" s="1">
        <f>'All Binaries'!D110</f>
        <v>270</v>
      </c>
      <c r="D18" s="4">
        <f>'2MASS Binaries'!J16</f>
        <v>-0.94881882079493707</v>
      </c>
      <c r="E18" s="4">
        <f>'2MASS Binaries'!K16</f>
        <v>-0.95581882079493763</v>
      </c>
      <c r="F18" s="4">
        <f>'2MASS Binaries'!L16</f>
        <v>-0.98281882079493688</v>
      </c>
      <c r="G18" s="4">
        <f>'2MASS Binaries'!G16</f>
        <v>5.9657505532749999</v>
      </c>
      <c r="H18" s="4">
        <f>'2MASS Binaries'!H16</f>
        <v>6.0633282185199997</v>
      </c>
      <c r="I18" s="4">
        <f>'2MASS Binaries'!I16</f>
        <v>6.2175714953250001</v>
      </c>
      <c r="J18" s="4">
        <v>2.8551119122230824</v>
      </c>
      <c r="K18" s="4">
        <f>'All Binaries'!P110</f>
        <v>152.77032046661162</v>
      </c>
      <c r="L18" s="42" t="str">
        <f>'All Binaries'!$Q$110</f>
        <v>OK</v>
      </c>
      <c r="M18" s="25"/>
      <c r="N18" s="1" t="s">
        <v>886</v>
      </c>
      <c r="O18" s="38">
        <v>1</v>
      </c>
    </row>
    <row r="19" spans="1:15">
      <c r="A19" s="55" t="str">
        <f>'All Binaries'!A111</f>
        <v>HD 162586</v>
      </c>
      <c r="D19" s="4">
        <f>'2MASS Binaries'!J17</f>
        <v>5.0169317324800629</v>
      </c>
      <c r="E19" s="4">
        <f>'2MASS Binaries'!K17</f>
        <v>5.1075093977250621</v>
      </c>
      <c r="F19" s="4">
        <f>'2MASS Binaries'!L17</f>
        <v>5.2347526745300632</v>
      </c>
      <c r="G19" s="48" t="str">
        <f>'2MASS Binaries'!G17</f>
        <v>???</v>
      </c>
      <c r="H19" s="48">
        <f>'2MASS Binaries'!H17</f>
        <v>5.0009999000199958E-2</v>
      </c>
      <c r="I19" s="48">
        <f>'2MASS Binaries'!I17</f>
        <v>5.0009999000199958E-2</v>
      </c>
      <c r="J19" s="48">
        <f>'All Binaries'!O112</f>
        <v>1.7130671473338493E-2</v>
      </c>
      <c r="K19" s="48">
        <f>'All Binaries'!P112</f>
        <v>0.5</v>
      </c>
      <c r="O19" s="38"/>
    </row>
    <row r="20" spans="1:15">
      <c r="A20" s="190" t="str">
        <f>'All Binaries'!A113</f>
        <v>M56 b</v>
      </c>
      <c r="B20" s="214" t="str">
        <f>'All Binaries'!B113</f>
        <v>B8V</v>
      </c>
      <c r="C20" s="214">
        <f>'All Binaries'!D113</f>
        <v>270</v>
      </c>
      <c r="D20" s="193">
        <f>'2MASS Binaries'!J18</f>
        <v>-0.94881882079493707</v>
      </c>
      <c r="E20" s="193">
        <f>'2MASS Binaries'!K18</f>
        <v>-0.95581882079493763</v>
      </c>
      <c r="F20" s="193">
        <f>'2MASS Binaries'!L18</f>
        <v>-0.98281882079493688</v>
      </c>
      <c r="G20" s="193">
        <f>'2MASS Binaries'!G18</f>
        <v>0.15</v>
      </c>
      <c r="H20" s="193">
        <f>'2MASS Binaries'!H18</f>
        <v>0.25</v>
      </c>
      <c r="I20" s="193">
        <f>'2MASS Binaries'!I18</f>
        <v>0.3</v>
      </c>
      <c r="J20" s="192">
        <f>'All Binaries'!O113</f>
        <v>0.29675365499999995</v>
      </c>
      <c r="K20" s="194">
        <f>'All Binaries'!P113</f>
        <v>250.086195</v>
      </c>
      <c r="L20" s="1" t="s">
        <v>206</v>
      </c>
      <c r="O20" s="38">
        <v>2</v>
      </c>
    </row>
    <row r="21" spans="1:15">
      <c r="A21" s="215" t="str">
        <f>'All Binaries'!A114</f>
        <v>HD 162586</v>
      </c>
      <c r="B21" s="197"/>
      <c r="C21" s="197"/>
      <c r="D21" s="185">
        <f>'2MASS Binaries'!J19</f>
        <v>-0.79881882079493705</v>
      </c>
      <c r="E21" s="185">
        <f>'2MASS Binaries'!K19</f>
        <v>-0.70581882079493763</v>
      </c>
      <c r="F21" s="185">
        <f>'2MASS Binaries'!L19</f>
        <v>-0.68281882079493683</v>
      </c>
      <c r="G21" s="198">
        <f>'2MASS Binaries'!G19</f>
        <v>0.15</v>
      </c>
      <c r="H21" s="198">
        <f>'2MASS Binaries'!H19</f>
        <v>0.1</v>
      </c>
      <c r="I21" s="198">
        <f>'2MASS Binaries'!I19</f>
        <v>0.1</v>
      </c>
      <c r="J21" s="216">
        <f>'All Binaries'!O115</f>
        <v>2.6398821639920297E-3</v>
      </c>
      <c r="K21" s="217">
        <f>'All Binaries'!P115</f>
        <v>0.60059088235640279</v>
      </c>
      <c r="O21" s="236"/>
    </row>
    <row r="22" spans="1:15">
      <c r="A22" s="1" t="str">
        <f>'All Binaries'!A122</f>
        <v>M42</v>
      </c>
      <c r="B22" s="1" t="str">
        <f>'All Binaries'!B122</f>
        <v>B9.5V</v>
      </c>
      <c r="C22" s="1">
        <f>'All Binaries'!D122</f>
        <v>270</v>
      </c>
      <c r="D22" s="4">
        <f>'2MASS Binaries'!J20</f>
        <v>-0.72381882079493742</v>
      </c>
      <c r="E22" s="4">
        <f>'2MASS Binaries'!K20</f>
        <v>-0.73281882079493688</v>
      </c>
      <c r="F22" s="4">
        <f>'2MASS Binaries'!L20</f>
        <v>-0.71981882079493698</v>
      </c>
      <c r="G22" s="4">
        <f>'2MASS Binaries'!G20</f>
        <v>6.8624860812999993</v>
      </c>
      <c r="H22" s="4">
        <f>'2MASS Binaries'!H20</f>
        <v>6.0003637630433326</v>
      </c>
      <c r="I22" s="4">
        <f>'2MASS Binaries'!I20</f>
        <v>5.7838220210300006</v>
      </c>
      <c r="J22" s="4">
        <f>'All Binaries'!O122</f>
        <v>2.1690783180122222</v>
      </c>
      <c r="K22" s="4">
        <f>'All Binaries'!P122</f>
        <v>153.48839916644445</v>
      </c>
      <c r="L22" s="1" t="str">
        <f>'All Binaries'!$Q$122</f>
        <v>Leakage Subtracted</v>
      </c>
      <c r="O22" s="38">
        <v>3</v>
      </c>
    </row>
    <row r="23" spans="1:15">
      <c r="A23" s="55" t="str">
        <f>'All Binaries'!A123</f>
        <v>HD 162515</v>
      </c>
      <c r="D23" s="4">
        <f>'2MASS Binaries'!J21</f>
        <v>6.1386672605050618</v>
      </c>
      <c r="E23" s="4">
        <f>'2MASS Binaries'!K21</f>
        <v>5.2675449422483958</v>
      </c>
      <c r="F23" s="4">
        <f>'2MASS Binaries'!L21</f>
        <v>5.0640032002350637</v>
      </c>
      <c r="G23" s="48">
        <f>'2MASS Binaries'!G21</f>
        <v>0.12482430360570866</v>
      </c>
      <c r="H23" s="48">
        <f>'2MASS Binaries'!H21</f>
        <v>4.782956720888476E-2</v>
      </c>
      <c r="I23" s="48">
        <f>'2MASS Binaries'!I21</f>
        <v>4.09552736138434E-2</v>
      </c>
      <c r="J23" s="48">
        <f>'All Binaries'!O124</f>
        <v>1.3014469908073333E-2</v>
      </c>
      <c r="K23" s="48">
        <f>'All Binaries'!P124</f>
        <v>0.5</v>
      </c>
      <c r="O23" s="38"/>
    </row>
    <row r="24" spans="1:15">
      <c r="A24" s="1" t="str">
        <f>'All Binaries'!A186</f>
        <v>M86 a</v>
      </c>
      <c r="B24" s="1" t="str">
        <f>'All Binaries'!B186</f>
        <v>B9V</v>
      </c>
      <c r="C24" s="1">
        <f>'All Binaries'!D186</f>
        <v>270</v>
      </c>
      <c r="D24" s="4">
        <f>'2MASS Binaries'!J22</f>
        <v>-1.2878188207949375</v>
      </c>
      <c r="E24" s="4">
        <f>'2MASS Binaries'!K22</f>
        <v>-1.2888188207949369</v>
      </c>
      <c r="F24" s="4">
        <f>'2MASS Binaries'!L22</f>
        <v>-1.3338188207949369</v>
      </c>
      <c r="G24" s="4">
        <f>'2MASS Binaries'!G22</f>
        <v>1.7</v>
      </c>
      <c r="H24" s="4">
        <f>'2MASS Binaries'!H22</f>
        <v>1.5</v>
      </c>
      <c r="I24" s="4">
        <f>'2MASS Binaries'!I22</f>
        <v>1.6</v>
      </c>
      <c r="J24" s="4">
        <f>'All Binaries'!O186</f>
        <v>0.22769999999999999</v>
      </c>
      <c r="K24" s="4">
        <f>'All Binaries'!P186</f>
        <v>96.5</v>
      </c>
      <c r="L24" s="1" t="str">
        <f>'All Binaries'!$Q$186</f>
        <v>PSF Done</v>
      </c>
      <c r="M24" s="1" t="s">
        <v>537</v>
      </c>
      <c r="O24" s="38">
        <v>4</v>
      </c>
    </row>
    <row r="25" spans="1:15">
      <c r="A25" s="55" t="str">
        <f>'All Binaries'!A187</f>
        <v>HD 162724</v>
      </c>
      <c r="D25" s="4">
        <f>'2MASS Binaries'!J23</f>
        <v>0.41218117920506248</v>
      </c>
      <c r="E25" s="4">
        <f>'2MASS Binaries'!K23</f>
        <v>0.21118117920506307</v>
      </c>
      <c r="F25" s="4">
        <f>'2MASS Binaries'!L23</f>
        <v>0.26618117920506323</v>
      </c>
      <c r="G25" s="48">
        <f>'2MASS Binaries'!G23</f>
        <v>0.20615528128088306</v>
      </c>
      <c r="H25" s="48">
        <f>'2MASS Binaries'!H23</f>
        <v>0.1118033988749895</v>
      </c>
      <c r="I25" s="48">
        <f>'2MASS Binaries'!I23</f>
        <v>0.1118033988749895</v>
      </c>
      <c r="J25" s="48">
        <f>'All Binaries'!$O$188</f>
        <v>3.465E-2</v>
      </c>
      <c r="K25" s="48">
        <f>'All Binaries'!P188</f>
        <v>0.53851648071345048</v>
      </c>
      <c r="O25" s="38"/>
    </row>
    <row r="26" spans="1:15">
      <c r="A26" s="1" t="str">
        <f>'All Binaries'!A189</f>
        <v>M86 b</v>
      </c>
      <c r="B26" s="1" t="str">
        <f>'All Binaries'!B189</f>
        <v>B9V</v>
      </c>
      <c r="C26" s="1">
        <f>'All Binaries'!D189</f>
        <v>270</v>
      </c>
      <c r="D26" s="4">
        <f>'2MASS Binaries'!J24</f>
        <v>-1.2878188207949375</v>
      </c>
      <c r="E26" s="4">
        <f>'2MASS Binaries'!K24</f>
        <v>-1.2888188207949369</v>
      </c>
      <c r="F26" s="4">
        <f>'2MASS Binaries'!L24</f>
        <v>-1.3338188207949369</v>
      </c>
      <c r="G26" s="4">
        <f>'2MASS Binaries'!G24</f>
        <v>8.1017041618950003</v>
      </c>
      <c r="H26" s="4">
        <f>'2MASS Binaries'!H24</f>
        <v>7.5104437275549998</v>
      </c>
      <c r="I26" s="4">
        <f>'2MASS Binaries'!I24</f>
        <v>7.3370258902050001</v>
      </c>
      <c r="J26" s="4">
        <f>'All Binaries'!O189</f>
        <v>3.5418935813466668</v>
      </c>
      <c r="K26" s="4">
        <f>'All Binaries'!P189</f>
        <v>113.85656817716669</v>
      </c>
      <c r="L26" s="42" t="str">
        <f>'All Binaries'!$Q$189</f>
        <v>PSF Done</v>
      </c>
      <c r="M26" s="1" t="s">
        <v>537</v>
      </c>
      <c r="O26" s="38">
        <v>5</v>
      </c>
    </row>
    <row r="27" spans="1:15">
      <c r="A27" s="55" t="str">
        <f>'All Binaries'!A190</f>
        <v>HD 162724</v>
      </c>
      <c r="D27" s="4">
        <f>'2MASS Binaries'!J25</f>
        <v>6.8138853411000628</v>
      </c>
      <c r="E27" s="4">
        <f>'2MASS Binaries'!K25</f>
        <v>6.2216249067600629</v>
      </c>
      <c r="F27" s="4">
        <f>'2MASS Binaries'!L25</f>
        <v>6.0032070694100632</v>
      </c>
      <c r="G27" s="48">
        <f>'2MASS Binaries'!G25</f>
        <v>5.8002155132374181E-2</v>
      </c>
      <c r="H27" s="48">
        <f>'2MASS Binaries'!H25</f>
        <v>5.2945726928620034E-2</v>
      </c>
      <c r="I27" s="48">
        <f>'2MASS Binaries'!I25</f>
        <v>6.3247529596024532E-2</v>
      </c>
      <c r="J27" s="48">
        <f>'All Binaries'!O191</f>
        <v>2.125136148808E-2</v>
      </c>
      <c r="K27" s="48">
        <f>'All Binaries'!P191</f>
        <v>0.5</v>
      </c>
      <c r="O27" s="236"/>
    </row>
    <row r="28" spans="1:15">
      <c r="A28" s="62" t="s">
        <v>93</v>
      </c>
      <c r="B28" s="62" t="s">
        <v>93</v>
      </c>
      <c r="C28" s="62" t="s">
        <v>93</v>
      </c>
      <c r="D28" s="62" t="s">
        <v>93</v>
      </c>
      <c r="E28" s="62" t="s">
        <v>93</v>
      </c>
      <c r="F28" s="62" t="s">
        <v>93</v>
      </c>
      <c r="G28" s="62" t="s">
        <v>93</v>
      </c>
      <c r="H28" s="62" t="s">
        <v>93</v>
      </c>
      <c r="I28" s="62" t="s">
        <v>93</v>
      </c>
      <c r="J28" s="62" t="s">
        <v>93</v>
      </c>
      <c r="K28" s="62" t="s">
        <v>93</v>
      </c>
      <c r="L28" s="62" t="s">
        <v>93</v>
      </c>
      <c r="M28" s="62" t="s">
        <v>93</v>
      </c>
      <c r="N28" s="62" t="s">
        <v>93</v>
      </c>
    </row>
    <row r="29" spans="1:15">
      <c r="A29" s="1" t="str">
        <f>'All Binaries'!A141</f>
        <v>M141</v>
      </c>
      <c r="B29" s="1" t="str">
        <f>'All Binaries'!B141</f>
        <v>B9III-IV</v>
      </c>
      <c r="C29" s="1">
        <f>'All Binaries'!D141</f>
        <v>184</v>
      </c>
      <c r="D29" s="4">
        <f>'2MASS Binaries'!J26</f>
        <v>2.4579108849523177</v>
      </c>
      <c r="E29" s="4">
        <f>'2MASS Binaries'!K26</f>
        <v>2.4989108849523181</v>
      </c>
      <c r="F29" s="4">
        <f>'2MASS Binaries'!L26</f>
        <v>2.4639108849523179</v>
      </c>
      <c r="G29" s="4">
        <f>'2MASS Binaries'!G26</f>
        <v>6.4460000000000024</v>
      </c>
      <c r="H29" s="4">
        <f>'2MASS Binaries'!H26</f>
        <v>5.8685000000000009</v>
      </c>
      <c r="I29" s="4">
        <f>'2MASS Binaries'!I26</f>
        <v>5.8819999999999997</v>
      </c>
      <c r="J29" s="4">
        <f>'All Binaries'!O141</f>
        <v>3.112098383038687</v>
      </c>
      <c r="K29" s="4">
        <f>'All Binaries'!P141</f>
        <v>102.65373413133342</v>
      </c>
      <c r="L29" s="1" t="str">
        <f>'All Binaries'!Q141</f>
        <v>OK</v>
      </c>
      <c r="N29" s="1" t="s">
        <v>900</v>
      </c>
      <c r="O29" s="38">
        <v>1</v>
      </c>
    </row>
    <row r="30" spans="1:15">
      <c r="A30" s="55" t="str">
        <f>'All Binaries'!A142</f>
        <v>HD 61310</v>
      </c>
      <c r="D30" s="4">
        <f>'2MASS Binaries'!J27</f>
        <v>8.903910884952321</v>
      </c>
      <c r="E30" s="4">
        <f>'2MASS Binaries'!K27</f>
        <v>8.367410884952319</v>
      </c>
      <c r="F30" s="4">
        <f>'2MASS Binaries'!L27</f>
        <v>8.3459108849523176</v>
      </c>
      <c r="G30" s="48">
        <f>'2MASS Binaries'!G27</f>
        <v>4.4254943226717643E-2</v>
      </c>
      <c r="H30" s="48">
        <f>'2MASS Binaries'!H27</f>
        <v>3.7583240945932246E-2</v>
      </c>
      <c r="I30" s="48">
        <f>'2MASS Binaries'!I27</f>
        <v>4.0773766075750256E-2</v>
      </c>
      <c r="J30" s="48">
        <f>'All Binaries'!O143</f>
        <v>1.8672590298232122E-2</v>
      </c>
      <c r="K30" s="48">
        <f>'All Binaries'!P143</f>
        <v>0.5</v>
      </c>
      <c r="O30" s="38"/>
    </row>
    <row r="31" spans="1:15">
      <c r="A31" s="1" t="str">
        <f>'All Binaries'!A144</f>
        <v>M141-2 a</v>
      </c>
      <c r="B31" s="1" t="str">
        <f>'All Binaries'!B144</f>
        <v>B9III-IV</v>
      </c>
      <c r="C31" s="1">
        <f>'All Binaries'!D144</f>
        <v>184</v>
      </c>
      <c r="D31" s="4">
        <f>'2MASS Binaries'!J28</f>
        <v>-0.15608911504768219</v>
      </c>
      <c r="E31" s="4">
        <f>'2MASS Binaries'!K28</f>
        <v>-0.18008911504768221</v>
      </c>
      <c r="F31" s="4">
        <f>'2MASS Binaries'!L28</f>
        <v>-0.23608911504768226</v>
      </c>
      <c r="G31" s="28">
        <f>'2MASS Binaries'!G28</f>
        <v>3.5</v>
      </c>
      <c r="H31" s="4">
        <f>'2MASS Binaries'!H28</f>
        <v>3.09</v>
      </c>
      <c r="I31" s="4">
        <f>'2MASS Binaries'!I28</f>
        <v>2.74</v>
      </c>
      <c r="J31" s="4">
        <f>'All Binaries'!O144</f>
        <v>0.35639999999999999</v>
      </c>
      <c r="K31" s="4">
        <f>'All Binaries'!P144</f>
        <v>153.9</v>
      </c>
      <c r="L31" s="1" t="str">
        <f>'All Binaries'!Q144</f>
        <v>PSF Done</v>
      </c>
      <c r="O31" s="38">
        <v>2</v>
      </c>
    </row>
    <row r="32" spans="1:15">
      <c r="A32" s="55" t="str">
        <f>'All Binaries'!A145</f>
        <v>HR 6660</v>
      </c>
      <c r="D32" s="4">
        <f>'2MASS Binaries'!J29</f>
        <v>3.3439108849523178</v>
      </c>
      <c r="E32" s="4">
        <f>'2MASS Binaries'!K29</f>
        <v>2.9099108849523176</v>
      </c>
      <c r="F32" s="4">
        <f>'2MASS Binaries'!L29</f>
        <v>2.503910884952318</v>
      </c>
      <c r="G32" s="49" t="str">
        <f>'2MASS Binaries'!G29</f>
        <v>???</v>
      </c>
      <c r="H32" s="48">
        <f>'2MASS Binaries'!H29</f>
        <v>0.1118033988749895</v>
      </c>
      <c r="I32" s="48">
        <f>'2MASS Binaries'!I29</f>
        <v>0.1118033988749895</v>
      </c>
      <c r="J32" s="48">
        <f>'All Binaries'!O146</f>
        <v>2.1384E-2</v>
      </c>
      <c r="K32" s="48">
        <f>'All Binaries'!P146</f>
        <v>0.21375000000000002</v>
      </c>
      <c r="O32" s="236"/>
    </row>
    <row r="33" spans="1:15">
      <c r="A33" s="1" t="str">
        <f>'All Binaries'!A147</f>
        <v>M141-2 b</v>
      </c>
      <c r="B33" s="1" t="str">
        <f>'All Binaries'!B147</f>
        <v>B9III-IV</v>
      </c>
      <c r="C33" s="1">
        <f>'All Binaries'!D147</f>
        <v>184</v>
      </c>
      <c r="D33" s="4">
        <f>'2MASS Binaries'!J30</f>
        <v>-0.15608911504768219</v>
      </c>
      <c r="E33" s="4">
        <f>'2MASS Binaries'!K30</f>
        <v>-0.18008911504768221</v>
      </c>
      <c r="F33" s="4">
        <f>'2MASS Binaries'!L30</f>
        <v>-0.23608911504768226</v>
      </c>
      <c r="G33" s="4">
        <f>'2MASS Binaries'!G30</f>
        <v>7.9</v>
      </c>
      <c r="H33" s="4">
        <f>'2MASS Binaries'!H30</f>
        <v>7.39</v>
      </c>
      <c r="I33" s="4">
        <f>'2MASS Binaries'!I30</f>
        <v>7.05</v>
      </c>
      <c r="J33" s="4">
        <f>'All Binaries'!O147</f>
        <v>2.0027699999999999</v>
      </c>
      <c r="K33" s="4">
        <f>'All Binaries'!P147</f>
        <v>232.32</v>
      </c>
      <c r="L33" s="1" t="str">
        <f>'All Binaries'!Q147</f>
        <v>PSF Done</v>
      </c>
      <c r="O33" s="38">
        <v>3</v>
      </c>
    </row>
    <row r="34" spans="1:15">
      <c r="A34" s="55" t="str">
        <f>'All Binaries'!A148</f>
        <v>HR 6660</v>
      </c>
      <c r="D34" s="4">
        <f>'2MASS Binaries'!J31</f>
        <v>7.7439108849523182</v>
      </c>
      <c r="E34" s="4">
        <f>'2MASS Binaries'!K31</f>
        <v>7.2099108849523175</v>
      </c>
      <c r="F34" s="4">
        <f>'2MASS Binaries'!L31</f>
        <v>6.8139108849523176</v>
      </c>
      <c r="G34" s="48">
        <f>'2MASS Binaries'!G31</f>
        <v>0.20615528128088306</v>
      </c>
      <c r="H34" s="48">
        <f>'2MASS Binaries'!H31</f>
        <v>0.1118033988749895</v>
      </c>
      <c r="I34" s="48">
        <f>'2MASS Binaries'!I31</f>
        <v>0.1118033988749895</v>
      </c>
      <c r="J34" s="48">
        <f>'All Binaries'!O149</f>
        <v>1.201662E-2</v>
      </c>
      <c r="K34" s="48">
        <f>'All Binaries'!P149</f>
        <v>0.5</v>
      </c>
      <c r="O34" s="38"/>
    </row>
    <row r="35" spans="1:15">
      <c r="A35" s="1" t="str">
        <f>'All Binaries'!A150</f>
        <v>M162</v>
      </c>
      <c r="B35" s="1" t="str">
        <f>'All Binaries'!B150</f>
        <v>B9</v>
      </c>
      <c r="C35" s="1">
        <f>'All Binaries'!D150</f>
        <v>184</v>
      </c>
      <c r="D35" s="4">
        <f>'2MASS Binaries'!J32</f>
        <v>2.2729108849523172</v>
      </c>
      <c r="E35" s="4">
        <f>'2MASS Binaries'!K32</f>
        <v>2.3399108849523174</v>
      </c>
      <c r="F35" s="4">
        <f>'2MASS Binaries'!L32</f>
        <v>2.362910884952317</v>
      </c>
      <c r="G35" s="4">
        <f>'2MASS Binaries'!G32</f>
        <v>7.0450000000000044</v>
      </c>
      <c r="H35" s="4">
        <f>'2MASS Binaries'!H32</f>
        <v>6.166999999999998</v>
      </c>
      <c r="I35" s="4">
        <f>'2MASS Binaries'!I32</f>
        <v>6.0405000000000015</v>
      </c>
      <c r="J35" s="4">
        <f>'All Binaries'!O150</f>
        <v>3.7917447485087865</v>
      </c>
      <c r="K35" s="4">
        <f>'All Binaries'!P150</f>
        <v>5.7140275052130676</v>
      </c>
      <c r="L35" s="1" t="str">
        <f>'All Binaries'!Q150</f>
        <v>OK</v>
      </c>
      <c r="O35" s="38">
        <v>4</v>
      </c>
    </row>
    <row r="36" spans="1:15">
      <c r="A36" s="55" t="str">
        <f>'All Binaries'!A151</f>
        <v>HD 61622</v>
      </c>
      <c r="D36" s="4">
        <f>'2MASS Binaries'!J33</f>
        <v>9.3179108849523224</v>
      </c>
      <c r="E36" s="4">
        <f>'2MASS Binaries'!K33</f>
        <v>8.5069108849523154</v>
      </c>
      <c r="F36" s="4">
        <f>'2MASS Binaries'!L33</f>
        <v>8.4034108849523186</v>
      </c>
      <c r="G36" s="48">
        <f>'2MASS Binaries'!G33</f>
        <v>4.8283019789569927E-2</v>
      </c>
      <c r="H36" s="48">
        <f>'2MASS Binaries'!H33</f>
        <v>4.0755367744629636E-2</v>
      </c>
      <c r="I36" s="48">
        <f>'2MASS Binaries'!I33</f>
        <v>4.1967249135486606E-2</v>
      </c>
      <c r="J36" s="48">
        <f>'All Binaries'!O152</f>
        <v>2.2750468491052719E-2</v>
      </c>
      <c r="K36" s="48">
        <f>'All Binaries'!P152</f>
        <v>0.5</v>
      </c>
      <c r="O36" s="38"/>
    </row>
    <row r="37" spans="1:15">
      <c r="A37" s="1" t="str">
        <f>'All Binaries'!A153</f>
        <v>M182</v>
      </c>
      <c r="B37" s="1" t="str">
        <f>'All Binaries'!B153</f>
        <v>B5V n</v>
      </c>
      <c r="C37" s="1">
        <f>'All Binaries'!D153</f>
        <v>184</v>
      </c>
      <c r="D37" s="4">
        <f>'2MASS Binaries'!J34</f>
        <v>-0.40508911504768275</v>
      </c>
      <c r="E37" s="4">
        <f>'2MASS Binaries'!K34</f>
        <v>-0.31908911504768245</v>
      </c>
      <c r="F37" s="4">
        <f>'2MASS Binaries'!L34</f>
        <v>-0.34108911504768269</v>
      </c>
      <c r="G37" s="4">
        <f>'2MASS Binaries'!G34</f>
        <v>2.2524999999999906</v>
      </c>
      <c r="H37" s="4">
        <f>'2MASS Binaries'!H34</f>
        <v>2.1419999999999995</v>
      </c>
      <c r="I37" s="4">
        <f>'2MASS Binaries'!I34</f>
        <v>2.0500000000000123</v>
      </c>
      <c r="J37" s="54">
        <f>'All Binaries'!O153</f>
        <v>1.2764508589239245</v>
      </c>
      <c r="K37" s="4">
        <f>'All Binaries'!P153</f>
        <v>149.48896647743859</v>
      </c>
      <c r="L37" s="1" t="str">
        <f>'All Binaries'!Q153</f>
        <v>Was Not OK</v>
      </c>
      <c r="O37" s="38">
        <v>5</v>
      </c>
    </row>
    <row r="38" spans="1:15">
      <c r="A38" s="55" t="str">
        <f>'All Binaries'!A154</f>
        <v>HD 61878</v>
      </c>
      <c r="D38" s="4">
        <f>'2MASS Binaries'!J35</f>
        <v>1.8474108849523079</v>
      </c>
      <c r="E38" s="4">
        <f>'2MASS Binaries'!K35</f>
        <v>1.822910884952317</v>
      </c>
      <c r="F38" s="4">
        <f>'2MASS Binaries'!L35</f>
        <v>1.7089108849523296</v>
      </c>
      <c r="G38" s="48">
        <f>'2MASS Binaries'!G35</f>
        <v>3.0033314835362413E-2</v>
      </c>
      <c r="H38" s="48">
        <f>'2MASS Binaries'!H35</f>
        <v>3.0033314835362413E-2</v>
      </c>
      <c r="I38" s="48">
        <f>'2MASS Binaries'!I35</f>
        <v>3.0033314835362413E-2</v>
      </c>
      <c r="J38" s="51">
        <f>'All Binaries'!O155</f>
        <v>7.6587051535435468E-3</v>
      </c>
      <c r="K38" s="48">
        <f>'All Binaries'!P155</f>
        <v>0.5</v>
      </c>
      <c r="O38" s="236"/>
    </row>
    <row r="39" spans="1:15">
      <c r="A39" s="1" t="str">
        <f>'All Binaries'!A156</f>
        <v>M188</v>
      </c>
      <c r="B39" s="1" t="str">
        <f>'All Binaries'!B156</f>
        <v>B9V</v>
      </c>
      <c r="C39" s="1">
        <f>'All Binaries'!D156</f>
        <v>184</v>
      </c>
      <c r="D39" s="4">
        <f>'2MASS Binaries'!J36</f>
        <v>2.0779108849523169</v>
      </c>
      <c r="E39" s="4">
        <f>'2MASS Binaries'!K36</f>
        <v>2.1509108849523173</v>
      </c>
      <c r="F39" s="4">
        <f>'2MASS Binaries'!L36</f>
        <v>2.1099108849523169</v>
      </c>
      <c r="G39" s="4">
        <f>'2MASS Binaries'!G36</f>
        <v>5.4839999999999982</v>
      </c>
      <c r="H39" s="4">
        <f>'2MASS Binaries'!H36</f>
        <v>4.8999999999999986</v>
      </c>
      <c r="I39" s="4">
        <f>'2MASS Binaries'!I36</f>
        <v>4.7834999999999983</v>
      </c>
      <c r="J39" s="4">
        <f>'All Binaries'!O156</f>
        <v>4.3968029661754429</v>
      </c>
      <c r="K39" s="4">
        <f>'All Binaries'!P156</f>
        <v>249.95740885176127</v>
      </c>
      <c r="L39" s="1" t="str">
        <f>'All Binaries'!Q156</f>
        <v>OK</v>
      </c>
      <c r="O39" s="38">
        <v>6</v>
      </c>
    </row>
    <row r="40" spans="1:15">
      <c r="A40" s="55" t="str">
        <f>'All Binaries'!A157</f>
        <v>HD 61924</v>
      </c>
      <c r="D40" s="4">
        <f>'2MASS Binaries'!J37</f>
        <v>7.5619108849523151</v>
      </c>
      <c r="E40" s="4">
        <f>'2MASS Binaries'!K37</f>
        <v>7.0509108849523159</v>
      </c>
      <c r="F40" s="4">
        <f>'2MASS Binaries'!L37</f>
        <v>6.8934108849523152</v>
      </c>
      <c r="G40" s="48">
        <f>'2MASS Binaries'!G37</f>
        <v>3.1941352507368889E-2</v>
      </c>
      <c r="H40" s="48">
        <f>'2MASS Binaries'!H37</f>
        <v>3.1084562084739104E-2</v>
      </c>
      <c r="I40" s="48">
        <f>'2MASS Binaries'!I37</f>
        <v>3.1176914536239792E-2</v>
      </c>
      <c r="J40" s="48">
        <f>'All Binaries'!O158</f>
        <v>2.6380817797052657E-2</v>
      </c>
      <c r="K40" s="48">
        <f>'All Binaries'!P158</f>
        <v>0.5</v>
      </c>
      <c r="O40" s="38"/>
    </row>
    <row r="41" spans="1:15">
      <c r="A41" s="1" t="str">
        <f>'All Binaries'!A162</f>
        <v>M197 b</v>
      </c>
      <c r="B41" s="1" t="str">
        <f>'All Binaries'!B162</f>
        <v>F2IV-V</v>
      </c>
      <c r="C41" s="1">
        <f>'All Binaries'!D162</f>
        <v>184</v>
      </c>
      <c r="D41" s="4">
        <f>'2MASS Binaries'!J38</f>
        <v>1.6359108849523176</v>
      </c>
      <c r="E41" s="4">
        <f>'2MASS Binaries'!K38</f>
        <v>1.4889108849523174</v>
      </c>
      <c r="F41" s="4">
        <f>'2MASS Binaries'!L38</f>
        <v>1.3969108849523177</v>
      </c>
      <c r="G41" s="4">
        <f>'2MASS Binaries'!G38</f>
        <v>7.42</v>
      </c>
      <c r="H41" s="4">
        <f>'2MASS Binaries'!H38</f>
        <v>6.96</v>
      </c>
      <c r="I41" s="4">
        <f>'2MASS Binaries'!I38</f>
        <v>6.6734964522600002</v>
      </c>
      <c r="J41" s="4">
        <f>'All Binaries'!O162</f>
        <v>4.005580542901285</v>
      </c>
      <c r="K41" s="4">
        <f>'All Binaries'!P162</f>
        <v>4.0318458218829392</v>
      </c>
      <c r="L41" s="1" t="str">
        <f>'All Binaries'!Q162</f>
        <v>OK</v>
      </c>
      <c r="O41" s="38">
        <v>7</v>
      </c>
    </row>
    <row r="42" spans="1:15">
      <c r="A42" s="55" t="str">
        <f>'All Binaries'!A163</f>
        <v>HD 62152</v>
      </c>
      <c r="D42" s="4">
        <f>'2MASS Binaries'!J39</f>
        <v>9.0559108849523184</v>
      </c>
      <c r="E42" s="4">
        <f>'2MASS Binaries'!K39</f>
        <v>8.4489108849523173</v>
      </c>
      <c r="F42" s="4">
        <f>'2MASS Binaries'!L39</f>
        <v>8.070407337212318</v>
      </c>
      <c r="G42" s="48">
        <f>'2MASS Binaries'!G39</f>
        <v>0.10005123687391375</v>
      </c>
      <c r="H42" s="48">
        <f>'2MASS Binaries'!H39</f>
        <v>5.6375970058172853E-2</v>
      </c>
      <c r="I42" s="48">
        <f>'2MASS Binaries'!I39</f>
        <v>4.8283019789569927E-2</v>
      </c>
      <c r="J42" s="48">
        <f>'All Binaries'!O164</f>
        <v>2.4033483257407711E-2</v>
      </c>
      <c r="K42" s="48">
        <f>'All Binaries'!P164</f>
        <v>0.5</v>
      </c>
      <c r="O42" s="38"/>
    </row>
    <row r="43" spans="1:15">
      <c r="A43" s="1" t="str">
        <f>'All Binaries'!A165</f>
        <v>M218</v>
      </c>
      <c r="B43" s="1" t="str">
        <f>'All Binaries'!B165</f>
        <v>B9V</v>
      </c>
      <c r="C43" s="1">
        <f>'All Binaries'!D165</f>
        <v>184</v>
      </c>
      <c r="D43" s="4">
        <f>'2MASS Binaries'!J40</f>
        <v>1.0289108849523174</v>
      </c>
      <c r="E43" s="4">
        <f>'2MASS Binaries'!K40</f>
        <v>1.0789108849523172</v>
      </c>
      <c r="F43" s="4">
        <f>'2MASS Binaries'!L40</f>
        <v>1.0319108849523175</v>
      </c>
      <c r="G43" s="4">
        <f>'2MASS Binaries'!G40</f>
        <v>4.879999999999999</v>
      </c>
      <c r="H43" s="4">
        <f>'2MASS Binaries'!H40</f>
        <v>4.1690000000000014</v>
      </c>
      <c r="I43" s="4">
        <f>'2MASS Binaries'!I40</f>
        <v>3.9894999999999996</v>
      </c>
      <c r="J43" s="4">
        <f>'All Binaries'!O165</f>
        <v>3.2336666271065182</v>
      </c>
      <c r="K43" s="4">
        <f>'All Binaries'!P165</f>
        <v>267.04800692931866</v>
      </c>
      <c r="L43" s="1" t="str">
        <f>'All Binaries'!Q165</f>
        <v>OK</v>
      </c>
      <c r="O43" s="38">
        <v>8</v>
      </c>
    </row>
    <row r="44" spans="1:15">
      <c r="A44" s="55" t="str">
        <f>'All Binaries'!A166</f>
        <v>HD 62503</v>
      </c>
      <c r="D44" s="4">
        <f>'2MASS Binaries'!J41</f>
        <v>5.9089108849523164</v>
      </c>
      <c r="E44" s="4">
        <f>'2MASS Binaries'!K41</f>
        <v>5.2479108849523186</v>
      </c>
      <c r="F44" s="4">
        <f>'2MASS Binaries'!L41</f>
        <v>5.0214108849523171</v>
      </c>
      <c r="G44" s="48">
        <f>'2MASS Binaries'!G41</f>
        <v>3.1084562084739104E-2</v>
      </c>
      <c r="H44" s="48">
        <f>'2MASS Binaries'!H41</f>
        <v>3.0528675044947495E-2</v>
      </c>
      <c r="I44" s="48">
        <f>'2MASS Binaries'!I41</f>
        <v>3.1575306807693888E-2</v>
      </c>
      <c r="J44" s="48">
        <f>'All Binaries'!O167</f>
        <v>1.9401999762639111E-2</v>
      </c>
      <c r="K44" s="48">
        <f>'All Binaries'!P167</f>
        <v>0.5</v>
      </c>
      <c r="O44" s="236"/>
    </row>
    <row r="45" spans="1:15">
      <c r="A45" s="190" t="str">
        <f>'All Binaries'!A168</f>
        <v>M268</v>
      </c>
      <c r="B45" s="214" t="str">
        <f>'All Binaries'!B168</f>
        <v>B8V</v>
      </c>
      <c r="C45" s="214">
        <f>'All Binaries'!D168</f>
        <v>184</v>
      </c>
      <c r="D45" s="193">
        <f>'2MASS Binaries'!J42</f>
        <v>1.2349108849523178</v>
      </c>
      <c r="E45" s="193">
        <f>'2MASS Binaries'!K42</f>
        <v>1.2979108849523175</v>
      </c>
      <c r="F45" s="193">
        <f>'2MASS Binaries'!L42</f>
        <v>1.2479108849523177</v>
      </c>
      <c r="G45" s="193">
        <f>'2MASS Binaries'!G42</f>
        <v>2.8</v>
      </c>
      <c r="H45" s="193">
        <f>'2MASS Binaries'!H42</f>
        <v>2.7</v>
      </c>
      <c r="I45" s="193">
        <f>'2MASS Binaries'!I42</f>
        <v>2.5499999999999998</v>
      </c>
      <c r="J45" s="192">
        <f>'All Binaries'!O168</f>
        <v>0.47754605250000004</v>
      </c>
      <c r="K45" s="194">
        <f>'All Binaries'!P168</f>
        <v>64.61</v>
      </c>
      <c r="L45" s="1" t="str">
        <f>'All Binaries'!Q168</f>
        <v>PSF Done</v>
      </c>
      <c r="O45" s="38">
        <v>9</v>
      </c>
    </row>
    <row r="46" spans="1:15">
      <c r="A46" s="215" t="str">
        <f>'All Binaries'!A169</f>
        <v>HD 63251</v>
      </c>
      <c r="B46" s="197"/>
      <c r="C46" s="197"/>
      <c r="D46" s="185">
        <f>'2MASS Binaries'!J43</f>
        <v>4.0349108849523176</v>
      </c>
      <c r="E46" s="185">
        <f>'2MASS Binaries'!K43</f>
        <v>3.9979108849523177</v>
      </c>
      <c r="F46" s="185">
        <f>'2MASS Binaries'!L43</f>
        <v>3.7979108849523175</v>
      </c>
      <c r="G46" s="198">
        <f>'2MASS Binaries'!G43</f>
        <v>0.1044030650891055</v>
      </c>
      <c r="H46" s="198">
        <f>'2MASS Binaries'!H43</f>
        <v>0.1044030650891055</v>
      </c>
      <c r="I46" s="198">
        <f>'2MASS Binaries'!I43</f>
        <v>5.8309518948453008E-2</v>
      </c>
      <c r="J46" s="216">
        <f>'All Binaries'!O170</f>
        <v>3.4558719791763916E-3</v>
      </c>
      <c r="K46" s="217">
        <f>'All Binaries'!P170</f>
        <v>0.52365374226950467</v>
      </c>
      <c r="O46" s="38"/>
    </row>
    <row r="47" spans="1:15">
      <c r="A47" s="190" t="str">
        <f>'All Binaries'!A171</f>
        <v>M284</v>
      </c>
      <c r="B47" s="214" t="str">
        <f>'All Binaries'!B171</f>
        <v>B9V n</v>
      </c>
      <c r="C47" s="214">
        <f>'All Binaries'!D171</f>
        <v>184</v>
      </c>
      <c r="D47" s="193">
        <f>'2MASS Binaries'!J44</f>
        <v>1.6989108849523173</v>
      </c>
      <c r="E47" s="193">
        <f>'2MASS Binaries'!K44</f>
        <v>1.7399108849523177</v>
      </c>
      <c r="F47" s="193">
        <f>'2MASS Binaries'!L44</f>
        <v>1.6839108849523168</v>
      </c>
      <c r="G47" s="193">
        <f>'2MASS Binaries'!G44</f>
        <v>4.9000000000000004</v>
      </c>
      <c r="H47" s="193">
        <f>'2MASS Binaries'!H44</f>
        <v>4.45</v>
      </c>
      <c r="I47" s="193">
        <f>'2MASS Binaries'!I44</f>
        <v>4.2</v>
      </c>
      <c r="J47" s="192">
        <f>'All Binaries'!O171</f>
        <v>0.6938557245852861</v>
      </c>
      <c r="K47" s="194">
        <f>'All Binaries'!P171</f>
        <v>45.334450470494232</v>
      </c>
      <c r="L47" s="1" t="str">
        <f>'All Binaries'!Q171</f>
        <v>Not really OK</v>
      </c>
      <c r="O47" s="38">
        <v>10</v>
      </c>
    </row>
    <row r="48" spans="1:15">
      <c r="A48" s="215" t="str">
        <f>'All Binaries'!A172</f>
        <v>HD 63488</v>
      </c>
      <c r="B48" s="197"/>
      <c r="C48" s="197"/>
      <c r="D48" s="185">
        <f>'2MASS Binaries'!J45</f>
        <v>6.5989108849523177</v>
      </c>
      <c r="E48" s="185">
        <f>'2MASS Binaries'!K45</f>
        <v>6.1899108849523179</v>
      </c>
      <c r="F48" s="185">
        <f>'2MASS Binaries'!L45</f>
        <v>5.883910884952317</v>
      </c>
      <c r="G48" s="198">
        <f>'2MASS Binaries'!G45</f>
        <v>0.25</v>
      </c>
      <c r="H48" s="198">
        <f>'2MASS Binaries'!H45</f>
        <v>0.05</v>
      </c>
      <c r="I48" s="198">
        <f>'2MASS Binaries'!I45</f>
        <v>0.05</v>
      </c>
      <c r="J48" s="216">
        <f>'All Binaries'!O173</f>
        <v>4.1631343475117171E-3</v>
      </c>
      <c r="K48" s="217">
        <f>'All Binaries'!P173</f>
        <v>0.5</v>
      </c>
      <c r="L48" s="1" t="str">
        <f>'All Binaries'!Q172</f>
        <v>Blind photometry</v>
      </c>
      <c r="O48" s="38"/>
    </row>
    <row r="49" spans="1:28">
      <c r="A49" s="1" t="str">
        <f>'All Binaries'!A174</f>
        <v>M291</v>
      </c>
      <c r="B49" s="1" t="str">
        <f>'All Binaries'!B174</f>
        <v>B8-B9V</v>
      </c>
      <c r="C49" s="1">
        <f>'All Binaries'!D174</f>
        <v>184</v>
      </c>
      <c r="D49" s="4">
        <f>'2MASS Binaries'!J46</f>
        <v>1.9059108849523181</v>
      </c>
      <c r="E49" s="4">
        <f>'2MASS Binaries'!K46</f>
        <v>2.157910884952317</v>
      </c>
      <c r="F49" s="4">
        <f>'2MASS Binaries'!L46</f>
        <v>2.0669108849523177</v>
      </c>
      <c r="G49" s="4">
        <f>'2MASS Binaries'!G46</f>
        <v>0.56850000000000556</v>
      </c>
      <c r="H49" s="4">
        <f>'2MASS Binaries'!H46</f>
        <v>0.58000000000000185</v>
      </c>
      <c r="I49" s="4">
        <f>'2MASS Binaries'!I46</f>
        <v>0.55650000000000333</v>
      </c>
      <c r="J49" s="4">
        <f>'All Binaries'!O174</f>
        <v>2.1484625236558927</v>
      </c>
      <c r="K49" s="4">
        <f>'All Binaries'!P174</f>
        <v>207.05814035598809</v>
      </c>
      <c r="L49" s="1" t="str">
        <f>'All Binaries'!Q174</f>
        <v>OK</v>
      </c>
      <c r="O49" s="38">
        <v>11</v>
      </c>
    </row>
    <row r="50" spans="1:28">
      <c r="A50" s="55" t="str">
        <f>'All Binaries'!A175</f>
        <v>HD 63602</v>
      </c>
      <c r="D50" s="4">
        <f>'2MASS Binaries'!J47</f>
        <v>2.4744108849523236</v>
      </c>
      <c r="E50" s="4">
        <f>'2MASS Binaries'!K47</f>
        <v>2.7379108849523188</v>
      </c>
      <c r="F50" s="4">
        <f>'2MASS Binaries'!L47</f>
        <v>2.623410884952321</v>
      </c>
      <c r="G50" s="48">
        <f>'2MASS Binaries'!G47</f>
        <v>3.0008332176247314E-2</v>
      </c>
      <c r="H50" s="48">
        <f>'2MASS Binaries'!H47</f>
        <v>3.0008332176247314E-2</v>
      </c>
      <c r="I50" s="48">
        <f>'2MASS Binaries'!I47</f>
        <v>3.0008332176247314E-2</v>
      </c>
      <c r="J50" s="48">
        <f>'All Binaries'!O176</f>
        <v>1.2890775141935356E-2</v>
      </c>
      <c r="K50" s="48">
        <f>'All Binaries'!P176</f>
        <v>0.5</v>
      </c>
      <c r="O50" s="236"/>
    </row>
    <row r="51" spans="1:28">
      <c r="A51" s="1" t="str">
        <f>'All Binaries'!A177</f>
        <v>M47 a</v>
      </c>
      <c r="B51" s="1" t="str">
        <f>'All Binaries'!B177</f>
        <v>A3V</v>
      </c>
      <c r="C51" s="1">
        <f>'All Binaries'!D177</f>
        <v>184</v>
      </c>
      <c r="D51" s="4">
        <f>'2MASS Binaries'!J48</f>
        <v>1.6049108849523179</v>
      </c>
      <c r="E51" s="4">
        <f>'2MASS Binaries'!K48</f>
        <v>1.5449108849523174</v>
      </c>
      <c r="F51" s="4">
        <f>'2MASS Binaries'!L48</f>
        <v>1.4809108849523174</v>
      </c>
      <c r="G51" s="4">
        <f>'2MASS Binaries'!G48</f>
        <v>8.5318827414266636</v>
      </c>
      <c r="H51" s="4">
        <f>'2MASS Binaries'!H48</f>
        <v>7.519275222194147</v>
      </c>
      <c r="I51" s="4">
        <f>'2MASS Binaries'!I48</f>
        <v>7.3851493040454637</v>
      </c>
      <c r="J51" s="4">
        <f>'All Binaries'!O177</f>
        <v>3.4854848631810413</v>
      </c>
      <c r="K51" s="4">
        <f>'All Binaries'!P177</f>
        <v>29.981530513172224</v>
      </c>
      <c r="L51" s="42" t="str">
        <f>'All Binaries'!Q177</f>
        <v>PSF Done</v>
      </c>
      <c r="O51" s="38">
        <v>12</v>
      </c>
    </row>
    <row r="52" spans="1:28">
      <c r="A52" s="55" t="str">
        <f>'All Binaries'!A178</f>
        <v>HD 62974</v>
      </c>
      <c r="D52" s="4">
        <f>'2MASS Binaries'!J49</f>
        <v>10.136793626378982</v>
      </c>
      <c r="E52" s="4">
        <f>'2MASS Binaries'!K49</f>
        <v>9.0641861071464653</v>
      </c>
      <c r="F52" s="4">
        <f>'2MASS Binaries'!L49</f>
        <v>8.8660601889977819</v>
      </c>
      <c r="G52" s="48">
        <f>'2MASS Binaries'!G49</f>
        <v>5.0019996001599204E-2</v>
      </c>
      <c r="H52" s="48">
        <f>'2MASS Binaries'!H49</f>
        <v>5.0019996001599204E-2</v>
      </c>
      <c r="I52" s="48">
        <f>'2MASS Binaries'!I49</f>
        <v>5.0019996001599204E-2</v>
      </c>
      <c r="J52" s="48">
        <f>'All Binaries'!O179</f>
        <v>2.091290917908625E-2</v>
      </c>
      <c r="K52" s="48">
        <f>'All Binaries'!P179</f>
        <v>0.5</v>
      </c>
      <c r="O52" s="38"/>
    </row>
    <row r="53" spans="1:28">
      <c r="A53" s="1" t="str">
        <f>'All Binaries'!A180</f>
        <v>M47 b</v>
      </c>
      <c r="B53" s="1" t="str">
        <f>'All Binaries'!B180</f>
        <v>A3V</v>
      </c>
      <c r="C53" s="1">
        <f>'All Binaries'!D180</f>
        <v>184</v>
      </c>
      <c r="D53" s="4">
        <f>'2MASS Binaries'!J50</f>
        <v>1.6049108849523179</v>
      </c>
      <c r="E53" s="4">
        <f>'2MASS Binaries'!K50</f>
        <v>1.5449108849523174</v>
      </c>
      <c r="F53" s="4">
        <f>'2MASS Binaries'!L50</f>
        <v>1.4809108849523174</v>
      </c>
      <c r="G53" s="4">
        <f>'2MASS Binaries'!G50</f>
        <v>1.892404878284264</v>
      </c>
      <c r="H53" s="4">
        <f>'2MASS Binaries'!H50</f>
        <v>1.6195437047215933</v>
      </c>
      <c r="I53" s="4">
        <f>'2MASS Binaries'!I50</f>
        <v>1.4836495489151122</v>
      </c>
      <c r="J53" s="54">
        <f>'All Binaries'!O180</f>
        <v>0.75185599499999989</v>
      </c>
      <c r="K53" s="4">
        <f>'All Binaries'!P180</f>
        <v>46.294130000000024</v>
      </c>
      <c r="L53" s="1" t="str">
        <f>'All Binaries'!Q180</f>
        <v>PSF Done</v>
      </c>
      <c r="O53" s="38">
        <v>13</v>
      </c>
    </row>
    <row r="54" spans="1:28">
      <c r="A54" s="55" t="str">
        <f>'All Binaries'!A181</f>
        <v>HD 62974</v>
      </c>
      <c r="D54" s="4">
        <f>'2MASS Binaries'!J51</f>
        <v>3.4973157632365819</v>
      </c>
      <c r="E54" s="4">
        <f>'2MASS Binaries'!K51</f>
        <v>3.1644545896739107</v>
      </c>
      <c r="F54" s="4">
        <f>'2MASS Binaries'!L51</f>
        <v>2.9645604338674296</v>
      </c>
      <c r="G54" s="48">
        <f>'2MASS Binaries'!G51</f>
        <v>5.5162098789451011E-2</v>
      </c>
      <c r="H54" s="48">
        <f>'2MASS Binaries'!H51</f>
        <v>5.0849919230578938E-2</v>
      </c>
      <c r="I54" s="48">
        <f>'2MASS Binaries'!I51</f>
        <v>5.0267143517829467E-2</v>
      </c>
      <c r="J54" s="51">
        <f>'All Binaries'!O182</f>
        <v>4.6323463834134024E-3</v>
      </c>
      <c r="K54" s="48">
        <f>'All Binaries'!P182</f>
        <v>0.50274804808174056</v>
      </c>
      <c r="O54" s="38"/>
    </row>
    <row r="55" spans="1:28">
      <c r="A55" s="62" t="s">
        <v>94</v>
      </c>
      <c r="B55" s="62" t="s">
        <v>94</v>
      </c>
      <c r="C55" s="62" t="s">
        <v>94</v>
      </c>
      <c r="D55" s="62" t="s">
        <v>94</v>
      </c>
      <c r="E55" s="62" t="s">
        <v>94</v>
      </c>
      <c r="F55" s="62" t="s">
        <v>94</v>
      </c>
      <c r="G55" s="62" t="s">
        <v>94</v>
      </c>
      <c r="H55" s="62" t="s">
        <v>94</v>
      </c>
      <c r="I55" s="62" t="s">
        <v>94</v>
      </c>
      <c r="J55" s="62" t="s">
        <v>94</v>
      </c>
      <c r="K55" s="62" t="s">
        <v>94</v>
      </c>
      <c r="L55" s="62" t="s">
        <v>94</v>
      </c>
      <c r="M55" s="62" t="s">
        <v>94</v>
      </c>
      <c r="N55" s="62" t="s">
        <v>94</v>
      </c>
    </row>
    <row r="56" spans="1:28">
      <c r="A56" s="67" t="s">
        <v>51</v>
      </c>
      <c r="B56" s="67" t="s">
        <v>51</v>
      </c>
      <c r="C56" s="67" t="s">
        <v>51</v>
      </c>
      <c r="D56" s="67" t="s">
        <v>51</v>
      </c>
      <c r="E56" s="67" t="s">
        <v>51</v>
      </c>
      <c r="F56" s="67" t="s">
        <v>51</v>
      </c>
      <c r="G56" s="67" t="s">
        <v>51</v>
      </c>
      <c r="H56" s="67" t="s">
        <v>51</v>
      </c>
      <c r="I56" s="67" t="s">
        <v>51</v>
      </c>
      <c r="J56" s="67" t="s">
        <v>51</v>
      </c>
      <c r="K56" s="67" t="s">
        <v>51</v>
      </c>
      <c r="L56" s="67" t="s">
        <v>51</v>
      </c>
      <c r="M56" s="67" t="s">
        <v>51</v>
      </c>
      <c r="N56" s="67" t="s">
        <v>883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>
      <c r="A57" s="62" t="s">
        <v>95</v>
      </c>
      <c r="B57" s="62" t="s">
        <v>95</v>
      </c>
      <c r="C57" s="62" t="s">
        <v>95</v>
      </c>
      <c r="D57" s="62" t="s">
        <v>95</v>
      </c>
      <c r="E57" s="62" t="s">
        <v>95</v>
      </c>
      <c r="F57" s="62" t="s">
        <v>95</v>
      </c>
      <c r="G57" s="62" t="s">
        <v>95</v>
      </c>
      <c r="H57" s="62" t="s">
        <v>95</v>
      </c>
      <c r="I57" s="62" t="s">
        <v>95</v>
      </c>
      <c r="J57" s="62" t="s">
        <v>95</v>
      </c>
      <c r="K57" s="62" t="s">
        <v>95</v>
      </c>
      <c r="L57" s="62" t="s">
        <v>95</v>
      </c>
      <c r="M57" s="62" t="s">
        <v>95</v>
      </c>
      <c r="N57" s="62" t="s">
        <v>95</v>
      </c>
    </row>
    <row r="58" spans="1:28">
      <c r="A58" s="1" t="str">
        <f>'All Binaries'!A92</f>
        <v>M155</v>
      </c>
      <c r="B58" s="1" t="str">
        <f>'All Binaries'!B92</f>
        <v>A0IV</v>
      </c>
      <c r="C58" s="1">
        <f>'All Binaries'!D92</f>
        <v>412</v>
      </c>
      <c r="D58" s="4">
        <f>'2MASS Binaries'!J52</f>
        <v>0.15051391983432616</v>
      </c>
      <c r="E58" s="4">
        <f>'2MASS Binaries'!K52</f>
        <v>0.17051391983432573</v>
      </c>
      <c r="F58" s="4">
        <f>'2MASS Binaries'!L52</f>
        <v>0.18251391983432619</v>
      </c>
      <c r="G58" s="4">
        <f>'2MASS Binaries'!G52</f>
        <v>0.7634870026660785</v>
      </c>
      <c r="H58" s="4">
        <f>'2MASS Binaries'!H52</f>
        <v>0.65900874430839451</v>
      </c>
      <c r="I58" s="4">
        <f>'2MASS Binaries'!I52</f>
        <v>0.65900874430839451</v>
      </c>
      <c r="J58" s="54">
        <f>'All Binaries'!O92</f>
        <v>0.45971392499999997</v>
      </c>
      <c r="K58" s="4">
        <f>'All Binaries'!P92</f>
        <v>6.9779549999999801</v>
      </c>
      <c r="L58" s="1" t="str">
        <f>'All Binaries'!Q92</f>
        <v>PSF Done</v>
      </c>
      <c r="N58" s="1" t="s">
        <v>884</v>
      </c>
      <c r="O58" s="38">
        <v>1</v>
      </c>
    </row>
    <row r="59" spans="1:28">
      <c r="A59" s="55" t="str">
        <f>'All Binaries'!A93</f>
        <v>HD 96213</v>
      </c>
      <c r="D59" s="4">
        <f>'2MASS Binaries'!J53</f>
        <v>0.91400092250040466</v>
      </c>
      <c r="E59" s="4">
        <f>'2MASS Binaries'!K53</f>
        <v>0.82952266414272025</v>
      </c>
      <c r="F59" s="4">
        <f>'2MASS Binaries'!L53</f>
        <v>0.8415226641427207</v>
      </c>
      <c r="G59" s="48">
        <f>'2MASS Binaries'!G53</f>
        <v>0.19510070659606951</v>
      </c>
      <c r="H59" s="48">
        <f>'2MASS Binaries'!H53</f>
        <v>0.10218156109871963</v>
      </c>
      <c r="I59" s="48">
        <f>'2MASS Binaries'!I53</f>
        <v>7.1101034752365899E-2</v>
      </c>
      <c r="J59" s="51">
        <f>'All Binaries'!O94</f>
        <v>4.7837580449322011E-3</v>
      </c>
      <c r="K59" s="48">
        <f>'All Binaries'!P94</f>
        <v>0.66335017659819584</v>
      </c>
      <c r="O59" s="38"/>
    </row>
    <row r="60" spans="1:28">
      <c r="A60" s="1" t="str">
        <f>'All Binaries'!A95</f>
        <v>M278</v>
      </c>
      <c r="B60" s="1" t="str">
        <f>'All Binaries'!B95</f>
        <v>A0</v>
      </c>
      <c r="C60" s="1">
        <f>'All Binaries'!D95</f>
        <v>412</v>
      </c>
      <c r="D60" s="4">
        <f>'2MASS Binaries'!J54</f>
        <v>5.4513919834326074E-2</v>
      </c>
      <c r="E60" s="4">
        <f>'2MASS Binaries'!K54</f>
        <v>9.3513919834325776E-2</v>
      </c>
      <c r="F60" s="4">
        <f>'2MASS Binaries'!L54</f>
        <v>5.9513919834326856E-2</v>
      </c>
      <c r="G60" s="4">
        <f>'2MASS Binaries'!G54</f>
        <v>5.7925000000000004</v>
      </c>
      <c r="H60" s="4">
        <f>'2MASS Binaries'!H54</f>
        <v>5.142000000000003</v>
      </c>
      <c r="I60" s="4">
        <f>'2MASS Binaries'!I54</f>
        <v>4.9629999999999992</v>
      </c>
      <c r="J60" s="4">
        <f>'All Binaries'!O95</f>
        <v>3.8137083133195055</v>
      </c>
      <c r="K60" s="4">
        <f>'All Binaries'!P95</f>
        <v>130.37474193196957</v>
      </c>
      <c r="L60" s="1" t="str">
        <f>'All Binaries'!Q95</f>
        <v>OK</v>
      </c>
      <c r="O60" s="38">
        <v>2</v>
      </c>
    </row>
    <row r="61" spans="1:28">
      <c r="A61" s="55" t="str">
        <f>'All Binaries'!A96</f>
        <v>HD 96137</v>
      </c>
      <c r="D61" s="4">
        <f>'2MASS Binaries'!J55</f>
        <v>5.8470139198343265</v>
      </c>
      <c r="E61" s="4">
        <f>'2MASS Binaries'!K55</f>
        <v>5.2355139198343288</v>
      </c>
      <c r="F61" s="4">
        <f>'2MASS Binaries'!L55</f>
        <v>5.022513919834326</v>
      </c>
      <c r="G61" s="48">
        <f>'2MASS Binaries'!G55</f>
        <v>3.1819805153394637E-2</v>
      </c>
      <c r="H61" s="48">
        <f>'2MASS Binaries'!H55</f>
        <v>3.1276988346066827E-2</v>
      </c>
      <c r="I61" s="48">
        <f>'2MASS Binaries'!I55</f>
        <v>3.0907118921051181E-2</v>
      </c>
      <c r="J61" s="48">
        <f>'All Binaries'!O97</f>
        <v>2.2882249879917035E-2</v>
      </c>
      <c r="K61" s="48">
        <f>'All Binaries'!P97</f>
        <v>0.5</v>
      </c>
      <c r="O61" s="236"/>
    </row>
    <row r="62" spans="1:28">
      <c r="A62" s="190" t="str">
        <f>'All Binaries'!A101</f>
        <v>M50</v>
      </c>
      <c r="B62" s="214" t="str">
        <f>'All Binaries'!B101</f>
        <v>A0</v>
      </c>
      <c r="C62" s="214">
        <f>'All Binaries'!D101</f>
        <v>412</v>
      </c>
      <c r="D62" s="193">
        <f>'2MASS Binaries'!J56</f>
        <v>0.13551391983432737</v>
      </c>
      <c r="E62" s="193">
        <f>'2MASS Binaries'!K56</f>
        <v>0.21051391983432666</v>
      </c>
      <c r="F62" s="193">
        <f>'2MASS Binaries'!L56</f>
        <v>4.9513919834327069E-2</v>
      </c>
      <c r="G62" s="193">
        <f>'2MASS Binaries'!G56</f>
        <v>7.3706973795750006</v>
      </c>
      <c r="H62" s="193">
        <f>'2MASS Binaries'!H56</f>
        <v>6.7569662201750003</v>
      </c>
      <c r="I62" s="193">
        <f>'2MASS Binaries'!I56</f>
        <v>6.5493159618950001</v>
      </c>
      <c r="J62" s="193">
        <f>'All Binaries'!O101</f>
        <v>4.7068491750333328</v>
      </c>
      <c r="K62" s="194">
        <f>'All Binaries'!P101</f>
        <v>203.08927642950002</v>
      </c>
      <c r="L62" s="1" t="str">
        <f>'All Binaries'!Q101</f>
        <v>OK</v>
      </c>
      <c r="O62" s="38">
        <v>3</v>
      </c>
    </row>
    <row r="63" spans="1:28">
      <c r="A63" s="215" t="str">
        <f>'All Binaries'!A102</f>
        <v>HD 96246</v>
      </c>
      <c r="B63" s="197"/>
      <c r="C63" s="197"/>
      <c r="D63" s="185">
        <f>'2MASS Binaries'!J57</f>
        <v>7.506211299409328</v>
      </c>
      <c r="E63" s="185">
        <f>'2MASS Binaries'!K57</f>
        <v>6.9674801400093269</v>
      </c>
      <c r="F63" s="185">
        <f>'2MASS Binaries'!L57</f>
        <v>6.5988298817293272</v>
      </c>
      <c r="G63" s="198">
        <f>'2MASS Binaries'!G57</f>
        <v>0.1044030650891055</v>
      </c>
      <c r="H63" s="198">
        <f>'2MASS Binaries'!H57</f>
        <v>0.11111129788140219</v>
      </c>
      <c r="I63" s="198">
        <f>'2MASS Binaries'!I57</f>
        <v>7.6927876563393588E-2</v>
      </c>
      <c r="J63" s="198">
        <f>'All Binaries'!O103</f>
        <v>2.8241095050199998E-2</v>
      </c>
      <c r="K63" s="217">
        <f>'All Binaries'!P103</f>
        <v>0.5</v>
      </c>
      <c r="O63" s="38"/>
    </row>
    <row r="64" spans="1:28">
      <c r="A64" s="1" t="str">
        <f>'All Binaries'!A104</f>
        <v>M317 a</v>
      </c>
      <c r="B64" s="1" t="str">
        <f>'All Binaries'!B104</f>
        <v>B9.5V</v>
      </c>
      <c r="C64" s="1">
        <f>'All Binaries'!D104</f>
        <v>412</v>
      </c>
      <c r="D64" s="4">
        <f>'2MASS Binaries'!J58</f>
        <v>0.36051391983432701</v>
      </c>
      <c r="E64" s="4">
        <f>'2MASS Binaries'!K58</f>
        <v>0.41451391983432728</v>
      </c>
      <c r="F64" s="4">
        <f>'2MASS Binaries'!L58</f>
        <v>0.36551391983432602</v>
      </c>
      <c r="G64" s="4" t="str">
        <f>'2MASS Binaries'!G58</f>
        <v>-</v>
      </c>
      <c r="H64" s="4" t="str">
        <f>'2MASS Binaries'!H58</f>
        <v>-</v>
      </c>
      <c r="I64" s="4">
        <f>'2MASS Binaries'!I58</f>
        <v>6.5259999999999998</v>
      </c>
      <c r="J64" s="4">
        <f>'All Binaries'!O104</f>
        <v>3.185413776312946</v>
      </c>
      <c r="K64" s="4">
        <f>'All Binaries'!P104</f>
        <v>185.61057544178556</v>
      </c>
      <c r="L64" s="1" t="str">
        <f>'All Binaries'!Q104</f>
        <v>Not Specified</v>
      </c>
      <c r="O64" s="38">
        <v>4</v>
      </c>
    </row>
    <row r="65" spans="1:15">
      <c r="A65" s="55" t="str">
        <f>'All Binaries'!A105</f>
        <v>HD 96473</v>
      </c>
      <c r="D65" s="4"/>
      <c r="E65" s="4"/>
      <c r="F65" s="4">
        <f>'2MASS Binaries'!L59</f>
        <v>6.8915139198343258</v>
      </c>
      <c r="G65" s="4"/>
      <c r="H65" s="4"/>
      <c r="I65" s="48">
        <f>'2MASS Binaries'!I59</f>
        <v>3.2522381668103263E-2</v>
      </c>
      <c r="J65" s="48">
        <f>'All Binaries'!O106</f>
        <v>1.9112482657877676E-2</v>
      </c>
      <c r="K65" s="48">
        <f>'All Binaries'!P106</f>
        <v>0.5</v>
      </c>
      <c r="O65" s="38"/>
    </row>
    <row r="66" spans="1:15">
      <c r="A66" s="1" t="str">
        <f>'All Binaries'!A107</f>
        <v>M317 b</v>
      </c>
      <c r="B66" s="1" t="str">
        <f>'All Binaries'!B107</f>
        <v>B9.5V</v>
      </c>
      <c r="C66" s="1">
        <f>'All Binaries'!D107</f>
        <v>412</v>
      </c>
      <c r="D66" s="4">
        <f>'2MASS Binaries'!J60</f>
        <v>0.36051391983432701</v>
      </c>
      <c r="E66" s="4">
        <f>'2MASS Binaries'!K60</f>
        <v>0.41451391983432728</v>
      </c>
      <c r="F66" s="4">
        <f>'2MASS Binaries'!L60</f>
        <v>0.36551391983432602</v>
      </c>
      <c r="G66" s="4" t="str">
        <f>'2MASS Binaries'!G60</f>
        <v>-</v>
      </c>
      <c r="H66" s="4" t="str">
        <f>'2MASS Binaries'!H60</f>
        <v>-</v>
      </c>
      <c r="I66" s="4">
        <f>'2MASS Binaries'!I60</f>
        <v>7.8030000000000008</v>
      </c>
      <c r="J66" s="4">
        <f>'All Binaries'!O107</f>
        <v>3.5872937270329137</v>
      </c>
      <c r="K66" s="4">
        <f>'All Binaries'!P107</f>
        <v>200.98754951042156</v>
      </c>
      <c r="L66" s="1" t="str">
        <f>'All Binaries'!Q107</f>
        <v>Not Specified</v>
      </c>
      <c r="O66" s="38">
        <v>5</v>
      </c>
    </row>
    <row r="67" spans="1:15">
      <c r="A67" s="55" t="str">
        <f>'All Binaries'!A108</f>
        <v>HD 96473</v>
      </c>
      <c r="D67" s="4"/>
      <c r="E67" s="4"/>
      <c r="F67" s="4">
        <f>'2MASS Binaries'!L61</f>
        <v>8.1685139198343268</v>
      </c>
      <c r="G67" s="4"/>
      <c r="H67" s="4"/>
      <c r="I67" s="48">
        <f>'2MASS Binaries'!I61</f>
        <v>4.2778124357333511E-2</v>
      </c>
      <c r="J67" s="48">
        <f>'All Binaries'!O109</f>
        <v>2.1523762362197482E-2</v>
      </c>
      <c r="K67" s="48">
        <f>'All Binaries'!P109</f>
        <v>0.5</v>
      </c>
      <c r="O67" s="236"/>
    </row>
    <row r="68" spans="1:15">
      <c r="A68" s="1" t="str">
        <f>'All Binaries'!A119</f>
        <v>M409</v>
      </c>
      <c r="B68" s="42" t="str">
        <f>'All Binaries'!B119</f>
        <v>B8 E</v>
      </c>
      <c r="C68" s="1">
        <f>'All Binaries'!D119</f>
        <v>412</v>
      </c>
      <c r="D68" s="4">
        <f>'2MASS Binaries'!J62</f>
        <v>0.14051391983432637</v>
      </c>
      <c r="E68" s="4">
        <f>'2MASS Binaries'!K62</f>
        <v>0.1935139198343272</v>
      </c>
      <c r="F68" s="4">
        <f>'2MASS Binaries'!L62</f>
        <v>0.20951391983432721</v>
      </c>
      <c r="G68" s="4" t="str">
        <f>'2MASS Binaries'!G62</f>
        <v>-</v>
      </c>
      <c r="H68" s="4" t="str">
        <f>'2MASS Binaries'!H62</f>
        <v>-</v>
      </c>
      <c r="I68" s="4">
        <f>'2MASS Binaries'!I62</f>
        <v>5.4326913184154897</v>
      </c>
      <c r="J68" s="54">
        <f>'All Binaries'!O119</f>
        <v>0.98900329486649996</v>
      </c>
      <c r="K68" s="4">
        <f>'All Binaries'!P119</f>
        <v>274.65151203749997</v>
      </c>
      <c r="L68" s="1" t="str">
        <f>'All Binaries'!Q119</f>
        <v>Leakage Subtacted</v>
      </c>
      <c r="M68" s="1" t="str">
        <f>'All Binaries'!R119</f>
        <v>Last thing done!  Calculations are shown in log!</v>
      </c>
      <c r="O68" s="38">
        <v>6</v>
      </c>
    </row>
    <row r="69" spans="1:15">
      <c r="A69" s="55" t="str">
        <f>'All Binaries'!A120</f>
        <v>HD 96226</v>
      </c>
      <c r="D69" s="4"/>
      <c r="E69" s="4"/>
      <c r="F69" s="4">
        <f>'2MASS Binaries'!L63</f>
        <v>5.6422052382498169</v>
      </c>
      <c r="G69" s="4"/>
      <c r="H69" s="4"/>
      <c r="I69" s="48">
        <f>'2MASS Binaries'!I63</f>
        <v>0.14430589362478768</v>
      </c>
      <c r="J69" s="51">
        <f>'All Binaries'!O121</f>
        <v>5.9340197691990001E-3</v>
      </c>
      <c r="K69" s="48">
        <f>'All Binaries'!P121</f>
        <v>0.5</v>
      </c>
      <c r="O69" s="38"/>
    </row>
    <row r="70" spans="1:15">
      <c r="A70" s="1" t="str">
        <f>'All Binaries'!A125</f>
        <v>M49 a</v>
      </c>
      <c r="B70" s="42" t="str">
        <f>'All Binaries'!B125</f>
        <v>A0/A1IV/V D</v>
      </c>
      <c r="C70" s="1">
        <f>'All Binaries'!D125</f>
        <v>412</v>
      </c>
      <c r="D70" s="4">
        <f>'2MASS Binaries'!J64</f>
        <v>0.46451391983432622</v>
      </c>
      <c r="E70" s="4">
        <f>'2MASS Binaries'!K64</f>
        <v>0.53151391983432639</v>
      </c>
      <c r="F70" s="4">
        <f>'2MASS Binaries'!L64</f>
        <v>0.46851391983432578</v>
      </c>
      <c r="G70" s="4" t="str">
        <f>'2MASS Binaries'!G64</f>
        <v>-</v>
      </c>
      <c r="H70" s="4" t="str">
        <f>'2MASS Binaries'!H64</f>
        <v>-</v>
      </c>
      <c r="I70" s="4">
        <f>'2MASS Binaries'!I64</f>
        <v>6.0344655105099996</v>
      </c>
      <c r="J70" s="4">
        <f>'All Binaries'!O125</f>
        <v>4.6200677048149998</v>
      </c>
      <c r="K70" s="4">
        <f>'All Binaries'!P125</f>
        <v>20.938009119</v>
      </c>
      <c r="L70" s="42" t="str">
        <f>'All Binaries'!Q125</f>
        <v>OK</v>
      </c>
      <c r="O70" s="38">
        <v>7</v>
      </c>
    </row>
    <row r="71" spans="1:15">
      <c r="A71" s="55" t="str">
        <f>'All Binaries'!A126</f>
        <v>HD 96305</v>
      </c>
      <c r="D71" s="4"/>
      <c r="E71" s="4"/>
      <c r="F71" s="4">
        <f>'2MASS Binaries'!L65</f>
        <v>6.5029794303443254</v>
      </c>
      <c r="G71" s="4"/>
      <c r="H71" s="4"/>
      <c r="I71" s="48">
        <f>'2MASS Binaries'!I65</f>
        <v>3.5331905039857725E-2</v>
      </c>
      <c r="J71" s="48">
        <f>'All Binaries'!O127</f>
        <v>2.772040622889E-2</v>
      </c>
      <c r="K71" s="48">
        <f>'All Binaries'!P127</f>
        <v>0.5</v>
      </c>
      <c r="O71" s="38"/>
    </row>
    <row r="72" spans="1:15">
      <c r="A72" s="1" t="str">
        <f>'All Binaries'!A128</f>
        <v>M49 b</v>
      </c>
      <c r="B72" s="42" t="str">
        <f>'All Binaries'!B128</f>
        <v>A0/A1IV/V D</v>
      </c>
      <c r="C72" s="1">
        <f>'All Binaries'!D128</f>
        <v>412</v>
      </c>
      <c r="D72" s="4">
        <f>'2MASS Binaries'!J66</f>
        <v>0.46451391983432622</v>
      </c>
      <c r="E72" s="4">
        <f>'2MASS Binaries'!K66</f>
        <v>0.53151391983432639</v>
      </c>
      <c r="F72" s="4">
        <f>'2MASS Binaries'!L66</f>
        <v>0.46851391983432578</v>
      </c>
      <c r="G72" s="4" t="str">
        <f>'2MASS Binaries'!G66</f>
        <v>-</v>
      </c>
      <c r="H72" s="4" t="str">
        <f>'2MASS Binaries'!H66</f>
        <v>-</v>
      </c>
      <c r="I72" s="4">
        <f>'2MASS Binaries'!I66</f>
        <v>7.9113200304250002</v>
      </c>
      <c r="J72" s="4">
        <f>'All Binaries'!O128</f>
        <v>2.735295995215</v>
      </c>
      <c r="K72" s="4">
        <f>'All Binaries'!P128</f>
        <v>137.16797976699999</v>
      </c>
      <c r="L72" s="42" t="str">
        <f>'All Binaries'!Q128</f>
        <v>OK</v>
      </c>
      <c r="O72" s="38">
        <v>8</v>
      </c>
    </row>
    <row r="73" spans="1:15">
      <c r="A73" s="55" t="str">
        <f>'All Binaries'!A129</f>
        <v>HD 96305</v>
      </c>
      <c r="D73" s="4"/>
      <c r="E73" s="4"/>
      <c r="F73" s="4">
        <f>'2MASS Binaries'!L67</f>
        <v>8.3798339502593251</v>
      </c>
      <c r="G73" s="4"/>
      <c r="H73" s="4"/>
      <c r="I73" s="48">
        <f>'2MASS Binaries'!I67</f>
        <v>0.13490836961071853</v>
      </c>
      <c r="J73" s="48">
        <f>'All Binaries'!O130</f>
        <v>1.641177597129E-2</v>
      </c>
      <c r="K73" s="48">
        <f>'All Binaries'!P130</f>
        <v>0.5</v>
      </c>
      <c r="L73" s="25"/>
      <c r="O73" s="236"/>
    </row>
    <row r="74" spans="1:15">
      <c r="A74" s="1" t="str">
        <f>'All Binaries'!A183</f>
        <v>M665</v>
      </c>
      <c r="B74" s="1" t="str">
        <f>'All Binaries'!B183</f>
        <v>A2IV</v>
      </c>
      <c r="C74" s="1">
        <f>'All Binaries'!D183</f>
        <v>412</v>
      </c>
      <c r="D74" s="4">
        <f>'2MASS Binaries'!J68</f>
        <v>-0.45148608016567326</v>
      </c>
      <c r="E74" s="4">
        <f>'2MASS Binaries'!K68</f>
        <v>-0.47048608016567339</v>
      </c>
      <c r="F74" s="4">
        <f>'2MASS Binaries'!L68</f>
        <v>-0.5044860801656732</v>
      </c>
      <c r="G74" s="4">
        <f>'2MASS Binaries'!G68</f>
        <v>5.8354999999999979</v>
      </c>
      <c r="H74" s="4">
        <f>'2MASS Binaries'!H68</f>
        <v>5.6439999999999966</v>
      </c>
      <c r="I74" s="4">
        <f>'2MASS Binaries'!I68</f>
        <v>5.6759999999999984</v>
      </c>
      <c r="J74" s="4">
        <f>'All Binaries'!O183</f>
        <v>2.5909844766860215</v>
      </c>
      <c r="K74" s="4">
        <f>'All Binaries'!P183</f>
        <v>300.11715893275459</v>
      </c>
      <c r="L74" s="1" t="str">
        <f>'All Binaries'!Q183</f>
        <v>OK</v>
      </c>
      <c r="O74" s="38">
        <v>9</v>
      </c>
    </row>
    <row r="75" spans="1:15">
      <c r="A75" s="55" t="str">
        <f>'All Binaries'!A184</f>
        <v>HD 97000</v>
      </c>
      <c r="D75" s="4">
        <f>'2MASS Binaries'!J69</f>
        <v>5.3840139198343246</v>
      </c>
      <c r="E75" s="4">
        <f>'2MASS Binaries'!K69</f>
        <v>5.1735139198343232</v>
      </c>
      <c r="F75" s="4">
        <f>'2MASS Binaries'!L69</f>
        <v>5.1715139198343252</v>
      </c>
      <c r="G75" s="48">
        <f>'2MASS Binaries'!G69</f>
        <v>3.2729955698106286E-2</v>
      </c>
      <c r="H75" s="48">
        <f>'2MASS Binaries'!H69</f>
        <v>3.3166247903554019E-2</v>
      </c>
      <c r="I75" s="48">
        <f>'2MASS Binaries'!I69</f>
        <v>3.4124771061503113E-2</v>
      </c>
      <c r="J75" s="48">
        <f>'All Binaries'!O185</f>
        <v>1.5545906860116129E-2</v>
      </c>
      <c r="K75" s="48">
        <f>'All Binaries'!P185</f>
        <v>0.5</v>
      </c>
      <c r="O75" s="38"/>
    </row>
    <row r="76" spans="1:15">
      <c r="A76" s="62" t="s">
        <v>96</v>
      </c>
      <c r="B76" s="62" t="s">
        <v>96</v>
      </c>
      <c r="C76" s="62" t="s">
        <v>96</v>
      </c>
      <c r="D76" s="62" t="s">
        <v>96</v>
      </c>
      <c r="E76" s="62" t="s">
        <v>96</v>
      </c>
      <c r="F76" s="62" t="s">
        <v>96</v>
      </c>
      <c r="G76" s="62" t="s">
        <v>96</v>
      </c>
      <c r="H76" s="62" t="s">
        <v>96</v>
      </c>
      <c r="I76" s="62" t="s">
        <v>96</v>
      </c>
      <c r="J76" s="62" t="s">
        <v>96</v>
      </c>
      <c r="K76" s="62" t="s">
        <v>96</v>
      </c>
      <c r="L76" s="62" t="s">
        <v>96</v>
      </c>
      <c r="M76" s="62" t="s">
        <v>96</v>
      </c>
      <c r="N76" s="62" t="s">
        <v>96</v>
      </c>
    </row>
    <row r="77" spans="1:15">
      <c r="A77" s="190" t="str">
        <f>'All Binaries'!A18</f>
        <v>R110</v>
      </c>
      <c r="B77" s="214" t="str">
        <f>'All Binaries'!B18</f>
        <v>B9.5V</v>
      </c>
      <c r="C77" s="214">
        <f>'All Binaries'!D18</f>
        <v>149</v>
      </c>
      <c r="D77" s="193">
        <f>'2MASS Binaries'!J70</f>
        <v>0.523068657938631</v>
      </c>
      <c r="E77" s="193">
        <f>'2MASS Binaries'!K70</f>
        <v>0.54306865793863057</v>
      </c>
      <c r="F77" s="193">
        <f>'2MASS Binaries'!L70</f>
        <v>0.48706865793863052</v>
      </c>
      <c r="G77" s="193">
        <f>'2MASS Binaries'!G70</f>
        <v>1.25</v>
      </c>
      <c r="H77" s="193">
        <f>'2MASS Binaries'!H70</f>
        <v>1.35</v>
      </c>
      <c r="I77" s="193">
        <f>'2MASS Binaries'!I70</f>
        <v>1.05</v>
      </c>
      <c r="J77" s="193">
        <f>'All Binaries'!O18</f>
        <v>0.15354597500000003</v>
      </c>
      <c r="K77" s="194">
        <f>'All Binaries'!P18</f>
        <v>300.91838055555559</v>
      </c>
      <c r="L77" s="1" t="str">
        <f>'All Binaries'!Q18</f>
        <v>PSF Done</v>
      </c>
      <c r="N77" s="1" t="s">
        <v>890</v>
      </c>
      <c r="O77" s="38">
        <v>1</v>
      </c>
    </row>
    <row r="78" spans="1:15">
      <c r="A78" s="215" t="str">
        <f>'All Binaries'!A19</f>
        <v>HD 93738</v>
      </c>
      <c r="B78" s="197"/>
      <c r="C78" s="197"/>
      <c r="D78" s="185">
        <f>'2MASS Binaries'!J71</f>
        <v>1.773068657938631</v>
      </c>
      <c r="E78" s="185">
        <f>'2MASS Binaries'!K71</f>
        <v>1.8930686579386307</v>
      </c>
      <c r="F78" s="185">
        <f>'2MASS Binaries'!L71</f>
        <v>1.5370686579386306</v>
      </c>
      <c r="G78" s="198" t="str">
        <f>'2MASS Binaries'!G71</f>
        <v>???</v>
      </c>
      <c r="H78" s="198">
        <f>'2MASS Binaries'!H71</f>
        <v>0.15</v>
      </c>
      <c r="I78" s="198">
        <f>'2MASS Binaries'!I71</f>
        <v>0.1</v>
      </c>
      <c r="J78" s="198">
        <f>'All Binaries'!O20</f>
        <v>8.4732730534508444E-3</v>
      </c>
      <c r="K78" s="217">
        <f>'All Binaries'!P20</f>
        <v>2.7317430040700641</v>
      </c>
      <c r="O78" s="38"/>
    </row>
    <row r="79" spans="1:15">
      <c r="A79" s="1" t="str">
        <f>'All Binaries'!A24</f>
        <v>R22b</v>
      </c>
      <c r="B79" s="1" t="str">
        <f>'All Binaries'!B24</f>
        <v>F0</v>
      </c>
      <c r="C79" s="1">
        <f>'All Binaries'!D24</f>
        <v>149</v>
      </c>
      <c r="D79" s="4">
        <f>'2MASS Binaries'!J72</f>
        <v>1.7940686579386309</v>
      </c>
      <c r="E79" s="4">
        <f>'2MASS Binaries'!K72</f>
        <v>1.7460686579386309</v>
      </c>
      <c r="F79" s="4">
        <f>'2MASS Binaries'!L72</f>
        <v>1.6740686579386308</v>
      </c>
      <c r="G79" s="4">
        <f>'2MASS Binaries'!G72</f>
        <v>1.4634999999999989</v>
      </c>
      <c r="H79" s="4">
        <f>'2MASS Binaries'!H72</f>
        <v>1.3639999999999981</v>
      </c>
      <c r="I79" s="4">
        <f>'2MASS Binaries'!I72</f>
        <v>1.3429999999999982</v>
      </c>
      <c r="J79" s="4">
        <f>'All Binaries'!O24</f>
        <v>2.896157275171265</v>
      </c>
      <c r="K79" s="4">
        <f>'All Binaries'!P24</f>
        <v>230.0698203483272</v>
      </c>
      <c r="L79" s="1" t="str">
        <f>'All Binaries'!Q24</f>
        <v>OK</v>
      </c>
      <c r="O79" s="38">
        <v>2</v>
      </c>
    </row>
    <row r="80" spans="1:15">
      <c r="A80" s="55" t="str">
        <f>'All Binaries'!A25</f>
        <v>HD 307860</v>
      </c>
      <c r="D80" s="4">
        <f>'2MASS Binaries'!J73</f>
        <v>3.2575686579386298</v>
      </c>
      <c r="E80" s="4">
        <f>'2MASS Binaries'!K73</f>
        <v>3.110068657938629</v>
      </c>
      <c r="F80" s="4">
        <f>'2MASS Binaries'!L73</f>
        <v>3.017068657938629</v>
      </c>
      <c r="G80" s="48">
        <f>'2MASS Binaries'!G73</f>
        <v>3.0016662039607268E-2</v>
      </c>
      <c r="H80" s="48">
        <f>'2MASS Binaries'!H73</f>
        <v>3.0016662039607268E-2</v>
      </c>
      <c r="I80" s="48">
        <f>'2MASS Binaries'!I73</f>
        <v>3.0016662039607268E-2</v>
      </c>
      <c r="J80" s="48">
        <f>'All Binaries'!O26</f>
        <v>1.7376943651027592E-2</v>
      </c>
      <c r="K80" s="48">
        <f>'All Binaries'!P26</f>
        <v>0.5</v>
      </c>
      <c r="O80" s="236"/>
    </row>
    <row r="81" spans="1:15">
      <c r="A81" s="1" t="str">
        <f>'All Binaries'!A27</f>
        <v>R84 a</v>
      </c>
      <c r="B81" s="1" t="str">
        <f>'All Binaries'!B27</f>
        <v>B6V</v>
      </c>
      <c r="C81" s="1">
        <f>'All Binaries'!D27</f>
        <v>149</v>
      </c>
      <c r="D81" s="4">
        <f>'2MASS Binaries'!J74</f>
        <v>-0.38993134206136926</v>
      </c>
      <c r="E81" s="4">
        <f>'2MASS Binaries'!K74</f>
        <v>-0.37393134206136924</v>
      </c>
      <c r="F81" s="4">
        <f>'2MASS Binaries'!L74</f>
        <v>-0.38693134206136914</v>
      </c>
      <c r="G81" s="4">
        <f>'2MASS Binaries'!G74</f>
        <v>3.1005000000000003</v>
      </c>
      <c r="H81" s="4">
        <f>'2MASS Binaries'!H74</f>
        <v>3.0185000000000137</v>
      </c>
      <c r="I81" s="4">
        <f>'2MASS Binaries'!I74</f>
        <v>3.0675000000000185</v>
      </c>
      <c r="J81" s="4">
        <f>'All Binaries'!O27</f>
        <v>1.105231210812925</v>
      </c>
      <c r="K81" s="4">
        <f>'All Binaries'!P27</f>
        <v>309.29731899795195</v>
      </c>
      <c r="L81" s="1" t="str">
        <f>'All Binaries'!Q27</f>
        <v>OK</v>
      </c>
      <c r="O81" s="38">
        <v>3</v>
      </c>
    </row>
    <row r="82" spans="1:15">
      <c r="A82" s="55" t="str">
        <f>'All Binaries'!A28</f>
        <v>HD 93540</v>
      </c>
      <c r="D82" s="4">
        <f>'2MASS Binaries'!J75</f>
        <v>2.710568657938631</v>
      </c>
      <c r="E82" s="4">
        <f>'2MASS Binaries'!K75</f>
        <v>2.6445686579386445</v>
      </c>
      <c r="F82" s="4">
        <f>'2MASS Binaries'!L75</f>
        <v>2.6805686579386494</v>
      </c>
      <c r="G82" s="48">
        <f>'2MASS Binaries'!G75</f>
        <v>3.605551275463989E-2</v>
      </c>
      <c r="H82" s="48">
        <f>'2MASS Binaries'!H75</f>
        <v>3.0066592756745815E-2</v>
      </c>
      <c r="I82" s="48">
        <f>'2MASS Binaries'!I75</f>
        <v>3.0149626863362672E-2</v>
      </c>
      <c r="J82" s="48">
        <f>'All Binaries'!O29</f>
        <v>6.6313872648775503E-3</v>
      </c>
      <c r="K82" s="48">
        <f>'All Binaries'!P29</f>
        <v>0.5</v>
      </c>
      <c r="O82" s="38"/>
    </row>
    <row r="83" spans="1:15">
      <c r="A83" s="190" t="str">
        <f>'All Binaries'!A30</f>
        <v>R84 b</v>
      </c>
      <c r="B83" s="214" t="str">
        <f>'All Binaries'!B30</f>
        <v>B6V</v>
      </c>
      <c r="C83" s="214">
        <f>'All Binaries'!D30</f>
        <v>149</v>
      </c>
      <c r="D83" s="193">
        <f>'2MASS Binaries'!J76</f>
        <v>-0.38993134206136926</v>
      </c>
      <c r="E83" s="193">
        <f>'2MASS Binaries'!K76</f>
        <v>-0.37393134206136924</v>
      </c>
      <c r="F83" s="193">
        <f>'2MASS Binaries'!L76</f>
        <v>-0.38693134206136914</v>
      </c>
      <c r="G83" s="193">
        <f>'2MASS Binaries'!G76</f>
        <v>5.2732301200750005</v>
      </c>
      <c r="H83" s="193">
        <f>'2MASS Binaries'!H76</f>
        <v>4.2623139336399998</v>
      </c>
      <c r="I83" s="193">
        <f>'2MASS Binaries'!I76</f>
        <v>3.9845127808049998</v>
      </c>
      <c r="J83" s="193">
        <f>'All Binaries'!O30</f>
        <v>3.5691505362416667</v>
      </c>
      <c r="K83" s="194">
        <f>'All Binaries'!P30</f>
        <v>92.666816414383334</v>
      </c>
      <c r="L83" s="1" t="str">
        <f>'All Binaries'!Q30</f>
        <v>OK</v>
      </c>
      <c r="O83" s="38">
        <v>4</v>
      </c>
    </row>
    <row r="84" spans="1:15">
      <c r="A84" s="215" t="str">
        <f>'All Binaries'!A31</f>
        <v>HD 93540</v>
      </c>
      <c r="B84" s="197"/>
      <c r="C84" s="197"/>
      <c r="D84" s="185">
        <f>'2MASS Binaries'!J77</f>
        <v>4.8832987780136312</v>
      </c>
      <c r="E84" s="185">
        <f>'2MASS Binaries'!K77</f>
        <v>3.8883825915786305</v>
      </c>
      <c r="F84" s="185">
        <f>'2MASS Binaries'!L77</f>
        <v>3.5975814387436307</v>
      </c>
      <c r="G84" s="198">
        <f>'2MASS Binaries'!G77</f>
        <v>6.205329930681603E-2</v>
      </c>
      <c r="H84" s="198">
        <f>'2MASS Binaries'!H77</f>
        <v>3.5045153615921136E-2</v>
      </c>
      <c r="I84" s="198">
        <f>'2MASS Binaries'!I77</f>
        <v>3.3651995439068827E-2</v>
      </c>
      <c r="J84" s="198">
        <f>'All Binaries'!O32</f>
        <v>2.1414903217450001E-2</v>
      </c>
      <c r="K84" s="217">
        <f>'All Binaries'!P32</f>
        <v>0.5</v>
      </c>
      <c r="O84" s="38"/>
    </row>
    <row r="85" spans="1:15">
      <c r="A85" s="1" t="str">
        <f>'All Binaries'!A33</f>
        <v>R86</v>
      </c>
      <c r="B85" s="1" t="str">
        <f>'All Binaries'!B33</f>
        <v>B7IV</v>
      </c>
      <c r="C85" s="1">
        <f>'All Binaries'!D33</f>
        <v>149</v>
      </c>
      <c r="D85" s="4">
        <f>'2MASS Binaries'!J78</f>
        <v>-0.5029313420613688</v>
      </c>
      <c r="E85" s="4">
        <f>'2MASS Binaries'!K78</f>
        <v>-0.52193134206136893</v>
      </c>
      <c r="F85" s="4">
        <f>'2MASS Binaries'!L78</f>
        <v>-0.54293134206136884</v>
      </c>
      <c r="G85" s="4">
        <f>'2MASS Binaries'!G78</f>
        <v>2.6709999999999994</v>
      </c>
      <c r="H85" s="4">
        <f>'2MASS Binaries'!H78</f>
        <v>2.5779999999999967</v>
      </c>
      <c r="I85" s="4">
        <f>'2MASS Binaries'!I78</f>
        <v>2.5579999999999963</v>
      </c>
      <c r="J85" s="54">
        <f>'All Binaries'!O33</f>
        <v>0.74484088114639457</v>
      </c>
      <c r="K85" s="4">
        <f>'All Binaries'!P33</f>
        <v>189.6</v>
      </c>
      <c r="L85" s="1" t="str">
        <f>'All Binaries'!Q33</f>
        <v>OK</v>
      </c>
      <c r="O85" s="38">
        <v>5</v>
      </c>
    </row>
    <row r="86" spans="1:15">
      <c r="A86" s="55" t="str">
        <f>'All Binaries'!A34</f>
        <v>HD 93549</v>
      </c>
      <c r="D86" s="4">
        <f>'2MASS Binaries'!J79</f>
        <v>2.1680686579386306</v>
      </c>
      <c r="E86" s="4">
        <f>'2MASS Binaries'!K79</f>
        <v>2.0560686579386278</v>
      </c>
      <c r="F86" s="4">
        <f>'2MASS Binaries'!L79</f>
        <v>2.0150686579386274</v>
      </c>
      <c r="G86" s="48">
        <f>'2MASS Binaries'!G79</f>
        <v>3.0066592756745815E-2</v>
      </c>
      <c r="H86" s="48">
        <f>'2MASS Binaries'!H79</f>
        <v>3.0066592756745815E-2</v>
      </c>
      <c r="I86" s="48">
        <f>'2MASS Binaries'!I79</f>
        <v>3.0066592756745815E-2</v>
      </c>
      <c r="J86" s="51">
        <f>'All Binaries'!O35</f>
        <v>4.4690452868783679E-3</v>
      </c>
      <c r="K86" s="48">
        <f>'All Binaries'!P35</f>
        <v>0.5</v>
      </c>
      <c r="O86" s="236"/>
    </row>
    <row r="87" spans="1:15">
      <c r="A87" s="1" t="str">
        <f>'All Binaries'!A36</f>
        <v>R36</v>
      </c>
      <c r="B87" s="1" t="str">
        <f>'All Binaries'!B36</f>
        <v>A1IV</v>
      </c>
      <c r="C87" s="1">
        <f>'All Binaries'!D36</f>
        <v>149</v>
      </c>
      <c r="D87" s="4">
        <f>'2MASS Binaries'!J80</f>
        <v>0.98206865793863063</v>
      </c>
      <c r="E87" s="4">
        <f>'2MASS Binaries'!K80</f>
        <v>1.0050686579386312</v>
      </c>
      <c r="F87" s="4">
        <f>'2MASS Binaries'!L80</f>
        <v>0.92506865793863113</v>
      </c>
      <c r="G87" s="4">
        <f>'2MASS Binaries'!G80</f>
        <v>0.87349999999999905</v>
      </c>
      <c r="H87" s="4">
        <f>'2MASS Binaries'!H80</f>
        <v>0.74299999999999766</v>
      </c>
      <c r="I87" s="4">
        <f>'2MASS Binaries'!I80</f>
        <v>0.72300000000000075</v>
      </c>
      <c r="J87" s="4">
        <f>'All Binaries'!O36</f>
        <v>2.0494356610400613</v>
      </c>
      <c r="K87" s="4">
        <f>'All Binaries'!P36</f>
        <v>19.464085108451002</v>
      </c>
      <c r="L87" s="1" t="str">
        <f>'All Binaries'!Q36</f>
        <v>OK</v>
      </c>
      <c r="O87" s="38">
        <v>6</v>
      </c>
    </row>
    <row r="88" spans="1:15">
      <c r="A88" s="55" t="str">
        <f>'All Binaries'!A37</f>
        <v>HD 92467</v>
      </c>
      <c r="D88" s="4">
        <f>'2MASS Binaries'!J81</f>
        <v>1.8555686579386297</v>
      </c>
      <c r="E88" s="4">
        <f>'2MASS Binaries'!K81</f>
        <v>1.7480686579386289</v>
      </c>
      <c r="F88" s="4">
        <f>'2MASS Binaries'!L81</f>
        <v>1.6480686579386319</v>
      </c>
      <c r="G88" s="48">
        <f>'2MASS Binaries'!G81</f>
        <v>3.0016662039607268E-2</v>
      </c>
      <c r="H88" s="48">
        <f>'2MASS Binaries'!H81</f>
        <v>3.0016662039607268E-2</v>
      </c>
      <c r="I88" s="48">
        <f>'2MASS Binaries'!I81</f>
        <v>3.0016662039607268E-2</v>
      </c>
      <c r="J88" s="48">
        <f>'All Binaries'!O38</f>
        <v>1.2296613966240369E-2</v>
      </c>
      <c r="K88" s="48">
        <f>'All Binaries'!P38</f>
        <v>0.5</v>
      </c>
      <c r="O88" s="38"/>
    </row>
    <row r="89" spans="1:15">
      <c r="A89" s="1" t="str">
        <f>'All Binaries'!A39</f>
        <v>R90</v>
      </c>
      <c r="B89" s="1" t="str">
        <f>'All Binaries'!B39</f>
        <v>A0V n</v>
      </c>
      <c r="C89" s="1">
        <f>'All Binaries'!D39</f>
        <v>149</v>
      </c>
      <c r="D89" s="4">
        <f>'2MASS Binaries'!J82</f>
        <v>1.6750686579386311</v>
      </c>
      <c r="E89" s="4">
        <f>'2MASS Binaries'!K82</f>
        <v>1.7080686579386306</v>
      </c>
      <c r="F89" s="4">
        <f>'2MASS Binaries'!L82</f>
        <v>1.608068657938631</v>
      </c>
      <c r="G89" s="4">
        <f>'2MASS Binaries'!G82</f>
        <v>7.1234999999999991</v>
      </c>
      <c r="H89" s="4">
        <f>'2MASS Binaries'!H82</f>
        <v>6.7410000000000005</v>
      </c>
      <c r="I89" s="4">
        <f>'2MASS Binaries'!I82</f>
        <v>6.6850000000000005</v>
      </c>
      <c r="J89" s="4">
        <f>'All Binaries'!O39</f>
        <v>3.9026246767887423</v>
      </c>
      <c r="K89" s="4">
        <f>'All Binaries'!P39</f>
        <v>12.787338361015387</v>
      </c>
      <c r="L89" s="1" t="str">
        <f>'All Binaries'!Q39</f>
        <v>OK</v>
      </c>
      <c r="O89" s="38">
        <v>7</v>
      </c>
    </row>
    <row r="90" spans="1:15">
      <c r="A90" s="55" t="str">
        <f>'All Binaries'!A40</f>
        <v>HD 93648</v>
      </c>
      <c r="D90" s="4">
        <f>'2MASS Binaries'!J83</f>
        <v>8.7985686579386311</v>
      </c>
      <c r="E90" s="4">
        <f>'2MASS Binaries'!K83</f>
        <v>8.449068657938632</v>
      </c>
      <c r="F90" s="4">
        <f>'2MASS Binaries'!L83</f>
        <v>8.2930686579386315</v>
      </c>
      <c r="G90" s="48">
        <f>'2MASS Binaries'!G83</f>
        <v>3.9051248379533277E-2</v>
      </c>
      <c r="H90" s="48">
        <f>'2MASS Binaries'!H83</f>
        <v>3.5510561809129405E-2</v>
      </c>
      <c r="I90" s="48">
        <f>'2MASS Binaries'!I83</f>
        <v>3.9698866482558416E-2</v>
      </c>
      <c r="J90" s="48">
        <f>'All Binaries'!O41</f>
        <v>2.3415748060732454E-2</v>
      </c>
      <c r="K90" s="48">
        <f>'All Binaries'!P41</f>
        <v>0.5</v>
      </c>
      <c r="O90" s="38"/>
    </row>
    <row r="91" spans="1:15">
      <c r="A91" s="1" t="str">
        <f>'All Binaries'!A42</f>
        <v>W14</v>
      </c>
      <c r="B91" s="1" t="str">
        <f>'All Binaries'!B42</f>
        <v>A3IV</v>
      </c>
      <c r="C91" s="1">
        <f>'All Binaries'!D42</f>
        <v>149</v>
      </c>
      <c r="D91" s="4">
        <f>'2MASS Binaries'!J84</f>
        <v>1.0020686579386311</v>
      </c>
      <c r="E91" s="4">
        <f>'2MASS Binaries'!K84</f>
        <v>0.97806865793863107</v>
      </c>
      <c r="F91" s="4">
        <f>'2MASS Binaries'!L84</f>
        <v>0.89006865793863099</v>
      </c>
      <c r="G91" s="4">
        <f>'2MASS Binaries'!G84</f>
        <v>5.3999999999999382E-2</v>
      </c>
      <c r="H91" s="4">
        <f>'2MASS Binaries'!H84</f>
        <v>2.9000000000000803E-2</v>
      </c>
      <c r="I91" s="4">
        <f>'2MASS Binaries'!I84</f>
        <v>2.6000000000002466E-2</v>
      </c>
      <c r="J91" s="54">
        <f>'All Binaries'!O42</f>
        <v>0.52969083983528298</v>
      </c>
      <c r="K91" s="4">
        <f>'All Binaries'!P42</f>
        <v>72.79333652951108</v>
      </c>
      <c r="L91" s="1" t="str">
        <f>'All Binaries'!Q42</f>
        <v>OK</v>
      </c>
      <c r="O91" s="38">
        <v>8</v>
      </c>
    </row>
    <row r="92" spans="1:15">
      <c r="A92" s="55" t="str">
        <f>'All Binaries'!A43</f>
        <v>HD 92896</v>
      </c>
      <c r="D92" s="4">
        <f>'2MASS Binaries'!J85</f>
        <v>1.0560686579386305</v>
      </c>
      <c r="E92" s="4">
        <f>'2MASS Binaries'!K85</f>
        <v>1.0070686579386319</v>
      </c>
      <c r="F92" s="4">
        <f>'2MASS Binaries'!L85</f>
        <v>0.91606865793863346</v>
      </c>
      <c r="G92" s="48">
        <f>'2MASS Binaries'!G85</f>
        <v>3.0016662039607268E-2</v>
      </c>
      <c r="H92" s="48">
        <f>'2MASS Binaries'!H85</f>
        <v>3.0016662039607268E-2</v>
      </c>
      <c r="I92" s="48">
        <f>'2MASS Binaries'!I85</f>
        <v>3.0016662039607268E-2</v>
      </c>
      <c r="J92" s="51">
        <f>'All Binaries'!O44</f>
        <v>3.1781450390116978E-3</v>
      </c>
      <c r="K92" s="48">
        <f>'All Binaries'!P44</f>
        <v>0.5</v>
      </c>
      <c r="O92" s="236"/>
    </row>
    <row r="93" spans="1:15">
      <c r="A93" s="1" t="str">
        <f>'All Binaries'!A45</f>
        <v>W3</v>
      </c>
      <c r="B93" s="1" t="str">
        <f>'All Binaries'!B45</f>
        <v>A0V</v>
      </c>
      <c r="C93" s="1">
        <f>'All Binaries'!D45</f>
        <v>149</v>
      </c>
      <c r="D93" s="4">
        <f>'2MASS Binaries'!J86</f>
        <v>1.5690686579386304</v>
      </c>
      <c r="E93" s="4">
        <f>'2MASS Binaries'!K86</f>
        <v>1.5840686579386309</v>
      </c>
      <c r="F93" s="4">
        <f>'2MASS Binaries'!L86</f>
        <v>1.6130686579386309</v>
      </c>
      <c r="G93" s="4">
        <f>'2MASS Binaries'!G86</f>
        <v>4.7864999999999993</v>
      </c>
      <c r="H93" s="4">
        <f>'2MASS Binaries'!H86</f>
        <v>4.1664999999999983</v>
      </c>
      <c r="I93" s="4">
        <f>'2MASS Binaries'!I86</f>
        <v>3.9104999999999972</v>
      </c>
      <c r="J93" s="4">
        <f>'All Binaries'!O45</f>
        <v>3.4166080416074096</v>
      </c>
      <c r="K93" s="4">
        <f>'All Binaries'!P45</f>
        <v>16.707349630115999</v>
      </c>
      <c r="L93" s="1" t="str">
        <f>'All Binaries'!Q45</f>
        <v>OK</v>
      </c>
      <c r="O93" s="38">
        <v>9</v>
      </c>
    </row>
    <row r="94" spans="1:15">
      <c r="A94" s="55" t="str">
        <f>'All Binaries'!A46</f>
        <v>HD 92478</v>
      </c>
      <c r="D94" s="4">
        <f>'2MASS Binaries'!J87</f>
        <v>6.3555686579386297</v>
      </c>
      <c r="E94" s="4">
        <f>'2MASS Binaries'!K87</f>
        <v>5.7505686579386293</v>
      </c>
      <c r="F94" s="4">
        <f>'2MASS Binaries'!L87</f>
        <v>5.5235686579386281</v>
      </c>
      <c r="G94" s="48">
        <f>'2MASS Binaries'!G87</f>
        <v>3.026549190084311E-2</v>
      </c>
      <c r="H94" s="48">
        <f>'2MASS Binaries'!H87</f>
        <v>3.026549190084311E-2</v>
      </c>
      <c r="I94" s="48">
        <f>'2MASS Binaries'!I87</f>
        <v>3.026549190084311E-2</v>
      </c>
      <c r="J94" s="48">
        <f>'All Binaries'!O47</f>
        <v>2.0499648249644457E-2</v>
      </c>
      <c r="K94" s="48">
        <f>'All Binaries'!P47</f>
        <v>0.5</v>
      </c>
      <c r="O94" s="38"/>
    </row>
    <row r="95" spans="1:15">
      <c r="A95" s="1" t="str">
        <f>'All Binaries'!A48</f>
        <v>W13</v>
      </c>
      <c r="B95" s="1" t="str">
        <f>'All Binaries'!B48</f>
        <v>A0IV</v>
      </c>
      <c r="C95" s="1">
        <f>'All Binaries'!D48</f>
        <v>149</v>
      </c>
      <c r="D95" s="4">
        <f>'2MASS Binaries'!J88</f>
        <v>1.2780686579386309</v>
      </c>
      <c r="E95" s="4">
        <f>'2MASS Binaries'!K88</f>
        <v>1.3250686579386306</v>
      </c>
      <c r="F95" s="4">
        <f>'2MASS Binaries'!L88</f>
        <v>1.3280686579386307</v>
      </c>
      <c r="G95" s="4" t="str">
        <f>'2MASS Binaries'!G88</f>
        <v>-</v>
      </c>
      <c r="H95" s="4" t="str">
        <f>'2MASS Binaries'!H88</f>
        <v>-</v>
      </c>
      <c r="I95" s="4">
        <f>'2MASS Binaries'!I88</f>
        <v>5.7759999999999998</v>
      </c>
      <c r="J95" s="4">
        <f>'All Binaries'!O48</f>
        <v>2.6165811559581762</v>
      </c>
      <c r="K95" s="4">
        <f>'All Binaries'!P48</f>
        <v>175.66519831577341</v>
      </c>
      <c r="L95" s="1" t="str">
        <f>'All Binaries'!Q48</f>
        <v>OK</v>
      </c>
      <c r="O95" s="38">
        <v>10</v>
      </c>
    </row>
    <row r="96" spans="1:15">
      <c r="A96" s="55" t="str">
        <f>'All Binaries'!A49</f>
        <v>HD 92837</v>
      </c>
      <c r="D96" s="4"/>
      <c r="E96" s="4"/>
      <c r="F96" s="4">
        <f>'2MASS Binaries'!L89</f>
        <v>7.1040686579386305</v>
      </c>
      <c r="G96" s="48"/>
      <c r="H96" s="48"/>
      <c r="I96" s="48">
        <f>'2MASS Binaries'!I89</f>
        <v>3.3999999999999996E-2</v>
      </c>
      <c r="J96" s="48">
        <f>'All Binaries'!O50</f>
        <v>1.5699486935749057E-2</v>
      </c>
      <c r="K96" s="48">
        <f>'All Binaries'!P50</f>
        <v>0.5</v>
      </c>
      <c r="O96" s="38"/>
    </row>
    <row r="97" spans="1:15">
      <c r="A97" s="1" t="str">
        <f>'All Binaries'!A51</f>
        <v>R97</v>
      </c>
      <c r="B97" s="42" t="str">
        <f>'All Binaries'!B51</f>
        <v>A0V C</v>
      </c>
      <c r="C97" s="1">
        <f>'All Binaries'!D51</f>
        <v>149</v>
      </c>
      <c r="D97" s="4">
        <f>'2MASS Binaries'!J90</f>
        <v>1.6030686579386311</v>
      </c>
      <c r="E97" s="4">
        <f>'2MASS Binaries'!K90</f>
        <v>1.5600686579386309</v>
      </c>
      <c r="F97" s="4">
        <f>'2MASS Binaries'!L90</f>
        <v>1.4610686579386307</v>
      </c>
      <c r="G97" s="4">
        <f>'2MASS Binaries'!G90</f>
        <v>8.3708069801149989</v>
      </c>
      <c r="H97" s="4">
        <f>'2MASS Binaries'!H90</f>
        <v>7.8420291090349998</v>
      </c>
      <c r="I97" s="4">
        <f>'2MASS Binaries'!I90</f>
        <v>7.551610808945</v>
      </c>
      <c r="J97" s="4">
        <f>'All Binaries'!O51</f>
        <v>4.7959707275649999</v>
      </c>
      <c r="K97" s="4">
        <f>'All Binaries'!P51</f>
        <v>8.8925922947116671</v>
      </c>
      <c r="L97" s="42" t="str">
        <f>'All Binaries'!Q51</f>
        <v>OK</v>
      </c>
      <c r="O97" s="38">
        <v>11</v>
      </c>
    </row>
    <row r="98" spans="1:15">
      <c r="A98" s="55" t="str">
        <f>'All Binaries'!A52</f>
        <v>HD 94174</v>
      </c>
      <c r="D98" s="4">
        <f>'2MASS Binaries'!J91</f>
        <v>9.9738756380536309</v>
      </c>
      <c r="E98" s="4">
        <f>'2MASS Binaries'!K91</f>
        <v>9.4020977669736308</v>
      </c>
      <c r="F98" s="4">
        <f>'2MASS Binaries'!L91</f>
        <v>9.0126794668836308</v>
      </c>
      <c r="G98" s="48">
        <f>'2MASS Binaries'!G91</f>
        <v>9.4948886893496467E-2</v>
      </c>
      <c r="H98" s="48">
        <f>'2MASS Binaries'!H91</f>
        <v>6.7695922890261162E-2</v>
      </c>
      <c r="I98" s="48">
        <f>'2MASS Binaries'!I91</f>
        <v>6.1923407045371033E-2</v>
      </c>
      <c r="J98" s="48">
        <f>'All Binaries'!O53</f>
        <v>2.8775824365390001E-2</v>
      </c>
      <c r="K98" s="48">
        <f>'All Binaries'!P53</f>
        <v>0.5</v>
      </c>
      <c r="O98" s="236"/>
    </row>
    <row r="99" spans="1:15">
      <c r="A99" s="1" t="str">
        <f>'All Binaries'!A54</f>
        <v>W17</v>
      </c>
      <c r="B99" s="42" t="str">
        <f>'All Binaries'!B54</f>
        <v>A0V C</v>
      </c>
      <c r="C99" s="1">
        <f>'All Binaries'!D54</f>
        <v>149</v>
      </c>
      <c r="D99" s="4">
        <f>'2MASS Binaries'!J92</f>
        <v>1.6280686579386305</v>
      </c>
      <c r="E99" s="4">
        <f>'2MASS Binaries'!K92</f>
        <v>1.6690686579386309</v>
      </c>
      <c r="F99" s="4">
        <f>'2MASS Binaries'!L92</f>
        <v>1.6010686579386304</v>
      </c>
      <c r="G99" s="4" t="str">
        <f>'2MASS Binaries'!G92</f>
        <v>-</v>
      </c>
      <c r="H99" s="4" t="str">
        <f>'2MASS Binaries'!H92</f>
        <v>-</v>
      </c>
      <c r="I99" s="4">
        <f>'2MASS Binaries'!I92</f>
        <v>6.450751462905</v>
      </c>
      <c r="J99" s="4">
        <f>'All Binaries'!O54</f>
        <v>4.5496268424400004</v>
      </c>
      <c r="K99" s="4">
        <f>'All Binaries'!P54</f>
        <v>347.98235461299998</v>
      </c>
      <c r="L99" s="42" t="str">
        <f>'All Binaries'!Q54</f>
        <v>OK</v>
      </c>
      <c r="O99" s="38">
        <v>12</v>
      </c>
    </row>
    <row r="100" spans="1:15">
      <c r="A100" s="55" t="str">
        <f>'All Binaries'!A55</f>
        <v>HD 92989</v>
      </c>
      <c r="D100" s="4"/>
      <c r="E100" s="4"/>
      <c r="F100" s="4">
        <f>'2MASS Binaries'!L93</f>
        <v>8.0518201208436295</v>
      </c>
      <c r="G100" s="48"/>
      <c r="H100" s="48"/>
      <c r="I100" s="48">
        <f>'2MASS Binaries'!I93</f>
        <v>3.605551275463989E-2</v>
      </c>
      <c r="J100" s="48">
        <f>'All Binaries'!O56</f>
        <v>2.7297761054640001E-2</v>
      </c>
      <c r="K100" s="48">
        <f>'All Binaries'!P56</f>
        <v>0.5</v>
      </c>
      <c r="O100" s="38"/>
    </row>
    <row r="101" spans="1:15">
      <c r="A101" s="1" t="str">
        <f>'All Binaries'!A58</f>
        <v>B62</v>
      </c>
      <c r="B101" s="1" t="str">
        <f>'All Binaries'!B58</f>
        <v>K1III</v>
      </c>
      <c r="C101" s="1">
        <f>'All Binaries'!D58</f>
        <v>149</v>
      </c>
      <c r="D101" s="4">
        <f>'2MASS Binaries'!J94</f>
        <v>0.51606865793863044</v>
      </c>
      <c r="E101" s="4">
        <f>'2MASS Binaries'!K94</f>
        <v>-0.16093134206136916</v>
      </c>
      <c r="F101" s="4">
        <f>'2MASS Binaries'!L94</f>
        <v>-0.3389313420613691</v>
      </c>
      <c r="G101" s="4">
        <f>'2MASS Binaries'!G94</f>
        <v>0.61031286081877134</v>
      </c>
      <c r="H101" s="4">
        <f>'2MASS Binaries'!H94</f>
        <v>0.53667541247308215</v>
      </c>
      <c r="I101" s="4">
        <f>'2MASS Binaries'!I94</f>
        <v>0.38725489996435769</v>
      </c>
      <c r="J101" s="54">
        <f>'All Binaries'!O58</f>
        <v>0.21134288999999998</v>
      </c>
      <c r="K101" s="4">
        <f>'All Binaries'!P58</f>
        <v>34.055024444444001</v>
      </c>
      <c r="L101" s="1" t="str">
        <f>'All Binaries'!Q58</f>
        <v>PSF Done</v>
      </c>
      <c r="O101" s="38">
        <v>13</v>
      </c>
    </row>
    <row r="102" spans="1:15">
      <c r="A102" s="55" t="str">
        <f>'All Binaries'!A59</f>
        <v>HD 94115</v>
      </c>
      <c r="D102" s="4">
        <f>'2MASS Binaries'!J95</f>
        <v>1.1263815187574018</v>
      </c>
      <c r="E102" s="4">
        <f>'2MASS Binaries'!K95</f>
        <v>0.37574407041171298</v>
      </c>
      <c r="F102" s="4">
        <f>'2MASS Binaries'!L95</f>
        <v>4.832355790298859E-2</v>
      </c>
      <c r="G102" s="48">
        <f>'2MASS Binaries'!G95</f>
        <v>0.2553423453594541</v>
      </c>
      <c r="H102" s="48">
        <f>'2MASS Binaries'!H95</f>
        <v>0.11729051843392983</v>
      </c>
      <c r="I102" s="48">
        <f>'2MASS Binaries'!I95</f>
        <v>5.9641787843280315E-2</v>
      </c>
      <c r="J102" s="51">
        <f>'All Binaries'!O60</f>
        <v>6.2958793082084595E-3</v>
      </c>
      <c r="K102" s="48">
        <f>'All Binaries'!P60</f>
        <v>1.011491489572983</v>
      </c>
      <c r="O102" s="38"/>
    </row>
    <row r="103" spans="1:15">
      <c r="A103" s="1" t="str">
        <f>'All Binaries'!A67</f>
        <v>W24 / R81 a</v>
      </c>
      <c r="B103" s="1" t="str">
        <f>'All Binaries'!B67</f>
        <v>A2V</v>
      </c>
      <c r="C103" s="1">
        <f>'All Binaries'!D67</f>
        <v>149</v>
      </c>
      <c r="D103" s="4">
        <f>'2MASS Binaries'!J96</f>
        <v>1.9470686579386305</v>
      </c>
      <c r="E103" s="4">
        <f>'2MASS Binaries'!K96</f>
        <v>1.9000686579386308</v>
      </c>
      <c r="F103" s="4">
        <f>'2MASS Binaries'!L96</f>
        <v>1.8990686579386304</v>
      </c>
      <c r="G103" s="4">
        <f>'2MASS Binaries'!G96</f>
        <v>9.1389056704599998</v>
      </c>
      <c r="H103" s="4">
        <f>'2MASS Binaries'!H96</f>
        <v>8.6377105631166664</v>
      </c>
      <c r="I103" s="4">
        <f>'2MASS Binaries'!I96</f>
        <v>8.7663485556266689</v>
      </c>
      <c r="J103" s="4">
        <f>'All Binaries'!O67</f>
        <v>4.2692539377300003</v>
      </c>
      <c r="K103" s="4">
        <f>'All Binaries'!P67</f>
        <v>206.75962024466668</v>
      </c>
      <c r="L103" s="42" t="str">
        <f>'All Binaries'!Q67</f>
        <v>OK</v>
      </c>
      <c r="O103" s="38">
        <v>14</v>
      </c>
    </row>
    <row r="104" spans="1:15">
      <c r="A104" s="55" t="str">
        <f>'All Binaries'!A68</f>
        <v>HD 93424</v>
      </c>
      <c r="D104" s="4">
        <f>'2MASS Binaries'!J97</f>
        <v>11.085974328398631</v>
      </c>
      <c r="E104" s="4">
        <f>'2MASS Binaries'!K97</f>
        <v>10.537779221055297</v>
      </c>
      <c r="F104" s="4">
        <f>'2MASS Binaries'!L97</f>
        <v>10.665417213565298</v>
      </c>
      <c r="G104" s="48">
        <f>'2MASS Binaries'!G97</f>
        <v>0.16906868845600989</v>
      </c>
      <c r="H104" s="48">
        <f>'2MASS Binaries'!H97</f>
        <v>0.19281791899225048</v>
      </c>
      <c r="I104" s="48">
        <f>'2MASS Binaries'!I97</f>
        <v>6.9076010189668288E-2</v>
      </c>
      <c r="J104" s="48">
        <f>'All Binaries'!O69</f>
        <v>2.5615523626380001E-2</v>
      </c>
      <c r="K104" s="48">
        <f>'All Binaries'!P69</f>
        <v>0.5</v>
      </c>
      <c r="O104" s="236"/>
    </row>
    <row r="105" spans="1:15">
      <c r="A105" s="1" t="str">
        <f>'All Binaries'!A70</f>
        <v>W24 / R81 b</v>
      </c>
      <c r="B105" s="1" t="str">
        <f>'All Binaries'!B70</f>
        <v>A2V</v>
      </c>
      <c r="C105" s="1">
        <f>'All Binaries'!D70</f>
        <v>149</v>
      </c>
      <c r="D105" s="4">
        <f>'2MASS Binaries'!J98</f>
        <v>1.9470686579386305</v>
      </c>
      <c r="E105" s="4">
        <f>'2MASS Binaries'!K98</f>
        <v>1.9000686579386308</v>
      </c>
      <c r="F105" s="4">
        <f>'2MASS Binaries'!L98</f>
        <v>1.8990686579386304</v>
      </c>
      <c r="G105" s="4">
        <f>'2MASS Binaries'!G98</f>
        <v>7.5933333333333337</v>
      </c>
      <c r="H105" s="4">
        <f>'2MASS Binaries'!H98</f>
        <v>7.2226666666666688</v>
      </c>
      <c r="I105" s="4">
        <f>'2MASS Binaries'!I98</f>
        <v>7.1186666666666687</v>
      </c>
      <c r="J105" s="4">
        <f>'All Binaries'!O70</f>
        <v>2.7573129260470126</v>
      </c>
      <c r="K105" s="4">
        <f>'All Binaries'!P70</f>
        <v>236.28137622235892</v>
      </c>
      <c r="L105" s="1" t="str">
        <f>'All Binaries'!Q70</f>
        <v>OK</v>
      </c>
      <c r="O105" s="38">
        <v>15</v>
      </c>
    </row>
    <row r="106" spans="1:15">
      <c r="A106" s="55" t="str">
        <f>'All Binaries'!A71</f>
        <v>HD 93424</v>
      </c>
      <c r="D106" s="4">
        <f>'2MASS Binaries'!J99</f>
        <v>9.5404019912719633</v>
      </c>
      <c r="E106" s="4">
        <f>'2MASS Binaries'!K99</f>
        <v>9.1227353246052996</v>
      </c>
      <c r="F106" s="4">
        <f>'2MASS Binaries'!L99</f>
        <v>9.0177353246052991</v>
      </c>
      <c r="G106" s="48">
        <f>'2MASS Binaries'!G99</f>
        <v>5.2646620657613628E-2</v>
      </c>
      <c r="H106" s="48">
        <f>'2MASS Binaries'!H99</f>
        <v>4.2449970553582239E-2</v>
      </c>
      <c r="I106" s="48">
        <f>'2MASS Binaries'!I99</f>
        <v>4.4560819860800016E-2</v>
      </c>
      <c r="J106" s="48">
        <f>'All Binaries'!O72</f>
        <v>1.6543877556282074E-2</v>
      </c>
      <c r="K106" s="48">
        <f>'All Binaries'!P72</f>
        <v>0.5</v>
      </c>
      <c r="O106" s="38"/>
    </row>
    <row r="107" spans="1:15">
      <c r="A107" s="1" t="str">
        <f>'All Binaries'!A73</f>
        <v>W24 / R81 c</v>
      </c>
      <c r="B107" s="1" t="str">
        <f>'All Binaries'!B73</f>
        <v>A2V</v>
      </c>
      <c r="C107" s="1">
        <f>'All Binaries'!D73</f>
        <v>149</v>
      </c>
      <c r="D107" s="4">
        <f>'2MASS Binaries'!J100</f>
        <v>1.9470686579386305</v>
      </c>
      <c r="E107" s="4">
        <f>'2MASS Binaries'!K100</f>
        <v>1.9000686579386308</v>
      </c>
      <c r="F107" s="4">
        <f>'2MASS Binaries'!L100</f>
        <v>1.8990686579386304</v>
      </c>
      <c r="G107" s="4">
        <f>'2MASS Binaries'!G100</f>
        <v>4.71</v>
      </c>
      <c r="H107" s="4">
        <f>'2MASS Binaries'!H100</f>
        <v>4.08</v>
      </c>
      <c r="I107" s="4">
        <f>'2MASS Binaries'!I100</f>
        <v>3.89</v>
      </c>
      <c r="J107" s="4">
        <f>'All Binaries'!O73</f>
        <v>4.5047062432049998</v>
      </c>
      <c r="K107" s="4">
        <f>'All Binaries'!P73</f>
        <v>342.41</v>
      </c>
      <c r="L107" s="1" t="str">
        <f>'All Binaries'!Q73</f>
        <v>OK</v>
      </c>
      <c r="O107" s="38">
        <v>16</v>
      </c>
    </row>
    <row r="108" spans="1:15">
      <c r="A108" s="55" t="str">
        <f>'All Binaries'!A74</f>
        <v>HD 93424</v>
      </c>
      <c r="D108" s="4">
        <f>'2MASS Binaries'!J101</f>
        <v>6.6570686579386305</v>
      </c>
      <c r="E108" s="4">
        <f>'2MASS Binaries'!K101</f>
        <v>5.9800686579386308</v>
      </c>
      <c r="F108" s="4">
        <f>'2MASS Binaries'!L101</f>
        <v>5.7890686579386301</v>
      </c>
      <c r="G108" s="48">
        <f>'2MASS Binaries'!G101</f>
        <v>3.2781500941919096E-2</v>
      </c>
      <c r="H108" s="48">
        <f>'2MASS Binaries'!H101</f>
        <v>3.0560224011564899E-2</v>
      </c>
      <c r="I108" s="48">
        <f>'2MASS Binaries'!I101</f>
        <v>3.0719672054718823E-2</v>
      </c>
      <c r="J108" s="48">
        <f>'All Binaries'!O75</f>
        <v>2.7028237459229998E-2</v>
      </c>
      <c r="K108" s="48">
        <f>'All Binaries'!P75</f>
        <v>0.5</v>
      </c>
      <c r="O108" s="38"/>
    </row>
    <row r="109" spans="1:15">
      <c r="A109" s="1" t="str">
        <f>'All Binaries'!A76</f>
        <v>W25 a</v>
      </c>
      <c r="B109" s="1" t="str">
        <f>'All Binaries'!B76</f>
        <v>A1V</v>
      </c>
      <c r="C109" s="1">
        <f>'All Binaries'!D76</f>
        <v>149</v>
      </c>
      <c r="D109" s="4">
        <f>'2MASS Binaries'!J102</f>
        <v>1.7620686579386309</v>
      </c>
      <c r="E109" s="4">
        <f>'2MASS Binaries'!K102</f>
        <v>1.797068657938631</v>
      </c>
      <c r="F109" s="4">
        <f>'2MASS Binaries'!L102</f>
        <v>1.7430686579386307</v>
      </c>
      <c r="G109" s="4">
        <f>'2MASS Binaries'!G102</f>
        <v>7.2099999999999973</v>
      </c>
      <c r="H109" s="4">
        <f>'2MASS Binaries'!H102</f>
        <v>6.7009999999999996</v>
      </c>
      <c r="I109" s="4">
        <f>'2MASS Binaries'!I102</f>
        <v>6.400333333333335</v>
      </c>
      <c r="J109" s="4">
        <f>'All Binaries'!O76</f>
        <v>2.5909688865016824</v>
      </c>
      <c r="K109" s="4">
        <f>'All Binaries'!P76</f>
        <v>64.353255912549784</v>
      </c>
      <c r="L109" s="1" t="str">
        <f>'All Binaries'!Q76</f>
        <v>OK</v>
      </c>
      <c r="O109" s="38">
        <v>17</v>
      </c>
    </row>
    <row r="110" spans="1:15">
      <c r="A110" s="55" t="str">
        <f>'All Binaries'!A77</f>
        <v>HD 93517</v>
      </c>
      <c r="D110" s="4">
        <f>'2MASS Binaries'!J103</f>
        <v>8.9720686579386282</v>
      </c>
      <c r="E110" s="4">
        <f>'2MASS Binaries'!K103</f>
        <v>8.4980686579386315</v>
      </c>
      <c r="F110" s="4">
        <f>'2MASS Binaries'!L103</f>
        <v>8.1434019912719648</v>
      </c>
      <c r="G110" s="48">
        <f>'2MASS Binaries'!G103</f>
        <v>4.1243181254602551E-2</v>
      </c>
      <c r="H110" s="48">
        <f>'2MASS Binaries'!H103</f>
        <v>3.4936450242627058E-2</v>
      </c>
      <c r="I110" s="48">
        <f>'2MASS Binaries'!I103</f>
        <v>3.9176239964776829E-2</v>
      </c>
      <c r="J110" s="48">
        <f>'All Binaries'!O78</f>
        <v>1.5545813319010095E-2</v>
      </c>
      <c r="K110" s="48">
        <f>'All Binaries'!P78</f>
        <v>0.5</v>
      </c>
      <c r="O110" s="236"/>
    </row>
    <row r="111" spans="1:15">
      <c r="A111" s="1" t="str">
        <f>'All Binaries'!A79</f>
        <v>W25 b</v>
      </c>
      <c r="B111" s="1" t="str">
        <f>'All Binaries'!B79</f>
        <v>A1V</v>
      </c>
      <c r="C111" s="1">
        <f>'All Binaries'!D79</f>
        <v>149</v>
      </c>
      <c r="D111" s="4">
        <f>'2MASS Binaries'!J104</f>
        <v>1.7620686579386309</v>
      </c>
      <c r="E111" s="4">
        <f>'2MASS Binaries'!K104</f>
        <v>1.797068657938631</v>
      </c>
      <c r="F111" s="4">
        <f>'2MASS Binaries'!L104</f>
        <v>1.7430686579386307</v>
      </c>
      <c r="G111" s="4">
        <f>'2MASS Binaries'!G104</f>
        <v>8.6165127510600001</v>
      </c>
      <c r="H111" s="4">
        <f>'2MASS Binaries'!H104</f>
        <v>8.2624603012333342</v>
      </c>
      <c r="I111" s="4">
        <f>'2MASS Binaries'!I104</f>
        <v>7.9644215158599998</v>
      </c>
      <c r="J111" s="4">
        <f>'All Binaries'!O79</f>
        <v>3.4646575185059993</v>
      </c>
      <c r="K111" s="4">
        <f>'All Binaries'!P79</f>
        <v>85.13475904148001</v>
      </c>
      <c r="L111" s="42" t="str">
        <f>'All Binaries'!Q79</f>
        <v>OK</v>
      </c>
      <c r="O111" s="38">
        <v>18</v>
      </c>
    </row>
    <row r="112" spans="1:15">
      <c r="A112" s="55" t="str">
        <f>'All Binaries'!A80</f>
        <v>HD 93517</v>
      </c>
      <c r="D112" s="4">
        <f>'2MASS Binaries'!J105</f>
        <v>10.378581408998631</v>
      </c>
      <c r="E112" s="4">
        <f>'2MASS Binaries'!K105</f>
        <v>10.059528959171965</v>
      </c>
      <c r="F112" s="4">
        <f>'2MASS Binaries'!L105</f>
        <v>9.7074901737986306</v>
      </c>
      <c r="G112" s="48">
        <f>'2MASS Binaries'!G105</f>
        <v>0.18125470552863918</v>
      </c>
      <c r="H112" s="48">
        <f>'2MASS Binaries'!H105</f>
        <v>0.100552551248783</v>
      </c>
      <c r="I112" s="48">
        <f>'2MASS Binaries'!I105</f>
        <v>0.14655609333581351</v>
      </c>
      <c r="J112" s="48">
        <f>'All Binaries'!O81</f>
        <v>2.0787945111035995E-2</v>
      </c>
      <c r="K112" s="48">
        <f>'All Binaries'!P81</f>
        <v>0.5</v>
      </c>
      <c r="O112" s="38"/>
    </row>
    <row r="113" spans="1:15">
      <c r="A113" s="1" t="str">
        <f>'All Binaries'!A82</f>
        <v>W25 c</v>
      </c>
      <c r="B113" s="1" t="str">
        <f>'All Binaries'!B82</f>
        <v>A1V</v>
      </c>
      <c r="C113" s="1">
        <f>'All Binaries'!D82</f>
        <v>149</v>
      </c>
      <c r="D113" s="4">
        <f>'2MASS Binaries'!J106</f>
        <v>1.7620686579386309</v>
      </c>
      <c r="E113" s="4">
        <f>'2MASS Binaries'!K106</f>
        <v>1.797068657938631</v>
      </c>
      <c r="F113" s="4">
        <f>'2MASS Binaries'!L106</f>
        <v>1.7430686579386307</v>
      </c>
      <c r="G113" s="4">
        <f>'2MASS Binaries'!G106</f>
        <v>7.8909409646233328</v>
      </c>
      <c r="H113" s="4">
        <f>'2MASS Binaries'!H106</f>
        <v>6.8297564570600002</v>
      </c>
      <c r="I113" s="4">
        <f>'2MASS Binaries'!I106</f>
        <v>7.0754927434850003</v>
      </c>
      <c r="J113" s="4">
        <f>'All Binaries'!O82</f>
        <v>4.2342255378969993</v>
      </c>
      <c r="K113" s="4">
        <f>'All Binaries'!P82</f>
        <v>181.50030710890002</v>
      </c>
      <c r="L113" s="42" t="str">
        <f>'All Binaries'!Q82</f>
        <v>OK</v>
      </c>
      <c r="O113" s="38">
        <v>19</v>
      </c>
    </row>
    <row r="114" spans="1:15">
      <c r="A114" s="55" t="str">
        <f>'All Binaries'!A83</f>
        <v>HD 93517</v>
      </c>
      <c r="D114" s="4">
        <f>'2MASS Binaries'!J107</f>
        <v>9.6530096225619637</v>
      </c>
      <c r="E114" s="4">
        <f>'2MASS Binaries'!K107</f>
        <v>8.6268251149986312</v>
      </c>
      <c r="F114" s="4">
        <f>'2MASS Binaries'!L107</f>
        <v>8.8185614014236311</v>
      </c>
      <c r="G114" s="48">
        <f>'2MASS Binaries'!G107</f>
        <v>3.4478040371288154E-2</v>
      </c>
      <c r="H114" s="48">
        <f>'2MASS Binaries'!H107</f>
        <v>3.307255363692535E-2</v>
      </c>
      <c r="I114" s="48">
        <f>'2MASS Binaries'!I107</f>
        <v>5.2790779722138373E-2</v>
      </c>
      <c r="J114" s="48">
        <f>'All Binaries'!O84</f>
        <v>2.5405353227381997E-2</v>
      </c>
      <c r="K114" s="48">
        <f>'All Binaries'!P84</f>
        <v>0.5</v>
      </c>
      <c r="O114" s="38"/>
    </row>
    <row r="115" spans="1:15">
      <c r="A115" s="1" t="str">
        <f>'All Binaries'!A85</f>
        <v>B1</v>
      </c>
      <c r="B115" s="1" t="str">
        <f>'All Binaries'!B85</f>
        <v>B6V</v>
      </c>
      <c r="C115" s="1">
        <f>'All Binaries'!D85</f>
        <v>149</v>
      </c>
      <c r="D115" s="4">
        <f>'2MASS Binaries'!J108</f>
        <v>2.0680686579386309</v>
      </c>
      <c r="E115" s="4">
        <f>'2MASS Binaries'!K108</f>
        <v>2.1180686579386307</v>
      </c>
      <c r="F115" s="4">
        <f>'2MASS Binaries'!L108</f>
        <v>2.1370686579386309</v>
      </c>
      <c r="G115" s="4" t="str">
        <f>'2MASS Binaries'!G108</f>
        <v>-</v>
      </c>
      <c r="H115" s="4" t="str">
        <f>'2MASS Binaries'!H108</f>
        <v>-</v>
      </c>
      <c r="I115" s="4">
        <f>'2MASS Binaries'!I108</f>
        <v>8.2649999999999988</v>
      </c>
      <c r="J115" s="4">
        <f>'All Binaries'!O85</f>
        <v>3.6039668811331285</v>
      </c>
      <c r="K115" s="4">
        <f>'All Binaries'!P85</f>
        <v>70.531358802751384</v>
      </c>
      <c r="L115" s="1" t="str">
        <f>'All Binaries'!Q85</f>
        <v>OK</v>
      </c>
      <c r="O115" s="38">
        <v>20</v>
      </c>
    </row>
    <row r="116" spans="1:15">
      <c r="A116" s="55" t="str">
        <f>'All Binaries'!A86</f>
        <v>HD 91698</v>
      </c>
      <c r="D116" s="4"/>
      <c r="E116" s="4"/>
      <c r="F116" s="4">
        <f>'2MASS Binaries'!L109</f>
        <v>10.40206865793863</v>
      </c>
      <c r="G116" s="48"/>
      <c r="H116" s="48"/>
      <c r="I116" s="48">
        <f>'2MASS Binaries'!I109</f>
        <v>4.131567845410361E-2</v>
      </c>
      <c r="J116" s="48">
        <f>'All Binaries'!O87</f>
        <v>2.162380128679877E-2</v>
      </c>
      <c r="K116" s="48">
        <f>'All Binaries'!P87</f>
        <v>0.5</v>
      </c>
      <c r="O116" s="236"/>
    </row>
    <row r="117" spans="1:15">
      <c r="A117" s="1" t="str">
        <f>'All Binaries'!A87</f>
        <v xml:space="preserve"> </v>
      </c>
      <c r="M117" s="24" t="s">
        <v>673</v>
      </c>
    </row>
    <row r="118" spans="1:15">
      <c r="M118" s="1" t="s">
        <v>674</v>
      </c>
    </row>
    <row r="119" spans="1:15">
      <c r="M119" s="74" t="s">
        <v>19</v>
      </c>
    </row>
    <row r="120" spans="1:15">
      <c r="M120" s="66" t="s">
        <v>53</v>
      </c>
    </row>
    <row r="121" spans="1:15">
      <c r="M121" s="66" t="s">
        <v>304</v>
      </c>
    </row>
    <row r="122" spans="1:15">
      <c r="M122" s="66" t="s">
        <v>224</v>
      </c>
    </row>
    <row r="123" spans="1:15">
      <c r="M123" s="74" t="s">
        <v>49</v>
      </c>
    </row>
    <row r="124" spans="1:15">
      <c r="M124" s="74" t="s">
        <v>77</v>
      </c>
    </row>
    <row r="125" spans="1:15">
      <c r="M125" s="66" t="s">
        <v>74</v>
      </c>
    </row>
    <row r="127" spans="1:15">
      <c r="M127" s="1" t="s">
        <v>675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3"/>
  <sheetViews>
    <sheetView workbookViewId="0">
      <selection activeCell="D216" sqref="D216"/>
    </sheetView>
  </sheetViews>
  <sheetFormatPr baseColWidth="10" defaultRowHeight="15" x14ac:dyDescent="0"/>
  <cols>
    <col min="1" max="1" width="16.83203125" style="1" customWidth="1"/>
    <col min="2" max="2" width="11.5" style="1" customWidth="1"/>
    <col min="3" max="3" width="15" style="1" customWidth="1"/>
    <col min="4" max="4" width="15.33203125" style="1" customWidth="1"/>
    <col min="5" max="5" width="10.83203125" style="1"/>
    <col min="6" max="6" width="14.5" style="1" customWidth="1"/>
    <col min="7" max="7" width="44.1640625" style="1" customWidth="1"/>
    <col min="8" max="8" width="42.1640625" style="1" customWidth="1"/>
    <col min="9" max="9" width="15.1640625" style="1" customWidth="1"/>
    <col min="10" max="10" width="14.1640625" style="1" customWidth="1"/>
    <col min="11" max="11" width="14.6640625" style="1" customWidth="1"/>
    <col min="12" max="12" width="20.5" style="1" customWidth="1"/>
    <col min="13" max="16384" width="10.83203125" style="1"/>
  </cols>
  <sheetData>
    <row r="1" spans="1:30">
      <c r="A1" s="24" t="s">
        <v>42</v>
      </c>
      <c r="B1" s="24" t="s">
        <v>163</v>
      </c>
      <c r="C1" s="41" t="s">
        <v>497</v>
      </c>
      <c r="D1" s="41" t="s">
        <v>496</v>
      </c>
      <c r="E1" s="41" t="s">
        <v>41</v>
      </c>
      <c r="F1" s="41" t="s">
        <v>245</v>
      </c>
      <c r="G1" s="24" t="s">
        <v>64</v>
      </c>
      <c r="H1" s="24" t="s">
        <v>123</v>
      </c>
    </row>
    <row r="2" spans="1:30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V2" s="57"/>
      <c r="W2" s="57"/>
      <c r="X2" s="57"/>
      <c r="Y2" s="57"/>
      <c r="Z2" s="57"/>
      <c r="AA2" s="57"/>
      <c r="AB2" s="57"/>
      <c r="AC2" s="57"/>
      <c r="AD2" s="57"/>
    </row>
    <row r="3" spans="1:30">
      <c r="A3" s="1" t="s">
        <v>392</v>
      </c>
      <c r="B3" s="1" t="s">
        <v>339</v>
      </c>
      <c r="C3" s="1" t="s">
        <v>91</v>
      </c>
      <c r="D3" s="1">
        <v>145</v>
      </c>
      <c r="E3" s="54">
        <f>7.37636+0.03</f>
        <v>7.4063600000000003</v>
      </c>
      <c r="F3" s="4">
        <f>E3-(5*LOG(D3, 10)-5)</f>
        <v>1.5995199888251284</v>
      </c>
      <c r="G3" s="1" t="s">
        <v>530</v>
      </c>
    </row>
    <row r="4" spans="1:30">
      <c r="A4" s="55" t="s">
        <v>538</v>
      </c>
      <c r="E4" s="55">
        <v>0.01</v>
      </c>
    </row>
    <row r="5" spans="1:30">
      <c r="A5" s="1" t="s">
        <v>393</v>
      </c>
      <c r="B5" s="1" t="s">
        <v>344</v>
      </c>
      <c r="C5" s="1" t="s">
        <v>91</v>
      </c>
      <c r="D5" s="1">
        <v>145</v>
      </c>
      <c r="E5" s="54">
        <f>7.45662666666667+0.03</f>
        <v>7.4866266666666705</v>
      </c>
      <c r="F5" s="4">
        <f>E5-(5*LOG(D5, 10)-5)</f>
        <v>1.6797866554917986</v>
      </c>
    </row>
    <row r="6" spans="1:30">
      <c r="A6" s="55" t="s">
        <v>539</v>
      </c>
      <c r="E6" s="55">
        <v>0.01</v>
      </c>
    </row>
    <row r="7" spans="1:30">
      <c r="A7" s="1" t="s">
        <v>394</v>
      </c>
      <c r="B7" s="1" t="s">
        <v>348</v>
      </c>
      <c r="C7" s="1" t="s">
        <v>91</v>
      </c>
      <c r="D7" s="1">
        <v>145</v>
      </c>
      <c r="E7" s="54">
        <f>4.13376+0.03</f>
        <v>4.1637599999999999</v>
      </c>
      <c r="F7" s="4">
        <f>E7-(5*LOG(D7, 10)-5)</f>
        <v>-1.643080011174872</v>
      </c>
    </row>
    <row r="8" spans="1:30">
      <c r="A8" s="55" t="s">
        <v>540</v>
      </c>
      <c r="E8" s="55">
        <v>0.01</v>
      </c>
    </row>
    <row r="9" spans="1:30">
      <c r="A9" s="1" t="s">
        <v>395</v>
      </c>
      <c r="B9" s="1" t="s">
        <v>342</v>
      </c>
      <c r="C9" s="1" t="s">
        <v>91</v>
      </c>
      <c r="D9" s="1">
        <v>145</v>
      </c>
      <c r="E9" s="54">
        <f>7.42696+0.03</f>
        <v>7.4569600000000005</v>
      </c>
      <c r="F9" s="4">
        <f>E9-(5*LOG(D9, 10)-5)</f>
        <v>1.6501199888251286</v>
      </c>
    </row>
    <row r="10" spans="1:30">
      <c r="A10" s="55" t="s">
        <v>541</v>
      </c>
      <c r="E10" s="55">
        <v>0.01</v>
      </c>
    </row>
    <row r="11" spans="1:30">
      <c r="A11" s="1" t="s">
        <v>396</v>
      </c>
      <c r="B11" s="1" t="s">
        <v>342</v>
      </c>
      <c r="C11" s="1" t="s">
        <v>91</v>
      </c>
      <c r="D11" s="1">
        <v>145</v>
      </c>
      <c r="E11" s="54">
        <f>7.26646+0.03</f>
        <v>7.2964600000000006</v>
      </c>
      <c r="F11" s="4">
        <f>E11-(5*LOG(D11, 10)-5)</f>
        <v>1.4896199888251287</v>
      </c>
    </row>
    <row r="12" spans="1:30">
      <c r="A12" s="55" t="s">
        <v>542</v>
      </c>
      <c r="E12" s="55">
        <v>0.01</v>
      </c>
    </row>
    <row r="13" spans="1:30">
      <c r="A13" s="1" t="s">
        <v>397</v>
      </c>
      <c r="B13" s="1" t="s">
        <v>349</v>
      </c>
      <c r="C13" s="1" t="s">
        <v>91</v>
      </c>
      <c r="D13" s="1">
        <v>145</v>
      </c>
      <c r="E13" s="54">
        <f>7.22496+0.03</f>
        <v>7.2549600000000005</v>
      </c>
      <c r="F13" s="4">
        <f>E13-(5*LOG(D13, 10)-5)</f>
        <v>1.4481199888251286</v>
      </c>
    </row>
    <row r="14" spans="1:30">
      <c r="A14" s="55" t="s">
        <v>543</v>
      </c>
      <c r="E14" s="55">
        <v>0.01</v>
      </c>
    </row>
    <row r="15" spans="1:30">
      <c r="A15" s="1" t="s">
        <v>398</v>
      </c>
      <c r="B15" s="1" t="s">
        <v>351</v>
      </c>
      <c r="C15" s="1" t="s">
        <v>91</v>
      </c>
      <c r="D15" s="1">
        <v>145</v>
      </c>
      <c r="E15" s="54">
        <f>6.51516+0.03</f>
        <v>6.5451600000000001</v>
      </c>
      <c r="F15" s="4">
        <f>E15-(5*LOG(D15, 10)-5)</f>
        <v>0.73831998882512817</v>
      </c>
    </row>
    <row r="16" spans="1:30">
      <c r="A16" s="55" t="s">
        <v>544</v>
      </c>
      <c r="E16" s="55">
        <v>0.01</v>
      </c>
    </row>
    <row r="17" spans="1:6">
      <c r="A17" s="1" t="s">
        <v>399</v>
      </c>
      <c r="B17" s="1" t="s">
        <v>352</v>
      </c>
      <c r="C17" s="1" t="s">
        <v>91</v>
      </c>
      <c r="D17" s="1">
        <v>145</v>
      </c>
      <c r="E17" s="54">
        <f>5.90546+0.03</f>
        <v>5.93546</v>
      </c>
      <c r="F17" s="4">
        <f>E17-(5*LOG(D17, 10)-5)</f>
        <v>0.12861998882512804</v>
      </c>
    </row>
    <row r="18" spans="1:6">
      <c r="A18" s="55" t="s">
        <v>545</v>
      </c>
      <c r="E18" s="55">
        <v>0.01</v>
      </c>
    </row>
    <row r="19" spans="1:6">
      <c r="A19" s="1" t="s">
        <v>400</v>
      </c>
      <c r="B19" s="1" t="s">
        <v>339</v>
      </c>
      <c r="C19" s="1" t="s">
        <v>91</v>
      </c>
      <c r="D19" s="1">
        <v>145</v>
      </c>
      <c r="E19" s="54">
        <f>5.92102666666667+0.03</f>
        <v>5.95102666666667</v>
      </c>
      <c r="F19" s="4">
        <f>E19-(5*LOG(D19, 10)-5)</f>
        <v>0.1441866554917981</v>
      </c>
    </row>
    <row r="20" spans="1:6">
      <c r="A20" s="55" t="s">
        <v>564</v>
      </c>
      <c r="E20" s="55">
        <v>0.01</v>
      </c>
    </row>
    <row r="21" spans="1:6">
      <c r="A21" s="1" t="s">
        <v>401</v>
      </c>
      <c r="B21" s="1" t="s">
        <v>352</v>
      </c>
      <c r="C21" s="1" t="s">
        <v>91</v>
      </c>
      <c r="D21" s="1">
        <v>145</v>
      </c>
      <c r="E21" s="54">
        <f>8.01876+0.03</f>
        <v>8.0487599999999997</v>
      </c>
      <c r="F21" s="4">
        <f>E21-(5*LOG(D21, 10)-5)</f>
        <v>2.2419199888251278</v>
      </c>
    </row>
    <row r="22" spans="1:6">
      <c r="A22" s="55" t="s">
        <v>565</v>
      </c>
      <c r="E22" s="55">
        <v>0.01</v>
      </c>
    </row>
    <row r="23" spans="1:6">
      <c r="A23" s="1" t="s">
        <v>402</v>
      </c>
      <c r="B23" s="1" t="s">
        <v>348</v>
      </c>
      <c r="C23" s="1" t="s">
        <v>91</v>
      </c>
      <c r="D23" s="1">
        <v>145</v>
      </c>
      <c r="E23" s="54">
        <f>5.36226+0.03</f>
        <v>5.3922600000000003</v>
      </c>
      <c r="F23" s="4">
        <f>E23-(5*LOG(D23, 10)-5)</f>
        <v>-0.41458001117487164</v>
      </c>
    </row>
    <row r="24" spans="1:6">
      <c r="A24" s="55" t="s">
        <v>566</v>
      </c>
      <c r="E24" s="55">
        <v>0.01</v>
      </c>
    </row>
    <row r="25" spans="1:6">
      <c r="A25" s="1" t="s">
        <v>403</v>
      </c>
      <c r="B25" s="1" t="s">
        <v>341</v>
      </c>
      <c r="C25" s="1" t="s">
        <v>91</v>
      </c>
      <c r="D25" s="1">
        <v>145</v>
      </c>
      <c r="E25" s="54">
        <f>7.25636+0.03</f>
        <v>7.2863600000000002</v>
      </c>
      <c r="F25" s="4">
        <f>E25-(5*LOG(D25, 10)-5)</f>
        <v>1.4795199888251283</v>
      </c>
    </row>
    <row r="26" spans="1:6">
      <c r="A26" s="55" t="s">
        <v>567</v>
      </c>
      <c r="E26" s="55">
        <v>0.01</v>
      </c>
    </row>
    <row r="27" spans="1:6">
      <c r="A27" s="1" t="s">
        <v>404</v>
      </c>
      <c r="B27" s="1" t="s">
        <v>342</v>
      </c>
      <c r="C27" s="1" t="s">
        <v>91</v>
      </c>
      <c r="D27" s="1">
        <v>145</v>
      </c>
      <c r="E27" s="54">
        <f>7.50116+0.03</f>
        <v>7.5311599999999999</v>
      </c>
      <c r="F27" s="4">
        <f>E27-(5*LOG(D27, 10)-5)</f>
        <v>1.7243199888251279</v>
      </c>
    </row>
    <row r="28" spans="1:6">
      <c r="A28" s="55" t="s">
        <v>568</v>
      </c>
      <c r="E28" s="55">
        <v>0.01</v>
      </c>
    </row>
    <row r="29" spans="1:6">
      <c r="A29" s="1" t="s">
        <v>405</v>
      </c>
      <c r="B29" s="1" t="s">
        <v>351</v>
      </c>
      <c r="C29" s="1" t="s">
        <v>96</v>
      </c>
      <c r="D29" s="1">
        <v>149</v>
      </c>
      <c r="E29" s="54">
        <f>6.52936+0.03</f>
        <v>6.5593599999999999</v>
      </c>
      <c r="F29" s="4">
        <f>E29-(5*LOG(D29, 10)-5)</f>
        <v>0.69342865793863062</v>
      </c>
    </row>
    <row r="30" spans="1:6">
      <c r="A30" s="55" t="s">
        <v>569</v>
      </c>
      <c r="E30" s="55">
        <v>0.01</v>
      </c>
    </row>
    <row r="31" spans="1:6">
      <c r="A31" s="1" t="s">
        <v>406</v>
      </c>
      <c r="B31" s="1" t="s">
        <v>365</v>
      </c>
      <c r="C31" s="1" t="s">
        <v>96</v>
      </c>
      <c r="D31" s="1">
        <v>149</v>
      </c>
      <c r="E31" s="54">
        <f>3.93889333333333+0.03</f>
        <v>3.9688933333333298</v>
      </c>
      <c r="F31" s="4">
        <f>E31-(5*LOG(D31, 10)-5)</f>
        <v>-1.8970380087280394</v>
      </c>
    </row>
    <row r="32" spans="1:6">
      <c r="A32" s="55" t="s">
        <v>570</v>
      </c>
      <c r="E32" s="55">
        <v>0.01</v>
      </c>
    </row>
    <row r="33" spans="1:8">
      <c r="A33" s="1" t="s">
        <v>407</v>
      </c>
      <c r="B33" s="1" t="s">
        <v>363</v>
      </c>
      <c r="C33" s="1" t="s">
        <v>96</v>
      </c>
      <c r="D33" s="1">
        <v>149</v>
      </c>
      <c r="E33" s="54">
        <f>4.53489333333333+0.03</f>
        <v>4.5648933333333304</v>
      </c>
      <c r="F33" s="4">
        <f>E33-(5*LOG(D33, 10)-5)</f>
        <v>-1.3010380087280389</v>
      </c>
    </row>
    <row r="34" spans="1:8">
      <c r="A34" s="55" t="s">
        <v>571</v>
      </c>
      <c r="E34" s="55">
        <v>0.01</v>
      </c>
    </row>
    <row r="35" spans="1:8">
      <c r="A35" s="1" t="s">
        <v>408</v>
      </c>
      <c r="B35" s="1" t="s">
        <v>358</v>
      </c>
      <c r="C35" s="1" t="s">
        <v>96</v>
      </c>
      <c r="D35" s="1">
        <v>149</v>
      </c>
      <c r="E35" s="54">
        <f>5.17706+0.03</f>
        <v>5.2070600000000002</v>
      </c>
      <c r="F35" s="4">
        <f>E35-(5*LOG(D35, 10)-5)</f>
        <v>-0.65887134206136899</v>
      </c>
    </row>
    <row r="36" spans="1:8">
      <c r="A36" s="55" t="s">
        <v>572</v>
      </c>
      <c r="E36" s="55">
        <v>0.01</v>
      </c>
    </row>
    <row r="37" spans="1:8">
      <c r="A37" s="1" t="s">
        <v>409</v>
      </c>
      <c r="B37" s="1" t="s">
        <v>356</v>
      </c>
      <c r="C37" s="1" t="s">
        <v>96</v>
      </c>
      <c r="D37" s="1">
        <v>149</v>
      </c>
      <c r="E37" s="54">
        <f>6.84416+0.03</f>
        <v>6.8741599999999998</v>
      </c>
      <c r="F37" s="4">
        <f>E37-(5*LOG(D37, 10)-5)</f>
        <v>1.0082286579386306</v>
      </c>
    </row>
    <row r="38" spans="1:8">
      <c r="A38" s="55" t="s">
        <v>573</v>
      </c>
      <c r="E38" s="55">
        <v>0.01</v>
      </c>
    </row>
    <row r="39" spans="1:8">
      <c r="A39" s="1" t="s">
        <v>410</v>
      </c>
      <c r="B39" s="1" t="s">
        <v>358</v>
      </c>
      <c r="C39" s="1" t="s">
        <v>96</v>
      </c>
      <c r="D39" s="1">
        <v>149</v>
      </c>
      <c r="E39" s="54">
        <f>5.21486+0.03</f>
        <v>5.2448600000000001</v>
      </c>
      <c r="F39" s="4">
        <f>E39-(5*LOG(D39, 10)-5)</f>
        <v>-0.62107134206136916</v>
      </c>
    </row>
    <row r="40" spans="1:8">
      <c r="A40" s="55" t="s">
        <v>574</v>
      </c>
      <c r="E40" s="55">
        <v>0.01</v>
      </c>
    </row>
    <row r="41" spans="1:8">
      <c r="A41" s="1" t="s">
        <v>411</v>
      </c>
      <c r="B41" s="1" t="s">
        <v>363</v>
      </c>
      <c r="C41" s="1" t="s">
        <v>96</v>
      </c>
      <c r="D41" s="1">
        <v>149</v>
      </c>
      <c r="E41" s="54">
        <f>7.29226+0.03</f>
        <v>7.32226</v>
      </c>
      <c r="F41" s="4">
        <f>E41-(5*LOG(D41, 10)-5)</f>
        <v>1.4563286579386308</v>
      </c>
    </row>
    <row r="42" spans="1:8">
      <c r="A42" s="55" t="s">
        <v>575</v>
      </c>
      <c r="E42" s="55">
        <v>0.01</v>
      </c>
    </row>
    <row r="43" spans="1:8">
      <c r="A43" s="1" t="s">
        <v>264</v>
      </c>
      <c r="B43" s="1" t="s">
        <v>382</v>
      </c>
      <c r="C43" s="1" t="s">
        <v>96</v>
      </c>
      <c r="D43" s="1">
        <v>149</v>
      </c>
      <c r="E43" s="54">
        <f>7.53646+0.03</f>
        <v>7.5664600000000002</v>
      </c>
      <c r="F43" s="4">
        <f>E43-(5*LOG(D43, 10)-5)</f>
        <v>1.7005286579386309</v>
      </c>
    </row>
    <row r="44" spans="1:8">
      <c r="A44" s="55" t="s">
        <v>515</v>
      </c>
      <c r="E44" s="55">
        <v>0.01</v>
      </c>
    </row>
    <row r="45" spans="1:8">
      <c r="A45" s="46">
        <v>18</v>
      </c>
      <c r="B45" s="46">
        <v>18</v>
      </c>
      <c r="C45" s="46">
        <v>18</v>
      </c>
      <c r="D45" s="46">
        <v>18</v>
      </c>
      <c r="E45" s="46">
        <v>18</v>
      </c>
      <c r="F45" s="46">
        <v>18</v>
      </c>
      <c r="G45" s="46">
        <v>18</v>
      </c>
      <c r="H45" s="46">
        <v>18</v>
      </c>
    </row>
    <row r="46" spans="1:8">
      <c r="A46" s="1" t="s">
        <v>412</v>
      </c>
      <c r="B46" s="1" t="s">
        <v>376</v>
      </c>
      <c r="C46" s="1" t="s">
        <v>96</v>
      </c>
      <c r="D46" s="1">
        <v>149</v>
      </c>
      <c r="E46" s="54">
        <v>5.722666666666667</v>
      </c>
      <c r="F46" s="4">
        <f t="shared" ref="F46:F90" si="0">E46-(5*LOG(D46, 10)-5)</f>
        <v>-0.14326467539470222</v>
      </c>
    </row>
    <row r="47" spans="1:8">
      <c r="A47" s="55" t="s">
        <v>576</v>
      </c>
      <c r="E47" s="55">
        <v>0.01</v>
      </c>
    </row>
    <row r="48" spans="1:8">
      <c r="A48" s="1" t="s">
        <v>413</v>
      </c>
      <c r="B48" s="1" t="s">
        <v>377</v>
      </c>
      <c r="C48" s="1" t="s">
        <v>96</v>
      </c>
      <c r="D48" s="1">
        <v>149</v>
      </c>
      <c r="E48" s="54">
        <v>5.9375999999999998</v>
      </c>
      <c r="F48" s="4">
        <f t="shared" si="0"/>
        <v>7.1668657938630531E-2</v>
      </c>
    </row>
    <row r="49" spans="1:6">
      <c r="A49" s="55" t="s">
        <v>577</v>
      </c>
      <c r="E49" s="55">
        <v>0.01</v>
      </c>
    </row>
    <row r="50" spans="1:6">
      <c r="A50" s="1" t="s">
        <v>414</v>
      </c>
      <c r="B50" s="1" t="s">
        <v>378</v>
      </c>
      <c r="C50" s="1" t="s">
        <v>96</v>
      </c>
      <c r="D50" s="1">
        <v>149</v>
      </c>
      <c r="E50" s="54">
        <v>8.2117000000000004</v>
      </c>
      <c r="F50" s="4">
        <f t="shared" si="0"/>
        <v>2.3457686579386312</v>
      </c>
    </row>
    <row r="51" spans="1:6">
      <c r="A51" s="55" t="s">
        <v>578</v>
      </c>
      <c r="E51" s="55">
        <v>0.01</v>
      </c>
    </row>
    <row r="52" spans="1:6">
      <c r="A52" s="1" t="s">
        <v>415</v>
      </c>
      <c r="B52" s="1" t="s">
        <v>379</v>
      </c>
      <c r="C52" s="1" t="s">
        <v>96</v>
      </c>
      <c r="D52" s="1">
        <v>149</v>
      </c>
      <c r="E52" s="54">
        <v>4.9813999999999998</v>
      </c>
      <c r="F52" s="4">
        <f t="shared" si="0"/>
        <v>-0.88453134206136941</v>
      </c>
    </row>
    <row r="53" spans="1:6">
      <c r="A53" s="55" t="s">
        <v>579</v>
      </c>
      <c r="E53" s="55">
        <v>0.01</v>
      </c>
    </row>
    <row r="54" spans="1:6">
      <c r="A54" s="1" t="s">
        <v>416</v>
      </c>
      <c r="B54" s="1" t="s">
        <v>342</v>
      </c>
      <c r="C54" s="1" t="s">
        <v>96</v>
      </c>
      <c r="D54" s="1">
        <v>149</v>
      </c>
      <c r="E54" s="54">
        <v>7.9432999999999998</v>
      </c>
      <c r="F54" s="4">
        <f t="shared" si="0"/>
        <v>2.0773686579386306</v>
      </c>
    </row>
    <row r="55" spans="1:6">
      <c r="A55" s="55" t="s">
        <v>563</v>
      </c>
      <c r="E55" s="55">
        <v>0.01</v>
      </c>
    </row>
    <row r="56" spans="1:6">
      <c r="A56" s="1" t="s">
        <v>417</v>
      </c>
      <c r="B56" s="1" t="s">
        <v>343</v>
      </c>
      <c r="C56" s="1" t="s">
        <v>91</v>
      </c>
      <c r="D56" s="1">
        <v>145</v>
      </c>
      <c r="E56" s="54">
        <v>7.8323</v>
      </c>
      <c r="F56" s="4">
        <f t="shared" si="0"/>
        <v>2.0254599888251281</v>
      </c>
    </row>
    <row r="57" spans="1:6">
      <c r="A57" s="55" t="s">
        <v>546</v>
      </c>
      <c r="E57" s="55">
        <v>0.01</v>
      </c>
    </row>
    <row r="58" spans="1:6">
      <c r="A58" s="1" t="s">
        <v>20</v>
      </c>
      <c r="B58" s="1" t="s">
        <v>345</v>
      </c>
      <c r="C58" s="1" t="s">
        <v>91</v>
      </c>
      <c r="D58" s="1">
        <v>145</v>
      </c>
      <c r="E58" s="54">
        <v>7.8361000000000001</v>
      </c>
      <c r="F58" s="4">
        <f t="shared" si="0"/>
        <v>2.0292599888251281</v>
      </c>
    </row>
    <row r="59" spans="1:6">
      <c r="A59" s="55" t="s">
        <v>547</v>
      </c>
      <c r="E59" s="55">
        <v>0.01</v>
      </c>
    </row>
    <row r="60" spans="1:6">
      <c r="A60" s="1" t="s">
        <v>21</v>
      </c>
      <c r="B60" s="1" t="s">
        <v>346</v>
      </c>
      <c r="C60" s="1" t="s">
        <v>91</v>
      </c>
      <c r="D60" s="1">
        <v>145</v>
      </c>
      <c r="E60" s="54">
        <v>7.9967999999999995</v>
      </c>
      <c r="F60" s="4">
        <f t="shared" si="0"/>
        <v>2.1899599888251275</v>
      </c>
    </row>
    <row r="61" spans="1:6">
      <c r="A61" s="55" t="s">
        <v>548</v>
      </c>
      <c r="E61" s="55">
        <v>0.01</v>
      </c>
    </row>
    <row r="62" spans="1:6">
      <c r="A62" s="1" t="s">
        <v>418</v>
      </c>
      <c r="B62" s="1" t="s">
        <v>342</v>
      </c>
      <c r="C62" s="1" t="s">
        <v>91</v>
      </c>
      <c r="D62" s="1">
        <v>145</v>
      </c>
      <c r="E62" s="54">
        <v>9.0846999999999998</v>
      </c>
      <c r="F62" s="4">
        <f t="shared" si="0"/>
        <v>3.2778599888251279</v>
      </c>
    </row>
    <row r="63" spans="1:6">
      <c r="A63" s="55" t="s">
        <v>549</v>
      </c>
      <c r="E63" s="55">
        <v>0.01</v>
      </c>
    </row>
    <row r="64" spans="1:6">
      <c r="A64" s="1" t="s">
        <v>419</v>
      </c>
      <c r="B64" s="1" t="s">
        <v>347</v>
      </c>
      <c r="C64" s="1" t="s">
        <v>91</v>
      </c>
      <c r="D64" s="1">
        <v>145</v>
      </c>
      <c r="E64" s="54">
        <v>7.9630000000000001</v>
      </c>
      <c r="F64" s="4">
        <f t="shared" si="0"/>
        <v>2.1561599888251282</v>
      </c>
    </row>
    <row r="65" spans="1:6">
      <c r="A65" s="55" t="s">
        <v>550</v>
      </c>
      <c r="E65" s="55">
        <v>0.01</v>
      </c>
    </row>
    <row r="66" spans="1:6">
      <c r="A66" s="1" t="s">
        <v>420</v>
      </c>
      <c r="B66" s="1" t="s">
        <v>349</v>
      </c>
      <c r="C66" s="1" t="s">
        <v>91</v>
      </c>
      <c r="D66" s="1">
        <v>145</v>
      </c>
      <c r="E66" s="54">
        <v>8.1707999999999998</v>
      </c>
      <c r="F66" s="4">
        <f t="shared" si="0"/>
        <v>2.3639599888251279</v>
      </c>
    </row>
    <row r="67" spans="1:6">
      <c r="A67" s="55" t="s">
        <v>551</v>
      </c>
      <c r="E67" s="55">
        <v>0.01</v>
      </c>
    </row>
    <row r="68" spans="1:6">
      <c r="A68" s="1" t="s">
        <v>421</v>
      </c>
      <c r="B68" s="1" t="s">
        <v>350</v>
      </c>
      <c r="C68" s="1" t="s">
        <v>91</v>
      </c>
      <c r="D68" s="1">
        <v>145</v>
      </c>
      <c r="E68" s="54">
        <v>7.5565999999999987</v>
      </c>
      <c r="F68" s="4">
        <f t="shared" si="0"/>
        <v>1.7497599888251267</v>
      </c>
    </row>
    <row r="69" spans="1:6">
      <c r="A69" s="55" t="s">
        <v>552</v>
      </c>
      <c r="E69" s="55">
        <v>0.01</v>
      </c>
    </row>
    <row r="70" spans="1:6">
      <c r="A70" s="25" t="s">
        <v>422</v>
      </c>
      <c r="B70" s="32" t="s">
        <v>209</v>
      </c>
      <c r="C70" s="1" t="s">
        <v>96</v>
      </c>
      <c r="D70" s="1">
        <v>149</v>
      </c>
      <c r="E70" s="54">
        <v>8.2263000000000002</v>
      </c>
      <c r="F70" s="4">
        <f t="shared" si="0"/>
        <v>2.3603686579386309</v>
      </c>
    </row>
    <row r="71" spans="1:6">
      <c r="A71" s="55" t="s">
        <v>562</v>
      </c>
      <c r="E71" s="55">
        <v>0.01</v>
      </c>
    </row>
    <row r="72" spans="1:6">
      <c r="A72" s="63" t="s">
        <v>423</v>
      </c>
      <c r="B72" s="1" t="s">
        <v>353</v>
      </c>
      <c r="C72" s="1" t="s">
        <v>96</v>
      </c>
      <c r="D72" s="1">
        <v>149</v>
      </c>
      <c r="E72" s="54">
        <v>7.992799999999999</v>
      </c>
      <c r="F72" s="4">
        <f t="shared" si="0"/>
        <v>2.1268686579386298</v>
      </c>
    </row>
    <row r="73" spans="1:6">
      <c r="A73" s="55" t="s">
        <v>580</v>
      </c>
      <c r="E73" s="55">
        <v>0.01</v>
      </c>
    </row>
    <row r="74" spans="1:6">
      <c r="A74" s="1" t="s">
        <v>424</v>
      </c>
      <c r="B74" s="1" t="s">
        <v>383</v>
      </c>
      <c r="C74" s="1" t="s">
        <v>96</v>
      </c>
      <c r="D74" s="1">
        <v>149</v>
      </c>
      <c r="E74" s="54">
        <v>7.0585999999999993</v>
      </c>
      <c r="F74" s="4">
        <f t="shared" si="0"/>
        <v>1.1926686579386301</v>
      </c>
    </row>
    <row r="75" spans="1:6">
      <c r="A75" s="55" t="s">
        <v>581</v>
      </c>
      <c r="E75" s="55">
        <v>0.01</v>
      </c>
    </row>
    <row r="76" spans="1:6">
      <c r="A76" s="1" t="s">
        <v>425</v>
      </c>
      <c r="B76" s="1" t="s">
        <v>384</v>
      </c>
      <c r="C76" s="1" t="s">
        <v>96</v>
      </c>
      <c r="D76" s="1">
        <v>149</v>
      </c>
      <c r="E76" s="54">
        <v>5.2847999999999997</v>
      </c>
      <c r="F76" s="4">
        <f t="shared" si="0"/>
        <v>-0.58113134206136952</v>
      </c>
    </row>
    <row r="77" spans="1:6">
      <c r="A77" s="55" t="s">
        <v>582</v>
      </c>
      <c r="E77" s="55">
        <v>0.01</v>
      </c>
    </row>
    <row r="78" spans="1:6">
      <c r="A78" s="1" t="s">
        <v>426</v>
      </c>
      <c r="B78" s="1" t="s">
        <v>385</v>
      </c>
      <c r="C78" s="1" t="s">
        <v>96</v>
      </c>
      <c r="D78" s="1">
        <v>149</v>
      </c>
      <c r="E78" s="54">
        <v>7.6846999999999994</v>
      </c>
      <c r="F78" s="4">
        <f t="shared" si="0"/>
        <v>1.8187686579386302</v>
      </c>
    </row>
    <row r="79" spans="1:6">
      <c r="A79" s="55" t="s">
        <v>583</v>
      </c>
      <c r="E79" s="55">
        <v>0.01</v>
      </c>
    </row>
    <row r="80" spans="1:6">
      <c r="A80" s="1" t="s">
        <v>25</v>
      </c>
      <c r="B80" s="1" t="s">
        <v>380</v>
      </c>
      <c r="C80" s="1" t="s">
        <v>96</v>
      </c>
      <c r="D80" s="1">
        <v>149</v>
      </c>
      <c r="E80" s="54">
        <v>7.737099999999999</v>
      </c>
      <c r="F80" s="4">
        <f t="shared" si="0"/>
        <v>1.8711686579386297</v>
      </c>
    </row>
    <row r="81" spans="1:9">
      <c r="A81" s="55" t="s">
        <v>584</v>
      </c>
      <c r="E81" s="55">
        <v>0.01</v>
      </c>
    </row>
    <row r="82" spans="1:9">
      <c r="A82" s="1" t="s">
        <v>427</v>
      </c>
      <c r="B82" s="1" t="s">
        <v>349</v>
      </c>
      <c r="C82" s="1" t="s">
        <v>96</v>
      </c>
      <c r="D82" s="1">
        <v>149</v>
      </c>
      <c r="E82" s="54">
        <v>7.8312999999999997</v>
      </c>
      <c r="F82" s="4">
        <f t="shared" si="0"/>
        <v>1.9653686579386305</v>
      </c>
    </row>
    <row r="83" spans="1:9">
      <c r="A83" s="55" t="s">
        <v>585</v>
      </c>
      <c r="E83" s="55">
        <v>0.01</v>
      </c>
    </row>
    <row r="84" spans="1:9">
      <c r="A84" s="1" t="s">
        <v>428</v>
      </c>
      <c r="B84" s="1" t="s">
        <v>386</v>
      </c>
      <c r="C84" s="1" t="s">
        <v>96</v>
      </c>
      <c r="D84" s="1">
        <v>149</v>
      </c>
      <c r="E84" s="54">
        <v>7.7760999999999996</v>
      </c>
      <c r="F84" s="4">
        <f t="shared" si="0"/>
        <v>1.9101686579386303</v>
      </c>
    </row>
    <row r="85" spans="1:9">
      <c r="A85" s="55" t="s">
        <v>586</v>
      </c>
      <c r="E85" s="55">
        <v>0.01</v>
      </c>
    </row>
    <row r="86" spans="1:9">
      <c r="A86" s="1" t="s">
        <v>429</v>
      </c>
      <c r="B86" s="1" t="s">
        <v>381</v>
      </c>
      <c r="C86" s="1" t="s">
        <v>96</v>
      </c>
      <c r="D86" s="1">
        <v>149</v>
      </c>
      <c r="E86" s="54">
        <v>7.5618999999999996</v>
      </c>
      <c r="F86" s="4">
        <f t="shared" si="0"/>
        <v>1.6959686579386304</v>
      </c>
    </row>
    <row r="87" spans="1:9">
      <c r="A87" s="55" t="s">
        <v>587</v>
      </c>
      <c r="E87" s="55">
        <v>0.01</v>
      </c>
    </row>
    <row r="88" spans="1:9">
      <c r="A88" s="45" t="s">
        <v>26</v>
      </c>
      <c r="B88" s="45" t="s">
        <v>657</v>
      </c>
      <c r="C88" s="45" t="s">
        <v>96</v>
      </c>
      <c r="D88" s="45">
        <v>149</v>
      </c>
      <c r="E88" s="109">
        <v>8.3160000000000007</v>
      </c>
      <c r="F88" s="107">
        <f t="shared" si="0"/>
        <v>2.4500686579386315</v>
      </c>
      <c r="G88" s="1" t="s">
        <v>853</v>
      </c>
    </row>
    <row r="89" spans="1:9">
      <c r="A89" s="108" t="s">
        <v>589</v>
      </c>
      <c r="B89" s="45"/>
      <c r="C89" s="45"/>
      <c r="D89" s="45"/>
      <c r="E89" s="108">
        <v>0.01</v>
      </c>
      <c r="F89" s="45"/>
    </row>
    <row r="90" spans="1:9">
      <c r="A90" s="25" t="s">
        <v>22</v>
      </c>
      <c r="B90" s="32" t="s">
        <v>852</v>
      </c>
      <c r="C90" s="38" t="s">
        <v>96</v>
      </c>
      <c r="D90" s="1">
        <v>149</v>
      </c>
      <c r="E90" s="54">
        <v>8.3210000000000015</v>
      </c>
      <c r="F90" s="4">
        <f t="shared" si="0"/>
        <v>2.4550686579386323</v>
      </c>
      <c r="G90" s="25" t="s">
        <v>850</v>
      </c>
      <c r="H90" s="1" t="s">
        <v>851</v>
      </c>
      <c r="I90" s="106"/>
    </row>
    <row r="91" spans="1:9">
      <c r="A91" s="58" t="s">
        <v>589</v>
      </c>
      <c r="B91" s="25"/>
      <c r="E91" s="55">
        <v>0.01</v>
      </c>
      <c r="I91" s="25"/>
    </row>
    <row r="92" spans="1:9">
      <c r="A92" s="46">
        <v>19</v>
      </c>
      <c r="B92" s="46">
        <v>19</v>
      </c>
      <c r="C92" s="46">
        <v>19</v>
      </c>
      <c r="D92" s="46">
        <v>19</v>
      </c>
      <c r="E92" s="46">
        <v>19</v>
      </c>
      <c r="F92" s="46">
        <v>19</v>
      </c>
      <c r="G92" s="46">
        <v>19</v>
      </c>
      <c r="H92" s="46">
        <v>19</v>
      </c>
    </row>
    <row r="93" spans="1:9">
      <c r="A93" s="1" t="s">
        <v>430</v>
      </c>
      <c r="B93" s="1" t="s">
        <v>369</v>
      </c>
      <c r="C93" s="1" t="s">
        <v>94</v>
      </c>
      <c r="D93" s="1">
        <v>342</v>
      </c>
      <c r="E93" s="54">
        <v>7.5204666666666666</v>
      </c>
      <c r="F93" s="4">
        <f t="shared" ref="F93:F157" si="1">E93-(5*LOG(D93, 10)-5)</f>
        <v>-0.14966386361400641</v>
      </c>
    </row>
    <row r="94" spans="1:9">
      <c r="A94" s="55" t="s">
        <v>590</v>
      </c>
      <c r="E94" s="55">
        <v>0.01</v>
      </c>
    </row>
    <row r="95" spans="1:9">
      <c r="A95" s="1" t="s">
        <v>431</v>
      </c>
      <c r="B95" s="1" t="s">
        <v>369</v>
      </c>
      <c r="C95" s="1" t="s">
        <v>94</v>
      </c>
      <c r="D95" s="1">
        <v>342</v>
      </c>
      <c r="E95" s="54">
        <v>5.6952666666666669</v>
      </c>
      <c r="F95" s="4">
        <f t="shared" si="1"/>
        <v>-1.9748638636140061</v>
      </c>
      <c r="G95" s="1" t="s">
        <v>553</v>
      </c>
    </row>
    <row r="96" spans="1:9">
      <c r="A96" s="55" t="s">
        <v>588</v>
      </c>
      <c r="E96" s="55">
        <v>0.01</v>
      </c>
    </row>
    <row r="97" spans="1:8">
      <c r="A97" s="1" t="s">
        <v>432</v>
      </c>
      <c r="B97" s="1" t="s">
        <v>363</v>
      </c>
      <c r="C97" s="1" t="s">
        <v>94</v>
      </c>
      <c r="D97" s="1">
        <v>342</v>
      </c>
      <c r="E97" s="54">
        <v>8.3112666666666684</v>
      </c>
      <c r="F97" s="4">
        <f t="shared" si="1"/>
        <v>0.64113613638599531</v>
      </c>
    </row>
    <row r="98" spans="1:8">
      <c r="A98" s="55" t="s">
        <v>558</v>
      </c>
      <c r="E98" s="55">
        <v>0.01</v>
      </c>
    </row>
    <row r="99" spans="1:8">
      <c r="A99" s="32" t="str">
        <f>'All Binaries'!A89</f>
        <v>M15</v>
      </c>
      <c r="B99" s="32" t="str">
        <f>'All Binaries'!$B$89</f>
        <v>Apv... C</v>
      </c>
      <c r="C99" s="32" t="s">
        <v>94</v>
      </c>
      <c r="D99" s="32">
        <f>'All Binaries'!$D$89</f>
        <v>342</v>
      </c>
      <c r="E99" s="33">
        <f>'All Binaries'!$G$89</f>
        <v>-0.22215131641738495</v>
      </c>
      <c r="F99" s="33">
        <f>'All Binaries'!$M$89</f>
        <v>6.6361363859925859E-3</v>
      </c>
      <c r="G99" s="32" t="s">
        <v>688</v>
      </c>
      <c r="H99" s="32"/>
    </row>
    <row r="100" spans="1:8">
      <c r="A100" s="70" t="str">
        <f>'All Binaries'!A90</f>
        <v>HD 65987</v>
      </c>
      <c r="B100" s="70"/>
      <c r="C100" s="70"/>
      <c r="D100" s="70"/>
      <c r="E100" s="70">
        <v>0.01</v>
      </c>
      <c r="F100" s="70"/>
      <c r="G100" s="70"/>
      <c r="H100" s="70"/>
    </row>
    <row r="101" spans="1:8">
      <c r="A101" s="32" t="s">
        <v>433</v>
      </c>
      <c r="B101" s="1" t="s">
        <v>388</v>
      </c>
      <c r="C101" s="1" t="s">
        <v>92</v>
      </c>
      <c r="D101" s="1">
        <v>270</v>
      </c>
      <c r="E101" s="54">
        <v>5.8532666666666664</v>
      </c>
      <c r="F101" s="4">
        <f t="shared" si="1"/>
        <v>-1.3035521541282709</v>
      </c>
      <c r="G101" s="1" t="s">
        <v>494</v>
      </c>
      <c r="H101" s="1" t="s">
        <v>536</v>
      </c>
    </row>
    <row r="102" spans="1:8">
      <c r="A102" s="55" t="s">
        <v>591</v>
      </c>
      <c r="E102" s="55">
        <v>0.01</v>
      </c>
    </row>
    <row r="103" spans="1:8">
      <c r="A103" s="1" t="s">
        <v>434</v>
      </c>
      <c r="B103" s="1" t="s">
        <v>344</v>
      </c>
      <c r="C103" s="1" t="s">
        <v>94</v>
      </c>
      <c r="D103" s="1">
        <v>342</v>
      </c>
      <c r="E103" s="54">
        <v>8.0359666666666687</v>
      </c>
      <c r="F103" s="4">
        <f t="shared" si="1"/>
        <v>0.36583613638599566</v>
      </c>
    </row>
    <row r="104" spans="1:8">
      <c r="A104" s="55" t="s">
        <v>592</v>
      </c>
      <c r="E104" s="55">
        <v>0.01</v>
      </c>
    </row>
    <row r="105" spans="1:8">
      <c r="A105" s="32" t="s">
        <v>435</v>
      </c>
      <c r="B105" s="42" t="s">
        <v>663</v>
      </c>
      <c r="C105" s="1" t="s">
        <v>95</v>
      </c>
      <c r="D105" s="1">
        <v>412</v>
      </c>
      <c r="E105" s="54">
        <v>-2.4533333333332696E-2</v>
      </c>
      <c r="F105" s="4">
        <f t="shared" si="1"/>
        <v>-8.0990194134990059</v>
      </c>
    </row>
    <row r="106" spans="1:8">
      <c r="A106" s="55" t="s">
        <v>593</v>
      </c>
      <c r="E106" s="55">
        <v>0.01</v>
      </c>
    </row>
    <row r="107" spans="1:8">
      <c r="A107" s="1" t="s">
        <v>436</v>
      </c>
      <c r="B107" s="1" t="s">
        <v>351</v>
      </c>
      <c r="C107" s="1" t="s">
        <v>94</v>
      </c>
      <c r="D107" s="1">
        <v>342</v>
      </c>
      <c r="E107" s="54">
        <v>8.0011666666666663</v>
      </c>
      <c r="F107" s="4">
        <f t="shared" si="1"/>
        <v>0.33103613638599327</v>
      </c>
    </row>
    <row r="108" spans="1:8">
      <c r="A108" s="55" t="s">
        <v>594</v>
      </c>
      <c r="E108" s="55">
        <v>0.01</v>
      </c>
    </row>
    <row r="109" spans="1:8">
      <c r="A109" s="1" t="s">
        <v>437</v>
      </c>
      <c r="B109" s="1" t="s">
        <v>371</v>
      </c>
      <c r="C109" s="1" t="s">
        <v>94</v>
      </c>
      <c r="D109" s="1">
        <v>342</v>
      </c>
      <c r="E109" s="54">
        <v>6.5373666666666681</v>
      </c>
      <c r="F109" s="4">
        <f t="shared" si="1"/>
        <v>-1.1327638636140049</v>
      </c>
    </row>
    <row r="110" spans="1:8">
      <c r="A110" s="55" t="s">
        <v>595</v>
      </c>
      <c r="E110" s="55">
        <v>0.01</v>
      </c>
    </row>
    <row r="111" spans="1:8">
      <c r="A111" s="1" t="s">
        <v>438</v>
      </c>
      <c r="B111" s="1" t="s">
        <v>372</v>
      </c>
      <c r="C111" s="1" t="s">
        <v>94</v>
      </c>
      <c r="D111" s="1">
        <v>342</v>
      </c>
      <c r="E111" s="54">
        <v>6.7738666666666676</v>
      </c>
      <c r="F111" s="4">
        <f t="shared" si="1"/>
        <v>-0.89626386361400545</v>
      </c>
    </row>
    <row r="112" spans="1:8">
      <c r="A112" s="55" t="s">
        <v>596</v>
      </c>
      <c r="E112" s="55">
        <v>0.01</v>
      </c>
    </row>
    <row r="113" spans="1:6">
      <c r="A113" s="1" t="s">
        <v>439</v>
      </c>
      <c r="B113" s="1" t="s">
        <v>357</v>
      </c>
      <c r="C113" s="1" t="s">
        <v>94</v>
      </c>
      <c r="D113" s="1">
        <v>342</v>
      </c>
      <c r="E113" s="54">
        <v>6.8856666666666673</v>
      </c>
      <c r="F113" s="4">
        <f t="shared" si="1"/>
        <v>-0.78446386361400577</v>
      </c>
    </row>
    <row r="114" spans="1:6">
      <c r="A114" s="55" t="s">
        <v>559</v>
      </c>
      <c r="E114" s="55">
        <v>0.01</v>
      </c>
    </row>
    <row r="115" spans="1:6">
      <c r="A115" s="1" t="s">
        <v>440</v>
      </c>
      <c r="B115" s="1" t="s">
        <v>364</v>
      </c>
      <c r="C115" s="1" t="s">
        <v>94</v>
      </c>
      <c r="D115" s="1">
        <v>342</v>
      </c>
      <c r="E115" s="54">
        <v>8.084266666666668</v>
      </c>
      <c r="F115" s="4">
        <f t="shared" si="1"/>
        <v>0.414136136385995</v>
      </c>
    </row>
    <row r="116" spans="1:6">
      <c r="A116" s="55" t="s">
        <v>560</v>
      </c>
      <c r="E116" s="55">
        <v>0.01</v>
      </c>
    </row>
    <row r="117" spans="1:6">
      <c r="A117" s="1" t="s">
        <v>1</v>
      </c>
      <c r="B117" s="1" t="s">
        <v>368</v>
      </c>
      <c r="C117" s="1" t="s">
        <v>94</v>
      </c>
      <c r="D117" s="1">
        <v>342</v>
      </c>
      <c r="E117" s="54">
        <v>7.109466666666667</v>
      </c>
      <c r="F117" s="4">
        <f t="shared" si="1"/>
        <v>-0.560663863614006</v>
      </c>
    </row>
    <row r="118" spans="1:6">
      <c r="A118" s="55" t="s">
        <v>597</v>
      </c>
      <c r="E118" s="55">
        <v>0.01</v>
      </c>
    </row>
    <row r="119" spans="1:6">
      <c r="A119" s="1" t="s">
        <v>441</v>
      </c>
      <c r="B119" s="1" t="s">
        <v>356</v>
      </c>
      <c r="C119" s="1" t="s">
        <v>94</v>
      </c>
      <c r="D119" s="1">
        <v>342</v>
      </c>
      <c r="E119" s="54">
        <v>8.3656666666666677</v>
      </c>
      <c r="F119" s="4">
        <f t="shared" si="1"/>
        <v>0.69553613638599465</v>
      </c>
    </row>
    <row r="120" spans="1:6">
      <c r="A120" s="55" t="s">
        <v>561</v>
      </c>
      <c r="E120" s="55">
        <v>0.01</v>
      </c>
    </row>
    <row r="121" spans="1:6">
      <c r="A121" s="1" t="s">
        <v>442</v>
      </c>
      <c r="B121" s="1" t="s">
        <v>358</v>
      </c>
      <c r="C121" s="1" t="s">
        <v>94</v>
      </c>
      <c r="D121" s="1">
        <v>342</v>
      </c>
      <c r="E121" s="54">
        <v>5.3429666666666673</v>
      </c>
      <c r="F121" s="4">
        <f t="shared" si="1"/>
        <v>-2.3271638636140057</v>
      </c>
    </row>
    <row r="122" spans="1:6">
      <c r="A122" s="55" t="s">
        <v>598</v>
      </c>
      <c r="E122" s="55">
        <v>0.01</v>
      </c>
    </row>
    <row r="123" spans="1:6">
      <c r="A123" s="1" t="s">
        <v>443</v>
      </c>
      <c r="B123" s="1" t="s">
        <v>373</v>
      </c>
      <c r="C123" s="1" t="s">
        <v>94</v>
      </c>
      <c r="D123" s="1">
        <v>342</v>
      </c>
      <c r="E123" s="54">
        <v>6.356066666666667</v>
      </c>
      <c r="F123" s="4">
        <f t="shared" si="1"/>
        <v>-1.3140638636140061</v>
      </c>
    </row>
    <row r="124" spans="1:6">
      <c r="A124" s="55" t="s">
        <v>599</v>
      </c>
      <c r="E124" s="55">
        <v>0.01</v>
      </c>
    </row>
    <row r="125" spans="1:6">
      <c r="A125" s="1" t="s">
        <v>444</v>
      </c>
      <c r="B125" s="1" t="s">
        <v>356</v>
      </c>
      <c r="C125" s="1" t="s">
        <v>94</v>
      </c>
      <c r="D125" s="1">
        <v>342</v>
      </c>
      <c r="E125" s="54">
        <v>7.6379666666666663</v>
      </c>
      <c r="F125" s="4">
        <f t="shared" si="1"/>
        <v>-3.2163863614006694E-2</v>
      </c>
    </row>
    <row r="126" spans="1:6">
      <c r="A126" s="55" t="s">
        <v>600</v>
      </c>
      <c r="E126" s="55">
        <v>0.01</v>
      </c>
    </row>
    <row r="127" spans="1:6">
      <c r="A127" s="1" t="s">
        <v>445</v>
      </c>
      <c r="B127" s="1" t="s">
        <v>342</v>
      </c>
      <c r="C127" s="1" t="s">
        <v>95</v>
      </c>
      <c r="D127" s="1">
        <v>412</v>
      </c>
      <c r="E127" s="54">
        <v>7.7170666666666667</v>
      </c>
      <c r="F127" s="4">
        <f t="shared" si="1"/>
        <v>-0.35741941349900674</v>
      </c>
    </row>
    <row r="128" spans="1:6">
      <c r="A128" s="55" t="s">
        <v>601</v>
      </c>
      <c r="E128" s="55">
        <v>0.01</v>
      </c>
    </row>
    <row r="129" spans="1:8">
      <c r="A129" s="1" t="s">
        <v>446</v>
      </c>
      <c r="B129" s="1" t="s">
        <v>370</v>
      </c>
      <c r="C129" s="1" t="s">
        <v>94</v>
      </c>
      <c r="D129" s="1">
        <v>342</v>
      </c>
      <c r="E129" s="54">
        <v>8.2132666666666676</v>
      </c>
      <c r="F129" s="4">
        <f t="shared" si="1"/>
        <v>0.54313613638599456</v>
      </c>
    </row>
    <row r="130" spans="1:8">
      <c r="A130" s="55" t="s">
        <v>602</v>
      </c>
      <c r="E130" s="55">
        <v>0.01</v>
      </c>
    </row>
    <row r="131" spans="1:8">
      <c r="A131" s="1" t="s">
        <v>447</v>
      </c>
      <c r="B131" s="1" t="s">
        <v>357</v>
      </c>
      <c r="C131" s="1" t="s">
        <v>94</v>
      </c>
      <c r="D131" s="1">
        <v>342</v>
      </c>
      <c r="E131" s="54">
        <v>8.6183666666666685</v>
      </c>
      <c r="F131" s="4">
        <f t="shared" si="1"/>
        <v>0.94823613638599547</v>
      </c>
    </row>
    <row r="132" spans="1:8">
      <c r="A132" s="55" t="s">
        <v>603</v>
      </c>
      <c r="E132" s="55">
        <v>0.01</v>
      </c>
    </row>
    <row r="133" spans="1:8">
      <c r="A133" s="1" t="s">
        <v>448</v>
      </c>
      <c r="B133" s="1" t="s">
        <v>370</v>
      </c>
      <c r="C133" s="1" t="s">
        <v>95</v>
      </c>
      <c r="D133" s="1">
        <v>412</v>
      </c>
      <c r="E133" s="54">
        <v>7.7358666666666673</v>
      </c>
      <c r="F133" s="4">
        <f t="shared" si="1"/>
        <v>-0.33861941349900615</v>
      </c>
    </row>
    <row r="134" spans="1:8">
      <c r="A134" s="55" t="s">
        <v>593</v>
      </c>
      <c r="E134" s="55">
        <v>0.01</v>
      </c>
    </row>
    <row r="135" spans="1:8">
      <c r="A135" s="1" t="s">
        <v>449</v>
      </c>
      <c r="B135" s="1" t="s">
        <v>374</v>
      </c>
      <c r="C135" s="1" t="s">
        <v>94</v>
      </c>
      <c r="D135" s="1">
        <v>342</v>
      </c>
      <c r="E135" s="54">
        <v>4.7553666666666672</v>
      </c>
      <c r="F135" s="4">
        <f t="shared" si="1"/>
        <v>-2.9147638636140059</v>
      </c>
    </row>
    <row r="136" spans="1:8">
      <c r="A136" s="55" t="s">
        <v>604</v>
      </c>
      <c r="E136" s="55">
        <v>0.01</v>
      </c>
    </row>
    <row r="137" spans="1:8">
      <c r="A137" s="1" t="s">
        <v>450</v>
      </c>
      <c r="B137" s="1" t="s">
        <v>351</v>
      </c>
      <c r="C137" s="1" t="s">
        <v>94</v>
      </c>
      <c r="D137" s="1">
        <v>342</v>
      </c>
      <c r="E137" s="54">
        <v>7.708566666666667</v>
      </c>
      <c r="F137" s="4">
        <f t="shared" si="1"/>
        <v>3.8436136385993969E-2</v>
      </c>
    </row>
    <row r="138" spans="1:8">
      <c r="A138" s="55" t="s">
        <v>605</v>
      </c>
      <c r="E138" s="55">
        <v>0.01</v>
      </c>
    </row>
    <row r="139" spans="1:8">
      <c r="A139" s="1" t="s">
        <v>451</v>
      </c>
      <c r="B139" s="1" t="s">
        <v>368</v>
      </c>
      <c r="C139" s="1" t="s">
        <v>94</v>
      </c>
      <c r="D139" s="1">
        <v>342</v>
      </c>
      <c r="E139" s="54">
        <v>8.3092666666666677</v>
      </c>
      <c r="F139" s="4">
        <f t="shared" si="1"/>
        <v>0.63913613638599465</v>
      </c>
    </row>
    <row r="140" spans="1:8">
      <c r="A140" s="55" t="s">
        <v>606</v>
      </c>
      <c r="E140" s="55">
        <v>0.01</v>
      </c>
    </row>
    <row r="141" spans="1:8">
      <c r="A141" s="32" t="s">
        <v>452</v>
      </c>
      <c r="B141" s="32" t="s">
        <v>375</v>
      </c>
      <c r="C141" s="32" t="s">
        <v>92</v>
      </c>
      <c r="D141" s="32">
        <v>270</v>
      </c>
      <c r="E141" s="71">
        <v>6.3265333333333338</v>
      </c>
      <c r="F141" s="33">
        <f t="shared" si="1"/>
        <v>-0.83028548746160347</v>
      </c>
      <c r="G141" s="32"/>
      <c r="H141" s="32"/>
    </row>
    <row r="142" spans="1:8">
      <c r="A142" s="70" t="s">
        <v>607</v>
      </c>
      <c r="B142" s="32"/>
      <c r="C142" s="32"/>
      <c r="D142" s="32"/>
      <c r="E142" s="70">
        <v>0.01</v>
      </c>
      <c r="F142" s="32"/>
      <c r="G142" s="32"/>
      <c r="H142" s="32"/>
    </row>
    <row r="143" spans="1:8">
      <c r="A143" s="1" t="s">
        <v>453</v>
      </c>
      <c r="B143" s="1" t="s">
        <v>341</v>
      </c>
      <c r="C143" s="1" t="s">
        <v>94</v>
      </c>
      <c r="D143" s="1">
        <v>342</v>
      </c>
      <c r="E143" s="54">
        <v>8.1204666666666672</v>
      </c>
      <c r="F143" s="4">
        <f t="shared" si="1"/>
        <v>0.45033613638599412</v>
      </c>
    </row>
    <row r="144" spans="1:8">
      <c r="A144" s="55" t="s">
        <v>608</v>
      </c>
      <c r="E144" s="55">
        <v>0.01</v>
      </c>
    </row>
    <row r="145" spans="1:7">
      <c r="A145" s="1" t="s">
        <v>454</v>
      </c>
      <c r="B145" s="1" t="s">
        <v>354</v>
      </c>
      <c r="C145" s="1" t="s">
        <v>95</v>
      </c>
      <c r="D145" s="1">
        <v>412</v>
      </c>
      <c r="E145" s="54">
        <v>8.2533666666666683</v>
      </c>
      <c r="F145" s="4">
        <f t="shared" si="1"/>
        <v>0.17888058650099481</v>
      </c>
    </row>
    <row r="146" spans="1:7">
      <c r="A146" s="55" t="s">
        <v>609</v>
      </c>
      <c r="E146" s="55">
        <v>0.01</v>
      </c>
    </row>
    <row r="147" spans="1:7">
      <c r="A147" s="1" t="s">
        <v>455</v>
      </c>
      <c r="B147" s="1" t="s">
        <v>369</v>
      </c>
      <c r="C147" s="1" t="s">
        <v>94</v>
      </c>
      <c r="D147" s="1">
        <v>342</v>
      </c>
      <c r="E147" s="54">
        <v>8.0404666666666689</v>
      </c>
      <c r="F147" s="4">
        <f t="shared" si="1"/>
        <v>0.37033613638599583</v>
      </c>
    </row>
    <row r="148" spans="1:7">
      <c r="A148" s="55" t="s">
        <v>555</v>
      </c>
      <c r="E148" s="55">
        <v>0.01</v>
      </c>
    </row>
    <row r="149" spans="1:7">
      <c r="A149" s="1" t="s">
        <v>456</v>
      </c>
      <c r="B149" s="1" t="s">
        <v>354</v>
      </c>
      <c r="C149" s="1" t="s">
        <v>95</v>
      </c>
      <c r="D149" s="1">
        <v>412</v>
      </c>
      <c r="E149" s="54">
        <v>8.1255666666666695</v>
      </c>
      <c r="F149" s="4">
        <f t="shared" si="1"/>
        <v>5.1080586500996006E-2</v>
      </c>
    </row>
    <row r="150" spans="1:7">
      <c r="A150" s="55" t="s">
        <v>610</v>
      </c>
      <c r="E150" s="55">
        <v>0.01</v>
      </c>
    </row>
    <row r="151" spans="1:7">
      <c r="A151" s="1" t="s">
        <v>266</v>
      </c>
      <c r="B151" s="1" t="s">
        <v>340</v>
      </c>
      <c r="C151" s="1" t="s">
        <v>95</v>
      </c>
      <c r="D151" s="1">
        <v>412</v>
      </c>
      <c r="E151" s="54">
        <v>8.3608666666666664</v>
      </c>
      <c r="F151" s="4">
        <f t="shared" si="1"/>
        <v>0.28638058650099296</v>
      </c>
    </row>
    <row r="152" spans="1:7">
      <c r="A152" s="55" t="s">
        <v>506</v>
      </c>
      <c r="E152" s="55">
        <v>0.01</v>
      </c>
    </row>
    <row r="153" spans="1:7">
      <c r="A153" s="1" t="s">
        <v>457</v>
      </c>
      <c r="B153" s="1" t="s">
        <v>354</v>
      </c>
      <c r="C153" s="1" t="s">
        <v>95</v>
      </c>
      <c r="D153" s="1">
        <v>412</v>
      </c>
      <c r="E153" s="54">
        <v>8.5383666666666684</v>
      </c>
      <c r="F153" s="4">
        <f t="shared" si="1"/>
        <v>0.46388058650099495</v>
      </c>
    </row>
    <row r="154" spans="1:7">
      <c r="A154" s="55" t="s">
        <v>504</v>
      </c>
      <c r="E154" s="55">
        <v>0.01</v>
      </c>
    </row>
    <row r="155" spans="1:7">
      <c r="A155" s="1" t="s">
        <v>458</v>
      </c>
      <c r="B155" s="1" t="s">
        <v>368</v>
      </c>
      <c r="C155" s="1" t="s">
        <v>94</v>
      </c>
      <c r="D155" s="1">
        <v>342</v>
      </c>
      <c r="E155" s="54">
        <v>8.2484666666666673</v>
      </c>
      <c r="F155" s="4">
        <f t="shared" si="1"/>
        <v>0.57833613638599424</v>
      </c>
    </row>
    <row r="156" spans="1:7">
      <c r="A156" s="55" t="s">
        <v>554</v>
      </c>
      <c r="E156" s="55">
        <v>0.01</v>
      </c>
    </row>
    <row r="157" spans="1:7">
      <c r="A157" s="1" t="s">
        <v>459</v>
      </c>
      <c r="B157" s="1" t="s">
        <v>369</v>
      </c>
      <c r="C157" s="1" t="s">
        <v>94</v>
      </c>
      <c r="D157" s="1">
        <v>342</v>
      </c>
      <c r="E157" s="54">
        <v>8.1844666666666672</v>
      </c>
      <c r="F157" s="4">
        <f t="shared" si="1"/>
        <v>0.51433613638599418</v>
      </c>
    </row>
    <row r="158" spans="1:7">
      <c r="A158" s="55" t="s">
        <v>556</v>
      </c>
      <c r="E158" s="55">
        <v>0.01</v>
      </c>
    </row>
    <row r="159" spans="1:7">
      <c r="A159" s="1" t="s">
        <v>460</v>
      </c>
      <c r="B159" s="1" t="s">
        <v>391</v>
      </c>
      <c r="C159" s="1" t="s">
        <v>92</v>
      </c>
      <c r="D159" s="1">
        <v>270</v>
      </c>
      <c r="E159" s="54">
        <v>6.3049666666666662</v>
      </c>
      <c r="F159" s="4">
        <f>E159-(5*LOG(D159, 10)-5)</f>
        <v>-0.85185215412827109</v>
      </c>
      <c r="G159" s="32" t="s">
        <v>846</v>
      </c>
    </row>
    <row r="160" spans="1:7">
      <c r="A160" s="55" t="s">
        <v>611</v>
      </c>
      <c r="E160" s="55">
        <v>0.01</v>
      </c>
    </row>
    <row r="161" spans="1:17">
      <c r="A161" s="1" t="s">
        <v>461</v>
      </c>
      <c r="B161" s="42" t="s">
        <v>664</v>
      </c>
      <c r="C161" s="1" t="s">
        <v>95</v>
      </c>
      <c r="D161" s="1">
        <v>412</v>
      </c>
      <c r="E161" s="54">
        <v>8.2486666666666686</v>
      </c>
      <c r="F161" s="4">
        <f>E161-(5*LOG(D161, 10)-5)</f>
        <v>0.1741805865009951</v>
      </c>
      <c r="I161" s="73"/>
      <c r="J161" s="73"/>
      <c r="K161" s="73"/>
      <c r="L161" s="73"/>
    </row>
    <row r="162" spans="1:17">
      <c r="A162" s="55" t="s">
        <v>387</v>
      </c>
      <c r="E162" s="55">
        <v>0.01</v>
      </c>
    </row>
    <row r="163" spans="1:17">
      <c r="A163" s="1" t="s">
        <v>462</v>
      </c>
      <c r="B163" s="1" t="s">
        <v>355</v>
      </c>
      <c r="C163" s="1" t="s">
        <v>94</v>
      </c>
      <c r="D163" s="1">
        <v>342</v>
      </c>
      <c r="E163" s="54">
        <v>8.3504666666666676</v>
      </c>
      <c r="F163" s="4">
        <f>E163-(5*LOG(D163, 10)-5)</f>
        <v>0.68033613638599455</v>
      </c>
    </row>
    <row r="164" spans="1:17">
      <c r="A164" s="55" t="s">
        <v>612</v>
      </c>
      <c r="E164" s="55">
        <v>0.01</v>
      </c>
    </row>
    <row r="165" spans="1:17">
      <c r="A165" s="84" t="s">
        <v>77</v>
      </c>
      <c r="B165" s="84" t="s">
        <v>191</v>
      </c>
      <c r="C165" s="84" t="s">
        <v>95</v>
      </c>
      <c r="D165" s="84">
        <v>412</v>
      </c>
      <c r="E165" s="85">
        <v>-0.79</v>
      </c>
      <c r="F165" s="85">
        <v>-0.85</v>
      </c>
      <c r="G165" s="84" t="s">
        <v>688</v>
      </c>
      <c r="H165" s="84"/>
      <c r="I165" s="38"/>
      <c r="J165" s="38"/>
      <c r="K165" s="38"/>
      <c r="L165" s="38"/>
      <c r="M165" s="38"/>
      <c r="N165" s="38"/>
      <c r="O165" s="38"/>
      <c r="P165" s="38"/>
      <c r="Q165" s="38"/>
    </row>
    <row r="166" spans="1:17">
      <c r="A166" s="86" t="s">
        <v>326</v>
      </c>
      <c r="B166" s="86"/>
      <c r="C166" s="86"/>
      <c r="D166" s="86"/>
      <c r="E166" s="86">
        <v>0.01</v>
      </c>
      <c r="F166" s="86"/>
      <c r="G166" s="86"/>
      <c r="H166" s="86"/>
      <c r="I166" s="38"/>
      <c r="J166" s="38"/>
      <c r="K166" s="38"/>
      <c r="L166" s="38"/>
      <c r="M166" s="38"/>
      <c r="N166" s="38"/>
      <c r="O166" s="38"/>
      <c r="P166" s="38"/>
      <c r="Q166" s="38"/>
    </row>
    <row r="167" spans="1:17">
      <c r="A167" s="47">
        <v>20</v>
      </c>
      <c r="B167" s="47">
        <v>20</v>
      </c>
      <c r="C167" s="47">
        <v>20</v>
      </c>
      <c r="D167" s="47">
        <v>20</v>
      </c>
      <c r="E167" s="47">
        <v>20</v>
      </c>
      <c r="F167" s="47">
        <v>20</v>
      </c>
      <c r="G167" s="47">
        <v>20</v>
      </c>
      <c r="H167" s="47">
        <v>20</v>
      </c>
    </row>
    <row r="168" spans="1:17">
      <c r="A168" s="1" t="s">
        <v>433</v>
      </c>
      <c r="B168" s="1" t="s">
        <v>388</v>
      </c>
      <c r="C168" s="1" t="s">
        <v>92</v>
      </c>
      <c r="D168" s="1">
        <v>270</v>
      </c>
      <c r="E168" s="54">
        <v>5.8545999999999996</v>
      </c>
      <c r="F168" s="4">
        <f t="shared" ref="F168:F230" si="2">E168-(5*LOG(D168, 10)-5)</f>
        <v>-1.3022188207949377</v>
      </c>
    </row>
    <row r="169" spans="1:17">
      <c r="A169" s="55" t="s">
        <v>591</v>
      </c>
      <c r="E169" s="55">
        <v>0.01</v>
      </c>
    </row>
    <row r="170" spans="1:17">
      <c r="A170" s="1" t="s">
        <v>463</v>
      </c>
      <c r="B170" s="1" t="s">
        <v>356</v>
      </c>
      <c r="C170" s="1" t="s">
        <v>93</v>
      </c>
      <c r="D170" s="1">
        <v>184</v>
      </c>
      <c r="E170" s="54">
        <v>7.3880999999999997</v>
      </c>
      <c r="F170" s="4">
        <f t="shared" si="2"/>
        <v>1.0640108849523173</v>
      </c>
    </row>
    <row r="171" spans="1:17">
      <c r="A171" s="55" t="s">
        <v>613</v>
      </c>
      <c r="E171" s="55">
        <v>0.01</v>
      </c>
    </row>
    <row r="172" spans="1:17">
      <c r="A172" s="1" t="s">
        <v>464</v>
      </c>
      <c r="B172" s="1" t="s">
        <v>341</v>
      </c>
      <c r="C172" s="1" t="s">
        <v>93</v>
      </c>
      <c r="D172" s="1">
        <v>184</v>
      </c>
      <c r="E172" s="54">
        <v>7.9700999999999995</v>
      </c>
      <c r="F172" s="4">
        <f t="shared" si="2"/>
        <v>1.6460108849523172</v>
      </c>
    </row>
    <row r="173" spans="1:17">
      <c r="A173" s="55" t="s">
        <v>614</v>
      </c>
      <c r="E173" s="55">
        <v>0.01</v>
      </c>
    </row>
    <row r="174" spans="1:17">
      <c r="A174" s="1" t="s">
        <v>465</v>
      </c>
      <c r="B174" s="1" t="s">
        <v>358</v>
      </c>
      <c r="C174" s="1" t="s">
        <v>93</v>
      </c>
      <c r="D174" s="1">
        <v>184</v>
      </c>
      <c r="E174" s="54">
        <v>5.3909333333333329</v>
      </c>
      <c r="F174" s="4">
        <f t="shared" si="2"/>
        <v>-0.93315578171434943</v>
      </c>
    </row>
    <row r="175" spans="1:17">
      <c r="A175" s="55" t="s">
        <v>615</v>
      </c>
      <c r="E175" s="55">
        <v>0.01</v>
      </c>
    </row>
    <row r="176" spans="1:17">
      <c r="A176" s="1" t="s">
        <v>466</v>
      </c>
      <c r="B176" s="1" t="s">
        <v>359</v>
      </c>
      <c r="C176" s="1" t="s">
        <v>93</v>
      </c>
      <c r="D176" s="1">
        <v>184</v>
      </c>
      <c r="E176" s="54">
        <v>5.8938999999999995</v>
      </c>
      <c r="F176" s="4">
        <f t="shared" si="2"/>
        <v>-0.43018911504768287</v>
      </c>
    </row>
    <row r="177" spans="1:8">
      <c r="A177" s="55" t="s">
        <v>616</v>
      </c>
      <c r="E177" s="55">
        <v>0.01</v>
      </c>
    </row>
    <row r="178" spans="1:8">
      <c r="A178" s="1" t="s">
        <v>467</v>
      </c>
      <c r="B178" s="1" t="s">
        <v>339</v>
      </c>
      <c r="C178" s="1" t="s">
        <v>93</v>
      </c>
      <c r="D178" s="1">
        <v>184</v>
      </c>
      <c r="E178" s="54">
        <v>7.9791999999999996</v>
      </c>
      <c r="F178" s="4">
        <f t="shared" si="2"/>
        <v>1.6551108849523173</v>
      </c>
    </row>
    <row r="179" spans="1:8">
      <c r="A179" s="55" t="s">
        <v>617</v>
      </c>
      <c r="E179" s="55">
        <v>0.01</v>
      </c>
    </row>
    <row r="180" spans="1:8">
      <c r="A180" s="1" t="s">
        <v>468</v>
      </c>
      <c r="B180" s="1" t="s">
        <v>360</v>
      </c>
      <c r="C180" s="1" t="s">
        <v>93</v>
      </c>
      <c r="D180" s="1">
        <v>184</v>
      </c>
      <c r="E180" s="54">
        <v>5.9201999999999995</v>
      </c>
      <c r="F180" s="4">
        <f t="shared" si="2"/>
        <v>-0.40388911504768288</v>
      </c>
    </row>
    <row r="181" spans="1:8">
      <c r="A181" s="55" t="s">
        <v>618</v>
      </c>
      <c r="E181" s="55">
        <v>0.01</v>
      </c>
    </row>
    <row r="182" spans="1:8">
      <c r="A182" s="1" t="s">
        <v>469</v>
      </c>
      <c r="B182" s="1" t="s">
        <v>356</v>
      </c>
      <c r="C182" s="1" t="s">
        <v>93</v>
      </c>
      <c r="D182" s="1">
        <v>184</v>
      </c>
      <c r="E182" s="54">
        <v>7.7871999999999995</v>
      </c>
      <c r="F182" s="4">
        <f t="shared" si="2"/>
        <v>1.4631108849523171</v>
      </c>
    </row>
    <row r="183" spans="1:8">
      <c r="A183" s="55" t="s">
        <v>619</v>
      </c>
      <c r="E183" s="55">
        <v>0.01</v>
      </c>
    </row>
    <row r="184" spans="1:8">
      <c r="A184" s="1" t="s">
        <v>470</v>
      </c>
      <c r="B184" s="1" t="s">
        <v>352</v>
      </c>
      <c r="C184" s="1" t="s">
        <v>93</v>
      </c>
      <c r="D184" s="1">
        <v>184</v>
      </c>
      <c r="E184" s="54">
        <v>5.8214999999999995</v>
      </c>
      <c r="F184" s="4">
        <f t="shared" si="2"/>
        <v>-0.50258911504768289</v>
      </c>
    </row>
    <row r="185" spans="1:8">
      <c r="A185" s="55" t="s">
        <v>620</v>
      </c>
      <c r="E185" s="55">
        <v>0.01</v>
      </c>
    </row>
    <row r="186" spans="1:8">
      <c r="A186" s="1" t="s">
        <v>471</v>
      </c>
      <c r="B186" s="1" t="s">
        <v>362</v>
      </c>
      <c r="C186" s="1" t="s">
        <v>93</v>
      </c>
      <c r="D186" s="1">
        <v>184</v>
      </c>
      <c r="E186" s="54">
        <v>7.5081999999999995</v>
      </c>
      <c r="F186" s="4">
        <f t="shared" si="2"/>
        <v>1.1841108849523172</v>
      </c>
    </row>
    <row r="187" spans="1:8">
      <c r="A187" s="55" t="s">
        <v>621</v>
      </c>
      <c r="E187" s="55">
        <v>0.01</v>
      </c>
    </row>
    <row r="188" spans="1:8">
      <c r="A188" s="32" t="s">
        <v>433</v>
      </c>
      <c r="B188" s="32" t="s">
        <v>388</v>
      </c>
      <c r="C188" s="32" t="s">
        <v>92</v>
      </c>
      <c r="D188" s="32">
        <v>270</v>
      </c>
      <c r="E188" s="71">
        <v>7.6799999999999466E-2</v>
      </c>
      <c r="F188" s="33">
        <f t="shared" si="2"/>
        <v>-7.0800188207949377</v>
      </c>
      <c r="G188" s="32" t="s">
        <v>689</v>
      </c>
      <c r="H188" s="32"/>
    </row>
    <row r="189" spans="1:8">
      <c r="A189" s="70" t="s">
        <v>591</v>
      </c>
      <c r="B189" s="32"/>
      <c r="C189" s="32"/>
      <c r="D189" s="32"/>
      <c r="E189" s="70">
        <v>0.01</v>
      </c>
      <c r="F189" s="32"/>
      <c r="G189" s="32"/>
      <c r="H189" s="32"/>
    </row>
    <row r="190" spans="1:8">
      <c r="A190" s="1" t="s">
        <v>472</v>
      </c>
      <c r="B190" s="1" t="s">
        <v>361</v>
      </c>
      <c r="C190" s="1" t="s">
        <v>93</v>
      </c>
      <c r="D190" s="1">
        <v>184</v>
      </c>
      <c r="E190" s="54">
        <v>6.8631000000000002</v>
      </c>
      <c r="F190" s="4">
        <f t="shared" si="2"/>
        <v>0.53901088495231786</v>
      </c>
    </row>
    <row r="191" spans="1:8">
      <c r="A191" s="55" t="s">
        <v>622</v>
      </c>
      <c r="E191" s="55">
        <v>0.01</v>
      </c>
    </row>
    <row r="192" spans="1:8">
      <c r="A192" s="1" t="s">
        <v>473</v>
      </c>
      <c r="B192" s="1" t="s">
        <v>363</v>
      </c>
      <c r="C192" s="1" t="s">
        <v>93</v>
      </c>
      <c r="D192" s="1">
        <v>184</v>
      </c>
      <c r="E192" s="54">
        <v>7.4875999999999996</v>
      </c>
      <c r="F192" s="4">
        <f t="shared" si="2"/>
        <v>1.1635108849523172</v>
      </c>
    </row>
    <row r="193" spans="1:6">
      <c r="A193" s="55" t="s">
        <v>623</v>
      </c>
      <c r="E193" s="55">
        <v>0.01</v>
      </c>
    </row>
    <row r="194" spans="1:6">
      <c r="A194" s="1" t="s">
        <v>474</v>
      </c>
      <c r="B194" s="1" t="s">
        <v>364</v>
      </c>
      <c r="C194" s="1" t="s">
        <v>93</v>
      </c>
      <c r="D194" s="1">
        <v>184</v>
      </c>
      <c r="E194" s="54">
        <v>6.7527999999999997</v>
      </c>
      <c r="F194" s="4">
        <f t="shared" si="2"/>
        <v>0.42871088495231735</v>
      </c>
    </row>
    <row r="195" spans="1:6">
      <c r="A195" s="55" t="s">
        <v>624</v>
      </c>
      <c r="E195" s="55">
        <v>0.01</v>
      </c>
    </row>
    <row r="196" spans="1:6">
      <c r="A196" s="1" t="s">
        <v>475</v>
      </c>
      <c r="B196" s="1" t="s">
        <v>355</v>
      </c>
      <c r="C196" s="1" t="s">
        <v>93</v>
      </c>
      <c r="D196" s="1">
        <v>184</v>
      </c>
      <c r="E196" s="54">
        <v>8.0177999999999994</v>
      </c>
      <c r="F196" s="4">
        <f t="shared" si="2"/>
        <v>1.693710884952317</v>
      </c>
    </row>
    <row r="197" spans="1:6">
      <c r="A197" s="55" t="s">
        <v>625</v>
      </c>
      <c r="E197" s="55">
        <v>0.01</v>
      </c>
    </row>
    <row r="198" spans="1:6">
      <c r="A198" s="1" t="s">
        <v>476</v>
      </c>
      <c r="B198" s="1" t="s">
        <v>356</v>
      </c>
      <c r="C198" s="1" t="s">
        <v>93</v>
      </c>
      <c r="D198" s="1">
        <v>184</v>
      </c>
      <c r="E198" s="54">
        <v>7.5609999999999991</v>
      </c>
      <c r="F198" s="4">
        <f t="shared" si="2"/>
        <v>1.2369108849523167</v>
      </c>
    </row>
    <row r="199" spans="1:6">
      <c r="A199" s="55" t="s">
        <v>626</v>
      </c>
      <c r="E199" s="55">
        <v>0.01</v>
      </c>
    </row>
    <row r="200" spans="1:6">
      <c r="A200" s="1" t="s">
        <v>477</v>
      </c>
      <c r="B200" s="1" t="s">
        <v>351</v>
      </c>
      <c r="C200" s="1" t="s">
        <v>93</v>
      </c>
      <c r="D200" s="1">
        <v>184</v>
      </c>
      <c r="E200" s="54">
        <v>8.2978000000000005</v>
      </c>
      <c r="F200" s="4">
        <f t="shared" si="2"/>
        <v>1.9737108849523182</v>
      </c>
    </row>
    <row r="201" spans="1:6">
      <c r="A201" s="55" t="s">
        <v>627</v>
      </c>
      <c r="E201" s="55">
        <v>0.01</v>
      </c>
    </row>
    <row r="202" spans="1:6">
      <c r="A202" s="1" t="s">
        <v>478</v>
      </c>
      <c r="B202" s="1" t="s">
        <v>339</v>
      </c>
      <c r="C202" s="1" t="s">
        <v>93</v>
      </c>
      <c r="D202" s="1">
        <v>184</v>
      </c>
      <c r="E202" s="54">
        <v>6.1989999999999998</v>
      </c>
      <c r="F202" s="4">
        <f t="shared" si="2"/>
        <v>-0.1250891150476825</v>
      </c>
    </row>
    <row r="203" spans="1:6">
      <c r="A203" s="55" t="s">
        <v>628</v>
      </c>
      <c r="E203" s="55">
        <v>0.01</v>
      </c>
    </row>
    <row r="204" spans="1:6">
      <c r="A204" s="1" t="s">
        <v>479</v>
      </c>
      <c r="B204" s="1" t="s">
        <v>341</v>
      </c>
      <c r="C204" s="1" t="s">
        <v>93</v>
      </c>
      <c r="D204" s="1">
        <v>184</v>
      </c>
      <c r="E204" s="54">
        <v>7.6416999999999993</v>
      </c>
      <c r="F204" s="4">
        <f t="shared" si="2"/>
        <v>1.3176108849523169</v>
      </c>
    </row>
    <row r="205" spans="1:6">
      <c r="A205" s="55" t="s">
        <v>629</v>
      </c>
      <c r="E205" s="55">
        <v>0.01</v>
      </c>
    </row>
    <row r="206" spans="1:6">
      <c r="A206" s="1" t="s">
        <v>480</v>
      </c>
      <c r="B206" s="1" t="s">
        <v>341</v>
      </c>
      <c r="C206" s="1" t="s">
        <v>93</v>
      </c>
      <c r="D206" s="1">
        <v>184</v>
      </c>
      <c r="E206" s="54">
        <v>8.0281999999999982</v>
      </c>
      <c r="F206" s="4">
        <f t="shared" si="2"/>
        <v>1.7041108849523159</v>
      </c>
    </row>
    <row r="207" spans="1:6">
      <c r="A207" s="55" t="s">
        <v>630</v>
      </c>
      <c r="E207" s="55">
        <v>0.01</v>
      </c>
    </row>
    <row r="208" spans="1:6">
      <c r="A208" s="1" t="s">
        <v>481</v>
      </c>
      <c r="B208" s="1" t="s">
        <v>347</v>
      </c>
      <c r="C208" s="1" t="s">
        <v>93</v>
      </c>
      <c r="D208" s="1">
        <v>184</v>
      </c>
      <c r="E208" s="54">
        <v>7.5881999999999996</v>
      </c>
      <c r="F208" s="4">
        <f t="shared" si="2"/>
        <v>1.2641108849523173</v>
      </c>
    </row>
    <row r="209" spans="1:8">
      <c r="A209" s="55" t="s">
        <v>631</v>
      </c>
      <c r="E209" s="55">
        <v>0.01</v>
      </c>
    </row>
    <row r="210" spans="1:8">
      <c r="A210" s="1" t="s">
        <v>482</v>
      </c>
      <c r="B210" s="1" t="s">
        <v>348</v>
      </c>
      <c r="C210" s="1" t="s">
        <v>93</v>
      </c>
      <c r="D210" s="1">
        <v>184</v>
      </c>
      <c r="E210" s="54">
        <v>6.8358999999999996</v>
      </c>
      <c r="F210" s="4">
        <f t="shared" si="2"/>
        <v>0.5118108849523173</v>
      </c>
    </row>
    <row r="211" spans="1:8">
      <c r="A211" s="55" t="s">
        <v>632</v>
      </c>
      <c r="E211" s="55">
        <v>0.01</v>
      </c>
    </row>
    <row r="212" spans="1:8">
      <c r="A212" s="1" t="s">
        <v>483</v>
      </c>
      <c r="B212" s="1" t="s">
        <v>354</v>
      </c>
      <c r="C212" s="1" t="s">
        <v>93</v>
      </c>
      <c r="D212" s="1">
        <v>184</v>
      </c>
      <c r="E212" s="54">
        <v>7.2607999999999997</v>
      </c>
      <c r="F212" s="4">
        <f t="shared" si="2"/>
        <v>0.93671088495231736</v>
      </c>
    </row>
    <row r="213" spans="1:8">
      <c r="A213" s="55" t="s">
        <v>633</v>
      </c>
      <c r="E213" s="55">
        <v>0.01</v>
      </c>
    </row>
    <row r="214" spans="1:8">
      <c r="A214" s="1" t="s">
        <v>484</v>
      </c>
      <c r="B214" s="1" t="s">
        <v>356</v>
      </c>
      <c r="C214" s="1" t="s">
        <v>93</v>
      </c>
      <c r="D214" s="1">
        <v>184</v>
      </c>
      <c r="E214" s="54">
        <v>7.145999999999999</v>
      </c>
      <c r="F214" s="4">
        <f t="shared" si="2"/>
        <v>0.82191088495231668</v>
      </c>
    </row>
    <row r="215" spans="1:8">
      <c r="A215" s="55" t="s">
        <v>634</v>
      </c>
      <c r="E215" s="55">
        <v>0.01</v>
      </c>
    </row>
    <row r="216" spans="1:8">
      <c r="A216" s="32" t="s">
        <v>452</v>
      </c>
      <c r="B216" s="32" t="s">
        <v>375</v>
      </c>
      <c r="C216" s="32" t="s">
        <v>92</v>
      </c>
      <c r="D216" s="32">
        <v>270</v>
      </c>
      <c r="E216" s="71">
        <v>6.2538</v>
      </c>
      <c r="F216" s="33">
        <f t="shared" si="2"/>
        <v>-0.90301882079493723</v>
      </c>
      <c r="G216" s="32"/>
      <c r="H216" s="32"/>
    </row>
    <row r="217" spans="1:8">
      <c r="A217" s="70" t="s">
        <v>607</v>
      </c>
      <c r="B217" s="32"/>
      <c r="C217" s="32"/>
      <c r="D217" s="32"/>
      <c r="E217" s="70">
        <v>0.01</v>
      </c>
      <c r="F217" s="32"/>
      <c r="G217" s="32"/>
      <c r="H217" s="32"/>
    </row>
    <row r="218" spans="1:8">
      <c r="A218" s="1" t="s">
        <v>485</v>
      </c>
      <c r="B218" s="1" t="s">
        <v>339</v>
      </c>
      <c r="C218" s="1" t="s">
        <v>93</v>
      </c>
      <c r="D218" s="1">
        <v>184</v>
      </c>
      <c r="E218" s="54">
        <v>6.1471999999999989</v>
      </c>
      <c r="F218" s="4">
        <f t="shared" si="2"/>
        <v>-0.17688911504768345</v>
      </c>
    </row>
    <row r="219" spans="1:8">
      <c r="A219" s="55" t="s">
        <v>635</v>
      </c>
      <c r="E219" s="55">
        <v>0.01</v>
      </c>
    </row>
    <row r="220" spans="1:8">
      <c r="A220" s="1" t="s">
        <v>486</v>
      </c>
      <c r="B220" s="1" t="s">
        <v>365</v>
      </c>
      <c r="C220" s="1" t="s">
        <v>93</v>
      </c>
      <c r="D220" s="1">
        <v>184</v>
      </c>
      <c r="E220" s="54">
        <v>6.7398999999999996</v>
      </c>
      <c r="F220" s="4">
        <f t="shared" si="2"/>
        <v>0.41581088495231722</v>
      </c>
    </row>
    <row r="221" spans="1:8">
      <c r="A221" s="55" t="s">
        <v>636</v>
      </c>
      <c r="E221" s="55">
        <v>0.01</v>
      </c>
    </row>
    <row r="222" spans="1:8">
      <c r="A222" s="1" t="s">
        <v>487</v>
      </c>
      <c r="B222" s="1" t="s">
        <v>366</v>
      </c>
      <c r="C222" s="1" t="s">
        <v>93</v>
      </c>
      <c r="D222" s="1">
        <v>184</v>
      </c>
      <c r="E222" s="54">
        <v>6.1697999999999995</v>
      </c>
      <c r="F222" s="4">
        <f t="shared" si="2"/>
        <v>-0.15428911504768283</v>
      </c>
    </row>
    <row r="223" spans="1:8">
      <c r="A223" s="55" t="s">
        <v>637</v>
      </c>
      <c r="E223" s="55">
        <v>0.01</v>
      </c>
    </row>
    <row r="224" spans="1:8">
      <c r="A224" s="1" t="s">
        <v>488</v>
      </c>
      <c r="B224" s="1" t="s">
        <v>367</v>
      </c>
      <c r="C224" s="1" t="s">
        <v>93</v>
      </c>
      <c r="D224" s="1">
        <v>184</v>
      </c>
      <c r="E224" s="54">
        <v>5.3556999999999988</v>
      </c>
      <c r="F224" s="4">
        <f t="shared" si="2"/>
        <v>-0.96838911504768355</v>
      </c>
    </row>
    <row r="225" spans="1:7">
      <c r="A225" s="55" t="s">
        <v>638</v>
      </c>
      <c r="E225" s="55">
        <v>0.01</v>
      </c>
    </row>
    <row r="226" spans="1:7">
      <c r="A226" s="1" t="s">
        <v>489</v>
      </c>
      <c r="B226" s="1" t="s">
        <v>341</v>
      </c>
      <c r="C226" s="1" t="s">
        <v>93</v>
      </c>
      <c r="D226" s="1">
        <v>184</v>
      </c>
      <c r="E226" s="54">
        <v>8.3311999999999973</v>
      </c>
      <c r="F226" s="4">
        <f t="shared" si="2"/>
        <v>2.0071108849523149</v>
      </c>
    </row>
    <row r="227" spans="1:7">
      <c r="A227" s="55" t="s">
        <v>557</v>
      </c>
      <c r="E227" s="55">
        <v>0.01</v>
      </c>
    </row>
    <row r="228" spans="1:7">
      <c r="A228" s="1" t="s">
        <v>490</v>
      </c>
      <c r="B228" s="1" t="s">
        <v>354</v>
      </c>
      <c r="C228" s="1" t="s">
        <v>95</v>
      </c>
      <c r="D228" s="1">
        <v>412</v>
      </c>
      <c r="E228" s="54">
        <v>8.2459999999999987</v>
      </c>
      <c r="F228" s="4">
        <f t="shared" si="2"/>
        <v>0.17151391983432518</v>
      </c>
    </row>
    <row r="229" spans="1:7">
      <c r="A229" s="55" t="s">
        <v>639</v>
      </c>
      <c r="E229" s="55">
        <v>0.01</v>
      </c>
    </row>
    <row r="230" spans="1:7">
      <c r="A230" s="1" t="s">
        <v>491</v>
      </c>
      <c r="B230" s="1" t="s">
        <v>388</v>
      </c>
      <c r="C230" s="1" t="s">
        <v>95</v>
      </c>
      <c r="D230" s="1">
        <v>412</v>
      </c>
      <c r="E230" s="54">
        <v>8.0414999999999992</v>
      </c>
      <c r="F230" s="4">
        <f t="shared" si="2"/>
        <v>-3.2986080165674281E-2</v>
      </c>
    </row>
    <row r="231" spans="1:7">
      <c r="A231" s="55" t="s">
        <v>640</v>
      </c>
      <c r="E231" s="55">
        <v>0.01</v>
      </c>
    </row>
    <row r="232" spans="1:7">
      <c r="A232" s="1" t="s">
        <v>13</v>
      </c>
      <c r="B232" s="1" t="s">
        <v>192</v>
      </c>
      <c r="C232" s="1" t="s">
        <v>95</v>
      </c>
      <c r="D232" s="1">
        <v>412</v>
      </c>
      <c r="E232" s="54">
        <v>8.3819999999999979</v>
      </c>
      <c r="F232" s="4">
        <f t="shared" ref="F232:F242" si="3">E232-(5*LOG(D232, 10)-5)</f>
        <v>0.30751391983432441</v>
      </c>
    </row>
    <row r="233" spans="1:7">
      <c r="A233" s="55" t="s">
        <v>641</v>
      </c>
      <c r="E233" s="55">
        <v>0.01</v>
      </c>
    </row>
    <row r="234" spans="1:7">
      <c r="A234" s="1" t="s">
        <v>14</v>
      </c>
      <c r="B234" s="1" t="s">
        <v>341</v>
      </c>
      <c r="C234" s="1" t="s">
        <v>95</v>
      </c>
      <c r="D234" s="1">
        <v>412</v>
      </c>
      <c r="E234" s="54">
        <v>8.3079999999999981</v>
      </c>
      <c r="F234" s="4">
        <f t="shared" si="3"/>
        <v>0.23351391983432457</v>
      </c>
      <c r="G234" s="1" t="s">
        <v>495</v>
      </c>
    </row>
    <row r="235" spans="1:7">
      <c r="A235" s="55" t="s">
        <v>642</v>
      </c>
      <c r="E235" s="55">
        <v>0.01</v>
      </c>
    </row>
    <row r="236" spans="1:7">
      <c r="A236" s="1" t="s">
        <v>492</v>
      </c>
      <c r="B236" s="1" t="s">
        <v>389</v>
      </c>
      <c r="C236" s="1" t="s">
        <v>95</v>
      </c>
      <c r="D236" s="1">
        <v>412</v>
      </c>
      <c r="E236" s="54">
        <v>6.6721999999999992</v>
      </c>
      <c r="F236" s="4">
        <f t="shared" si="3"/>
        <v>-1.4022860801656742</v>
      </c>
    </row>
    <row r="237" spans="1:7">
      <c r="A237" s="55" t="s">
        <v>643</v>
      </c>
      <c r="E237" s="55">
        <v>0.01</v>
      </c>
    </row>
    <row r="238" spans="1:7">
      <c r="A238" s="1" t="s">
        <v>493</v>
      </c>
      <c r="B238" s="1" t="s">
        <v>390</v>
      </c>
      <c r="C238" s="1" t="s">
        <v>95</v>
      </c>
      <c r="D238" s="1">
        <v>412</v>
      </c>
      <c r="E238" s="54">
        <v>8.325199999999997</v>
      </c>
      <c r="F238" s="4">
        <f t="shared" si="3"/>
        <v>0.25071391983432356</v>
      </c>
    </row>
    <row r="239" spans="1:7">
      <c r="A239" s="55" t="s">
        <v>644</v>
      </c>
      <c r="E239" s="55">
        <v>0.01</v>
      </c>
    </row>
    <row r="240" spans="1:7">
      <c r="A240" s="1" t="s">
        <v>460</v>
      </c>
      <c r="B240" s="1" t="s">
        <v>391</v>
      </c>
      <c r="C240" s="1" t="s">
        <v>92</v>
      </c>
      <c r="D240" s="1">
        <v>270</v>
      </c>
      <c r="E240" s="54">
        <v>6.3308666666666671</v>
      </c>
      <c r="F240" s="4">
        <f t="shared" si="3"/>
        <v>-0.82595215412827017</v>
      </c>
    </row>
    <row r="241" spans="1:6">
      <c r="A241" s="55" t="s">
        <v>611</v>
      </c>
      <c r="E241" s="55">
        <v>0.01</v>
      </c>
    </row>
    <row r="242" spans="1:6">
      <c r="A242" s="1" t="s">
        <v>332</v>
      </c>
      <c r="B242" s="1" t="s">
        <v>351</v>
      </c>
      <c r="C242" s="1" t="s">
        <v>93</v>
      </c>
      <c r="D242" s="1">
        <v>184</v>
      </c>
      <c r="E242" s="54">
        <v>6.7329999999999997</v>
      </c>
      <c r="F242" s="4">
        <f t="shared" si="3"/>
        <v>0.40891088495231731</v>
      </c>
    </row>
    <row r="243" spans="1:6">
      <c r="A243" s="55" t="s">
        <v>333</v>
      </c>
      <c r="E243" s="55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N114"/>
  <sheetViews>
    <sheetView workbookViewId="0">
      <selection activeCell="C22" sqref="C22"/>
    </sheetView>
  </sheetViews>
  <sheetFormatPr baseColWidth="10" defaultRowHeight="15" x14ac:dyDescent="0"/>
  <cols>
    <col min="1" max="1" width="10.83203125" style="1"/>
    <col min="2" max="2" width="12.5" style="1" customWidth="1"/>
    <col min="3" max="3" width="16.6640625" style="1" customWidth="1"/>
    <col min="4" max="6" width="11.5" style="1" bestFit="1" customWidth="1"/>
    <col min="7" max="9" width="12.5" style="1" bestFit="1" customWidth="1"/>
    <col min="10" max="10" width="10.83203125" style="1"/>
    <col min="11" max="11" width="51.5" style="1" customWidth="1"/>
    <col min="12" max="12" width="13.5" style="1" customWidth="1"/>
    <col min="13" max="13" width="14" style="1" customWidth="1"/>
    <col min="14" max="14" width="14.33203125" style="1" customWidth="1"/>
    <col min="15" max="16384" width="10.83203125" style="1"/>
  </cols>
  <sheetData>
    <row r="1" spans="1:14">
      <c r="A1" s="24" t="s">
        <v>687</v>
      </c>
      <c r="B1" s="24" t="s">
        <v>320</v>
      </c>
      <c r="C1" s="24" t="s">
        <v>42</v>
      </c>
      <c r="D1" s="24" t="s">
        <v>716</v>
      </c>
      <c r="E1" s="24" t="s">
        <v>839</v>
      </c>
      <c r="F1" s="24" t="s">
        <v>840</v>
      </c>
      <c r="G1" s="24" t="s">
        <v>841</v>
      </c>
      <c r="H1" s="24" t="s">
        <v>156</v>
      </c>
      <c r="I1" s="24" t="s">
        <v>155</v>
      </c>
      <c r="J1" s="24" t="s">
        <v>41</v>
      </c>
      <c r="K1" s="24" t="s">
        <v>64</v>
      </c>
      <c r="L1" s="24"/>
      <c r="M1" s="24"/>
    </row>
    <row r="2" spans="1:14">
      <c r="A2" s="1">
        <v>0</v>
      </c>
      <c r="B2" s="79" t="s">
        <v>91</v>
      </c>
      <c r="C2" s="1" t="s">
        <v>696</v>
      </c>
      <c r="D2" s="1">
        <v>145</v>
      </c>
      <c r="E2" s="4">
        <v>7.2670000000000003</v>
      </c>
      <c r="F2" s="4">
        <v>7.35</v>
      </c>
      <c r="G2" s="4">
        <v>7.3559999999999999</v>
      </c>
      <c r="H2" s="4">
        <f>E2-(5*LOG(D2, 10)-5)</f>
        <v>1.4601599888251284</v>
      </c>
      <c r="I2" s="4">
        <f>F2-(5*LOG(D2, 10)-5)</f>
        <v>1.5431599888251277</v>
      </c>
      <c r="J2" s="4">
        <f>G2-(5*LOG(D2, 10)-5)</f>
        <v>1.549159988825128</v>
      </c>
      <c r="L2" s="1">
        <v>1.4601599888251284</v>
      </c>
      <c r="M2" s="1">
        <v>1.5431599888251277</v>
      </c>
      <c r="N2" s="1">
        <v>1.549159988825128</v>
      </c>
    </row>
    <row r="3" spans="1:14">
      <c r="A3" s="1">
        <v>2</v>
      </c>
      <c r="C3" s="1" t="s">
        <v>697</v>
      </c>
      <c r="D3" s="1">
        <v>145</v>
      </c>
      <c r="E3" s="4">
        <v>7.5</v>
      </c>
      <c r="F3" s="4">
        <v>7.5060000000000002</v>
      </c>
      <c r="G3" s="4">
        <v>7.4649999999999999</v>
      </c>
      <c r="H3" s="4">
        <f t="shared" ref="H3:H22" si="0">E3-(5*LOG(D3, 10)-5)</f>
        <v>1.6931599888251281</v>
      </c>
      <c r="I3" s="4">
        <f t="shared" ref="I3:I22" si="1">F3-(5*LOG(D3, 10)-5)</f>
        <v>1.6991599888251283</v>
      </c>
      <c r="J3" s="4">
        <f t="shared" ref="J3:J22" si="2">G3-(5*LOG(D3, 10)-5)</f>
        <v>1.6581599888251279</v>
      </c>
      <c r="L3" s="1">
        <v>1.6931599888251281</v>
      </c>
      <c r="M3" s="1">
        <v>1.6991599888251283</v>
      </c>
      <c r="N3" s="1">
        <v>1.6581599888251279</v>
      </c>
    </row>
    <row r="4" spans="1:14">
      <c r="A4" s="1">
        <v>3</v>
      </c>
      <c r="C4" s="1" t="s">
        <v>698</v>
      </c>
      <c r="D4" s="1">
        <v>145</v>
      </c>
      <c r="E4" s="4">
        <v>4.0709999999999997</v>
      </c>
      <c r="F4" s="4">
        <v>4.0190000000000001</v>
      </c>
      <c r="G4" s="4">
        <v>4.1420000000000003</v>
      </c>
      <c r="H4" s="4">
        <f t="shared" si="0"/>
        <v>-1.7358400111748722</v>
      </c>
      <c r="I4" s="4">
        <f t="shared" si="1"/>
        <v>-1.7878400111748718</v>
      </c>
      <c r="J4" s="4">
        <f t="shared" si="2"/>
        <v>-1.6648400111748716</v>
      </c>
      <c r="L4" s="1">
        <v>-1.7358400111748722</v>
      </c>
      <c r="M4" s="1">
        <v>-1.7878400111748718</v>
      </c>
      <c r="N4" s="1">
        <v>-1.6648400111748716</v>
      </c>
    </row>
    <row r="5" spans="1:14">
      <c r="A5" s="1">
        <v>4</v>
      </c>
      <c r="C5" s="1" t="s">
        <v>699</v>
      </c>
      <c r="D5" s="1">
        <v>145</v>
      </c>
      <c r="E5" s="4">
        <v>7.4770000000000003</v>
      </c>
      <c r="F5" s="4">
        <v>7.4720000000000004</v>
      </c>
      <c r="G5" s="4">
        <v>7.4</v>
      </c>
      <c r="H5" s="4">
        <f t="shared" si="0"/>
        <v>1.6701599888251284</v>
      </c>
      <c r="I5" s="4">
        <f t="shared" si="1"/>
        <v>1.6651599888251285</v>
      </c>
      <c r="J5" s="4">
        <f t="shared" si="2"/>
        <v>1.5931599888251284</v>
      </c>
      <c r="L5" s="1">
        <v>1.6701599888251284</v>
      </c>
      <c r="M5" s="1">
        <v>1.6651599888251285</v>
      </c>
      <c r="N5" s="1">
        <v>1.5931599888251284</v>
      </c>
    </row>
    <row r="6" spans="1:14">
      <c r="A6" s="1">
        <v>5</v>
      </c>
      <c r="C6" s="1" t="s">
        <v>700</v>
      </c>
      <c r="D6" s="1">
        <v>145</v>
      </c>
      <c r="E6" s="4">
        <v>7.34</v>
      </c>
      <c r="F6" s="4">
        <v>7.3330000000000002</v>
      </c>
      <c r="G6" s="4">
        <v>7.2530000000000001</v>
      </c>
      <c r="H6" s="4">
        <f t="shared" si="0"/>
        <v>1.5331599888251279</v>
      </c>
      <c r="I6" s="4">
        <f t="shared" si="1"/>
        <v>1.5261599888251283</v>
      </c>
      <c r="J6" s="4">
        <f t="shared" si="2"/>
        <v>1.4461599888251282</v>
      </c>
      <c r="L6" s="1">
        <v>1.5331599888251279</v>
      </c>
      <c r="M6" s="1">
        <v>1.5261599888251283</v>
      </c>
      <c r="N6" s="1">
        <v>1.4461599888251282</v>
      </c>
    </row>
    <row r="7" spans="1:14">
      <c r="A7" s="1">
        <v>6</v>
      </c>
      <c r="C7" s="1" t="s">
        <v>701</v>
      </c>
      <c r="D7" s="1">
        <v>145</v>
      </c>
      <c r="E7" s="4">
        <v>7.3230000000000004</v>
      </c>
      <c r="F7" s="4">
        <v>7.2859999999999996</v>
      </c>
      <c r="G7" s="4">
        <v>7.218</v>
      </c>
      <c r="H7" s="4">
        <f t="shared" si="0"/>
        <v>1.5161599888251285</v>
      </c>
      <c r="I7" s="4">
        <f t="shared" si="1"/>
        <v>1.4791599888251277</v>
      </c>
      <c r="J7" s="4">
        <f t="shared" si="2"/>
        <v>1.4111599888251281</v>
      </c>
      <c r="L7" s="1">
        <v>1.5161599888251285</v>
      </c>
      <c r="M7" s="1">
        <v>1.4791599888251277</v>
      </c>
      <c r="N7" s="1">
        <v>1.4111599888251281</v>
      </c>
    </row>
    <row r="8" spans="1:14">
      <c r="A8" s="1">
        <v>7</v>
      </c>
      <c r="C8" s="1" t="s">
        <v>702</v>
      </c>
      <c r="D8" s="1">
        <v>145</v>
      </c>
      <c r="E8" s="4">
        <v>6.44</v>
      </c>
      <c r="F8" s="4">
        <v>6.4909999999999997</v>
      </c>
      <c r="G8" s="4">
        <v>6.4950000000000001</v>
      </c>
      <c r="H8" s="4">
        <f t="shared" si="0"/>
        <v>0.63315998882512847</v>
      </c>
      <c r="I8" s="4">
        <f t="shared" si="1"/>
        <v>0.68415998882512774</v>
      </c>
      <c r="J8" s="4">
        <f t="shared" si="2"/>
        <v>0.68815998882512819</v>
      </c>
      <c r="L8" s="1">
        <v>0.63315998882512847</v>
      </c>
      <c r="M8" s="1">
        <v>0.68415998882512774</v>
      </c>
      <c r="N8" s="1">
        <v>0.68815998882512819</v>
      </c>
    </row>
    <row r="9" spans="1:14">
      <c r="A9" s="1">
        <v>8</v>
      </c>
      <c r="C9" s="1" t="s">
        <v>703</v>
      </c>
      <c r="D9" s="1">
        <v>145</v>
      </c>
      <c r="E9" s="4">
        <v>5.7709999999999999</v>
      </c>
      <c r="F9" s="4">
        <v>5.8140000000000001</v>
      </c>
      <c r="G9" s="4">
        <v>5.8019999999999996</v>
      </c>
      <c r="H9" s="4">
        <f t="shared" si="0"/>
        <v>-3.5840011174872011E-2</v>
      </c>
      <c r="I9" s="4">
        <f t="shared" si="1"/>
        <v>7.1599888251281385E-3</v>
      </c>
      <c r="J9" s="4">
        <f t="shared" si="2"/>
        <v>-4.8400111748723162E-3</v>
      </c>
      <c r="L9" s="1">
        <v>-3.5840011174872011E-2</v>
      </c>
      <c r="M9" s="1">
        <v>7.1599888251281385E-3</v>
      </c>
      <c r="N9" s="1">
        <v>-4.8400111748723162E-3</v>
      </c>
    </row>
    <row r="10" spans="1:14">
      <c r="A10" s="1">
        <v>9</v>
      </c>
      <c r="C10" s="1" t="s">
        <v>704</v>
      </c>
      <c r="D10" s="1">
        <v>145</v>
      </c>
      <c r="E10" s="4">
        <v>5.8230000000000004</v>
      </c>
      <c r="F10" s="4">
        <v>5.9249999999999998</v>
      </c>
      <c r="G10" s="4">
        <v>5.8940000000000001</v>
      </c>
      <c r="H10" s="4">
        <f t="shared" si="0"/>
        <v>1.615998882512848E-2</v>
      </c>
      <c r="I10" s="4">
        <f t="shared" si="1"/>
        <v>0.1181599888251279</v>
      </c>
      <c r="J10" s="4">
        <f t="shared" si="2"/>
        <v>8.715998882512821E-2</v>
      </c>
      <c r="L10" s="1">
        <v>1.615998882512848E-2</v>
      </c>
      <c r="M10" s="1">
        <v>0.1181599888251279</v>
      </c>
      <c r="N10" s="1">
        <v>8.715998882512821E-2</v>
      </c>
    </row>
    <row r="11" spans="1:14">
      <c r="A11" s="1">
        <v>10</v>
      </c>
      <c r="C11" s="1" t="s">
        <v>705</v>
      </c>
      <c r="D11" s="1">
        <v>145</v>
      </c>
      <c r="E11" s="4">
        <v>5.5439999999999996</v>
      </c>
      <c r="F11" s="4">
        <v>5.54</v>
      </c>
      <c r="G11" s="4">
        <v>5.5330000000000004</v>
      </c>
      <c r="H11" s="4">
        <f t="shared" si="0"/>
        <v>-0.26284001117487232</v>
      </c>
      <c r="I11" s="4">
        <f t="shared" si="1"/>
        <v>-0.26684001117487188</v>
      </c>
      <c r="J11" s="4">
        <f t="shared" si="2"/>
        <v>-0.27384001117487156</v>
      </c>
      <c r="L11" s="1">
        <v>-0.26284001117487232</v>
      </c>
      <c r="M11" s="1">
        <v>-0.26684001117487188</v>
      </c>
      <c r="N11" s="1">
        <v>-0.27384001117487156</v>
      </c>
    </row>
    <row r="12" spans="1:14">
      <c r="A12" s="1">
        <v>11</v>
      </c>
      <c r="C12" s="1" t="s">
        <v>706</v>
      </c>
      <c r="D12" s="1">
        <v>145</v>
      </c>
      <c r="E12" s="4">
        <v>5.1970000000000001</v>
      </c>
      <c r="F12" s="4">
        <v>5.2679999999999998</v>
      </c>
      <c r="G12" s="4">
        <v>5.2629999999999999</v>
      </c>
      <c r="H12" s="4">
        <f t="shared" si="0"/>
        <v>-0.60984001117487185</v>
      </c>
      <c r="I12" s="4">
        <f t="shared" si="1"/>
        <v>-0.53884001117487212</v>
      </c>
      <c r="J12" s="4">
        <f t="shared" si="2"/>
        <v>-0.54384001117487202</v>
      </c>
      <c r="L12" s="1">
        <v>-0.60984001117487185</v>
      </c>
      <c r="M12" s="1">
        <v>-0.53884001117487212</v>
      </c>
      <c r="N12" s="1">
        <v>-0.54384001117487202</v>
      </c>
    </row>
    <row r="13" spans="1:14">
      <c r="A13" s="1">
        <v>12</v>
      </c>
      <c r="C13" s="1" t="s">
        <v>707</v>
      </c>
      <c r="D13" s="1">
        <v>145</v>
      </c>
      <c r="E13" s="4">
        <v>7.2510000000000003</v>
      </c>
      <c r="F13" s="4">
        <v>7.282</v>
      </c>
      <c r="G13" s="4">
        <v>7.2050000000000001</v>
      </c>
      <c r="H13" s="4">
        <f t="shared" si="0"/>
        <v>1.4441599888251284</v>
      </c>
      <c r="I13" s="4">
        <f t="shared" si="1"/>
        <v>1.4751599888251281</v>
      </c>
      <c r="J13" s="4">
        <f t="shared" si="2"/>
        <v>1.3981599888251282</v>
      </c>
      <c r="L13" s="1">
        <v>1.4441599888251284</v>
      </c>
      <c r="M13" s="1">
        <v>1.4751599888251281</v>
      </c>
      <c r="N13" s="1">
        <v>1.3981599888251282</v>
      </c>
    </row>
    <row r="14" spans="1:14">
      <c r="A14" s="1">
        <v>13</v>
      </c>
      <c r="C14" s="1" t="s">
        <v>708</v>
      </c>
      <c r="D14" s="1">
        <v>145</v>
      </c>
      <c r="E14" s="4">
        <v>7.3369999999999997</v>
      </c>
      <c r="F14" s="4">
        <v>7.3529999999999998</v>
      </c>
      <c r="G14" s="4">
        <v>7.3360000000000003</v>
      </c>
      <c r="H14" s="4">
        <f t="shared" si="0"/>
        <v>1.5301599888251278</v>
      </c>
      <c r="I14" s="4">
        <f t="shared" si="1"/>
        <v>1.5461599888251278</v>
      </c>
      <c r="J14" s="4">
        <f t="shared" si="2"/>
        <v>1.5291599888251284</v>
      </c>
      <c r="L14" s="1">
        <v>1.5301599888251278</v>
      </c>
      <c r="M14" s="1">
        <v>1.5461599888251278</v>
      </c>
      <c r="N14" s="1">
        <v>1.5291599888251284</v>
      </c>
    </row>
    <row r="15" spans="1:14">
      <c r="A15" s="1">
        <v>14</v>
      </c>
      <c r="C15" s="1" t="s">
        <v>709</v>
      </c>
      <c r="D15" s="1">
        <v>145</v>
      </c>
      <c r="E15" s="4">
        <v>9.65</v>
      </c>
      <c r="F15" s="4">
        <v>9.5709999999999997</v>
      </c>
      <c r="G15" s="4">
        <v>9.5120000000000005</v>
      </c>
      <c r="H15" s="4">
        <f t="shared" si="0"/>
        <v>3.8431599888251284</v>
      </c>
      <c r="I15" s="4">
        <f t="shared" si="1"/>
        <v>3.7641599888251278</v>
      </c>
      <c r="J15" s="4">
        <f t="shared" si="2"/>
        <v>3.7051599888251285</v>
      </c>
      <c r="L15" s="1">
        <v>3.8431599888251284</v>
      </c>
      <c r="M15" s="1">
        <v>3.7641599888251278</v>
      </c>
      <c r="N15" s="1">
        <v>3.7051599888251285</v>
      </c>
    </row>
    <row r="16" spans="1:14">
      <c r="A16" s="1">
        <v>15</v>
      </c>
      <c r="C16" s="1" t="s">
        <v>710</v>
      </c>
      <c r="D16" s="1">
        <v>145</v>
      </c>
      <c r="E16" s="4">
        <v>8.0730000000000004</v>
      </c>
      <c r="F16" s="4">
        <v>7.8330000000000002</v>
      </c>
      <c r="G16" s="4">
        <v>7.7990000000000004</v>
      </c>
      <c r="H16" s="4">
        <f t="shared" si="0"/>
        <v>2.2661599888251285</v>
      </c>
      <c r="I16" s="4">
        <f t="shared" si="1"/>
        <v>2.0261599888251283</v>
      </c>
      <c r="J16" s="4">
        <f t="shared" si="2"/>
        <v>1.9921599888251285</v>
      </c>
      <c r="L16" s="1">
        <v>2.2661599888251285</v>
      </c>
      <c r="M16" s="1">
        <v>2.0261599888251283</v>
      </c>
      <c r="N16" s="1">
        <v>1.9921599888251285</v>
      </c>
    </row>
    <row r="17" spans="1:14">
      <c r="A17" s="1">
        <v>16</v>
      </c>
      <c r="C17" s="1" t="s">
        <v>711</v>
      </c>
      <c r="D17" s="1">
        <v>145</v>
      </c>
      <c r="E17" s="4">
        <v>8.0850000000000009</v>
      </c>
      <c r="F17" s="4">
        <v>7.9909999999999997</v>
      </c>
      <c r="G17" s="4">
        <v>7.9850000000000003</v>
      </c>
      <c r="H17" s="4">
        <f t="shared" si="0"/>
        <v>2.2781599888251289</v>
      </c>
      <c r="I17" s="4">
        <f t="shared" si="1"/>
        <v>2.1841599888251277</v>
      </c>
      <c r="J17" s="4">
        <f t="shared" si="2"/>
        <v>2.1781599888251284</v>
      </c>
      <c r="L17" s="1">
        <v>2.2781599888251289</v>
      </c>
      <c r="M17" s="1">
        <v>2.1841599888251277</v>
      </c>
      <c r="N17" s="1">
        <v>2.1781599888251284</v>
      </c>
    </row>
    <row r="18" spans="1:14">
      <c r="A18" s="1">
        <v>17</v>
      </c>
      <c r="C18" s="1" t="s">
        <v>712</v>
      </c>
      <c r="D18" s="1">
        <v>145</v>
      </c>
      <c r="E18" s="4">
        <v>9.1479999999999997</v>
      </c>
      <c r="F18" s="4">
        <v>9.1389999999999993</v>
      </c>
      <c r="G18" s="4">
        <v>9.0630000000000006</v>
      </c>
      <c r="H18" s="4">
        <f t="shared" si="0"/>
        <v>3.3411599888251278</v>
      </c>
      <c r="I18" s="4">
        <f t="shared" si="1"/>
        <v>3.3321599888251274</v>
      </c>
      <c r="J18" s="4">
        <f t="shared" si="2"/>
        <v>3.2561599888251287</v>
      </c>
      <c r="L18" s="1">
        <v>3.3411599888251278</v>
      </c>
      <c r="M18" s="1">
        <v>3.3321599888251274</v>
      </c>
      <c r="N18" s="1">
        <v>3.2561599888251287</v>
      </c>
    </row>
    <row r="19" spans="1:14">
      <c r="A19" s="1">
        <v>18</v>
      </c>
      <c r="C19" s="1" t="s">
        <v>713</v>
      </c>
      <c r="D19" s="1">
        <v>145</v>
      </c>
      <c r="E19" s="4">
        <v>8.0760000000000005</v>
      </c>
      <c r="F19" s="4">
        <v>8.0120000000000005</v>
      </c>
      <c r="G19" s="4">
        <v>7.9349999999999996</v>
      </c>
      <c r="H19" s="4">
        <f t="shared" si="0"/>
        <v>2.2691599888251286</v>
      </c>
      <c r="I19" s="4">
        <f t="shared" si="1"/>
        <v>2.2051599888251285</v>
      </c>
      <c r="J19" s="4">
        <f t="shared" si="2"/>
        <v>2.1281599888251277</v>
      </c>
      <c r="L19" s="1">
        <v>2.2691599888251286</v>
      </c>
      <c r="M19" s="1">
        <v>2.2051599888251285</v>
      </c>
      <c r="N19" s="1">
        <v>2.1281599888251277</v>
      </c>
    </row>
    <row r="20" spans="1:14">
      <c r="A20" s="1">
        <v>19</v>
      </c>
      <c r="C20" s="1" t="s">
        <v>714</v>
      </c>
      <c r="D20" s="1">
        <v>145</v>
      </c>
      <c r="E20" s="4">
        <v>8.2590000000000003</v>
      </c>
      <c r="F20" s="4">
        <v>8.2219999999999995</v>
      </c>
      <c r="G20" s="4">
        <v>8.1219999999999999</v>
      </c>
      <c r="H20" s="4">
        <f t="shared" si="0"/>
        <v>2.4521599888251284</v>
      </c>
      <c r="I20" s="4">
        <f t="shared" si="1"/>
        <v>2.4151599888251276</v>
      </c>
      <c r="J20" s="4">
        <f t="shared" si="2"/>
        <v>2.315159988825128</v>
      </c>
      <c r="L20" s="1">
        <v>2.4521599888251284</v>
      </c>
      <c r="M20" s="1">
        <v>2.4151599888251276</v>
      </c>
      <c r="N20" s="1">
        <v>2.315159988825128</v>
      </c>
    </row>
    <row r="21" spans="1:14">
      <c r="A21" s="1">
        <v>20</v>
      </c>
      <c r="C21" s="1" t="s">
        <v>715</v>
      </c>
      <c r="D21" s="1">
        <v>145</v>
      </c>
      <c r="E21" s="4">
        <v>7.6390000000000002</v>
      </c>
      <c r="F21" s="4">
        <v>7.5880000000000001</v>
      </c>
      <c r="G21" s="4">
        <v>7.5209999999999999</v>
      </c>
      <c r="H21" s="4">
        <f t="shared" si="0"/>
        <v>1.8321599888251283</v>
      </c>
      <c r="I21" s="4">
        <f t="shared" si="1"/>
        <v>1.7811599888251282</v>
      </c>
      <c r="J21" s="4">
        <f t="shared" si="2"/>
        <v>1.714159988825128</v>
      </c>
      <c r="L21" s="1">
        <v>1.8321599888251283</v>
      </c>
      <c r="M21" s="1">
        <v>1.7811599888251282</v>
      </c>
      <c r="N21" s="1">
        <v>1.714159988825128</v>
      </c>
    </row>
    <row r="22" spans="1:14">
      <c r="A22" s="1">
        <v>21</v>
      </c>
      <c r="B22" s="79" t="s">
        <v>92</v>
      </c>
      <c r="C22" s="1" t="s">
        <v>717</v>
      </c>
      <c r="D22" s="1">
        <v>270</v>
      </c>
      <c r="E22" s="4">
        <v>5.83</v>
      </c>
      <c r="F22" s="4">
        <v>5.8330000000000002</v>
      </c>
      <c r="G22" s="4">
        <v>5.7960000000000003</v>
      </c>
      <c r="H22" s="4">
        <f t="shared" si="0"/>
        <v>-1.3268188207949372</v>
      </c>
      <c r="I22" s="4">
        <f t="shared" si="1"/>
        <v>-1.3238188207949371</v>
      </c>
      <c r="J22" s="4">
        <f t="shared" si="2"/>
        <v>-1.360818820794937</v>
      </c>
      <c r="L22" s="1">
        <v>-1.3268188207949372</v>
      </c>
      <c r="M22" s="1">
        <v>-1.3238188207949371</v>
      </c>
      <c r="N22" s="1">
        <v>-1.360818820794937</v>
      </c>
    </row>
    <row r="23" spans="1:14">
      <c r="A23" s="1">
        <v>22</v>
      </c>
      <c r="C23" s="1" t="s">
        <v>718</v>
      </c>
      <c r="D23" s="1">
        <v>270</v>
      </c>
      <c r="E23" s="4">
        <v>6.0880000000000001</v>
      </c>
      <c r="F23" s="4">
        <v>6.1440000000000001</v>
      </c>
      <c r="G23" s="4">
        <v>6.1509999999999998</v>
      </c>
      <c r="H23" s="4">
        <f>E23-(5*LOG(D23, 10)-5)</f>
        <v>-1.0688188207949372</v>
      </c>
      <c r="I23" s="4">
        <f>F23-(5*LOG(D23, 10)-5)</f>
        <v>-1.0128188207949371</v>
      </c>
      <c r="J23" s="4">
        <f>G23-(5*LOG(D23, 10)-5)</f>
        <v>-1.0058188207949375</v>
      </c>
      <c r="L23" s="1">
        <v>-1.0688188207949372</v>
      </c>
      <c r="M23" s="1">
        <v>-1.0128188207949371</v>
      </c>
      <c r="N23" s="1">
        <v>-1.0058188207949375</v>
      </c>
    </row>
    <row r="24" spans="1:14">
      <c r="A24" s="1">
        <v>23</v>
      </c>
      <c r="C24" s="1" t="s">
        <v>719</v>
      </c>
      <c r="D24" s="1">
        <v>270</v>
      </c>
      <c r="E24" s="4">
        <v>6.2309999999999999</v>
      </c>
      <c r="F24" s="4">
        <v>6.2350000000000003</v>
      </c>
      <c r="G24" s="4">
        <v>6.2619999999999996</v>
      </c>
      <c r="H24" s="4">
        <f>E24-(5*LOG(D24, 10)-5)</f>
        <v>-0.92581882079493738</v>
      </c>
      <c r="I24" s="4">
        <f>F24-(5*LOG(D24, 10)-5)</f>
        <v>-0.92181882079493693</v>
      </c>
      <c r="J24" s="4">
        <f>G24-(5*LOG(D24, 10)-5)</f>
        <v>-0.89481882079493769</v>
      </c>
      <c r="L24" s="1">
        <v>-0.92581882079493738</v>
      </c>
      <c r="M24" s="1">
        <v>-0.92181882079493693</v>
      </c>
      <c r="N24" s="1">
        <v>-0.89481882079493769</v>
      </c>
    </row>
    <row r="25" spans="1:14">
      <c r="A25" s="1">
        <v>24</v>
      </c>
      <c r="B25" s="79" t="s">
        <v>93</v>
      </c>
      <c r="C25" s="1" t="s">
        <v>720</v>
      </c>
      <c r="D25" s="1">
        <v>184</v>
      </c>
      <c r="E25" s="4">
        <v>7.31</v>
      </c>
      <c r="F25" s="4">
        <v>7.4509999999999996</v>
      </c>
      <c r="G25" s="4">
        <v>7.3630000000000004</v>
      </c>
      <c r="H25" s="4">
        <f>E25-(5*LOG(D25, 10)-5)</f>
        <v>0.98591088495231727</v>
      </c>
      <c r="I25" s="4">
        <f>F25-(5*LOG(D25, 10)-5)</f>
        <v>1.1269108849523173</v>
      </c>
      <c r="J25" s="4">
        <f>G25-(5*LOG(D25, 10)-5)</f>
        <v>1.0389108849523181</v>
      </c>
      <c r="L25" s="1">
        <v>0.98591088495231727</v>
      </c>
      <c r="M25" s="1">
        <v>1.1269108849523173</v>
      </c>
      <c r="N25" s="1">
        <v>1.0389108849523181</v>
      </c>
    </row>
    <row r="26" spans="1:14">
      <c r="A26" s="1">
        <v>25</v>
      </c>
      <c r="C26" s="1" t="s">
        <v>721</v>
      </c>
      <c r="D26" s="1">
        <v>184</v>
      </c>
      <c r="E26" s="4">
        <v>7.9809999999999999</v>
      </c>
      <c r="F26" s="4">
        <v>8.0229999999999997</v>
      </c>
      <c r="G26" s="4">
        <v>7.9459999999999997</v>
      </c>
      <c r="H26" s="4">
        <f>E26-(5*LOG(D26, 10)-5)</f>
        <v>1.6569108849523175</v>
      </c>
      <c r="I26" s="4">
        <f>F26-(5*LOG(D26, 10)-5)</f>
        <v>1.6989108849523173</v>
      </c>
      <c r="J26" s="4">
        <f>G26-(5*LOG(D26, 10)-5)</f>
        <v>1.6219108849523174</v>
      </c>
      <c r="L26" s="1">
        <v>1.6569108849523175</v>
      </c>
      <c r="M26" s="1">
        <v>1.6989108849523173</v>
      </c>
      <c r="N26" s="1">
        <v>1.6219108849523174</v>
      </c>
    </row>
    <row r="27" spans="1:14">
      <c r="A27" s="1">
        <v>26</v>
      </c>
      <c r="C27" s="1" t="s">
        <v>722</v>
      </c>
      <c r="D27" s="1">
        <v>184</v>
      </c>
      <c r="E27" s="4">
        <v>5.218</v>
      </c>
      <c r="F27" s="4">
        <v>5.3280000000000003</v>
      </c>
      <c r="G27" s="4">
        <v>5.3380000000000001</v>
      </c>
      <c r="H27" s="4">
        <f t="shared" ref="H27:H92" si="3">E27-(5*LOG(D27, 10)-5)</f>
        <v>-1.1060891150476824</v>
      </c>
      <c r="I27" s="4">
        <f t="shared" ref="I27:I92" si="4">F27-(5*LOG(D27, 10)-5)</f>
        <v>-0.99608911504768205</v>
      </c>
      <c r="J27" s="4">
        <f t="shared" ref="J27:J92" si="5">G27-(5*LOG(D27, 10)-5)</f>
        <v>-0.98608911504768226</v>
      </c>
      <c r="L27" s="1">
        <v>-1.1060891150476824</v>
      </c>
      <c r="M27" s="1">
        <v>-0.99608911504768205</v>
      </c>
      <c r="N27" s="1">
        <v>-0.98608911504768226</v>
      </c>
    </row>
    <row r="28" spans="1:14">
      <c r="A28" s="1">
        <v>27</v>
      </c>
      <c r="C28" s="1" t="s">
        <v>723</v>
      </c>
      <c r="D28" s="1">
        <v>184</v>
      </c>
      <c r="E28" s="4">
        <v>5.8049999999999997</v>
      </c>
      <c r="F28" s="4">
        <v>5.8380000000000001</v>
      </c>
      <c r="G28" s="4">
        <v>5.8310000000000004</v>
      </c>
      <c r="H28" s="4">
        <f t="shared" si="3"/>
        <v>-0.51908911504768263</v>
      </c>
      <c r="I28" s="4">
        <f t="shared" si="4"/>
        <v>-0.48608911504768226</v>
      </c>
      <c r="J28" s="4">
        <f t="shared" si="5"/>
        <v>-0.49308911504768194</v>
      </c>
      <c r="L28" s="1">
        <v>-0.51908911504768263</v>
      </c>
      <c r="M28" s="1">
        <v>-0.48608911504768226</v>
      </c>
      <c r="N28" s="1">
        <v>-0.49308911504768194</v>
      </c>
    </row>
    <row r="29" spans="1:14">
      <c r="A29" s="1">
        <v>28</v>
      </c>
      <c r="C29" s="1" t="s">
        <v>724</v>
      </c>
      <c r="D29" s="1">
        <v>184</v>
      </c>
      <c r="E29" s="4">
        <v>7.9059999999999997</v>
      </c>
      <c r="F29" s="4">
        <v>7.9429999999999996</v>
      </c>
      <c r="G29" s="4">
        <v>7.9779999999999998</v>
      </c>
      <c r="H29" s="4">
        <f t="shared" si="3"/>
        <v>1.5819108849523174</v>
      </c>
      <c r="I29" s="4">
        <f t="shared" si="4"/>
        <v>1.6189108849523173</v>
      </c>
      <c r="J29" s="4">
        <f t="shared" si="5"/>
        <v>1.6539108849523174</v>
      </c>
      <c r="L29" s="1">
        <v>1.5819108849523174</v>
      </c>
      <c r="M29" s="1">
        <v>1.6189108849523173</v>
      </c>
      <c r="N29" s="1">
        <v>1.6539108849523174</v>
      </c>
    </row>
    <row r="30" spans="1:14">
      <c r="A30" s="1">
        <v>29</v>
      </c>
      <c r="C30" s="1" t="s">
        <v>725</v>
      </c>
      <c r="D30" s="1">
        <v>184</v>
      </c>
      <c r="E30" s="4">
        <v>5.9329999999999998</v>
      </c>
      <c r="F30" s="4">
        <v>5.9340000000000002</v>
      </c>
      <c r="G30" s="4">
        <v>5.9340000000000002</v>
      </c>
      <c r="H30" s="4">
        <f t="shared" si="3"/>
        <v>-0.39108911504768251</v>
      </c>
      <c r="I30" s="4">
        <f t="shared" si="4"/>
        <v>-0.39008911504768218</v>
      </c>
      <c r="J30" s="4">
        <f t="shared" si="5"/>
        <v>-0.39008911504768218</v>
      </c>
      <c r="L30" s="1">
        <v>-0.39108911504768251</v>
      </c>
      <c r="M30" s="1">
        <v>-0.39008911504768218</v>
      </c>
      <c r="N30" s="1">
        <v>-0.39008911504768218</v>
      </c>
    </row>
    <row r="31" spans="1:14">
      <c r="A31" s="1">
        <v>30</v>
      </c>
      <c r="C31" s="1" t="s">
        <v>726</v>
      </c>
      <c r="D31" s="1">
        <v>184</v>
      </c>
      <c r="E31" s="4">
        <v>7.7320000000000002</v>
      </c>
      <c r="F31" s="4">
        <v>7.7859999999999996</v>
      </c>
      <c r="G31" s="4">
        <v>7.7949999999999999</v>
      </c>
      <c r="H31" s="4">
        <f t="shared" si="3"/>
        <v>1.4079108849523179</v>
      </c>
      <c r="I31" s="4">
        <f t="shared" si="4"/>
        <v>1.4619108849523172</v>
      </c>
      <c r="J31" s="4">
        <f t="shared" si="5"/>
        <v>1.4709108849523176</v>
      </c>
      <c r="L31" s="1">
        <v>1.4079108849523179</v>
      </c>
      <c r="M31" s="1">
        <v>1.4619108849523172</v>
      </c>
      <c r="N31" s="1">
        <v>1.4709108849523176</v>
      </c>
    </row>
    <row r="32" spans="1:14">
      <c r="A32" s="1">
        <v>31</v>
      </c>
      <c r="C32" s="1" t="s">
        <v>727</v>
      </c>
      <c r="D32" s="1">
        <v>184</v>
      </c>
      <c r="E32" s="4">
        <v>5.71</v>
      </c>
      <c r="F32" s="4">
        <v>5.8029999999999999</v>
      </c>
      <c r="G32" s="4">
        <v>5.7839999999999998</v>
      </c>
      <c r="H32" s="4">
        <f t="shared" si="3"/>
        <v>-0.61408911504768238</v>
      </c>
      <c r="I32" s="4">
        <f t="shared" si="4"/>
        <v>-0.52108911504768241</v>
      </c>
      <c r="J32" s="4">
        <f t="shared" si="5"/>
        <v>-0.54008911504768253</v>
      </c>
      <c r="L32" s="1">
        <v>-0.61408911504768238</v>
      </c>
      <c r="M32" s="1">
        <v>-0.52108911504768241</v>
      </c>
      <c r="N32" s="1">
        <v>-0.54008911504768253</v>
      </c>
    </row>
    <row r="33" spans="1:14">
      <c r="A33" s="1">
        <v>32</v>
      </c>
      <c r="C33" s="1" t="s">
        <v>728</v>
      </c>
      <c r="D33" s="1">
        <v>184</v>
      </c>
      <c r="E33" s="4">
        <v>7.617</v>
      </c>
      <c r="F33" s="4">
        <v>7.5529999999999999</v>
      </c>
      <c r="G33" s="4">
        <v>7.48</v>
      </c>
      <c r="H33" s="4">
        <f t="shared" si="3"/>
        <v>1.2929108849523177</v>
      </c>
      <c r="I33" s="4">
        <f t="shared" si="4"/>
        <v>1.2289108849523176</v>
      </c>
      <c r="J33" s="4">
        <f t="shared" si="5"/>
        <v>1.1559108849523181</v>
      </c>
      <c r="L33" s="1">
        <v>1.2929108849523177</v>
      </c>
      <c r="M33" s="1">
        <v>1.2289108849523176</v>
      </c>
      <c r="N33" s="1">
        <v>1.1559108849523181</v>
      </c>
    </row>
    <row r="34" spans="1:14">
      <c r="A34" s="1">
        <v>33</v>
      </c>
      <c r="C34" s="1" t="s">
        <v>729</v>
      </c>
      <c r="D34" s="1">
        <v>184</v>
      </c>
      <c r="E34" s="4">
        <v>7.0570000000000004</v>
      </c>
      <c r="F34" s="4">
        <v>6.9359999999999999</v>
      </c>
      <c r="G34" s="4">
        <v>6.8209999999999997</v>
      </c>
      <c r="H34" s="4">
        <f t="shared" si="3"/>
        <v>0.73291088495231804</v>
      </c>
      <c r="I34" s="4">
        <f t="shared" si="4"/>
        <v>0.6119108849523176</v>
      </c>
      <c r="J34" s="4">
        <f t="shared" si="5"/>
        <v>0.49691088495231739</v>
      </c>
      <c r="L34" s="1">
        <v>0.73291088495231804</v>
      </c>
      <c r="M34" s="1">
        <v>0.6119108849523176</v>
      </c>
      <c r="N34" s="1">
        <v>0.49691088495231739</v>
      </c>
    </row>
    <row r="35" spans="1:14">
      <c r="A35" s="1">
        <v>34</v>
      </c>
      <c r="C35" s="1" t="s">
        <v>730</v>
      </c>
      <c r="D35" s="1">
        <v>184</v>
      </c>
      <c r="E35" s="4">
        <v>7.51</v>
      </c>
      <c r="F35" s="4">
        <v>7.4950000000000001</v>
      </c>
      <c r="G35" s="4">
        <v>7.4539999999999997</v>
      </c>
      <c r="H35" s="4">
        <f t="shared" si="3"/>
        <v>1.1859108849523174</v>
      </c>
      <c r="I35" s="4">
        <f t="shared" si="4"/>
        <v>1.1709108849523178</v>
      </c>
      <c r="J35" s="4">
        <f t="shared" si="5"/>
        <v>1.1299108849523174</v>
      </c>
      <c r="L35" s="1">
        <v>1.1859108849523174</v>
      </c>
      <c r="M35" s="1">
        <v>1.1709108849523178</v>
      </c>
      <c r="N35" s="1">
        <v>1.1299108849523174</v>
      </c>
    </row>
    <row r="36" spans="1:14">
      <c r="A36" s="1">
        <v>35</v>
      </c>
      <c r="C36" s="1" t="s">
        <v>731</v>
      </c>
      <c r="D36" s="1">
        <v>184</v>
      </c>
      <c r="E36" s="4">
        <v>6.6479999999999997</v>
      </c>
      <c r="F36" s="4">
        <v>6.7080000000000002</v>
      </c>
      <c r="G36" s="4">
        <v>6.7350000000000003</v>
      </c>
      <c r="H36" s="4">
        <f t="shared" si="3"/>
        <v>0.32391088495231735</v>
      </c>
      <c r="I36" s="4">
        <f t="shared" si="4"/>
        <v>0.38391088495231784</v>
      </c>
      <c r="J36" s="4">
        <f t="shared" si="5"/>
        <v>0.41091088495231798</v>
      </c>
      <c r="L36" s="1">
        <v>0.32391088495231735</v>
      </c>
      <c r="M36" s="1">
        <v>0.38391088495231784</v>
      </c>
      <c r="N36" s="1">
        <v>0.41091088495231798</v>
      </c>
    </row>
    <row r="37" spans="1:14">
      <c r="A37" s="1">
        <v>36</v>
      </c>
      <c r="C37" s="1" t="s">
        <v>732</v>
      </c>
      <c r="D37" s="1">
        <v>184</v>
      </c>
      <c r="E37" s="4">
        <v>8</v>
      </c>
      <c r="F37" s="4">
        <v>8.0120000000000005</v>
      </c>
      <c r="G37" s="4">
        <v>8.0570000000000004</v>
      </c>
      <c r="H37" s="4">
        <f t="shared" si="3"/>
        <v>1.6759108849523177</v>
      </c>
      <c r="I37" s="4">
        <f t="shared" si="4"/>
        <v>1.6879108849523181</v>
      </c>
      <c r="J37" s="4">
        <f t="shared" si="5"/>
        <v>1.732910884952318</v>
      </c>
      <c r="L37" s="1">
        <v>1.6759108849523177</v>
      </c>
      <c r="M37" s="1">
        <v>1.6879108849523181</v>
      </c>
      <c r="N37" s="1">
        <v>1.732910884952318</v>
      </c>
    </row>
    <row r="38" spans="1:14">
      <c r="A38" s="1">
        <v>37</v>
      </c>
      <c r="C38" s="1" t="s">
        <v>733</v>
      </c>
      <c r="D38" s="1">
        <v>184</v>
      </c>
      <c r="E38" s="4">
        <v>7.4889999999999999</v>
      </c>
      <c r="F38" s="4">
        <v>7.548</v>
      </c>
      <c r="G38" s="4">
        <v>7.5060000000000002</v>
      </c>
      <c r="H38" s="4">
        <f t="shared" si="3"/>
        <v>1.1649108849523175</v>
      </c>
      <c r="I38" s="4">
        <f t="shared" si="4"/>
        <v>1.2239108849523177</v>
      </c>
      <c r="J38" s="4">
        <f t="shared" si="5"/>
        <v>1.1819108849523179</v>
      </c>
      <c r="L38" s="1">
        <v>1.1649108849523175</v>
      </c>
      <c r="M38" s="1">
        <v>1.2239108849523177</v>
      </c>
      <c r="N38" s="1">
        <v>1.1819108849523179</v>
      </c>
    </row>
    <row r="39" spans="1:14">
      <c r="A39" s="1">
        <v>38</v>
      </c>
      <c r="C39" s="1" t="s">
        <v>734</v>
      </c>
      <c r="D39" s="1">
        <v>184</v>
      </c>
      <c r="E39" s="4">
        <v>8.2739999999999991</v>
      </c>
      <c r="F39" s="4">
        <v>8.2650000000000006</v>
      </c>
      <c r="G39" s="4">
        <v>8.2240000000000002</v>
      </c>
      <c r="H39" s="4">
        <f t="shared" si="3"/>
        <v>1.9499108849523168</v>
      </c>
      <c r="I39" s="4">
        <f t="shared" si="4"/>
        <v>1.9409108849523182</v>
      </c>
      <c r="J39" s="4">
        <f t="shared" si="5"/>
        <v>1.8999108849523179</v>
      </c>
      <c r="L39" s="1">
        <v>1.9499108849523168</v>
      </c>
      <c r="M39" s="1">
        <v>1.9409108849523182</v>
      </c>
      <c r="N39" s="1">
        <v>1.8999108849523179</v>
      </c>
    </row>
    <row r="40" spans="1:14">
      <c r="A40" s="1">
        <v>39</v>
      </c>
      <c r="C40" s="1" t="s">
        <v>735</v>
      </c>
      <c r="D40" s="1">
        <v>184</v>
      </c>
      <c r="E40" s="4">
        <v>6.0629999999999997</v>
      </c>
      <c r="F40" s="4">
        <v>6.1769999999999996</v>
      </c>
      <c r="G40" s="4">
        <v>6.1459999999999999</v>
      </c>
      <c r="H40" s="4">
        <f t="shared" si="3"/>
        <v>-0.26108911504768262</v>
      </c>
      <c r="I40" s="4">
        <f t="shared" si="4"/>
        <v>-0.14708911504768274</v>
      </c>
      <c r="J40" s="4">
        <f t="shared" si="5"/>
        <v>-0.17808911504768243</v>
      </c>
      <c r="L40" s="1">
        <v>-0.26108911504768262</v>
      </c>
      <c r="M40" s="1">
        <v>-0.14708911504768274</v>
      </c>
      <c r="N40" s="1">
        <v>-0.17808911504768243</v>
      </c>
    </row>
    <row r="41" spans="1:14">
      <c r="A41" s="1">
        <v>40</v>
      </c>
      <c r="C41" s="1" t="s">
        <v>736</v>
      </c>
      <c r="D41" s="1">
        <v>184</v>
      </c>
      <c r="E41" s="4">
        <v>7.5830000000000002</v>
      </c>
      <c r="F41" s="4">
        <v>7.6760000000000002</v>
      </c>
      <c r="G41" s="4">
        <v>7.6369999999999996</v>
      </c>
      <c r="H41" s="4">
        <f t="shared" si="3"/>
        <v>1.2589108849523178</v>
      </c>
      <c r="I41" s="4">
        <f t="shared" si="4"/>
        <v>1.3519108849523178</v>
      </c>
      <c r="J41" s="4">
        <f t="shared" si="5"/>
        <v>1.3129108849523172</v>
      </c>
      <c r="L41" s="1">
        <v>1.2589108849523178</v>
      </c>
      <c r="M41" s="1">
        <v>1.3519108849523178</v>
      </c>
      <c r="N41" s="1">
        <v>1.3129108849523172</v>
      </c>
    </row>
    <row r="42" spans="1:14">
      <c r="A42" s="1">
        <v>41</v>
      </c>
      <c r="C42" s="1" t="s">
        <v>737</v>
      </c>
      <c r="D42" s="1">
        <v>184</v>
      </c>
      <c r="E42" s="4">
        <v>8.0280000000000005</v>
      </c>
      <c r="F42" s="4">
        <v>8.0359999999999996</v>
      </c>
      <c r="G42" s="4">
        <v>7.9969999999999999</v>
      </c>
      <c r="H42" s="4">
        <f t="shared" si="3"/>
        <v>1.7039108849523181</v>
      </c>
      <c r="I42" s="4">
        <f t="shared" si="4"/>
        <v>1.7119108849523172</v>
      </c>
      <c r="J42" s="4">
        <f t="shared" si="5"/>
        <v>1.6729108849523175</v>
      </c>
      <c r="L42" s="1">
        <v>1.7039108849523181</v>
      </c>
      <c r="M42" s="1">
        <v>1.7119108849523172</v>
      </c>
      <c r="N42" s="1">
        <v>1.6729108849523175</v>
      </c>
    </row>
    <row r="43" spans="1:14">
      <c r="A43" s="1">
        <v>42</v>
      </c>
      <c r="C43" s="1" t="s">
        <v>738</v>
      </c>
      <c r="D43" s="1">
        <v>184</v>
      </c>
      <c r="E43" s="4">
        <v>7.6289999999999996</v>
      </c>
      <c r="F43" s="4">
        <v>7.6260000000000003</v>
      </c>
      <c r="G43" s="4">
        <v>7.5709999999999997</v>
      </c>
      <c r="H43" s="4">
        <f t="shared" si="3"/>
        <v>1.3049108849523172</v>
      </c>
      <c r="I43" s="4">
        <f t="shared" si="4"/>
        <v>1.301910884952318</v>
      </c>
      <c r="J43" s="4">
        <f t="shared" si="5"/>
        <v>1.2469108849523174</v>
      </c>
      <c r="L43" s="1">
        <v>1.3049108849523172</v>
      </c>
      <c r="M43" s="1">
        <v>1.301910884952318</v>
      </c>
      <c r="N43" s="1">
        <v>1.2469108849523174</v>
      </c>
    </row>
    <row r="44" spans="1:14">
      <c r="A44" s="1">
        <v>43</v>
      </c>
      <c r="C44" s="1" t="s">
        <v>739</v>
      </c>
      <c r="D44" s="1">
        <v>184</v>
      </c>
      <c r="E44" s="4">
        <v>6.7030000000000003</v>
      </c>
      <c r="F44" s="4">
        <v>6.8390000000000004</v>
      </c>
      <c r="G44" s="4">
        <v>6.7859999999999996</v>
      </c>
      <c r="H44" s="4">
        <f t="shared" si="3"/>
        <v>0.37891088495231795</v>
      </c>
      <c r="I44" s="4">
        <f t="shared" si="4"/>
        <v>0.51491088495231807</v>
      </c>
      <c r="J44" s="4">
        <f t="shared" si="5"/>
        <v>0.46191088495231725</v>
      </c>
      <c r="L44" s="1">
        <v>0.37891088495231795</v>
      </c>
      <c r="M44" s="1">
        <v>0.51491088495231807</v>
      </c>
      <c r="N44" s="1">
        <v>0.46191088495231725</v>
      </c>
    </row>
    <row r="45" spans="1:14">
      <c r="A45" s="1">
        <v>44</v>
      </c>
      <c r="C45" s="1" t="s">
        <v>740</v>
      </c>
      <c r="D45" s="1">
        <v>184</v>
      </c>
      <c r="E45" s="4">
        <v>7.2370000000000001</v>
      </c>
      <c r="F45" s="4">
        <v>7.2919999999999998</v>
      </c>
      <c r="G45" s="4">
        <v>7.23</v>
      </c>
      <c r="H45" s="4">
        <f t="shared" si="3"/>
        <v>0.91291088495231776</v>
      </c>
      <c r="I45" s="4">
        <f t="shared" si="4"/>
        <v>0.96791088495231747</v>
      </c>
      <c r="J45" s="4">
        <f t="shared" si="5"/>
        <v>0.90591088495231809</v>
      </c>
      <c r="L45" s="1">
        <v>0.91291088495231776</v>
      </c>
      <c r="M45" s="1">
        <v>0.96791088495231747</v>
      </c>
      <c r="N45" s="1">
        <v>0.90591088495231809</v>
      </c>
    </row>
    <row r="46" spans="1:14">
      <c r="A46" s="1">
        <v>45</v>
      </c>
      <c r="C46" s="1" t="s">
        <v>741</v>
      </c>
      <c r="D46" s="1">
        <v>184</v>
      </c>
      <c r="E46" s="4">
        <v>7.0449999999999999</v>
      </c>
      <c r="F46" s="4">
        <v>7.0860000000000003</v>
      </c>
      <c r="G46" s="4">
        <v>7.101</v>
      </c>
      <c r="H46" s="4">
        <f t="shared" si="3"/>
        <v>0.72091088495231759</v>
      </c>
      <c r="I46" s="4">
        <f t="shared" si="4"/>
        <v>0.76191088495231796</v>
      </c>
      <c r="J46" s="4">
        <f t="shared" si="5"/>
        <v>0.77691088495231764</v>
      </c>
      <c r="L46" s="1">
        <v>0.72091088495231759</v>
      </c>
      <c r="M46" s="1">
        <v>0.76191088495231796</v>
      </c>
      <c r="N46" s="1">
        <v>0.77691088495231764</v>
      </c>
    </row>
    <row r="47" spans="1:14">
      <c r="A47" s="1">
        <v>46</v>
      </c>
      <c r="C47" s="1" t="s">
        <v>742</v>
      </c>
      <c r="D47" s="1">
        <v>184</v>
      </c>
      <c r="E47" s="4">
        <v>6.03</v>
      </c>
      <c r="F47" s="4">
        <v>6.1</v>
      </c>
      <c r="G47" s="4">
        <v>6.1070000000000002</v>
      </c>
      <c r="H47" s="4">
        <f t="shared" si="3"/>
        <v>-0.29408911504768209</v>
      </c>
      <c r="I47" s="4">
        <f t="shared" si="4"/>
        <v>-0.2240891150476827</v>
      </c>
      <c r="J47" s="4">
        <f t="shared" si="5"/>
        <v>-0.21708911504768214</v>
      </c>
      <c r="L47" s="1">
        <v>-0.29408911504768209</v>
      </c>
      <c r="M47" s="1">
        <v>-0.2240891150476827</v>
      </c>
      <c r="N47" s="1">
        <v>-0.21708911504768214</v>
      </c>
    </row>
    <row r="48" spans="1:14">
      <c r="A48" s="1">
        <v>47</v>
      </c>
      <c r="C48" s="1" t="s">
        <v>743</v>
      </c>
      <c r="D48" s="1">
        <v>184</v>
      </c>
      <c r="E48" s="4">
        <v>6.556</v>
      </c>
      <c r="F48" s="4">
        <v>6.66</v>
      </c>
      <c r="G48" s="4">
        <v>6.68</v>
      </c>
      <c r="H48" s="4">
        <f t="shared" si="3"/>
        <v>0.23191088495231771</v>
      </c>
      <c r="I48" s="4">
        <f t="shared" si="4"/>
        <v>0.3359108849523178</v>
      </c>
      <c r="J48" s="4">
        <f t="shared" si="5"/>
        <v>0.35591088495231737</v>
      </c>
      <c r="L48" s="1">
        <v>0.23191088495231771</v>
      </c>
      <c r="M48" s="1">
        <v>0.3359108849523178</v>
      </c>
      <c r="N48" s="1">
        <v>0.35591088495231737</v>
      </c>
    </row>
    <row r="49" spans="1:14">
      <c r="A49" s="1">
        <v>48</v>
      </c>
      <c r="C49" s="1" t="s">
        <v>744</v>
      </c>
      <c r="D49" s="1">
        <v>184</v>
      </c>
      <c r="E49" s="4">
        <v>6.3319999999999999</v>
      </c>
      <c r="F49" s="4">
        <v>6.18</v>
      </c>
      <c r="G49" s="4">
        <v>6.0970000000000004</v>
      </c>
      <c r="H49" s="4">
        <f t="shared" si="3"/>
        <v>7.9108849523175095E-3</v>
      </c>
      <c r="I49" s="4">
        <f t="shared" si="4"/>
        <v>-0.14408911504768263</v>
      </c>
      <c r="J49" s="4">
        <f t="shared" si="5"/>
        <v>-0.22708911504768192</v>
      </c>
      <c r="L49" s="1">
        <v>7.9108849523175095E-3</v>
      </c>
      <c r="M49" s="1">
        <v>-0.14408911504768263</v>
      </c>
      <c r="N49" s="1">
        <v>-0.22708911504768192</v>
      </c>
    </row>
    <row r="50" spans="1:14">
      <c r="A50" s="1">
        <v>49</v>
      </c>
      <c r="C50" s="1" t="s">
        <v>745</v>
      </c>
      <c r="D50" s="1">
        <v>184</v>
      </c>
      <c r="E50" s="4">
        <v>5.2309999999999999</v>
      </c>
      <c r="F50" s="4">
        <v>5.2809999999999997</v>
      </c>
      <c r="G50" s="4">
        <v>5.2869999999999999</v>
      </c>
      <c r="H50" s="4">
        <f t="shared" si="3"/>
        <v>-1.0930891150476825</v>
      </c>
      <c r="I50" s="4">
        <f t="shared" si="4"/>
        <v>-1.0430891150476826</v>
      </c>
      <c r="J50" s="4">
        <f t="shared" si="5"/>
        <v>-1.0370891150476824</v>
      </c>
      <c r="L50" s="1">
        <v>-1.0930891150476825</v>
      </c>
      <c r="M50" s="1">
        <v>-1.0430891150476826</v>
      </c>
      <c r="N50" s="1">
        <v>-1.0370891150476824</v>
      </c>
    </row>
    <row r="51" spans="1:14">
      <c r="A51" s="1">
        <v>50</v>
      </c>
      <c r="C51" s="1" t="s">
        <v>746</v>
      </c>
      <c r="D51" s="1">
        <v>184</v>
      </c>
      <c r="E51" s="4">
        <v>8.3539999999999992</v>
      </c>
      <c r="F51" s="4">
        <v>8.3940000000000001</v>
      </c>
      <c r="G51" s="4">
        <v>8.3190000000000008</v>
      </c>
      <c r="H51" s="4">
        <f t="shared" si="3"/>
        <v>2.0299108849523169</v>
      </c>
      <c r="I51" s="4">
        <f t="shared" si="4"/>
        <v>2.0699108849523178</v>
      </c>
      <c r="J51" s="4">
        <f t="shared" si="5"/>
        <v>1.9949108849523185</v>
      </c>
      <c r="L51" s="1">
        <v>2.0299108849523169</v>
      </c>
      <c r="M51" s="1">
        <v>2.0699108849523178</v>
      </c>
      <c r="N51" s="1">
        <v>1.9949108849523185</v>
      </c>
    </row>
    <row r="52" spans="1:14">
      <c r="A52" s="1">
        <v>51</v>
      </c>
      <c r="C52" s="1" t="s">
        <v>747</v>
      </c>
      <c r="D52" s="1">
        <v>184</v>
      </c>
      <c r="E52" s="4">
        <v>6.6760000000000002</v>
      </c>
      <c r="F52" s="4">
        <v>6.766</v>
      </c>
      <c r="G52" s="4">
        <v>6.7220000000000004</v>
      </c>
      <c r="H52" s="4">
        <f t="shared" si="3"/>
        <v>0.35191088495231782</v>
      </c>
      <c r="I52" s="4">
        <f t="shared" si="4"/>
        <v>0.44191088495231767</v>
      </c>
      <c r="J52" s="4">
        <f t="shared" si="5"/>
        <v>0.39791088495231808</v>
      </c>
      <c r="L52" s="1">
        <v>0.35191088495231782</v>
      </c>
      <c r="M52" s="1">
        <v>0.44191088495231767</v>
      </c>
      <c r="N52" s="1">
        <v>0.39791088495231808</v>
      </c>
    </row>
    <row r="53" spans="1:14">
      <c r="A53" s="1">
        <v>52</v>
      </c>
      <c r="B53" s="79" t="s">
        <v>94</v>
      </c>
      <c r="C53" s="1" t="s">
        <v>748</v>
      </c>
      <c r="D53" s="1">
        <v>342</v>
      </c>
      <c r="E53" s="4">
        <v>7.5110000000000001</v>
      </c>
      <c r="F53" s="4">
        <v>7.5880000000000001</v>
      </c>
      <c r="G53" s="4">
        <v>7.5439999999999996</v>
      </c>
      <c r="H53" s="4">
        <f t="shared" si="3"/>
        <v>-0.15913053028067292</v>
      </c>
      <c r="I53" s="4">
        <f t="shared" si="4"/>
        <v>-8.2130530280672964E-2</v>
      </c>
      <c r="J53" s="4">
        <f t="shared" si="5"/>
        <v>-0.12613053028067345</v>
      </c>
      <c r="L53" s="1">
        <v>-0.15913053028067292</v>
      </c>
      <c r="M53" s="1">
        <v>-8.2130530280672964E-2</v>
      </c>
      <c r="N53" s="1">
        <v>-0.12613053028067345</v>
      </c>
    </row>
    <row r="54" spans="1:14">
      <c r="A54" s="1">
        <v>53</v>
      </c>
      <c r="C54" s="1" t="s">
        <v>749</v>
      </c>
      <c r="D54" s="1">
        <v>342</v>
      </c>
      <c r="E54" s="4">
        <v>8.3629999999999995</v>
      </c>
      <c r="F54" s="4">
        <v>8.3989999999999991</v>
      </c>
      <c r="G54" s="4">
        <v>8.3580000000000005</v>
      </c>
      <c r="H54" s="4">
        <f t="shared" si="3"/>
        <v>0.6928694697193265</v>
      </c>
      <c r="I54" s="4">
        <f t="shared" si="4"/>
        <v>0.72886946971932609</v>
      </c>
      <c r="J54" s="4">
        <f t="shared" si="5"/>
        <v>0.6878694697193275</v>
      </c>
      <c r="L54" s="1">
        <v>0.6928694697193265</v>
      </c>
      <c r="M54" s="1">
        <v>0.72886946971932609</v>
      </c>
      <c r="N54" s="1">
        <v>0.6878694697193275</v>
      </c>
    </row>
    <row r="55" spans="1:14">
      <c r="A55" s="1">
        <v>54</v>
      </c>
      <c r="C55" s="32" t="s">
        <v>512</v>
      </c>
      <c r="D55" s="1">
        <v>342</v>
      </c>
      <c r="E55" s="4">
        <v>7.6479999999999997</v>
      </c>
      <c r="F55" s="4">
        <v>7.7290000000000001</v>
      </c>
      <c r="G55" s="4">
        <v>7.6970000000000001</v>
      </c>
      <c r="H55" s="4">
        <f t="shared" ref="H55" si="6">E55-(5*LOG(D55, 10)-5)</f>
        <v>-2.2130530280673355E-2</v>
      </c>
      <c r="I55" s="4">
        <f t="shared" ref="I55" si="7">F55-(5*LOG(D55, 10)-5)</f>
        <v>5.886946971932705E-2</v>
      </c>
      <c r="J55" s="4">
        <f t="shared" ref="J55" si="8">G55-(5*LOG(D55, 10)-5)</f>
        <v>2.6869469719327022E-2</v>
      </c>
      <c r="L55" s="1">
        <v>-2.2130530280673355E-2</v>
      </c>
      <c r="M55" s="1">
        <v>5.886946971932705E-2</v>
      </c>
      <c r="N55" s="1">
        <v>2.6869469719327022E-2</v>
      </c>
    </row>
    <row r="56" spans="1:14">
      <c r="A56" s="1">
        <v>55</v>
      </c>
      <c r="C56" s="1" t="s">
        <v>750</v>
      </c>
      <c r="D56" s="1">
        <v>342</v>
      </c>
      <c r="E56" s="4">
        <v>8.0969999999999995</v>
      </c>
      <c r="F56" s="4">
        <v>8.0820000000000007</v>
      </c>
      <c r="G56" s="4">
        <v>8.0459999999999994</v>
      </c>
      <c r="H56" s="4">
        <f t="shared" si="3"/>
        <v>0.42686946971932649</v>
      </c>
      <c r="I56" s="4">
        <f t="shared" si="4"/>
        <v>0.4118694697193277</v>
      </c>
      <c r="J56" s="4">
        <f t="shared" si="5"/>
        <v>0.37586946971932633</v>
      </c>
      <c r="L56" s="1">
        <v>0.42686946971932649</v>
      </c>
      <c r="M56" s="1">
        <v>0.4118694697193277</v>
      </c>
      <c r="N56" s="1">
        <v>0.37586946971932633</v>
      </c>
    </row>
    <row r="57" spans="1:14">
      <c r="A57" s="1">
        <v>56</v>
      </c>
      <c r="C57" s="1" t="s">
        <v>751</v>
      </c>
      <c r="D57" s="1">
        <v>342</v>
      </c>
      <c r="E57" s="4">
        <v>8.0169999999999995</v>
      </c>
      <c r="F57" s="4">
        <v>8.02</v>
      </c>
      <c r="G57" s="4">
        <v>7.9619999999999997</v>
      </c>
      <c r="H57" s="4">
        <f t="shared" si="3"/>
        <v>0.34686946971932642</v>
      </c>
      <c r="I57" s="4">
        <f t="shared" si="4"/>
        <v>0.34986946971932653</v>
      </c>
      <c r="J57" s="4">
        <f t="shared" si="5"/>
        <v>0.2918694697193267</v>
      </c>
      <c r="L57" s="1">
        <v>0.34686946971932642</v>
      </c>
      <c r="M57" s="1">
        <v>0.34986946971932653</v>
      </c>
      <c r="N57" s="1">
        <v>0.2918694697193267</v>
      </c>
    </row>
    <row r="58" spans="1:14">
      <c r="A58" s="1">
        <v>57</v>
      </c>
      <c r="C58" s="1" t="s">
        <v>752</v>
      </c>
      <c r="D58" s="1">
        <v>342</v>
      </c>
      <c r="E58" s="4">
        <v>6.5419999999999998</v>
      </c>
      <c r="F58" s="4">
        <v>6.5709999999999997</v>
      </c>
      <c r="G58" s="4">
        <v>6.5339999999999998</v>
      </c>
      <c r="H58" s="4">
        <f t="shared" si="3"/>
        <v>-1.1281305302806732</v>
      </c>
      <c r="I58" s="4">
        <f t="shared" si="4"/>
        <v>-1.0991305302806733</v>
      </c>
      <c r="J58" s="4">
        <f t="shared" si="5"/>
        <v>-1.1361305302806732</v>
      </c>
      <c r="L58" s="1">
        <v>-1.1281305302806732</v>
      </c>
      <c r="M58" s="1">
        <v>-1.0991305302806733</v>
      </c>
      <c r="N58" s="1">
        <v>-1.1361305302806732</v>
      </c>
    </row>
    <row r="59" spans="1:14">
      <c r="A59" s="1">
        <v>58</v>
      </c>
      <c r="C59" s="1" t="s">
        <v>753</v>
      </c>
      <c r="D59" s="1">
        <v>342</v>
      </c>
      <c r="E59" s="4">
        <v>6.7469999999999999</v>
      </c>
      <c r="F59" s="4">
        <v>6.7830000000000004</v>
      </c>
      <c r="G59" s="4">
        <v>6.7640000000000002</v>
      </c>
      <c r="H59" s="4">
        <f t="shared" si="3"/>
        <v>-0.92313053028067316</v>
      </c>
      <c r="I59" s="4">
        <f t="shared" si="4"/>
        <v>-0.88713053028067268</v>
      </c>
      <c r="J59" s="4">
        <f t="shared" si="5"/>
        <v>-0.90613053028067281</v>
      </c>
      <c r="L59" s="1">
        <v>-0.92313053028067316</v>
      </c>
      <c r="M59" s="1">
        <v>-0.88713053028067268</v>
      </c>
      <c r="N59" s="1">
        <v>-0.90613053028067281</v>
      </c>
    </row>
    <row r="60" spans="1:14">
      <c r="A60" s="1">
        <v>59</v>
      </c>
      <c r="C60" s="1" t="s">
        <v>754</v>
      </c>
      <c r="D60" s="1">
        <v>342</v>
      </c>
      <c r="E60" s="4">
        <v>6.9189999999999996</v>
      </c>
      <c r="F60" s="4">
        <v>6.9219999999999997</v>
      </c>
      <c r="G60" s="4">
        <v>6.8550000000000004</v>
      </c>
      <c r="H60" s="4">
        <f t="shared" si="3"/>
        <v>-0.75113053028067345</v>
      </c>
      <c r="I60" s="4">
        <f t="shared" si="4"/>
        <v>-0.74813053028067333</v>
      </c>
      <c r="J60" s="4">
        <f t="shared" si="5"/>
        <v>-0.81513053028067262</v>
      </c>
      <c r="L60" s="1">
        <v>-0.75113053028067345</v>
      </c>
      <c r="M60" s="1">
        <v>-0.74813053028067333</v>
      </c>
      <c r="N60" s="1">
        <v>-0.81513053028067262</v>
      </c>
    </row>
    <row r="61" spans="1:14">
      <c r="A61" s="1">
        <v>60</v>
      </c>
      <c r="C61" s="1" t="s">
        <v>755</v>
      </c>
      <c r="D61" s="1">
        <v>342</v>
      </c>
      <c r="E61" s="4">
        <v>8.0579999999999998</v>
      </c>
      <c r="F61" s="4">
        <v>8.1029999999999998</v>
      </c>
      <c r="G61" s="4">
        <v>8.109</v>
      </c>
      <c r="H61" s="4">
        <f t="shared" si="3"/>
        <v>0.38786946971932679</v>
      </c>
      <c r="I61" s="4">
        <f t="shared" si="4"/>
        <v>0.43286946971932672</v>
      </c>
      <c r="J61" s="4">
        <f t="shared" si="5"/>
        <v>0.43886946971932694</v>
      </c>
      <c r="L61" s="1">
        <v>0.38786946971932679</v>
      </c>
      <c r="M61" s="1">
        <v>0.43286946971932672</v>
      </c>
      <c r="N61" s="1">
        <v>0.43886946971932694</v>
      </c>
    </row>
    <row r="62" spans="1:14">
      <c r="A62" s="1">
        <v>61</v>
      </c>
      <c r="C62" s="1" t="s">
        <v>756</v>
      </c>
      <c r="D62" s="1">
        <v>342</v>
      </c>
      <c r="E62" s="4">
        <v>7.024</v>
      </c>
      <c r="F62" s="4">
        <v>7.0990000000000002</v>
      </c>
      <c r="G62" s="4">
        <v>7.0640000000000001</v>
      </c>
      <c r="H62" s="4">
        <f t="shared" si="3"/>
        <v>-0.64613053028067302</v>
      </c>
      <c r="I62" s="4">
        <f t="shared" si="4"/>
        <v>-0.57113053028067284</v>
      </c>
      <c r="J62" s="4">
        <f t="shared" si="5"/>
        <v>-0.60613053028067299</v>
      </c>
      <c r="L62" s="1">
        <v>-0.64613053028067302</v>
      </c>
      <c r="M62" s="1">
        <v>-0.57113053028067284</v>
      </c>
      <c r="N62" s="1">
        <v>-0.60613053028067299</v>
      </c>
    </row>
    <row r="63" spans="1:14">
      <c r="A63" s="1">
        <v>62</v>
      </c>
      <c r="C63" s="1" t="s">
        <v>757</v>
      </c>
      <c r="D63" s="1">
        <v>342</v>
      </c>
      <c r="E63" s="4">
        <v>8.3629999999999995</v>
      </c>
      <c r="F63" s="4">
        <v>8.3469999999999995</v>
      </c>
      <c r="G63" s="4">
        <v>8.3689999999999998</v>
      </c>
      <c r="H63" s="4">
        <f t="shared" si="3"/>
        <v>0.6928694697193265</v>
      </c>
      <c r="I63" s="4">
        <f t="shared" si="4"/>
        <v>0.67686946971932649</v>
      </c>
      <c r="J63" s="4">
        <f t="shared" si="5"/>
        <v>0.69886946971932673</v>
      </c>
      <c r="L63" s="1">
        <v>0.6928694697193265</v>
      </c>
      <c r="M63" s="1">
        <v>0.67686946971932649</v>
      </c>
      <c r="N63" s="1">
        <v>0.69886946971932673</v>
      </c>
    </row>
    <row r="64" spans="1:14">
      <c r="A64" s="1">
        <v>63</v>
      </c>
      <c r="C64" s="1" t="s">
        <v>758</v>
      </c>
      <c r="D64" s="1">
        <v>342</v>
      </c>
      <c r="E64" s="4">
        <v>5.5579999999999998</v>
      </c>
      <c r="F64" s="4">
        <v>5.4950000000000001</v>
      </c>
      <c r="G64" s="4">
        <v>5.359</v>
      </c>
      <c r="H64" s="4">
        <f t="shared" si="3"/>
        <v>-2.1121305302806732</v>
      </c>
      <c r="I64" s="4">
        <f t="shared" si="4"/>
        <v>-2.1751305302806729</v>
      </c>
      <c r="J64" s="4">
        <f t="shared" si="5"/>
        <v>-2.3111305302806731</v>
      </c>
      <c r="L64" s="1">
        <v>-2.1121305302806732</v>
      </c>
      <c r="M64" s="1">
        <v>-2.1751305302806729</v>
      </c>
      <c r="N64" s="1">
        <v>-2.3111305302806731</v>
      </c>
    </row>
    <row r="65" spans="1:14">
      <c r="A65" s="1">
        <v>64</v>
      </c>
      <c r="C65" s="1" t="s">
        <v>759</v>
      </c>
      <c r="D65" s="1">
        <v>342</v>
      </c>
      <c r="E65" s="4">
        <v>6.3339999999999996</v>
      </c>
      <c r="F65" s="4">
        <v>6.3789999999999996</v>
      </c>
      <c r="G65" s="4">
        <v>6.3620000000000001</v>
      </c>
      <c r="H65" s="4">
        <f t="shared" si="3"/>
        <v>-1.3361305302806734</v>
      </c>
      <c r="I65" s="4">
        <f t="shared" si="4"/>
        <v>-1.2911305302806735</v>
      </c>
      <c r="J65" s="4">
        <f t="shared" si="5"/>
        <v>-1.3081305302806729</v>
      </c>
      <c r="L65" s="1">
        <v>-1.3361305302806734</v>
      </c>
      <c r="M65" s="1">
        <v>-1.2911305302806735</v>
      </c>
      <c r="N65" s="1">
        <v>-1.3081305302806729</v>
      </c>
    </row>
    <row r="66" spans="1:14">
      <c r="A66" s="1">
        <v>65</v>
      </c>
      <c r="C66" s="1" t="s">
        <v>760</v>
      </c>
      <c r="D66" s="1">
        <v>342</v>
      </c>
      <c r="E66" s="4">
        <v>7.641</v>
      </c>
      <c r="F66" s="4">
        <v>7.7</v>
      </c>
      <c r="G66" s="4">
        <v>7.6070000000000002</v>
      </c>
      <c r="H66" s="4">
        <f t="shared" si="3"/>
        <v>-2.9130530280673028E-2</v>
      </c>
      <c r="I66" s="4">
        <f t="shared" si="4"/>
        <v>2.9869469719327135E-2</v>
      </c>
      <c r="J66" s="4">
        <f t="shared" si="5"/>
        <v>-6.3130530280672836E-2</v>
      </c>
      <c r="L66" s="1">
        <v>-2.9130530280673028E-2</v>
      </c>
      <c r="M66" s="1">
        <v>2.9869469719327135E-2</v>
      </c>
      <c r="N66" s="1">
        <v>-6.3130530280672836E-2</v>
      </c>
    </row>
    <row r="67" spans="1:14">
      <c r="A67" s="1">
        <v>66</v>
      </c>
      <c r="C67" s="25" t="s">
        <v>761</v>
      </c>
      <c r="D67" s="1">
        <v>342</v>
      </c>
      <c r="E67" s="4">
        <v>8.36</v>
      </c>
      <c r="F67" s="4">
        <v>8.3000000000000007</v>
      </c>
      <c r="G67" s="4">
        <v>8.25</v>
      </c>
      <c r="H67" s="4">
        <f t="shared" si="3"/>
        <v>0.68986946971932639</v>
      </c>
      <c r="I67" s="4">
        <f t="shared" si="4"/>
        <v>0.62986946971932767</v>
      </c>
      <c r="J67" s="4">
        <f t="shared" si="5"/>
        <v>0.57986946971932696</v>
      </c>
      <c r="K67" s="1" t="s">
        <v>845</v>
      </c>
      <c r="L67" s="1">
        <v>0.68986946971932639</v>
      </c>
      <c r="M67" s="1">
        <v>0.62986946971932767</v>
      </c>
      <c r="N67" s="1">
        <v>0.57986946971932696</v>
      </c>
    </row>
    <row r="68" spans="1:14">
      <c r="A68" s="1">
        <v>67</v>
      </c>
      <c r="C68" s="1" t="s">
        <v>762</v>
      </c>
      <c r="D68" s="1">
        <v>342</v>
      </c>
      <c r="E68" s="4">
        <v>8.2360000000000007</v>
      </c>
      <c r="F68" s="4">
        <v>8.3450000000000006</v>
      </c>
      <c r="G68" s="4">
        <v>8.23</v>
      </c>
      <c r="H68" s="4">
        <f t="shared" si="3"/>
        <v>0.56586946971932761</v>
      </c>
      <c r="I68" s="4">
        <f t="shared" si="4"/>
        <v>0.6748694697193276</v>
      </c>
      <c r="J68" s="4">
        <f t="shared" si="5"/>
        <v>0.55986946971932738</v>
      </c>
      <c r="L68" s="1">
        <v>0.56586946971932761</v>
      </c>
      <c r="M68" s="1">
        <v>0.6748694697193276</v>
      </c>
      <c r="N68" s="1">
        <v>0.55986946971932738</v>
      </c>
    </row>
    <row r="69" spans="1:14">
      <c r="A69" s="1">
        <v>68</v>
      </c>
      <c r="C69" s="1" t="s">
        <v>763</v>
      </c>
      <c r="D69" s="1">
        <v>342</v>
      </c>
      <c r="E69" s="4">
        <v>5.0220000000000002</v>
      </c>
      <c r="F69" s="4">
        <v>4.859</v>
      </c>
      <c r="G69" s="4">
        <v>4.7370000000000001</v>
      </c>
      <c r="H69" s="4">
        <f t="shared" si="3"/>
        <v>-2.6481305302806728</v>
      </c>
      <c r="I69" s="4">
        <f t="shared" si="4"/>
        <v>-2.8111305302806731</v>
      </c>
      <c r="J69" s="4">
        <f t="shared" si="5"/>
        <v>-2.9331305302806729</v>
      </c>
      <c r="L69" s="1">
        <v>-2.6481305302806728</v>
      </c>
      <c r="M69" s="1">
        <v>-2.8111305302806731</v>
      </c>
      <c r="N69" s="1">
        <v>-2.9331305302806729</v>
      </c>
    </row>
    <row r="70" spans="1:14">
      <c r="A70" s="1">
        <v>69</v>
      </c>
      <c r="C70" s="1" t="s">
        <v>764</v>
      </c>
      <c r="D70" s="1">
        <v>342</v>
      </c>
      <c r="E70" s="4">
        <v>7.673</v>
      </c>
      <c r="F70" s="4">
        <v>7.7160000000000002</v>
      </c>
      <c r="G70" s="4">
        <v>7.6589999999999998</v>
      </c>
      <c r="H70" s="4">
        <f t="shared" si="3"/>
        <v>2.8694697193270002E-3</v>
      </c>
      <c r="I70" s="4">
        <f t="shared" si="4"/>
        <v>4.5869469719327149E-2</v>
      </c>
      <c r="J70" s="4">
        <f t="shared" si="5"/>
        <v>-1.1130530280673234E-2</v>
      </c>
      <c r="L70" s="1">
        <v>2.8694697193270002E-3</v>
      </c>
      <c r="M70" s="1">
        <v>4.5869469719327149E-2</v>
      </c>
      <c r="N70" s="1">
        <v>-1.1130530280673234E-2</v>
      </c>
    </row>
    <row r="71" spans="1:14">
      <c r="A71" s="1">
        <v>70</v>
      </c>
      <c r="C71" s="1" t="s">
        <v>765</v>
      </c>
      <c r="D71" s="1">
        <v>342</v>
      </c>
      <c r="E71" s="4">
        <v>8.3070000000000004</v>
      </c>
      <c r="F71" s="4">
        <v>8.3480000000000008</v>
      </c>
      <c r="G71" s="4">
        <v>8.3339999999999996</v>
      </c>
      <c r="H71" s="4">
        <f t="shared" si="3"/>
        <v>0.63686946971932734</v>
      </c>
      <c r="I71" s="4">
        <f t="shared" si="4"/>
        <v>0.67786946971932771</v>
      </c>
      <c r="J71" s="4">
        <f t="shared" si="5"/>
        <v>0.66386946971932659</v>
      </c>
      <c r="L71" s="1">
        <v>0.63686946971932734</v>
      </c>
      <c r="M71" s="1">
        <v>0.67786946971932771</v>
      </c>
      <c r="N71" s="1">
        <v>0.66386946971932659</v>
      </c>
    </row>
    <row r="72" spans="1:14">
      <c r="A72" s="1">
        <v>71</v>
      </c>
      <c r="C72" s="1" t="s">
        <v>766</v>
      </c>
      <c r="D72" s="1">
        <v>342</v>
      </c>
      <c r="E72" s="4">
        <v>8.1560000000000006</v>
      </c>
      <c r="F72" s="4">
        <v>8.1379999999999999</v>
      </c>
      <c r="G72" s="4">
        <v>8.125</v>
      </c>
      <c r="H72" s="4">
        <f t="shared" si="3"/>
        <v>0.48586946971932754</v>
      </c>
      <c r="I72" s="4">
        <f t="shared" si="4"/>
        <v>0.46786946971932686</v>
      </c>
      <c r="J72" s="4">
        <f t="shared" si="5"/>
        <v>0.45486946971932696</v>
      </c>
      <c r="L72" s="1">
        <v>0.48586946971932754</v>
      </c>
      <c r="M72" s="1">
        <v>0.46786946971932686</v>
      </c>
      <c r="N72" s="1">
        <v>0.45486946971932696</v>
      </c>
    </row>
    <row r="73" spans="1:14">
      <c r="A73" s="1">
        <v>72</v>
      </c>
      <c r="C73" s="1" t="s">
        <v>767</v>
      </c>
      <c r="D73" s="1">
        <v>342</v>
      </c>
      <c r="E73" s="4">
        <v>8.0519999999999996</v>
      </c>
      <c r="F73" s="4">
        <v>8.1029999999999998</v>
      </c>
      <c r="G73" s="4">
        <v>8.0449999999999999</v>
      </c>
      <c r="H73" s="4">
        <f t="shared" si="3"/>
        <v>0.38186946971932656</v>
      </c>
      <c r="I73" s="4">
        <f t="shared" si="4"/>
        <v>0.43286946971932672</v>
      </c>
      <c r="J73" s="4">
        <f t="shared" si="5"/>
        <v>0.37486946971932689</v>
      </c>
      <c r="L73" s="1">
        <v>0.38186946971932656</v>
      </c>
      <c r="M73" s="1">
        <v>0.43286946971932672</v>
      </c>
      <c r="N73" s="1">
        <v>0.37486946971932689</v>
      </c>
    </row>
    <row r="74" spans="1:14">
      <c r="A74" s="1">
        <v>73</v>
      </c>
      <c r="C74" s="1" t="s">
        <v>768</v>
      </c>
      <c r="D74" s="1">
        <v>342</v>
      </c>
      <c r="E74" s="4">
        <v>8.2880000000000003</v>
      </c>
      <c r="F74" s="4">
        <v>8.23</v>
      </c>
      <c r="G74" s="4">
        <v>8.2880000000000003</v>
      </c>
      <c r="H74" s="4">
        <f t="shared" si="3"/>
        <v>0.61786946971932721</v>
      </c>
      <c r="I74" s="4">
        <f t="shared" si="4"/>
        <v>0.55986946971932738</v>
      </c>
      <c r="J74" s="4">
        <f t="shared" si="5"/>
        <v>0.61786946971932721</v>
      </c>
      <c r="L74" s="1">
        <v>0.61786946971932721</v>
      </c>
      <c r="M74" s="1">
        <v>0.55986946971932738</v>
      </c>
      <c r="N74" s="1">
        <v>0.61786946971932721</v>
      </c>
    </row>
    <row r="75" spans="1:14">
      <c r="A75" s="1">
        <v>74</v>
      </c>
      <c r="C75" s="1" t="s">
        <v>769</v>
      </c>
      <c r="D75" s="1">
        <v>342</v>
      </c>
      <c r="E75" s="4">
        <v>8.2129999999999992</v>
      </c>
      <c r="F75" s="4">
        <v>8.202</v>
      </c>
      <c r="G75" s="4">
        <v>8.2270000000000003</v>
      </c>
      <c r="H75" s="4">
        <f t="shared" si="3"/>
        <v>0.54286946971932615</v>
      </c>
      <c r="I75" s="4">
        <f t="shared" si="4"/>
        <v>0.53186946971932691</v>
      </c>
      <c r="J75" s="4">
        <f t="shared" si="5"/>
        <v>0.55686946971932727</v>
      </c>
      <c r="L75" s="1">
        <v>0.54286946971932615</v>
      </c>
      <c r="M75" s="1">
        <v>0.53186946971932691</v>
      </c>
      <c r="N75" s="1">
        <v>0.55686946971932727</v>
      </c>
    </row>
    <row r="76" spans="1:14">
      <c r="A76" s="1">
        <v>75</v>
      </c>
      <c r="C76" s="1" t="s">
        <v>770</v>
      </c>
      <c r="D76" s="1">
        <v>342</v>
      </c>
      <c r="E76" s="4">
        <v>8.3279999999999994</v>
      </c>
      <c r="F76" s="4">
        <v>8.3640000000000008</v>
      </c>
      <c r="G76" s="4">
        <v>8.3680000000000003</v>
      </c>
      <c r="H76" s="4">
        <f t="shared" si="3"/>
        <v>0.65786946971932636</v>
      </c>
      <c r="I76" s="4">
        <f t="shared" si="4"/>
        <v>0.69386946971932772</v>
      </c>
      <c r="J76" s="4">
        <f t="shared" si="5"/>
        <v>0.69786946971932728</v>
      </c>
      <c r="L76" s="1">
        <v>0.65786946971932636</v>
      </c>
      <c r="M76" s="1">
        <v>0.69386946971932772</v>
      </c>
      <c r="N76" s="1">
        <v>0.69786946971932728</v>
      </c>
    </row>
    <row r="77" spans="1:14">
      <c r="A77" s="1">
        <v>76</v>
      </c>
      <c r="B77" s="79" t="s">
        <v>95</v>
      </c>
      <c r="C77" s="1" t="s">
        <v>771</v>
      </c>
      <c r="D77" s="1">
        <v>412</v>
      </c>
      <c r="E77" s="4">
        <v>8.7010000000000005</v>
      </c>
      <c r="F77" s="4">
        <v>8.7889999999999997</v>
      </c>
      <c r="G77" s="4">
        <v>8.7490000000000006</v>
      </c>
      <c r="H77" s="4">
        <f t="shared" si="3"/>
        <v>0.62651391983432703</v>
      </c>
      <c r="I77" s="4">
        <f t="shared" si="4"/>
        <v>0.71451391983432622</v>
      </c>
      <c r="J77" s="4">
        <f t="shared" si="5"/>
        <v>0.67451391983432707</v>
      </c>
      <c r="L77" s="1">
        <v>0.62651391983432703</v>
      </c>
      <c r="M77" s="1">
        <v>0.71451391983432622</v>
      </c>
      <c r="N77" s="1">
        <v>0.67451391983432707</v>
      </c>
    </row>
    <row r="78" spans="1:14">
      <c r="A78" s="1">
        <v>77</v>
      </c>
      <c r="C78" s="1" t="s">
        <v>772</v>
      </c>
      <c r="D78" s="1">
        <v>412</v>
      </c>
      <c r="E78" s="4">
        <v>7.7830000000000004</v>
      </c>
      <c r="F78" s="4">
        <v>7.7880000000000003</v>
      </c>
      <c r="G78" s="4">
        <v>7.7370000000000001</v>
      </c>
      <c r="H78" s="4">
        <f t="shared" si="3"/>
        <v>-0.29148608016567312</v>
      </c>
      <c r="I78" s="4">
        <f t="shared" si="4"/>
        <v>-0.28648608016567323</v>
      </c>
      <c r="J78" s="4">
        <f t="shared" si="5"/>
        <v>-0.33748608016567339</v>
      </c>
      <c r="L78" s="1">
        <v>-0.29148608016567312</v>
      </c>
      <c r="M78" s="1">
        <v>-0.28648608016567323</v>
      </c>
      <c r="N78" s="1">
        <v>-0.33748608016567339</v>
      </c>
    </row>
    <row r="79" spans="1:14">
      <c r="A79" s="1">
        <v>78</v>
      </c>
      <c r="C79" s="1" t="s">
        <v>771</v>
      </c>
      <c r="D79" s="1">
        <v>412</v>
      </c>
      <c r="E79" s="4">
        <v>8.7010000000000005</v>
      </c>
      <c r="F79" s="4">
        <v>8.7889999999999997</v>
      </c>
      <c r="G79" s="4">
        <v>8.7490000000000006</v>
      </c>
      <c r="H79" s="4">
        <f t="shared" si="3"/>
        <v>0.62651391983432703</v>
      </c>
      <c r="I79" s="4">
        <f t="shared" si="4"/>
        <v>0.71451391983432622</v>
      </c>
      <c r="J79" s="4">
        <f t="shared" si="5"/>
        <v>0.67451391983432707</v>
      </c>
      <c r="L79" s="1">
        <v>0.62651391983432703</v>
      </c>
      <c r="M79" s="1">
        <v>0.71451391983432622</v>
      </c>
      <c r="N79" s="1">
        <v>0.67451391983432707</v>
      </c>
    </row>
    <row r="80" spans="1:14">
      <c r="A80" s="1">
        <v>79</v>
      </c>
      <c r="C80" s="1" t="s">
        <v>773</v>
      </c>
      <c r="D80" s="1">
        <v>412</v>
      </c>
      <c r="E80" s="4">
        <v>8.2080000000000002</v>
      </c>
      <c r="F80" s="4">
        <v>8.2669999999999995</v>
      </c>
      <c r="G80" s="4">
        <v>8.2539999999999996</v>
      </c>
      <c r="H80" s="4">
        <f t="shared" si="3"/>
        <v>0.1335139198343267</v>
      </c>
      <c r="I80" s="4">
        <f t="shared" si="4"/>
        <v>0.19251391983432597</v>
      </c>
      <c r="J80" s="4">
        <f t="shared" si="5"/>
        <v>0.17951391983432607</v>
      </c>
      <c r="L80" s="1">
        <v>0.1335139198343267</v>
      </c>
      <c r="M80" s="1">
        <v>0.19251391983432597</v>
      </c>
      <c r="N80" s="1">
        <v>0.17951391983432607</v>
      </c>
    </row>
    <row r="81" spans="1:14">
      <c r="A81" s="1">
        <v>80</v>
      </c>
      <c r="C81" s="1" t="s">
        <v>774</v>
      </c>
      <c r="D81" s="1">
        <v>412</v>
      </c>
      <c r="E81" s="4">
        <v>8.1120000000000001</v>
      </c>
      <c r="F81" s="4">
        <v>8.1690000000000005</v>
      </c>
      <c r="G81" s="4">
        <v>8.1189999999999998</v>
      </c>
      <c r="H81" s="4">
        <f t="shared" si="3"/>
        <v>3.7513919834326614E-2</v>
      </c>
      <c r="I81" s="4">
        <f t="shared" si="4"/>
        <v>9.4513919834326998E-2</v>
      </c>
      <c r="J81" s="4">
        <f t="shared" si="5"/>
        <v>4.4513919834326288E-2</v>
      </c>
      <c r="L81" s="1">
        <v>3.7513919834326614E-2</v>
      </c>
      <c r="M81" s="1">
        <v>9.4513919834326998E-2</v>
      </c>
      <c r="N81" s="1">
        <v>4.4513919834326288E-2</v>
      </c>
    </row>
    <row r="82" spans="1:14">
      <c r="A82" s="1">
        <v>81</v>
      </c>
      <c r="C82" s="1" t="s">
        <v>775</v>
      </c>
      <c r="D82" s="1">
        <v>412</v>
      </c>
      <c r="E82" s="4">
        <v>8.2149999999999999</v>
      </c>
      <c r="F82" s="4">
        <v>8.2680000000000007</v>
      </c>
      <c r="G82" s="4">
        <v>8.2840000000000007</v>
      </c>
      <c r="H82" s="4">
        <f t="shared" si="3"/>
        <v>0.14051391983432637</v>
      </c>
      <c r="I82" s="4">
        <f t="shared" si="4"/>
        <v>0.1935139198343272</v>
      </c>
      <c r="J82" s="4">
        <f t="shared" si="5"/>
        <v>0.20951391983432721</v>
      </c>
      <c r="L82" s="1">
        <v>0.14051391983432637</v>
      </c>
      <c r="M82" s="1">
        <v>0.1935139198343272</v>
      </c>
      <c r="N82" s="1">
        <v>0.20951391983432721</v>
      </c>
    </row>
    <row r="83" spans="1:14">
      <c r="A83" s="1">
        <v>82</v>
      </c>
      <c r="C83" s="1" t="s">
        <v>776</v>
      </c>
      <c r="D83" s="1">
        <v>412</v>
      </c>
      <c r="E83" s="4">
        <v>8.5389999999999997</v>
      </c>
      <c r="F83" s="4">
        <v>8.6059999999999999</v>
      </c>
      <c r="G83" s="4">
        <v>8.5429999999999993</v>
      </c>
      <c r="H83" s="4">
        <f t="shared" si="3"/>
        <v>0.46451391983432622</v>
      </c>
      <c r="I83" s="4">
        <f t="shared" si="4"/>
        <v>0.53151391983432639</v>
      </c>
      <c r="J83" s="4">
        <f t="shared" si="5"/>
        <v>0.46851391983432578</v>
      </c>
      <c r="L83" s="1">
        <v>0.46451391983432622</v>
      </c>
      <c r="M83" s="1">
        <v>0.53151391983432639</v>
      </c>
      <c r="N83" s="1">
        <v>0.46851391983432578</v>
      </c>
    </row>
    <row r="84" spans="1:14">
      <c r="A84" s="1">
        <v>83</v>
      </c>
      <c r="C84" s="1" t="s">
        <v>777</v>
      </c>
      <c r="D84" s="1">
        <v>412</v>
      </c>
      <c r="E84" s="4">
        <v>8.2970000000000006</v>
      </c>
      <c r="F84" s="4">
        <v>8.2750000000000004</v>
      </c>
      <c r="G84" s="4">
        <v>8.2230000000000008</v>
      </c>
      <c r="H84" s="4">
        <f t="shared" si="3"/>
        <v>0.22251391983432711</v>
      </c>
      <c r="I84" s="4">
        <f t="shared" si="4"/>
        <v>0.20051391983432687</v>
      </c>
      <c r="J84" s="4">
        <f t="shared" si="5"/>
        <v>0.14851391983432727</v>
      </c>
      <c r="L84" s="1">
        <v>0.22251391983432711</v>
      </c>
      <c r="M84" s="1">
        <v>0.20051391983432687</v>
      </c>
      <c r="N84" s="1">
        <v>0.14851391983432727</v>
      </c>
    </row>
    <row r="85" spans="1:14">
      <c r="A85" s="1">
        <v>84</v>
      </c>
      <c r="C85" s="82" t="s">
        <v>843</v>
      </c>
      <c r="D85" s="1">
        <v>412</v>
      </c>
      <c r="E85" s="4">
        <v>7.2080000000000002</v>
      </c>
      <c r="F85" s="4">
        <v>7.1870000000000003</v>
      </c>
      <c r="G85" s="4">
        <v>7.1980000000000004</v>
      </c>
      <c r="H85" s="4">
        <f t="shared" ref="H85" si="9">E85-(5*LOG(D85, 10)-5)</f>
        <v>-0.8664860801656733</v>
      </c>
      <c r="I85" s="4">
        <f t="shared" ref="I85" si="10">F85-(5*LOG(D85, 10)-5)</f>
        <v>-0.88748608016567321</v>
      </c>
      <c r="J85" s="4">
        <f t="shared" ref="J85" si="11">G85-(5*LOG(D85, 10)-5)</f>
        <v>-0.87648608016567309</v>
      </c>
      <c r="L85" s="1">
        <v>-0.8664860801656733</v>
      </c>
      <c r="M85" s="1">
        <v>-0.88748608016567321</v>
      </c>
      <c r="N85" s="1">
        <v>-0.87648608016567309</v>
      </c>
    </row>
    <row r="86" spans="1:14">
      <c r="A86" s="1">
        <v>85</v>
      </c>
      <c r="C86" s="1" t="s">
        <v>778</v>
      </c>
      <c r="D86" s="1">
        <v>412</v>
      </c>
      <c r="E86" s="4">
        <v>8.2449999999999992</v>
      </c>
      <c r="F86" s="4">
        <v>8.2349999999999994</v>
      </c>
      <c r="G86" s="4">
        <v>8.1950000000000003</v>
      </c>
      <c r="H86" s="4">
        <f t="shared" si="3"/>
        <v>0.17051391983432573</v>
      </c>
      <c r="I86" s="4">
        <f t="shared" si="4"/>
        <v>0.16051391983432595</v>
      </c>
      <c r="J86" s="4">
        <f t="shared" si="5"/>
        <v>0.1205139198343268</v>
      </c>
      <c r="L86" s="1">
        <v>0.17051391983432573</v>
      </c>
      <c r="M86" s="1">
        <v>0.16051391983432595</v>
      </c>
      <c r="N86" s="1">
        <v>0.1205139198343268</v>
      </c>
    </row>
    <row r="87" spans="1:14">
      <c r="A87" s="1">
        <v>86</v>
      </c>
      <c r="C87" s="1" t="s">
        <v>779</v>
      </c>
      <c r="D87" s="1">
        <v>412</v>
      </c>
      <c r="E87" s="4">
        <v>7.9950000000000001</v>
      </c>
      <c r="F87" s="4">
        <v>8.0259999999999998</v>
      </c>
      <c r="G87" s="4">
        <v>8.0299999999999994</v>
      </c>
      <c r="H87" s="4">
        <f t="shared" si="3"/>
        <v>-7.9486080165673378E-2</v>
      </c>
      <c r="I87" s="4">
        <f t="shared" si="4"/>
        <v>-4.8486080165673684E-2</v>
      </c>
      <c r="J87" s="4">
        <f t="shared" si="5"/>
        <v>-4.4486080165674124E-2</v>
      </c>
      <c r="L87" s="1">
        <v>-7.9486080165673378E-2</v>
      </c>
      <c r="M87" s="1">
        <v>-4.8486080165673684E-2</v>
      </c>
      <c r="N87" s="1">
        <v>-4.4486080165674124E-2</v>
      </c>
    </row>
    <row r="88" spans="1:14">
      <c r="A88" s="1">
        <v>87</v>
      </c>
      <c r="C88" s="1" t="s">
        <v>780</v>
      </c>
      <c r="D88" s="1">
        <v>412</v>
      </c>
      <c r="E88" s="4">
        <v>8.3219999999999992</v>
      </c>
      <c r="F88" s="4">
        <v>8.3510000000000009</v>
      </c>
      <c r="G88" s="4">
        <v>8.3740000000000006</v>
      </c>
      <c r="H88" s="4">
        <f t="shared" si="3"/>
        <v>0.24751391983432569</v>
      </c>
      <c r="I88" s="4">
        <f t="shared" si="4"/>
        <v>0.27651391983432738</v>
      </c>
      <c r="J88" s="4">
        <f t="shared" si="5"/>
        <v>0.29951391983432707</v>
      </c>
      <c r="L88" s="1">
        <v>0.24751391983432569</v>
      </c>
      <c r="M88" s="1">
        <v>0.27651391983432738</v>
      </c>
      <c r="N88" s="1">
        <v>0.29951391983432707</v>
      </c>
    </row>
    <row r="89" spans="1:14">
      <c r="A89" s="1">
        <v>88</v>
      </c>
      <c r="C89" s="1" t="s">
        <v>781</v>
      </c>
      <c r="D89" s="1">
        <v>412</v>
      </c>
      <c r="E89" s="4">
        <v>8.2629999999999999</v>
      </c>
      <c r="F89" s="4">
        <v>8.2720000000000002</v>
      </c>
      <c r="G89" s="4">
        <v>8.173</v>
      </c>
      <c r="H89" s="4">
        <f t="shared" si="3"/>
        <v>0.18851391983432642</v>
      </c>
      <c r="I89" s="4">
        <f t="shared" si="4"/>
        <v>0.19751391983432676</v>
      </c>
      <c r="J89" s="4">
        <f t="shared" si="5"/>
        <v>9.8513919834326558E-2</v>
      </c>
      <c r="L89" s="1">
        <v>0.18851391983432642</v>
      </c>
      <c r="M89" s="1">
        <v>0.19751391983432676</v>
      </c>
      <c r="N89" s="1">
        <v>9.8513919834326558E-2</v>
      </c>
    </row>
    <row r="90" spans="1:14">
      <c r="A90" s="1">
        <v>89</v>
      </c>
      <c r="C90" s="1" t="s">
        <v>782</v>
      </c>
      <c r="D90" s="1">
        <v>412</v>
      </c>
      <c r="E90" s="4">
        <v>6.8769999999999998</v>
      </c>
      <c r="F90" s="4">
        <v>6.7160000000000002</v>
      </c>
      <c r="G90" s="4">
        <v>6.5940000000000003</v>
      </c>
      <c r="H90" s="4">
        <f t="shared" si="3"/>
        <v>-1.1974860801656737</v>
      </c>
      <c r="I90" s="4">
        <f t="shared" si="4"/>
        <v>-1.3584860801656733</v>
      </c>
      <c r="J90" s="4">
        <f t="shared" si="5"/>
        <v>-1.4804860801656732</v>
      </c>
      <c r="L90" s="1">
        <v>-1.1974860801656737</v>
      </c>
      <c r="M90" s="1">
        <v>-1.3584860801656733</v>
      </c>
      <c r="N90" s="1">
        <v>-1.4804860801656732</v>
      </c>
    </row>
    <row r="91" spans="1:14">
      <c r="A91" s="1">
        <v>90</v>
      </c>
      <c r="C91" s="1" t="s">
        <v>783</v>
      </c>
      <c r="D91" s="1">
        <v>412</v>
      </c>
      <c r="E91" s="4">
        <v>8.2720000000000002</v>
      </c>
      <c r="F91" s="4">
        <v>8.2729999999999997</v>
      </c>
      <c r="G91" s="4">
        <v>8.2910000000000004</v>
      </c>
      <c r="H91" s="4">
        <f t="shared" si="3"/>
        <v>0.19751391983432676</v>
      </c>
      <c r="I91" s="4">
        <f t="shared" si="4"/>
        <v>0.1985139198343262</v>
      </c>
      <c r="J91" s="4">
        <f t="shared" si="5"/>
        <v>0.21651391983432688</v>
      </c>
      <c r="L91" s="1">
        <v>0.19751391983432676</v>
      </c>
      <c r="M91" s="1">
        <v>0.1985139198343262</v>
      </c>
      <c r="N91" s="1">
        <v>0.21651391983432688</v>
      </c>
    </row>
    <row r="92" spans="1:14">
      <c r="A92" s="1">
        <v>91</v>
      </c>
      <c r="B92" s="79" t="s">
        <v>96</v>
      </c>
      <c r="C92" s="1" t="s">
        <v>784</v>
      </c>
      <c r="D92" s="1">
        <v>149</v>
      </c>
      <c r="E92" s="4">
        <v>6.431</v>
      </c>
      <c r="F92" s="4">
        <v>6.5090000000000003</v>
      </c>
      <c r="G92" s="4">
        <v>6.468</v>
      </c>
      <c r="H92" s="4">
        <f t="shared" si="3"/>
        <v>0.56506865793863081</v>
      </c>
      <c r="I92" s="4">
        <f t="shared" si="4"/>
        <v>0.64306865793863111</v>
      </c>
      <c r="J92" s="4">
        <f t="shared" si="5"/>
        <v>0.60206865793863074</v>
      </c>
      <c r="L92" s="1">
        <v>0.56506865793863081</v>
      </c>
      <c r="M92" s="1">
        <v>0.64306865793863111</v>
      </c>
      <c r="N92" s="1">
        <v>0.60206865793863074</v>
      </c>
    </row>
    <row r="93" spans="1:14">
      <c r="A93" s="1">
        <v>92</v>
      </c>
      <c r="C93" s="1" t="s">
        <v>785</v>
      </c>
      <c r="D93" s="1">
        <v>149</v>
      </c>
      <c r="E93" s="4">
        <v>5.7889999999999997</v>
      </c>
      <c r="F93" s="4">
        <v>5.867</v>
      </c>
      <c r="G93" s="4">
        <v>5.8760000000000003</v>
      </c>
      <c r="H93" s="4">
        <f t="shared" ref="H93:H114" si="12">E93-(5*LOG(D93, 10)-5)</f>
        <v>-7.6931342061369534E-2</v>
      </c>
      <c r="I93" s="4">
        <f t="shared" ref="I93:I114" si="13">F93-(5*LOG(D93, 10)-5)</f>
        <v>1.0686579386307571E-3</v>
      </c>
      <c r="J93" s="4">
        <f t="shared" ref="J93:J114" si="14">G93-(5*LOG(D93, 10)-5)</f>
        <v>1.0068657938631098E-2</v>
      </c>
      <c r="L93" s="1">
        <v>-7.6931342061369534E-2</v>
      </c>
      <c r="M93" s="1">
        <v>1.0686579386307571E-3</v>
      </c>
      <c r="N93" s="1">
        <v>1.0068657938631098E-2</v>
      </c>
    </row>
    <row r="94" spans="1:14">
      <c r="A94" s="1">
        <v>93</v>
      </c>
      <c r="C94" s="1" t="s">
        <v>786</v>
      </c>
      <c r="D94" s="1">
        <v>149</v>
      </c>
      <c r="E94" s="4">
        <v>6.79</v>
      </c>
      <c r="F94" s="4">
        <v>6.8239999999999998</v>
      </c>
      <c r="G94" s="4">
        <v>6.7629999999999999</v>
      </c>
      <c r="H94" s="4">
        <f t="shared" si="12"/>
        <v>0.9240686579386308</v>
      </c>
      <c r="I94" s="4">
        <f t="shared" si="13"/>
        <v>0.95806865793863061</v>
      </c>
      <c r="J94" s="4">
        <f t="shared" si="14"/>
        <v>0.89706865793863066</v>
      </c>
      <c r="L94" s="1">
        <v>0.9240686579386308</v>
      </c>
      <c r="M94" s="1">
        <v>0.95806865793863061</v>
      </c>
      <c r="N94" s="1">
        <v>0.89706865793863066</v>
      </c>
    </row>
    <row r="95" spans="1:14">
      <c r="A95" s="1">
        <v>94</v>
      </c>
      <c r="C95" s="1" t="s">
        <v>787</v>
      </c>
      <c r="D95" s="1">
        <v>149</v>
      </c>
      <c r="E95" s="4">
        <v>5.056</v>
      </c>
      <c r="F95" s="4">
        <v>5.109</v>
      </c>
      <c r="G95" s="4">
        <v>5.0940000000000003</v>
      </c>
      <c r="H95" s="4">
        <f t="shared" si="12"/>
        <v>-0.80993134206136919</v>
      </c>
      <c r="I95" s="4">
        <f t="shared" si="13"/>
        <v>-0.75693134206136925</v>
      </c>
      <c r="J95" s="4">
        <f t="shared" si="14"/>
        <v>-0.77193134206136893</v>
      </c>
      <c r="L95" s="1">
        <v>-0.80993134206136919</v>
      </c>
      <c r="M95" s="1">
        <v>-0.75693134206136925</v>
      </c>
      <c r="N95" s="1">
        <v>-0.77193134206136893</v>
      </c>
    </row>
    <row r="96" spans="1:14">
      <c r="A96" s="1">
        <v>95</v>
      </c>
      <c r="C96" s="1" t="s">
        <v>788</v>
      </c>
      <c r="D96" s="1">
        <v>149</v>
      </c>
      <c r="E96" s="4">
        <v>6.7839999999999998</v>
      </c>
      <c r="F96" s="4">
        <v>6.8109999999999999</v>
      </c>
      <c r="G96" s="4">
        <v>6.7949999999999999</v>
      </c>
      <c r="H96" s="4">
        <f t="shared" si="12"/>
        <v>0.91806865793863057</v>
      </c>
      <c r="I96" s="4">
        <f t="shared" si="13"/>
        <v>0.94506865793863071</v>
      </c>
      <c r="J96" s="4">
        <f t="shared" si="14"/>
        <v>0.92906865793863069</v>
      </c>
      <c r="L96" s="1">
        <v>0.91806865793863057</v>
      </c>
      <c r="M96" s="1">
        <v>0.94506865793863071</v>
      </c>
      <c r="N96" s="1">
        <v>0.92906865793863069</v>
      </c>
    </row>
    <row r="97" spans="1:14">
      <c r="A97" s="1">
        <v>96</v>
      </c>
      <c r="C97" s="1" t="s">
        <v>789</v>
      </c>
      <c r="D97" s="1">
        <v>149</v>
      </c>
      <c r="E97" s="4">
        <v>5.07</v>
      </c>
      <c r="F97" s="4">
        <v>5.1459999999999999</v>
      </c>
      <c r="G97" s="4">
        <v>5.133</v>
      </c>
      <c r="H97" s="4">
        <f t="shared" si="12"/>
        <v>-0.79593134206136895</v>
      </c>
      <c r="I97" s="4">
        <f t="shared" si="13"/>
        <v>-0.71993134206136933</v>
      </c>
      <c r="J97" s="4">
        <f t="shared" si="14"/>
        <v>-0.73293134206136923</v>
      </c>
      <c r="L97" s="1">
        <v>-0.79593134206136895</v>
      </c>
      <c r="M97" s="1">
        <v>-0.71993134206136933</v>
      </c>
      <c r="N97" s="1">
        <v>-0.73293134206136923</v>
      </c>
    </row>
    <row r="98" spans="1:14">
      <c r="A98" s="1">
        <v>97</v>
      </c>
      <c r="C98" s="1" t="s">
        <v>790</v>
      </c>
      <c r="D98" s="1">
        <v>149</v>
      </c>
      <c r="E98" s="4">
        <v>7.218</v>
      </c>
      <c r="F98" s="4">
        <v>7.2830000000000004</v>
      </c>
      <c r="G98" s="4">
        <v>7.24</v>
      </c>
      <c r="H98" s="4">
        <f t="shared" si="12"/>
        <v>1.3520686579386307</v>
      </c>
      <c r="I98" s="4">
        <f t="shared" si="13"/>
        <v>1.4170686579386311</v>
      </c>
      <c r="J98" s="4">
        <f t="shared" si="14"/>
        <v>1.374068657938631</v>
      </c>
      <c r="L98" s="1">
        <v>1.3520686579386307</v>
      </c>
      <c r="M98" s="1">
        <v>1.4170686579386311</v>
      </c>
      <c r="N98" s="1">
        <v>1.374068657938631</v>
      </c>
    </row>
    <row r="99" spans="1:14">
      <c r="A99" s="1">
        <v>98</v>
      </c>
      <c r="C99" s="1" t="s">
        <v>791</v>
      </c>
      <c r="D99" s="1">
        <v>149</v>
      </c>
      <c r="E99" s="4">
        <v>7.4939999999999998</v>
      </c>
      <c r="F99" s="4">
        <v>7.5350000000000001</v>
      </c>
      <c r="G99" s="4">
        <v>7.4669999999999996</v>
      </c>
      <c r="H99" s="4">
        <f t="shared" si="12"/>
        <v>1.6280686579386305</v>
      </c>
      <c r="I99" s="4">
        <f t="shared" si="13"/>
        <v>1.6690686579386309</v>
      </c>
      <c r="J99" s="4">
        <f t="shared" si="14"/>
        <v>1.6010686579386304</v>
      </c>
      <c r="L99" s="1">
        <v>1.6280686579386305</v>
      </c>
      <c r="M99" s="1">
        <v>1.6690686579386309</v>
      </c>
      <c r="N99" s="1">
        <v>1.6010686579386304</v>
      </c>
    </row>
    <row r="100" spans="1:14">
      <c r="A100" s="1">
        <v>99</v>
      </c>
      <c r="C100" s="1" t="s">
        <v>792</v>
      </c>
      <c r="D100" s="1">
        <v>149</v>
      </c>
      <c r="E100" s="4">
        <v>8.6560000000000006</v>
      </c>
      <c r="F100" s="4">
        <v>8.6140000000000008</v>
      </c>
      <c r="G100" s="4">
        <v>8.6080000000000005</v>
      </c>
      <c r="H100" s="4">
        <f t="shared" si="12"/>
        <v>2.7900686579386313</v>
      </c>
      <c r="I100" s="4">
        <f t="shared" si="13"/>
        <v>2.7480686579386315</v>
      </c>
      <c r="J100" s="4">
        <f t="shared" si="14"/>
        <v>2.7420686579386313</v>
      </c>
      <c r="L100" s="1">
        <v>2.7900686579386313</v>
      </c>
      <c r="M100" s="1">
        <v>2.7480686579386315</v>
      </c>
      <c r="N100" s="1">
        <v>2.7420686579386313</v>
      </c>
    </row>
    <row r="101" spans="1:14">
      <c r="A101" s="1">
        <v>100</v>
      </c>
      <c r="C101" s="1" t="s">
        <v>793</v>
      </c>
      <c r="D101" s="1">
        <v>149</v>
      </c>
      <c r="E101" s="4">
        <v>6.6260000000000003</v>
      </c>
      <c r="F101" s="4">
        <v>6.0289999999999999</v>
      </c>
      <c r="G101" s="4">
        <v>5.8819999999999997</v>
      </c>
      <c r="H101" s="4">
        <f t="shared" si="12"/>
        <v>0.7600686579386311</v>
      </c>
      <c r="I101" s="4">
        <f t="shared" si="13"/>
        <v>0.16306865793863068</v>
      </c>
      <c r="J101" s="4">
        <f t="shared" si="14"/>
        <v>1.6068657938630437E-2</v>
      </c>
      <c r="L101" s="1">
        <v>0.7600686579386311</v>
      </c>
      <c r="M101" s="1">
        <v>0.16306865793863068</v>
      </c>
      <c r="N101" s="1">
        <v>1.6068657938630437E-2</v>
      </c>
    </row>
    <row r="102" spans="1:14">
      <c r="A102" s="1">
        <v>101</v>
      </c>
      <c r="C102" s="1" t="s">
        <v>794</v>
      </c>
      <c r="D102" s="1">
        <v>149</v>
      </c>
      <c r="E102" s="4">
        <v>8.3719999999999999</v>
      </c>
      <c r="F102" s="4">
        <v>8.2569999999999997</v>
      </c>
      <c r="G102" s="4">
        <v>8.1370000000000005</v>
      </c>
      <c r="H102" s="4">
        <f t="shared" si="12"/>
        <v>2.5060686579386307</v>
      </c>
      <c r="I102" s="4">
        <f t="shared" si="13"/>
        <v>2.3910686579386304</v>
      </c>
      <c r="J102" s="4">
        <f t="shared" si="14"/>
        <v>2.2710686579386312</v>
      </c>
      <c r="L102" s="1">
        <v>2.5060686579386307</v>
      </c>
      <c r="M102" s="1">
        <v>2.3910686579386304</v>
      </c>
      <c r="N102" s="1">
        <v>2.2710686579386312</v>
      </c>
    </row>
    <row r="103" spans="1:14">
      <c r="A103" s="1">
        <v>102</v>
      </c>
      <c r="C103" s="1" t="s">
        <v>795</v>
      </c>
      <c r="D103" s="1">
        <v>149</v>
      </c>
      <c r="E103" s="4">
        <v>5.9260000000000002</v>
      </c>
      <c r="F103" s="4">
        <v>5.1820000000000004</v>
      </c>
      <c r="G103" s="4">
        <v>4.92</v>
      </c>
      <c r="H103" s="4">
        <f t="shared" si="12"/>
        <v>6.0068657938630921E-2</v>
      </c>
      <c r="I103" s="4">
        <f t="shared" si="13"/>
        <v>-0.68393134206136885</v>
      </c>
      <c r="J103" s="4">
        <f t="shared" si="14"/>
        <v>-0.94593134206136931</v>
      </c>
      <c r="L103" s="1">
        <v>6.0068657938630921E-2</v>
      </c>
      <c r="M103" s="1">
        <v>-0.68393134206136885</v>
      </c>
      <c r="N103" s="1">
        <v>-0.94593134206136931</v>
      </c>
    </row>
    <row r="104" spans="1:14">
      <c r="A104" s="1">
        <v>103</v>
      </c>
      <c r="C104" s="1" t="s">
        <v>796</v>
      </c>
      <c r="D104" s="1">
        <v>149</v>
      </c>
      <c r="E104" s="4">
        <v>7.9829999999999997</v>
      </c>
      <c r="F104" s="4">
        <v>7.9969999999999999</v>
      </c>
      <c r="G104" s="4">
        <v>7.907</v>
      </c>
      <c r="H104" s="4">
        <f t="shared" si="12"/>
        <v>2.1170686579386304</v>
      </c>
      <c r="I104" s="4">
        <f t="shared" si="13"/>
        <v>2.1310686579386307</v>
      </c>
      <c r="J104" s="4">
        <f t="shared" si="14"/>
        <v>2.0410686579386308</v>
      </c>
      <c r="L104" s="1">
        <v>2.1170686579386304</v>
      </c>
      <c r="M104" s="1">
        <v>2.1310686579386307</v>
      </c>
      <c r="N104" s="1">
        <v>2.0410686579386308</v>
      </c>
    </row>
    <row r="105" spans="1:14">
      <c r="A105" s="1">
        <v>104</v>
      </c>
      <c r="C105" s="1" t="s">
        <v>797</v>
      </c>
      <c r="D105" s="1">
        <v>149</v>
      </c>
      <c r="E105" s="4">
        <v>8.4440000000000008</v>
      </c>
      <c r="F105" s="4">
        <v>8.2669999999999995</v>
      </c>
      <c r="G105" s="4">
        <v>8.2119999999999997</v>
      </c>
      <c r="H105" s="4">
        <f t="shared" si="12"/>
        <v>2.5780686579386316</v>
      </c>
      <c r="I105" s="4">
        <f t="shared" si="13"/>
        <v>2.4010686579386302</v>
      </c>
      <c r="J105" s="4">
        <f t="shared" si="14"/>
        <v>2.3460686579386305</v>
      </c>
      <c r="L105" s="1">
        <v>2.5780686579386316</v>
      </c>
      <c r="M105" s="1">
        <v>2.4010686579386302</v>
      </c>
      <c r="N105" s="1">
        <v>2.3460686579386305</v>
      </c>
    </row>
    <row r="106" spans="1:14">
      <c r="A106" s="1">
        <v>105</v>
      </c>
      <c r="C106" s="1" t="s">
        <v>798</v>
      </c>
      <c r="D106" s="1">
        <v>149</v>
      </c>
      <c r="E106" s="4">
        <v>8.2889999999999997</v>
      </c>
      <c r="F106" s="4">
        <v>8.0589999999999993</v>
      </c>
      <c r="G106" s="4">
        <v>7.9889999999999999</v>
      </c>
      <c r="H106" s="4">
        <f t="shared" si="12"/>
        <v>2.4230686579386305</v>
      </c>
      <c r="I106" s="4">
        <f t="shared" si="13"/>
        <v>2.19306865793863</v>
      </c>
      <c r="J106" s="4">
        <f t="shared" si="14"/>
        <v>2.1230686579386306</v>
      </c>
      <c r="L106" s="1">
        <v>2.4230686579386305</v>
      </c>
      <c r="M106" s="1">
        <v>2.19306865793863</v>
      </c>
      <c r="N106" s="1">
        <v>2.1230686579386306</v>
      </c>
    </row>
    <row r="107" spans="1:14">
      <c r="A107" s="1">
        <v>106</v>
      </c>
      <c r="C107" s="1" t="s">
        <v>799</v>
      </c>
      <c r="D107" s="1">
        <v>149</v>
      </c>
      <c r="E107" s="4">
        <v>7.3719999999999999</v>
      </c>
      <c r="F107" s="4">
        <v>7.1159999999999997</v>
      </c>
      <c r="G107" s="4">
        <v>7.0149999999999997</v>
      </c>
      <c r="H107" s="4">
        <f t="shared" si="12"/>
        <v>1.5060686579386307</v>
      </c>
      <c r="I107" s="4">
        <f t="shared" si="13"/>
        <v>1.2500686579386304</v>
      </c>
      <c r="J107" s="4">
        <f t="shared" si="14"/>
        <v>1.1490686579386304</v>
      </c>
      <c r="L107" s="1">
        <v>1.5060686579386307</v>
      </c>
      <c r="M107" s="1">
        <v>1.2500686579386304</v>
      </c>
      <c r="N107" s="1">
        <v>1.1490686579386304</v>
      </c>
    </row>
    <row r="108" spans="1:14">
      <c r="A108" s="1">
        <v>107</v>
      </c>
      <c r="C108" s="1" t="s">
        <v>800</v>
      </c>
      <c r="D108" s="1">
        <v>149</v>
      </c>
      <c r="E108" s="4">
        <v>5.1859999999999999</v>
      </c>
      <c r="F108" s="4">
        <v>5.2350000000000003</v>
      </c>
      <c r="G108" s="4">
        <v>5.2409999999999997</v>
      </c>
      <c r="H108" s="4">
        <f t="shared" si="12"/>
        <v>-0.67993134206136929</v>
      </c>
      <c r="I108" s="4">
        <f t="shared" si="13"/>
        <v>-0.63093134206136892</v>
      </c>
      <c r="J108" s="4">
        <f t="shared" si="14"/>
        <v>-0.62493134206136958</v>
      </c>
      <c r="L108" s="1">
        <v>-0.67993134206136929</v>
      </c>
      <c r="M108" s="1">
        <v>-0.63093134206136892</v>
      </c>
      <c r="N108" s="1">
        <v>-0.62493134206136958</v>
      </c>
    </row>
    <row r="109" spans="1:14">
      <c r="A109" s="1">
        <v>108</v>
      </c>
      <c r="C109" s="1" t="s">
        <v>801</v>
      </c>
      <c r="D109" s="1">
        <v>149</v>
      </c>
      <c r="E109" s="4">
        <v>8.0709999999999997</v>
      </c>
      <c r="F109" s="4">
        <v>7.7279999999999998</v>
      </c>
      <c r="G109" s="4">
        <v>7.64</v>
      </c>
      <c r="H109" s="4">
        <f t="shared" si="12"/>
        <v>2.2050686579386305</v>
      </c>
      <c r="I109" s="4">
        <f t="shared" si="13"/>
        <v>1.8620686579386305</v>
      </c>
      <c r="J109" s="4">
        <f t="shared" si="14"/>
        <v>1.7740686579386304</v>
      </c>
      <c r="L109" s="1">
        <v>2.2050686579386305</v>
      </c>
      <c r="M109" s="1">
        <v>1.8620686579386305</v>
      </c>
      <c r="N109" s="1">
        <v>1.7740686579386304</v>
      </c>
    </row>
    <row r="110" spans="1:14">
      <c r="A110" s="1">
        <v>109</v>
      </c>
      <c r="C110" s="1" t="s">
        <v>802</v>
      </c>
      <c r="D110" s="1">
        <v>149</v>
      </c>
      <c r="E110" s="4">
        <v>7.8019999999999996</v>
      </c>
      <c r="F110" s="4">
        <v>7.7770000000000001</v>
      </c>
      <c r="G110" s="4">
        <v>7.718</v>
      </c>
      <c r="H110" s="4">
        <f t="shared" si="12"/>
        <v>1.9360686579386304</v>
      </c>
      <c r="I110" s="4">
        <f t="shared" si="13"/>
        <v>1.9110686579386309</v>
      </c>
      <c r="J110" s="4">
        <f t="shared" si="14"/>
        <v>1.8520686579386307</v>
      </c>
      <c r="L110" s="1">
        <v>1.9360686579386304</v>
      </c>
      <c r="M110" s="1">
        <v>1.9110686579386309</v>
      </c>
      <c r="N110" s="1">
        <v>1.8520686579386307</v>
      </c>
    </row>
    <row r="111" spans="1:14">
      <c r="A111" s="1">
        <v>110</v>
      </c>
      <c r="C111" s="1" t="s">
        <v>803</v>
      </c>
      <c r="D111" s="1">
        <v>149</v>
      </c>
      <c r="E111" s="4">
        <v>7.8789999999999996</v>
      </c>
      <c r="F111" s="4">
        <v>7.8529999999999998</v>
      </c>
      <c r="G111" s="4">
        <v>7.7960000000000003</v>
      </c>
      <c r="H111" s="4">
        <f t="shared" si="12"/>
        <v>2.0130686579386303</v>
      </c>
      <c r="I111" s="4">
        <f t="shared" si="13"/>
        <v>1.9870686579386305</v>
      </c>
      <c r="J111" s="4">
        <f t="shared" si="14"/>
        <v>1.930068657938631</v>
      </c>
      <c r="L111" s="1">
        <v>2.0130686579386303</v>
      </c>
      <c r="M111" s="1">
        <v>1.9870686579386305</v>
      </c>
      <c r="N111" s="1">
        <v>1.930068657938631</v>
      </c>
    </row>
    <row r="112" spans="1:14">
      <c r="A112" s="1">
        <v>111</v>
      </c>
      <c r="C112" s="1" t="s">
        <v>804</v>
      </c>
      <c r="D112" s="1">
        <v>149</v>
      </c>
      <c r="E112" s="4">
        <v>8.02</v>
      </c>
      <c r="F112" s="4">
        <v>7.7990000000000004</v>
      </c>
      <c r="G112" s="4">
        <v>7.7789999999999999</v>
      </c>
      <c r="H112" s="4">
        <f t="shared" si="12"/>
        <v>2.1540686579386303</v>
      </c>
      <c r="I112" s="4">
        <f t="shared" si="13"/>
        <v>1.9330686579386311</v>
      </c>
      <c r="J112" s="4">
        <f t="shared" si="14"/>
        <v>1.9130686579386307</v>
      </c>
      <c r="L112" s="1">
        <v>2.1540686579386303</v>
      </c>
      <c r="M112" s="1">
        <v>1.9330686579386311</v>
      </c>
      <c r="N112" s="1">
        <v>1.9130686579386307</v>
      </c>
    </row>
    <row r="113" spans="1:14">
      <c r="A113" s="1">
        <v>112</v>
      </c>
      <c r="C113" s="1" t="s">
        <v>805</v>
      </c>
      <c r="D113" s="1">
        <v>149</v>
      </c>
      <c r="E113" s="4">
        <v>7.7629999999999999</v>
      </c>
      <c r="F113" s="4">
        <v>7.5839999999999996</v>
      </c>
      <c r="G113" s="4">
        <v>7.5460000000000003</v>
      </c>
      <c r="H113" s="4">
        <f t="shared" si="12"/>
        <v>1.8970686579386307</v>
      </c>
      <c r="I113" s="4">
        <f t="shared" si="13"/>
        <v>1.7180686579386304</v>
      </c>
      <c r="J113" s="4">
        <f t="shared" si="14"/>
        <v>1.680068657938631</v>
      </c>
      <c r="L113" s="1">
        <v>1.8970686579386307</v>
      </c>
      <c r="M113" s="1">
        <v>1.7180686579386304</v>
      </c>
      <c r="N113" s="1">
        <v>1.680068657938631</v>
      </c>
    </row>
    <row r="114" spans="1:14">
      <c r="A114" s="1">
        <v>113</v>
      </c>
      <c r="C114" s="1" t="s">
        <v>806</v>
      </c>
      <c r="D114" s="1">
        <v>149</v>
      </c>
      <c r="E114" s="4">
        <v>8.49</v>
      </c>
      <c r="F114" s="4">
        <v>8.3409999999999993</v>
      </c>
      <c r="G114" s="4">
        <v>8.2460000000000004</v>
      </c>
      <c r="H114" s="4">
        <f t="shared" si="12"/>
        <v>2.624068657938631</v>
      </c>
      <c r="I114" s="4">
        <f t="shared" si="13"/>
        <v>2.4750686579386301</v>
      </c>
      <c r="J114" s="4">
        <f t="shared" si="14"/>
        <v>2.3800686579386312</v>
      </c>
      <c r="L114" s="1">
        <v>2.624068657938631</v>
      </c>
      <c r="M114" s="1">
        <v>2.4750686579386301</v>
      </c>
      <c r="N114" s="1">
        <v>2.3800686579386312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C119"/>
  <sheetViews>
    <sheetView topLeftCell="A92" workbookViewId="0">
      <selection activeCell="H92" sqref="H92:J114"/>
    </sheetView>
  </sheetViews>
  <sheetFormatPr baseColWidth="10" defaultRowHeight="15" x14ac:dyDescent="0"/>
  <cols>
    <col min="1" max="2" width="10.83203125" style="1"/>
    <col min="3" max="3" width="15.6640625" style="1" customWidth="1"/>
    <col min="4" max="13" width="10.83203125" style="1"/>
    <col min="14" max="14" width="12.1640625" style="1" customWidth="1"/>
    <col min="15" max="15" width="10.33203125" style="1" customWidth="1"/>
    <col min="16" max="27" width="10.83203125" style="1"/>
    <col min="28" max="28" width="34.1640625" style="1" customWidth="1"/>
    <col min="29" max="29" width="44.33203125" style="1" customWidth="1"/>
    <col min="30" max="16384" width="10.83203125" style="1"/>
  </cols>
  <sheetData>
    <row r="1" spans="1:29">
      <c r="A1" s="77" t="s">
        <v>687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830</v>
      </c>
      <c r="I1" s="75" t="s">
        <v>831</v>
      </c>
      <c r="J1" s="75" t="s">
        <v>832</v>
      </c>
      <c r="K1" s="77" t="s">
        <v>679</v>
      </c>
      <c r="L1" s="75" t="s">
        <v>680</v>
      </c>
      <c r="M1" s="77" t="s">
        <v>833</v>
      </c>
      <c r="N1" s="77" t="s">
        <v>834</v>
      </c>
      <c r="O1" s="77" t="s">
        <v>690</v>
      </c>
      <c r="P1" s="77" t="s">
        <v>691</v>
      </c>
      <c r="Q1" s="77" t="s">
        <v>692</v>
      </c>
      <c r="R1" s="77" t="s">
        <v>835</v>
      </c>
      <c r="S1" s="77" t="s">
        <v>836</v>
      </c>
      <c r="T1" s="77" t="s">
        <v>690</v>
      </c>
      <c r="U1" s="77" t="s">
        <v>691</v>
      </c>
      <c r="V1" s="77" t="s">
        <v>693</v>
      </c>
      <c r="W1" s="77" t="s">
        <v>837</v>
      </c>
      <c r="X1" s="77" t="s">
        <v>838</v>
      </c>
      <c r="Y1" s="77" t="s">
        <v>690</v>
      </c>
      <c r="Z1" s="77" t="s">
        <v>691</v>
      </c>
      <c r="AA1" s="77" t="s">
        <v>694</v>
      </c>
      <c r="AB1" s="77" t="s">
        <v>64</v>
      </c>
      <c r="AC1" s="77" t="s">
        <v>123</v>
      </c>
    </row>
    <row r="2" spans="1:29">
      <c r="A2" s="1">
        <v>0</v>
      </c>
      <c r="B2" s="62" t="str">
        <f>'2MASS Singles'!B2</f>
        <v>IC 2391</v>
      </c>
      <c r="C2" s="1" t="str">
        <f>'2MASS Singles'!C2</f>
        <v xml:space="preserve"> HD73287 </v>
      </c>
      <c r="D2" s="56">
        <f>'2MASS Singles'!D2</f>
        <v>145</v>
      </c>
      <c r="E2" s="138">
        <f>'2MASS Singles'!H2</f>
        <v>1.4601599888251284</v>
      </c>
      <c r="F2" s="122">
        <f>'2MASS Singles'!I2</f>
        <v>1.5431599888251277</v>
      </c>
      <c r="G2" s="139">
        <f>'2MASS Singles'!J2</f>
        <v>1.549159988825128</v>
      </c>
      <c r="H2" s="146">
        <v>2.464</v>
      </c>
      <c r="I2" s="147">
        <v>2.4129999999999998</v>
      </c>
      <c r="J2" s="148">
        <v>2.4279999999999999</v>
      </c>
      <c r="K2" s="54">
        <f t="shared" ref="K2" si="0">STDEV(H2,I2,J2)</f>
        <v>2.6210684844162384E-2</v>
      </c>
      <c r="L2" s="53">
        <f t="shared" ref="L2" si="1">K2/(AVERAGE(H2,I2,J2))</f>
        <v>1.0764141619779212E-2</v>
      </c>
      <c r="M2" s="159">
        <v>2.456</v>
      </c>
      <c r="N2" s="147">
        <v>2.4729999999999999</v>
      </c>
      <c r="O2" s="122">
        <f t="shared" ref="O2" si="2">ABS(M2-H2)</f>
        <v>8.0000000000000071E-3</v>
      </c>
      <c r="P2" s="122">
        <f>ABS(N2-H2)</f>
        <v>8.999999999999897E-3</v>
      </c>
      <c r="Q2" s="130">
        <f>AVERAGE(O2, P2)</f>
        <v>8.499999999999952E-3</v>
      </c>
      <c r="R2" s="146">
        <v>2.403</v>
      </c>
      <c r="S2" s="147">
        <v>2.4220000000000002</v>
      </c>
      <c r="T2" s="122">
        <f t="shared" ref="T2" si="3">ABS(R2-I2)</f>
        <v>9.9999999999997868E-3</v>
      </c>
      <c r="U2" s="122">
        <f t="shared" ref="U2" si="4">ABS(S2-I2)</f>
        <v>9.0000000000003411E-3</v>
      </c>
      <c r="V2" s="130">
        <f>AVERAGE(T2, U2)</f>
        <v>9.5000000000000639E-3</v>
      </c>
      <c r="W2" s="146">
        <v>2.419</v>
      </c>
      <c r="X2" s="147">
        <v>2.4369999999999998</v>
      </c>
      <c r="Y2" s="135">
        <f t="shared" ref="Y2" si="5">ABS(W2-J2)</f>
        <v>8.999999999999897E-3</v>
      </c>
      <c r="Z2" s="122">
        <f t="shared" ref="Z2" si="6">ABS(X2-J2)</f>
        <v>8.999999999999897E-3</v>
      </c>
      <c r="AA2" s="130">
        <f>AVERAGE(Y2, Z2)</f>
        <v>8.999999999999897E-3</v>
      </c>
    </row>
    <row r="3" spans="1:29">
      <c r="A3" s="1">
        <v>1</v>
      </c>
      <c r="C3" s="1" t="str">
        <f>'2MASS Singles'!C3</f>
        <v xml:space="preserve"> HD73904 </v>
      </c>
      <c r="D3" s="81">
        <f>'2MASS Singles'!D3</f>
        <v>145</v>
      </c>
      <c r="E3" s="140">
        <f>'2MASS Singles'!H3</f>
        <v>1.6931599888251281</v>
      </c>
      <c r="F3" s="136">
        <f>'2MASS Singles'!I3</f>
        <v>1.6991599888251283</v>
      </c>
      <c r="G3" s="141">
        <f>'2MASS Singles'!J3</f>
        <v>1.6581599888251279</v>
      </c>
      <c r="H3" s="110">
        <v>2.2450000000000001</v>
      </c>
      <c r="I3" s="91">
        <v>2.2400000000000002</v>
      </c>
      <c r="J3" s="149">
        <v>2.3210000000000002</v>
      </c>
      <c r="K3" s="54">
        <f t="shared" ref="K3:K65" si="7">STDEV(H3,I3,J3)</f>
        <v>4.5390894828515264E-2</v>
      </c>
      <c r="L3" s="53">
        <f t="shared" ref="L3:L65" si="8">K3/(AVERAGE(H3,I3,J3))</f>
        <v>2.0007740888267084E-2</v>
      </c>
      <c r="M3" s="160">
        <v>2.2309999999999999</v>
      </c>
      <c r="N3" s="91">
        <v>2.2589999999999999</v>
      </c>
      <c r="O3" s="124">
        <f t="shared" ref="O3:O65" si="9">ABS(M3-H3)</f>
        <v>1.4000000000000234E-2</v>
      </c>
      <c r="P3" s="124">
        <f t="shared" ref="P3:P65" si="10">ABS(N3-H3)</f>
        <v>1.399999999999979E-2</v>
      </c>
      <c r="Q3" s="131">
        <f t="shared" ref="Q3:Q65" si="11">AVERAGE(O3, P3)</f>
        <v>1.4000000000000012E-2</v>
      </c>
      <c r="R3" s="110">
        <v>2.2229999999999999</v>
      </c>
      <c r="S3" s="91">
        <v>2.2559999999999998</v>
      </c>
      <c r="T3" s="124">
        <f t="shared" ref="T3:T65" si="12">ABS(R3-I3)</f>
        <v>1.7000000000000348E-2</v>
      </c>
      <c r="U3" s="124">
        <f t="shared" ref="U3:U65" si="13">ABS(S3-I3)</f>
        <v>1.599999999999957E-2</v>
      </c>
      <c r="V3" s="131">
        <f t="shared" ref="V3:V65" si="14">AVERAGE(T3, U3)</f>
        <v>1.6499999999999959E-2</v>
      </c>
      <c r="W3" s="110">
        <v>2.3090000000000002</v>
      </c>
      <c r="X3" s="91">
        <v>2.3319999999999999</v>
      </c>
      <c r="Y3" s="136">
        <f t="shared" ref="Y3:Y65" si="15">ABS(W3-J3)</f>
        <v>1.2000000000000011E-2</v>
      </c>
      <c r="Z3" s="124">
        <f t="shared" ref="Z3:Z65" si="16">ABS(X3-J3)</f>
        <v>1.0999999999999677E-2</v>
      </c>
      <c r="AA3" s="131">
        <f t="shared" ref="AA3:AA65" si="17">AVERAGE(Y3, Z3)</f>
        <v>1.1499999999999844E-2</v>
      </c>
    </row>
    <row r="4" spans="1:29">
      <c r="A4" s="1">
        <v>2</v>
      </c>
      <c r="C4" s="1" t="str">
        <f>'2MASS Singles'!C4</f>
        <v xml:space="preserve"> HD74195 </v>
      </c>
      <c r="D4" s="81">
        <f>'2MASS Singles'!D4</f>
        <v>145</v>
      </c>
      <c r="E4" s="140">
        <f>'2MASS Singles'!H4</f>
        <v>-1.7358400111748722</v>
      </c>
      <c r="F4" s="136">
        <f>'2MASS Singles'!I4</f>
        <v>-1.7878400111748718</v>
      </c>
      <c r="G4" s="141">
        <f>'2MASS Singles'!J4</f>
        <v>-1.6648400111748716</v>
      </c>
      <c r="H4" s="110">
        <v>6.4740000000000002</v>
      </c>
      <c r="I4" s="91">
        <v>6.64</v>
      </c>
      <c r="J4" s="149">
        <v>6.6130000000000004</v>
      </c>
      <c r="K4" s="54">
        <f t="shared" si="7"/>
        <v>8.9074874871275064E-2</v>
      </c>
      <c r="L4" s="53">
        <f t="shared" si="8"/>
        <v>1.3546135986912617E-2</v>
      </c>
      <c r="M4" s="160">
        <v>6.46</v>
      </c>
      <c r="N4" s="91">
        <v>6.4880000000000004</v>
      </c>
      <c r="O4" s="124">
        <f t="shared" si="9"/>
        <v>1.4000000000000234E-2</v>
      </c>
      <c r="P4" s="124">
        <f t="shared" si="10"/>
        <v>1.4000000000000234E-2</v>
      </c>
      <c r="Q4" s="131">
        <f t="shared" si="11"/>
        <v>1.4000000000000234E-2</v>
      </c>
      <c r="R4" s="110">
        <v>6.625</v>
      </c>
      <c r="S4" s="91">
        <v>6.6550000000000002</v>
      </c>
      <c r="T4" s="124">
        <f t="shared" si="12"/>
        <v>1.499999999999968E-2</v>
      </c>
      <c r="U4" s="124">
        <f t="shared" si="13"/>
        <v>1.5000000000000568E-2</v>
      </c>
      <c r="V4" s="131">
        <f t="shared" si="14"/>
        <v>1.5000000000000124E-2</v>
      </c>
      <c r="W4" s="110">
        <v>6.5970000000000004</v>
      </c>
      <c r="X4" s="91">
        <v>6.6280000000000001</v>
      </c>
      <c r="Y4" s="136">
        <f t="shared" si="15"/>
        <v>1.6000000000000014E-2</v>
      </c>
      <c r="Z4" s="124">
        <f t="shared" si="16"/>
        <v>1.499999999999968E-2</v>
      </c>
      <c r="AA4" s="131">
        <f t="shared" si="17"/>
        <v>1.5499999999999847E-2</v>
      </c>
    </row>
    <row r="5" spans="1:29">
      <c r="A5" s="1">
        <v>3</v>
      </c>
      <c r="C5" s="1" t="str">
        <f>'2MASS Singles'!C5</f>
        <v xml:space="preserve"> HD74678 </v>
      </c>
      <c r="D5" s="81">
        <f>'2MASS Singles'!D5</f>
        <v>145</v>
      </c>
      <c r="E5" s="140">
        <f>'2MASS Singles'!H5</f>
        <v>1.6701599888251284</v>
      </c>
      <c r="F5" s="136">
        <f>'2MASS Singles'!I5</f>
        <v>1.6651599888251285</v>
      </c>
      <c r="G5" s="141">
        <f>'2MASS Singles'!J5</f>
        <v>1.5931599888251284</v>
      </c>
      <c r="H5" s="110">
        <v>2.274</v>
      </c>
      <c r="I5" s="91">
        <v>2.2869999999999999</v>
      </c>
      <c r="J5" s="149">
        <v>2.387</v>
      </c>
      <c r="K5" s="54">
        <f t="shared" si="7"/>
        <v>6.1830413228442863E-2</v>
      </c>
      <c r="L5" s="53">
        <f t="shared" si="8"/>
        <v>2.6697069615044412E-2</v>
      </c>
      <c r="M5" s="160">
        <v>2.262</v>
      </c>
      <c r="N5" s="91">
        <v>2.286</v>
      </c>
      <c r="O5" s="124">
        <f t="shared" si="9"/>
        <v>1.2000000000000011E-2</v>
      </c>
      <c r="P5" s="124">
        <f t="shared" si="10"/>
        <v>1.2000000000000011E-2</v>
      </c>
      <c r="Q5" s="131">
        <f t="shared" si="11"/>
        <v>1.2000000000000011E-2</v>
      </c>
      <c r="R5" s="110">
        <v>2.2749999999999999</v>
      </c>
      <c r="S5" s="91">
        <v>2.2989999999999999</v>
      </c>
      <c r="T5" s="124">
        <f t="shared" si="12"/>
        <v>1.2000000000000011E-2</v>
      </c>
      <c r="U5" s="124">
        <f t="shared" si="13"/>
        <v>1.2000000000000011E-2</v>
      </c>
      <c r="V5" s="131">
        <f t="shared" si="14"/>
        <v>1.2000000000000011E-2</v>
      </c>
      <c r="W5" s="110">
        <v>2.3780000000000001</v>
      </c>
      <c r="X5" s="91">
        <v>2.3959999999999999</v>
      </c>
      <c r="Y5" s="136">
        <f t="shared" si="15"/>
        <v>8.999999999999897E-3</v>
      </c>
      <c r="Z5" s="124">
        <f t="shared" si="16"/>
        <v>8.999999999999897E-3</v>
      </c>
      <c r="AA5" s="131">
        <f t="shared" si="17"/>
        <v>8.999999999999897E-3</v>
      </c>
    </row>
    <row r="6" spans="1:29">
      <c r="A6" s="1">
        <v>4</v>
      </c>
      <c r="C6" s="1" t="str">
        <f>'2MASS Singles'!C6</f>
        <v xml:space="preserve"> HD74955 </v>
      </c>
      <c r="D6" s="81">
        <f>'2MASS Singles'!D6</f>
        <v>145</v>
      </c>
      <c r="E6" s="140">
        <f>'2MASS Singles'!H6</f>
        <v>1.5331599888251279</v>
      </c>
      <c r="F6" s="136">
        <f>'2MASS Singles'!I6</f>
        <v>1.5261599888251283</v>
      </c>
      <c r="G6" s="141">
        <f>'2MASS Singles'!J6</f>
        <v>1.4461599888251282</v>
      </c>
      <c r="H6" s="110">
        <v>2.403</v>
      </c>
      <c r="I6" s="91">
        <v>2.4289999999999998</v>
      </c>
      <c r="J6" s="149">
        <v>2.5230000000000001</v>
      </c>
      <c r="K6" s="54">
        <f t="shared" si="7"/>
        <v>6.3129496539520616E-2</v>
      </c>
      <c r="L6" s="53">
        <f t="shared" si="8"/>
        <v>2.5749624693210311E-2</v>
      </c>
      <c r="M6" s="160">
        <v>2.3940000000000001</v>
      </c>
      <c r="N6" s="91">
        <v>2.411</v>
      </c>
      <c r="O6" s="124">
        <f t="shared" si="9"/>
        <v>8.999999999999897E-3</v>
      </c>
      <c r="P6" s="124">
        <f t="shared" si="10"/>
        <v>8.0000000000000071E-3</v>
      </c>
      <c r="Q6" s="131">
        <f t="shared" si="11"/>
        <v>8.499999999999952E-3</v>
      </c>
      <c r="R6" s="110">
        <v>2.419</v>
      </c>
      <c r="S6" s="91">
        <v>2.4380000000000002</v>
      </c>
      <c r="T6" s="124">
        <f t="shared" si="12"/>
        <v>9.9999999999997868E-3</v>
      </c>
      <c r="U6" s="124">
        <f t="shared" si="13"/>
        <v>9.0000000000003411E-3</v>
      </c>
      <c r="V6" s="131">
        <f t="shared" si="14"/>
        <v>9.5000000000000639E-3</v>
      </c>
      <c r="W6" s="110">
        <v>2.5129999999999999</v>
      </c>
      <c r="X6" s="91">
        <v>2.5329999999999999</v>
      </c>
      <c r="Y6" s="136">
        <f t="shared" si="15"/>
        <v>1.0000000000000231E-2</v>
      </c>
      <c r="Z6" s="124">
        <f t="shared" si="16"/>
        <v>9.9999999999997868E-3</v>
      </c>
      <c r="AA6" s="131">
        <f t="shared" si="17"/>
        <v>1.0000000000000009E-2</v>
      </c>
    </row>
    <row r="7" spans="1:29">
      <c r="A7" s="1">
        <v>5</v>
      </c>
      <c r="C7" s="1" t="str">
        <f>'2MASS Singles'!C7</f>
        <v xml:space="preserve"> HD75202 </v>
      </c>
      <c r="D7" s="81">
        <f>'2MASS Singles'!D7</f>
        <v>145</v>
      </c>
      <c r="E7" s="140">
        <f>'2MASS Singles'!H7</f>
        <v>1.5161599888251285</v>
      </c>
      <c r="F7" s="136">
        <f>'2MASS Singles'!I7</f>
        <v>1.4791599888251277</v>
      </c>
      <c r="G7" s="141">
        <f>'2MASS Singles'!J7</f>
        <v>1.4111599888251281</v>
      </c>
      <c r="H7" s="110">
        <v>2.4169999999999998</v>
      </c>
      <c r="I7" s="91">
        <v>2.472</v>
      </c>
      <c r="J7" s="149">
        <v>2.5579999999999998</v>
      </c>
      <c r="K7" s="54">
        <f t="shared" si="7"/>
        <v>7.1065697304208114E-2</v>
      </c>
      <c r="L7" s="53">
        <f t="shared" si="8"/>
        <v>2.862858760744251E-2</v>
      </c>
      <c r="M7" s="160">
        <v>2.4089999999999998</v>
      </c>
      <c r="N7" s="91">
        <v>2.4249999999999998</v>
      </c>
      <c r="O7" s="124">
        <f t="shared" si="9"/>
        <v>8.0000000000000071E-3</v>
      </c>
      <c r="P7" s="124">
        <f t="shared" si="10"/>
        <v>8.0000000000000071E-3</v>
      </c>
      <c r="Q7" s="131">
        <f t="shared" si="11"/>
        <v>8.0000000000000071E-3</v>
      </c>
      <c r="R7" s="110">
        <v>2.4630000000000001</v>
      </c>
      <c r="S7" s="91">
        <v>2.4820000000000002</v>
      </c>
      <c r="T7" s="124">
        <f t="shared" si="12"/>
        <v>8.999999999999897E-3</v>
      </c>
      <c r="U7" s="124">
        <f t="shared" si="13"/>
        <v>1.0000000000000231E-2</v>
      </c>
      <c r="V7" s="131">
        <f t="shared" si="14"/>
        <v>9.5000000000000639E-3</v>
      </c>
      <c r="W7" s="110">
        <v>2.548</v>
      </c>
      <c r="X7" s="91">
        <v>2.5680000000000001</v>
      </c>
      <c r="Y7" s="136">
        <f t="shared" si="15"/>
        <v>9.9999999999997868E-3</v>
      </c>
      <c r="Z7" s="124">
        <f t="shared" si="16"/>
        <v>1.0000000000000231E-2</v>
      </c>
      <c r="AA7" s="131">
        <f t="shared" si="17"/>
        <v>1.0000000000000009E-2</v>
      </c>
    </row>
    <row r="8" spans="1:29">
      <c r="A8" s="1">
        <v>6</v>
      </c>
      <c r="C8" s="1" t="str">
        <f>'2MASS Singles'!C8</f>
        <v xml:space="preserve"> HD75466 </v>
      </c>
      <c r="D8" s="81">
        <f>'2MASS Singles'!D8</f>
        <v>145</v>
      </c>
      <c r="E8" s="140">
        <f>'2MASS Singles'!H8</f>
        <v>0.63315998882512847</v>
      </c>
      <c r="F8" s="136">
        <f>'2MASS Singles'!I8</f>
        <v>0.68415998882512774</v>
      </c>
      <c r="G8" s="141">
        <f>'2MASS Singles'!J8</f>
        <v>0.68815998882512819</v>
      </c>
      <c r="H8" s="110">
        <v>3.359</v>
      </c>
      <c r="I8" s="91">
        <v>3.3559999999999999</v>
      </c>
      <c r="J8" s="149">
        <v>3.399</v>
      </c>
      <c r="K8" s="54">
        <f t="shared" si="7"/>
        <v>2.4006943440041176E-2</v>
      </c>
      <c r="L8" s="53">
        <f t="shared" si="8"/>
        <v>7.1209047182245917E-3</v>
      </c>
      <c r="M8" s="160">
        <v>3.3460000000000001</v>
      </c>
      <c r="N8" s="91">
        <v>3.3719999999999999</v>
      </c>
      <c r="O8" s="124">
        <f t="shared" si="9"/>
        <v>1.2999999999999901E-2</v>
      </c>
      <c r="P8" s="124">
        <f t="shared" si="10"/>
        <v>1.2999999999999901E-2</v>
      </c>
      <c r="Q8" s="131">
        <f t="shared" si="11"/>
        <v>1.2999999999999901E-2</v>
      </c>
      <c r="R8" s="110">
        <v>3.343</v>
      </c>
      <c r="S8" s="91">
        <v>3.3690000000000002</v>
      </c>
      <c r="T8" s="124">
        <f t="shared" si="12"/>
        <v>1.2999999999999901E-2</v>
      </c>
      <c r="U8" s="124">
        <f t="shared" si="13"/>
        <v>1.3000000000000345E-2</v>
      </c>
      <c r="V8" s="131">
        <f t="shared" si="14"/>
        <v>1.3000000000000123E-2</v>
      </c>
      <c r="W8" s="110">
        <v>3.3849999999999998</v>
      </c>
      <c r="X8" s="91">
        <v>3.4140000000000001</v>
      </c>
      <c r="Y8" s="136">
        <f t="shared" si="15"/>
        <v>1.4000000000000234E-2</v>
      </c>
      <c r="Z8" s="124">
        <f t="shared" si="16"/>
        <v>1.5000000000000124E-2</v>
      </c>
      <c r="AA8" s="131">
        <f t="shared" si="17"/>
        <v>1.4500000000000179E-2</v>
      </c>
    </row>
    <row r="9" spans="1:29">
      <c r="A9" s="1">
        <v>7</v>
      </c>
      <c r="C9" s="1" t="str">
        <f>'2MASS Singles'!C9</f>
        <v xml:space="preserve"> HD74071 </v>
      </c>
      <c r="D9" s="81">
        <f>'2MASS Singles'!D9</f>
        <v>145</v>
      </c>
      <c r="E9" s="140">
        <f>'2MASS Singles'!H9</f>
        <v>-3.5840011174872011E-2</v>
      </c>
      <c r="F9" s="136">
        <f>'2MASS Singles'!I9</f>
        <v>7.1599888251281385E-3</v>
      </c>
      <c r="G9" s="141">
        <f>'2MASS Singles'!J9</f>
        <v>-4.8400111748723162E-3</v>
      </c>
      <c r="H9" s="110">
        <v>4.3609999999999998</v>
      </c>
      <c r="I9" s="91">
        <v>4.375</v>
      </c>
      <c r="J9" s="149">
        <v>4.53</v>
      </c>
      <c r="K9" s="54">
        <f t="shared" si="7"/>
        <v>9.3792323779721132E-2</v>
      </c>
      <c r="L9" s="53">
        <f t="shared" si="8"/>
        <v>2.1210385296182976E-2</v>
      </c>
      <c r="M9" s="160">
        <v>4.3470000000000004</v>
      </c>
      <c r="N9" s="91">
        <v>4.375</v>
      </c>
      <c r="O9" s="124">
        <f t="shared" si="9"/>
        <v>1.3999999999999346E-2</v>
      </c>
      <c r="P9" s="124">
        <f t="shared" si="10"/>
        <v>1.4000000000000234E-2</v>
      </c>
      <c r="Q9" s="131">
        <f t="shared" si="11"/>
        <v>1.399999999999979E-2</v>
      </c>
      <c r="R9" s="110">
        <v>4.3609999999999998</v>
      </c>
      <c r="S9" s="91">
        <v>4.3890000000000002</v>
      </c>
      <c r="T9" s="124">
        <f t="shared" si="12"/>
        <v>1.4000000000000234E-2</v>
      </c>
      <c r="U9" s="124">
        <f t="shared" si="13"/>
        <v>1.4000000000000234E-2</v>
      </c>
      <c r="V9" s="131">
        <f t="shared" si="14"/>
        <v>1.4000000000000234E-2</v>
      </c>
      <c r="W9" s="110">
        <v>4.516</v>
      </c>
      <c r="X9" s="91">
        <v>4.5439999999999996</v>
      </c>
      <c r="Y9" s="136">
        <f t="shared" si="15"/>
        <v>1.4000000000000234E-2</v>
      </c>
      <c r="Z9" s="124">
        <f t="shared" si="16"/>
        <v>1.3999999999999346E-2</v>
      </c>
      <c r="AA9" s="131">
        <f t="shared" si="17"/>
        <v>1.399999999999979E-2</v>
      </c>
    </row>
    <row r="10" spans="1:29">
      <c r="A10" s="1">
        <v>8</v>
      </c>
      <c r="C10" s="1" t="str">
        <f>'2MASS Singles'!C10</f>
        <v xml:space="preserve"> HD74196 </v>
      </c>
      <c r="D10" s="81">
        <f>'2MASS Singles'!D10</f>
        <v>145</v>
      </c>
      <c r="E10" s="140">
        <f>'2MASS Singles'!H10</f>
        <v>1.615998882512848E-2</v>
      </c>
      <c r="F10" s="136">
        <f>'2MASS Singles'!I10</f>
        <v>0.1181599888251279</v>
      </c>
      <c r="G10" s="141">
        <f>'2MASS Singles'!J10</f>
        <v>8.715998882512821E-2</v>
      </c>
      <c r="H10" s="110">
        <v>4.2880000000000003</v>
      </c>
      <c r="I10" s="91">
        <v>4.2149999999999999</v>
      </c>
      <c r="J10" s="149">
        <v>4.4000000000000004</v>
      </c>
      <c r="K10" s="54">
        <f t="shared" si="7"/>
        <v>9.3182616404563587E-2</v>
      </c>
      <c r="L10" s="53">
        <f t="shared" si="8"/>
        <v>2.166533745746654E-2</v>
      </c>
      <c r="M10" s="160">
        <v>4.274</v>
      </c>
      <c r="N10" s="91">
        <v>4.3019999999999996</v>
      </c>
      <c r="O10" s="124">
        <f t="shared" si="9"/>
        <v>1.4000000000000234E-2</v>
      </c>
      <c r="P10" s="124">
        <f t="shared" si="10"/>
        <v>1.3999999999999346E-2</v>
      </c>
      <c r="Q10" s="131">
        <f t="shared" si="11"/>
        <v>1.399999999999979E-2</v>
      </c>
      <c r="R10" s="110">
        <v>4.2</v>
      </c>
      <c r="S10" s="91">
        <v>4.2300000000000004</v>
      </c>
      <c r="T10" s="124">
        <f t="shared" si="12"/>
        <v>1.499999999999968E-2</v>
      </c>
      <c r="U10" s="124">
        <f t="shared" si="13"/>
        <v>1.5000000000000568E-2</v>
      </c>
      <c r="V10" s="131">
        <f t="shared" si="14"/>
        <v>1.5000000000000124E-2</v>
      </c>
      <c r="W10" s="110">
        <v>4.3860000000000001</v>
      </c>
      <c r="X10" s="91">
        <v>4.415</v>
      </c>
      <c r="Y10" s="136">
        <f t="shared" si="15"/>
        <v>1.4000000000000234E-2</v>
      </c>
      <c r="Z10" s="124">
        <f t="shared" si="16"/>
        <v>1.499999999999968E-2</v>
      </c>
      <c r="AA10" s="131">
        <f t="shared" si="17"/>
        <v>1.4499999999999957E-2</v>
      </c>
    </row>
    <row r="11" spans="1:29">
      <c r="A11" s="1">
        <v>9</v>
      </c>
      <c r="C11" s="1" t="str">
        <f>'2MASS Singles'!C11</f>
        <v xml:space="preserve"> HD74146 </v>
      </c>
      <c r="D11" s="81">
        <f>'2MASS Singles'!D11</f>
        <v>145</v>
      </c>
      <c r="E11" s="140">
        <f>'2MASS Singles'!H11</f>
        <v>-0.26284001117487232</v>
      </c>
      <c r="F11" s="136">
        <f>'2MASS Singles'!I11</f>
        <v>-0.26684001117487188</v>
      </c>
      <c r="G11" s="141">
        <f>'2MASS Singles'!J11</f>
        <v>-0.27384001117487156</v>
      </c>
      <c r="H11" s="110">
        <v>4.665</v>
      </c>
      <c r="I11" s="91">
        <v>4.7439999999999998</v>
      </c>
      <c r="J11" s="149">
        <v>4.8810000000000002</v>
      </c>
      <c r="K11" s="54">
        <f t="shared" si="7"/>
        <v>0.10929013374195019</v>
      </c>
      <c r="L11" s="53">
        <f t="shared" si="8"/>
        <v>2.294404487234784E-2</v>
      </c>
      <c r="M11" s="160">
        <v>4.6520000000000001</v>
      </c>
      <c r="N11" s="91">
        <v>4.6779999999999999</v>
      </c>
      <c r="O11" s="124">
        <f t="shared" si="9"/>
        <v>1.2999999999999901E-2</v>
      </c>
      <c r="P11" s="124">
        <f t="shared" si="10"/>
        <v>1.2999999999999901E-2</v>
      </c>
      <c r="Q11" s="131">
        <f t="shared" si="11"/>
        <v>1.2999999999999901E-2</v>
      </c>
      <c r="R11" s="110">
        <v>4.7309999999999999</v>
      </c>
      <c r="S11" s="91">
        <v>4.7569999999999997</v>
      </c>
      <c r="T11" s="124">
        <f t="shared" si="12"/>
        <v>1.2999999999999901E-2</v>
      </c>
      <c r="U11" s="124">
        <f t="shared" si="13"/>
        <v>1.2999999999999901E-2</v>
      </c>
      <c r="V11" s="131">
        <f t="shared" si="14"/>
        <v>1.2999999999999901E-2</v>
      </c>
      <c r="W11" s="110">
        <v>4.8689999999999998</v>
      </c>
      <c r="X11" s="91">
        <v>4.8940000000000001</v>
      </c>
      <c r="Y11" s="136">
        <f t="shared" si="15"/>
        <v>1.2000000000000455E-2</v>
      </c>
      <c r="Z11" s="124">
        <f t="shared" si="16"/>
        <v>1.2999999999999901E-2</v>
      </c>
      <c r="AA11" s="131">
        <f t="shared" si="17"/>
        <v>1.2500000000000178E-2</v>
      </c>
    </row>
    <row r="12" spans="1:29">
      <c r="A12" s="1">
        <v>10</v>
      </c>
      <c r="C12" s="1" t="str">
        <f>'2MASS Singles'!C12</f>
        <v xml:space="preserve"> HD74560 </v>
      </c>
      <c r="D12" s="81">
        <f>'2MASS Singles'!D12</f>
        <v>145</v>
      </c>
      <c r="E12" s="140">
        <f>'2MASS Singles'!H12</f>
        <v>-0.60984001117487185</v>
      </c>
      <c r="F12" s="136">
        <f>'2MASS Singles'!I12</f>
        <v>-0.53884001117487212</v>
      </c>
      <c r="G12" s="141">
        <f>'2MASS Singles'!J12</f>
        <v>-0.54384001117487202</v>
      </c>
      <c r="H12" s="110">
        <v>5.0970000000000004</v>
      </c>
      <c r="I12" s="91">
        <v>5.0839999999999996</v>
      </c>
      <c r="J12" s="149">
        <v>5.2089999999999996</v>
      </c>
      <c r="K12" s="54">
        <f t="shared" si="7"/>
        <v>6.8724086025206424E-2</v>
      </c>
      <c r="L12" s="53">
        <f t="shared" si="8"/>
        <v>1.3396507997116263E-2</v>
      </c>
      <c r="M12" s="160">
        <v>5.085</v>
      </c>
      <c r="N12" s="91">
        <v>5.109</v>
      </c>
      <c r="O12" s="124">
        <f t="shared" si="9"/>
        <v>1.2000000000000455E-2</v>
      </c>
      <c r="P12" s="124">
        <f t="shared" si="10"/>
        <v>1.1999999999999567E-2</v>
      </c>
      <c r="Q12" s="131">
        <f t="shared" si="11"/>
        <v>1.2000000000000011E-2</v>
      </c>
      <c r="R12" s="110">
        <v>5.0720000000000001</v>
      </c>
      <c r="S12" s="91">
        <v>5.0960000000000001</v>
      </c>
      <c r="T12" s="124">
        <f t="shared" si="12"/>
        <v>1.1999999999999567E-2</v>
      </c>
      <c r="U12" s="124">
        <f t="shared" si="13"/>
        <v>1.2000000000000455E-2</v>
      </c>
      <c r="V12" s="131">
        <f t="shared" si="14"/>
        <v>1.2000000000000011E-2</v>
      </c>
      <c r="W12" s="110">
        <v>5.1970000000000001</v>
      </c>
      <c r="X12" s="91">
        <v>5.2210000000000001</v>
      </c>
      <c r="Y12" s="136">
        <f t="shared" si="15"/>
        <v>1.1999999999999567E-2</v>
      </c>
      <c r="Z12" s="124">
        <f t="shared" si="16"/>
        <v>1.2000000000000455E-2</v>
      </c>
      <c r="AA12" s="131">
        <f t="shared" si="17"/>
        <v>1.2000000000000011E-2</v>
      </c>
    </row>
    <row r="13" spans="1:29">
      <c r="A13" s="1">
        <v>11</v>
      </c>
      <c r="C13" s="1" t="str">
        <f>'2MASS Singles'!C13</f>
        <v xml:space="preserve"> HD74275 </v>
      </c>
      <c r="D13" s="81">
        <f>'2MASS Singles'!D13</f>
        <v>145</v>
      </c>
      <c r="E13" s="140">
        <f>'2MASS Singles'!H13</f>
        <v>1.4441599888251284</v>
      </c>
      <c r="F13" s="136">
        <f>'2MASS Singles'!I13</f>
        <v>1.4751599888251281</v>
      </c>
      <c r="G13" s="141">
        <f>'2MASS Singles'!J13</f>
        <v>1.3981599888251282</v>
      </c>
      <c r="H13" s="110">
        <v>2.4780000000000002</v>
      </c>
      <c r="I13" s="91">
        <v>2.476</v>
      </c>
      <c r="J13" s="149">
        <v>2.5710000000000002</v>
      </c>
      <c r="K13" s="54">
        <f t="shared" si="7"/>
        <v>5.4280137558165222E-2</v>
      </c>
      <c r="L13" s="53">
        <f t="shared" si="8"/>
        <v>2.1639921950099093E-2</v>
      </c>
      <c r="M13" s="160">
        <v>2.4700000000000002</v>
      </c>
      <c r="N13" s="91">
        <v>2.4870000000000001</v>
      </c>
      <c r="O13" s="124">
        <f t="shared" si="9"/>
        <v>8.0000000000000071E-3</v>
      </c>
      <c r="P13" s="124">
        <f t="shared" si="10"/>
        <v>8.999999999999897E-3</v>
      </c>
      <c r="Q13" s="131">
        <f t="shared" si="11"/>
        <v>8.499999999999952E-3</v>
      </c>
      <c r="R13" s="110">
        <v>2.4670000000000001</v>
      </c>
      <c r="S13" s="91">
        <v>2.4849999999999999</v>
      </c>
      <c r="T13" s="124">
        <f t="shared" si="12"/>
        <v>8.999999999999897E-3</v>
      </c>
      <c r="U13" s="124">
        <f t="shared" si="13"/>
        <v>8.999999999999897E-3</v>
      </c>
      <c r="V13" s="131">
        <f t="shared" si="14"/>
        <v>8.999999999999897E-3</v>
      </c>
      <c r="W13" s="110">
        <v>2.5609999999999999</v>
      </c>
      <c r="X13" s="91">
        <v>2.5819999999999999</v>
      </c>
      <c r="Y13" s="136">
        <f t="shared" si="15"/>
        <v>1.0000000000000231E-2</v>
      </c>
      <c r="Z13" s="124">
        <f t="shared" si="16"/>
        <v>1.0999999999999677E-2</v>
      </c>
      <c r="AA13" s="131">
        <f t="shared" si="17"/>
        <v>1.0499999999999954E-2</v>
      </c>
    </row>
    <row r="14" spans="1:29">
      <c r="A14" s="1">
        <v>12</v>
      </c>
      <c r="C14" s="1" t="str">
        <f>'2MASS Singles'!C14</f>
        <v xml:space="preserve"> HD74516 </v>
      </c>
      <c r="D14" s="81">
        <f>'2MASS Singles'!D14</f>
        <v>145</v>
      </c>
      <c r="E14" s="140">
        <f>'2MASS Singles'!H14</f>
        <v>1.5301599888251278</v>
      </c>
      <c r="F14" s="136">
        <f>'2MASS Singles'!I14</f>
        <v>1.5461599888251278</v>
      </c>
      <c r="G14" s="141">
        <f>'2MASS Singles'!J14</f>
        <v>1.5291599888251284</v>
      </c>
      <c r="H14" s="110">
        <v>2.4049999999999998</v>
      </c>
      <c r="I14" s="91">
        <v>2.41</v>
      </c>
      <c r="J14" s="149">
        <v>2.4460000000000002</v>
      </c>
      <c r="K14" s="54">
        <f t="shared" si="7"/>
        <v>2.2368132093076958E-2</v>
      </c>
      <c r="L14" s="53">
        <f t="shared" si="8"/>
        <v>9.2417568212685413E-3</v>
      </c>
      <c r="M14" s="160">
        <v>2.3969999999999998</v>
      </c>
      <c r="N14" s="91">
        <v>2.4140000000000001</v>
      </c>
      <c r="O14" s="124">
        <f t="shared" si="9"/>
        <v>8.0000000000000071E-3</v>
      </c>
      <c r="P14" s="124">
        <f t="shared" si="10"/>
        <v>9.0000000000003411E-3</v>
      </c>
      <c r="Q14" s="131">
        <f t="shared" si="11"/>
        <v>8.5000000000001741E-3</v>
      </c>
      <c r="R14" s="110">
        <v>2.4009999999999998</v>
      </c>
      <c r="S14" s="91">
        <v>2.419</v>
      </c>
      <c r="T14" s="124">
        <f t="shared" si="12"/>
        <v>9.0000000000003411E-3</v>
      </c>
      <c r="U14" s="124">
        <f t="shared" si="13"/>
        <v>8.999999999999897E-3</v>
      </c>
      <c r="V14" s="131">
        <f t="shared" si="14"/>
        <v>9.000000000000119E-3</v>
      </c>
      <c r="W14" s="110">
        <v>2.4369999999999998</v>
      </c>
      <c r="X14" s="91">
        <v>2.4550000000000001</v>
      </c>
      <c r="Y14" s="136">
        <f t="shared" si="15"/>
        <v>9.0000000000003411E-3</v>
      </c>
      <c r="Z14" s="124">
        <f t="shared" si="16"/>
        <v>8.999999999999897E-3</v>
      </c>
      <c r="AA14" s="131">
        <f t="shared" si="17"/>
        <v>9.000000000000119E-3</v>
      </c>
    </row>
    <row r="15" spans="1:29">
      <c r="A15" s="1">
        <v>13</v>
      </c>
      <c r="C15" s="1" t="str">
        <f>'2MASS Singles'!C15</f>
        <v xml:space="preserve"> HD73778 </v>
      </c>
      <c r="D15" s="81">
        <f>'2MASS Singles'!D15</f>
        <v>145</v>
      </c>
      <c r="E15" s="140">
        <f>'2MASS Singles'!H15</f>
        <v>3.8431599888251284</v>
      </c>
      <c r="F15" s="136">
        <f>'2MASS Singles'!I15</f>
        <v>3.7641599888251278</v>
      </c>
      <c r="G15" s="141">
        <f>'2MASS Singles'!J15</f>
        <v>3.7051599888251285</v>
      </c>
      <c r="H15" s="110">
        <v>1.073</v>
      </c>
      <c r="I15" s="91">
        <v>0.98</v>
      </c>
      <c r="J15" s="149">
        <v>0.97599999999999998</v>
      </c>
      <c r="K15" s="54">
        <f t="shared" si="7"/>
        <v>5.4884727687520979E-2</v>
      </c>
      <c r="L15" s="53">
        <f t="shared" si="8"/>
        <v>5.4359254890248572E-2</v>
      </c>
      <c r="M15" s="160">
        <v>1.07</v>
      </c>
      <c r="N15" s="91">
        <v>1.0760000000000001</v>
      </c>
      <c r="O15" s="124">
        <f t="shared" si="9"/>
        <v>2.9999999999998916E-3</v>
      </c>
      <c r="P15" s="124">
        <f t="shared" si="10"/>
        <v>3.0000000000001137E-3</v>
      </c>
      <c r="Q15" s="131">
        <f t="shared" si="11"/>
        <v>3.0000000000000027E-3</v>
      </c>
      <c r="R15" s="110">
        <v>0.97699999999999998</v>
      </c>
      <c r="S15" s="91">
        <v>0.98199999999999998</v>
      </c>
      <c r="T15" s="124">
        <f t="shared" si="12"/>
        <v>3.0000000000000027E-3</v>
      </c>
      <c r="U15" s="124">
        <f t="shared" si="13"/>
        <v>2.0000000000000018E-3</v>
      </c>
      <c r="V15" s="131">
        <f t="shared" si="14"/>
        <v>2.5000000000000022E-3</v>
      </c>
      <c r="W15" s="110">
        <v>0.97299999999999998</v>
      </c>
      <c r="X15" s="91">
        <v>0.97899999999999998</v>
      </c>
      <c r="Y15" s="136">
        <f t="shared" si="15"/>
        <v>3.0000000000000027E-3</v>
      </c>
      <c r="Z15" s="124">
        <f t="shared" si="16"/>
        <v>3.0000000000000027E-3</v>
      </c>
      <c r="AA15" s="131">
        <f t="shared" si="17"/>
        <v>3.0000000000000027E-3</v>
      </c>
    </row>
    <row r="16" spans="1:29">
      <c r="A16" s="1">
        <v>14</v>
      </c>
      <c r="C16" s="1" t="str">
        <f>'2MASS Singles'!C16</f>
        <v xml:space="preserve"> HD74009 </v>
      </c>
      <c r="D16" s="81">
        <f>'2MASS Singles'!D16</f>
        <v>145</v>
      </c>
      <c r="E16" s="140">
        <f>'2MASS Singles'!H16</f>
        <v>2.2661599888251285</v>
      </c>
      <c r="F16" s="136">
        <f>'2MASS Singles'!I16</f>
        <v>2.0261599888251283</v>
      </c>
      <c r="G16" s="141">
        <f>'2MASS Singles'!J16</f>
        <v>1.9921599888251285</v>
      </c>
      <c r="H16" s="110">
        <v>1.6519999999999999</v>
      </c>
      <c r="I16" s="91">
        <v>1.7430000000000001</v>
      </c>
      <c r="J16" s="149">
        <v>1.7430000000000001</v>
      </c>
      <c r="K16" s="54">
        <f t="shared" si="7"/>
        <v>5.2538874496256056E-2</v>
      </c>
      <c r="L16" s="53">
        <f t="shared" si="8"/>
        <v>3.0676649180375277E-2</v>
      </c>
      <c r="M16" s="160">
        <v>1.647</v>
      </c>
      <c r="N16" s="91">
        <v>1.6579999999999999</v>
      </c>
      <c r="O16" s="124">
        <f t="shared" si="9"/>
        <v>4.9999999999998934E-3</v>
      </c>
      <c r="P16" s="124">
        <f t="shared" si="10"/>
        <v>6.0000000000000053E-3</v>
      </c>
      <c r="Q16" s="131">
        <f t="shared" si="11"/>
        <v>5.4999999999999494E-3</v>
      </c>
      <c r="R16" s="110">
        <v>1.7370000000000001</v>
      </c>
      <c r="S16" s="91">
        <v>1.748</v>
      </c>
      <c r="T16" s="124">
        <f t="shared" si="12"/>
        <v>6.0000000000000053E-3</v>
      </c>
      <c r="U16" s="124">
        <f t="shared" si="13"/>
        <v>4.9999999999998934E-3</v>
      </c>
      <c r="V16" s="131">
        <f t="shared" si="14"/>
        <v>5.4999999999999494E-3</v>
      </c>
      <c r="W16" s="110">
        <v>1.738</v>
      </c>
      <c r="X16" s="91">
        <v>1.7490000000000001</v>
      </c>
      <c r="Y16" s="136">
        <f t="shared" si="15"/>
        <v>5.0000000000001155E-3</v>
      </c>
      <c r="Z16" s="124">
        <f t="shared" si="16"/>
        <v>6.0000000000000053E-3</v>
      </c>
      <c r="AA16" s="131">
        <f t="shared" si="17"/>
        <v>5.5000000000000604E-3</v>
      </c>
    </row>
    <row r="17" spans="1:27">
      <c r="A17" s="1">
        <v>15</v>
      </c>
      <c r="C17" s="1" t="str">
        <f>'2MASS Singles'!C17</f>
        <v xml:space="preserve"> HD74044 </v>
      </c>
      <c r="D17" s="81">
        <f>'2MASS Singles'!D17</f>
        <v>145</v>
      </c>
      <c r="E17" s="140">
        <f>'2MASS Singles'!H17</f>
        <v>2.2781599888251289</v>
      </c>
      <c r="F17" s="136">
        <f>'2MASS Singles'!I17</f>
        <v>2.1841599888251277</v>
      </c>
      <c r="G17" s="141">
        <f>'2MASS Singles'!J17</f>
        <v>2.1781599888251284</v>
      </c>
      <c r="H17" s="110">
        <v>1.6459999999999999</v>
      </c>
      <c r="I17" s="91">
        <v>1.641</v>
      </c>
      <c r="J17" s="149">
        <v>1.6240000000000001</v>
      </c>
      <c r="K17" s="54">
        <f t="shared" si="7"/>
        <v>1.1532562594670701E-2</v>
      </c>
      <c r="L17" s="53">
        <f t="shared" si="8"/>
        <v>7.0449374432930379E-3</v>
      </c>
      <c r="M17" s="160">
        <v>1.64</v>
      </c>
      <c r="N17" s="91">
        <v>1.651</v>
      </c>
      <c r="O17" s="124">
        <f t="shared" si="9"/>
        <v>6.0000000000000053E-3</v>
      </c>
      <c r="P17" s="124">
        <f t="shared" si="10"/>
        <v>5.0000000000001155E-3</v>
      </c>
      <c r="Q17" s="131">
        <f t="shared" si="11"/>
        <v>5.5000000000000604E-3</v>
      </c>
      <c r="R17" s="110">
        <v>1.6339999999999999</v>
      </c>
      <c r="S17" s="91">
        <v>1.649</v>
      </c>
      <c r="T17" s="124">
        <f t="shared" si="12"/>
        <v>7.0000000000001172E-3</v>
      </c>
      <c r="U17" s="124">
        <f t="shared" si="13"/>
        <v>8.0000000000000071E-3</v>
      </c>
      <c r="V17" s="131">
        <f t="shared" si="14"/>
        <v>7.5000000000000622E-3</v>
      </c>
      <c r="W17" s="110">
        <v>1.617</v>
      </c>
      <c r="X17" s="91">
        <v>1.6319999999999999</v>
      </c>
      <c r="Y17" s="136">
        <f t="shared" si="15"/>
        <v>7.0000000000001172E-3</v>
      </c>
      <c r="Z17" s="124">
        <f t="shared" si="16"/>
        <v>7.9999999999997851E-3</v>
      </c>
      <c r="AA17" s="131">
        <f t="shared" si="17"/>
        <v>7.4999999999999512E-3</v>
      </c>
    </row>
    <row r="18" spans="1:27">
      <c r="A18" s="1">
        <v>16</v>
      </c>
      <c r="C18" s="1" t="str">
        <f>'2MASS Singles'!C18</f>
        <v xml:space="preserve"> HD74056 </v>
      </c>
      <c r="D18" s="81">
        <f>'2MASS Singles'!D18</f>
        <v>145</v>
      </c>
      <c r="E18" s="140">
        <f>'2MASS Singles'!H18</f>
        <v>3.3411599888251278</v>
      </c>
      <c r="F18" s="136">
        <f>'2MASS Singles'!I18</f>
        <v>3.3321599888251274</v>
      </c>
      <c r="G18" s="141">
        <f>'2MASS Singles'!J18</f>
        <v>3.2561599888251287</v>
      </c>
      <c r="H18" s="110">
        <v>1.2050000000000001</v>
      </c>
      <c r="I18" s="91">
        <v>1.103</v>
      </c>
      <c r="J18" s="149">
        <v>1.1080000000000001</v>
      </c>
      <c r="K18" s="54">
        <f t="shared" si="7"/>
        <v>5.7500724633115154E-2</v>
      </c>
      <c r="L18" s="53">
        <f t="shared" si="8"/>
        <v>5.0498294467021504E-2</v>
      </c>
      <c r="M18" s="160">
        <v>1.202</v>
      </c>
      <c r="N18" s="91">
        <v>1.2070000000000001</v>
      </c>
      <c r="O18" s="124">
        <f t="shared" si="9"/>
        <v>3.0000000000001137E-3</v>
      </c>
      <c r="P18" s="124">
        <f t="shared" si="10"/>
        <v>2.0000000000000018E-3</v>
      </c>
      <c r="Q18" s="131">
        <f t="shared" si="11"/>
        <v>2.5000000000000577E-3</v>
      </c>
      <c r="R18" s="110">
        <v>1.099</v>
      </c>
      <c r="S18" s="91">
        <v>1.1060000000000001</v>
      </c>
      <c r="T18" s="124">
        <f t="shared" si="12"/>
        <v>4.0000000000000036E-3</v>
      </c>
      <c r="U18" s="124">
        <f t="shared" si="13"/>
        <v>3.0000000000001137E-3</v>
      </c>
      <c r="V18" s="131">
        <f t="shared" si="14"/>
        <v>3.5000000000000586E-3</v>
      </c>
      <c r="W18" s="110">
        <v>1.105</v>
      </c>
      <c r="X18" s="91">
        <v>1.1120000000000001</v>
      </c>
      <c r="Y18" s="136">
        <f t="shared" si="15"/>
        <v>3.0000000000001137E-3</v>
      </c>
      <c r="Z18" s="124">
        <f t="shared" si="16"/>
        <v>4.0000000000000036E-3</v>
      </c>
      <c r="AA18" s="131">
        <f t="shared" si="17"/>
        <v>3.5000000000000586E-3</v>
      </c>
    </row>
    <row r="19" spans="1:27">
      <c r="A19" s="1">
        <v>17</v>
      </c>
      <c r="C19" s="1" t="str">
        <f>'2MASS Singles'!C19</f>
        <v xml:space="preserve"> HD74145 </v>
      </c>
      <c r="D19" s="81">
        <f>'2MASS Singles'!D19</f>
        <v>145</v>
      </c>
      <c r="E19" s="140">
        <f>'2MASS Singles'!H19</f>
        <v>2.2691599888251286</v>
      </c>
      <c r="F19" s="136">
        <f>'2MASS Singles'!I19</f>
        <v>2.2051599888251285</v>
      </c>
      <c r="G19" s="141">
        <f>'2MASS Singles'!J19</f>
        <v>2.1281599888251277</v>
      </c>
      <c r="H19" s="110">
        <v>1.651</v>
      </c>
      <c r="I19" s="91">
        <v>1.6259999999999999</v>
      </c>
      <c r="J19" s="149">
        <v>1.6619999999999999</v>
      </c>
      <c r="K19" s="54">
        <f t="shared" si="7"/>
        <v>1.8448125469362312E-2</v>
      </c>
      <c r="L19" s="53">
        <f t="shared" si="8"/>
        <v>1.120558339908624E-2</v>
      </c>
      <c r="M19" s="160">
        <v>1.645</v>
      </c>
      <c r="N19" s="91">
        <v>1.6559999999999999</v>
      </c>
      <c r="O19" s="124">
        <f t="shared" si="9"/>
        <v>6.0000000000000053E-3</v>
      </c>
      <c r="P19" s="124">
        <f t="shared" si="10"/>
        <v>4.9999999999998934E-3</v>
      </c>
      <c r="Q19" s="131">
        <f t="shared" si="11"/>
        <v>5.4999999999999494E-3</v>
      </c>
      <c r="R19" s="110">
        <v>1.6180000000000001</v>
      </c>
      <c r="S19" s="91">
        <v>1.633</v>
      </c>
      <c r="T19" s="124">
        <f t="shared" si="12"/>
        <v>7.9999999999997851E-3</v>
      </c>
      <c r="U19" s="124">
        <f t="shared" si="13"/>
        <v>7.0000000000001172E-3</v>
      </c>
      <c r="V19" s="131">
        <f t="shared" si="14"/>
        <v>7.4999999999999512E-3</v>
      </c>
      <c r="W19" s="110">
        <v>1.655</v>
      </c>
      <c r="X19" s="91">
        <v>1.669</v>
      </c>
      <c r="Y19" s="136">
        <f t="shared" si="15"/>
        <v>6.9999999999998952E-3</v>
      </c>
      <c r="Z19" s="124">
        <f t="shared" si="16"/>
        <v>7.0000000000001172E-3</v>
      </c>
      <c r="AA19" s="131">
        <f t="shared" si="17"/>
        <v>7.0000000000000062E-3</v>
      </c>
    </row>
    <row r="20" spans="1:27">
      <c r="A20" s="1">
        <v>18</v>
      </c>
      <c r="C20" s="1" t="str">
        <f>'2MASS Singles'!C20</f>
        <v xml:space="preserve"> HD74537 </v>
      </c>
      <c r="D20" s="81">
        <f>'2MASS Singles'!D20</f>
        <v>145</v>
      </c>
      <c r="E20" s="140">
        <f>'2MASS Singles'!H20</f>
        <v>2.4521599888251284</v>
      </c>
      <c r="F20" s="136">
        <f>'2MASS Singles'!I20</f>
        <v>2.4151599888251276</v>
      </c>
      <c r="G20" s="141">
        <f>'2MASS Singles'!J20</f>
        <v>2.315159988825128</v>
      </c>
      <c r="H20" s="110">
        <v>1.552</v>
      </c>
      <c r="I20" s="91">
        <v>1.4910000000000001</v>
      </c>
      <c r="J20" s="149">
        <v>1.5269999999999999</v>
      </c>
      <c r="K20" s="54">
        <f t="shared" si="7"/>
        <v>3.0664855018951762E-2</v>
      </c>
      <c r="L20" s="53">
        <f t="shared" si="8"/>
        <v>2.0130101762988024E-2</v>
      </c>
      <c r="M20" s="160">
        <v>1.5469999999999999</v>
      </c>
      <c r="N20" s="91">
        <v>1.5569999999999999</v>
      </c>
      <c r="O20" s="124">
        <f t="shared" si="9"/>
        <v>5.0000000000001155E-3</v>
      </c>
      <c r="P20" s="124">
        <f t="shared" si="10"/>
        <v>4.9999999999998934E-3</v>
      </c>
      <c r="Q20" s="131">
        <f t="shared" si="11"/>
        <v>5.0000000000000044E-3</v>
      </c>
      <c r="R20" s="110">
        <v>1.486</v>
      </c>
      <c r="S20" s="91">
        <v>1.4970000000000001</v>
      </c>
      <c r="T20" s="124">
        <f t="shared" si="12"/>
        <v>5.0000000000001155E-3</v>
      </c>
      <c r="U20" s="124">
        <f t="shared" si="13"/>
        <v>6.0000000000000053E-3</v>
      </c>
      <c r="V20" s="131">
        <f t="shared" si="14"/>
        <v>5.5000000000000604E-3</v>
      </c>
      <c r="W20" s="110">
        <v>1.5209999999999999</v>
      </c>
      <c r="X20" s="91">
        <v>1.534</v>
      </c>
      <c r="Y20" s="136">
        <f t="shared" si="15"/>
        <v>6.0000000000000053E-3</v>
      </c>
      <c r="Z20" s="124">
        <f t="shared" si="16"/>
        <v>7.0000000000001172E-3</v>
      </c>
      <c r="AA20" s="131">
        <f t="shared" si="17"/>
        <v>6.5000000000000613E-3</v>
      </c>
    </row>
    <row r="21" spans="1:27">
      <c r="A21" s="1">
        <v>19</v>
      </c>
      <c r="B21" s="57"/>
      <c r="C21" s="1" t="str">
        <f>'2MASS Singles'!C21</f>
        <v xml:space="preserve"> HD74665 </v>
      </c>
      <c r="D21" s="81">
        <f>'2MASS Singles'!D21</f>
        <v>145</v>
      </c>
      <c r="E21" s="140">
        <f>'2MASS Singles'!H21</f>
        <v>1.8321599888251283</v>
      </c>
      <c r="F21" s="136">
        <f>'2MASS Singles'!I21</f>
        <v>1.7811599888251282</v>
      </c>
      <c r="G21" s="141">
        <f>'2MASS Singles'!J21</f>
        <v>1.714159988825128</v>
      </c>
      <c r="H21" s="110">
        <v>1.9710000000000001</v>
      </c>
      <c r="I21" s="91">
        <v>2.012</v>
      </c>
      <c r="J21" s="149">
        <v>2.242</v>
      </c>
      <c r="K21" s="54">
        <f t="shared" si="7"/>
        <v>0.14607190010402407</v>
      </c>
      <c r="L21" s="53">
        <f t="shared" si="8"/>
        <v>7.0396096435674266E-2</v>
      </c>
      <c r="M21" s="160">
        <v>1.9630000000000001</v>
      </c>
      <c r="N21" s="91">
        <v>1.98</v>
      </c>
      <c r="O21" s="124">
        <f t="shared" si="9"/>
        <v>8.0000000000000071E-3</v>
      </c>
      <c r="P21" s="124">
        <f t="shared" si="10"/>
        <v>8.999999999999897E-3</v>
      </c>
      <c r="Q21" s="131">
        <f t="shared" si="11"/>
        <v>8.499999999999952E-3</v>
      </c>
      <c r="R21" s="110">
        <v>1.9990000000000001</v>
      </c>
      <c r="S21" s="91">
        <v>2.028</v>
      </c>
      <c r="T21" s="124">
        <f t="shared" si="12"/>
        <v>1.2999999999999901E-2</v>
      </c>
      <c r="U21" s="124">
        <f t="shared" si="13"/>
        <v>1.6000000000000014E-2</v>
      </c>
      <c r="V21" s="131">
        <f t="shared" si="14"/>
        <v>1.4499999999999957E-2</v>
      </c>
      <c r="W21" s="110">
        <v>2.2200000000000002</v>
      </c>
      <c r="X21" s="91">
        <v>2.2599999999999998</v>
      </c>
      <c r="Y21" s="136">
        <f t="shared" si="15"/>
        <v>2.1999999999999797E-2</v>
      </c>
      <c r="Z21" s="124">
        <f t="shared" si="16"/>
        <v>1.7999999999999794E-2</v>
      </c>
      <c r="AA21" s="131">
        <f t="shared" si="17"/>
        <v>1.9999999999999796E-2</v>
      </c>
    </row>
    <row r="22" spans="1:27">
      <c r="A22" s="1">
        <v>20</v>
      </c>
      <c r="B22" s="62" t="str">
        <f>'2MASS Singles'!B22</f>
        <v>NGC 6475</v>
      </c>
      <c r="C22" s="1" t="str">
        <f>'2MASS Singles'!C22</f>
        <v>HD162817</v>
      </c>
      <c r="D22" s="81">
        <f>'2MASS Singles'!D22</f>
        <v>270</v>
      </c>
      <c r="E22" s="140">
        <f>'2MASS Singles'!H22</f>
        <v>-1.3268188207949372</v>
      </c>
      <c r="F22" s="136">
        <f>'2MASS Singles'!I22</f>
        <v>-1.3238188207949371</v>
      </c>
      <c r="G22" s="141">
        <f>'2MASS Singles'!J22</f>
        <v>-1.360818820794937</v>
      </c>
      <c r="H22" s="110">
        <v>5.2329999999999997</v>
      </c>
      <c r="I22" s="91">
        <v>5.3550000000000004</v>
      </c>
      <c r="J22" s="149">
        <v>5.5910000000000002</v>
      </c>
      <c r="K22" s="54">
        <f t="shared" si="7"/>
        <v>0.18200000000000022</v>
      </c>
      <c r="L22" s="53">
        <f t="shared" si="8"/>
        <v>3.3747450398664974E-2</v>
      </c>
      <c r="M22" s="160">
        <v>5.2110000000000003</v>
      </c>
      <c r="N22" s="91">
        <v>5.2549999999999999</v>
      </c>
      <c r="O22" s="124">
        <f t="shared" si="9"/>
        <v>2.1999999999999353E-2</v>
      </c>
      <c r="P22" s="124">
        <f t="shared" si="10"/>
        <v>2.2000000000000242E-2</v>
      </c>
      <c r="Q22" s="131">
        <f t="shared" si="11"/>
        <v>2.1999999999999797E-2</v>
      </c>
      <c r="R22" s="110">
        <v>5.3339999999999996</v>
      </c>
      <c r="S22" s="91">
        <v>5.375</v>
      </c>
      <c r="T22" s="124">
        <f t="shared" si="12"/>
        <v>2.1000000000000796E-2</v>
      </c>
      <c r="U22" s="124">
        <f t="shared" si="13"/>
        <v>1.9999999999999574E-2</v>
      </c>
      <c r="V22" s="131">
        <f t="shared" si="14"/>
        <v>2.0500000000000185E-2</v>
      </c>
      <c r="W22" s="110">
        <v>5.57</v>
      </c>
      <c r="X22" s="91">
        <v>5.6109999999999998</v>
      </c>
      <c r="Y22" s="136">
        <f t="shared" si="15"/>
        <v>2.0999999999999908E-2</v>
      </c>
      <c r="Z22" s="124">
        <f t="shared" si="16"/>
        <v>1.9999999999999574E-2</v>
      </c>
      <c r="AA22" s="131">
        <f t="shared" si="17"/>
        <v>2.0499999999999741E-2</v>
      </c>
    </row>
    <row r="23" spans="1:27">
      <c r="A23" s="1">
        <v>21</v>
      </c>
      <c r="C23" s="1" t="str">
        <f>'2MASS Singles'!C23</f>
        <v>HD162374</v>
      </c>
      <c r="D23" s="81">
        <f>'2MASS Singles'!D23</f>
        <v>270</v>
      </c>
      <c r="E23" s="140">
        <f>'2MASS Singles'!H23</f>
        <v>-1.0688188207949372</v>
      </c>
      <c r="F23" s="136">
        <f>'2MASS Singles'!I23</f>
        <v>-1.0128188207949371</v>
      </c>
      <c r="G23" s="141">
        <f>'2MASS Singles'!J23</f>
        <v>-1.0058188207949375</v>
      </c>
      <c r="H23" s="110">
        <v>4.4989999999999997</v>
      </c>
      <c r="I23" s="91">
        <v>4.4980000000000002</v>
      </c>
      <c r="J23" s="149">
        <v>4.6440000000000001</v>
      </c>
      <c r="K23" s="54">
        <f t="shared" si="7"/>
        <v>8.4005952170069578E-2</v>
      </c>
      <c r="L23" s="53">
        <f t="shared" si="8"/>
        <v>1.8475027967906222E-2</v>
      </c>
      <c r="M23" s="160">
        <v>4.4690000000000003</v>
      </c>
      <c r="N23" s="91">
        <v>4.5289999999999999</v>
      </c>
      <c r="O23" s="124">
        <f t="shared" si="9"/>
        <v>2.9999999999999361E-2</v>
      </c>
      <c r="P23" s="124">
        <f t="shared" si="10"/>
        <v>3.0000000000000249E-2</v>
      </c>
      <c r="Q23" s="131">
        <f t="shared" si="11"/>
        <v>2.9999999999999805E-2</v>
      </c>
      <c r="R23" s="110">
        <v>4.4669999999999996</v>
      </c>
      <c r="S23" s="91">
        <v>4.53</v>
      </c>
      <c r="T23" s="124">
        <f t="shared" si="12"/>
        <v>3.1000000000000583E-2</v>
      </c>
      <c r="U23" s="124">
        <f t="shared" si="13"/>
        <v>3.2000000000000028E-2</v>
      </c>
      <c r="V23" s="131">
        <f t="shared" si="14"/>
        <v>3.1500000000000306E-2</v>
      </c>
      <c r="W23" s="110">
        <v>4.6079999999999997</v>
      </c>
      <c r="X23" s="91">
        <v>4.681</v>
      </c>
      <c r="Y23" s="136">
        <f t="shared" si="15"/>
        <v>3.6000000000000476E-2</v>
      </c>
      <c r="Z23" s="124">
        <f t="shared" si="16"/>
        <v>3.6999999999999922E-2</v>
      </c>
      <c r="AA23" s="131">
        <f t="shared" si="17"/>
        <v>3.6500000000000199E-2</v>
      </c>
    </row>
    <row r="24" spans="1:27">
      <c r="A24" s="1">
        <v>22</v>
      </c>
      <c r="C24" s="1" t="str">
        <f>'2MASS Singles'!C24</f>
        <v>HD162725</v>
      </c>
      <c r="D24" s="81">
        <f>'2MASS Singles'!D24</f>
        <v>270</v>
      </c>
      <c r="E24" s="140">
        <f>'2MASS Singles'!H24</f>
        <v>-0.92581882079493738</v>
      </c>
      <c r="F24" s="136">
        <f>'2MASS Singles'!I24</f>
        <v>-0.92181882079493693</v>
      </c>
      <c r="G24" s="141">
        <f>'2MASS Singles'!J24</f>
        <v>-0.89481882079493769</v>
      </c>
      <c r="H24" s="110">
        <v>4.149</v>
      </c>
      <c r="I24" s="91">
        <v>4.2439999999999998</v>
      </c>
      <c r="J24" s="149">
        <v>4.2889999999999997</v>
      </c>
      <c r="K24" s="54">
        <f t="shared" si="7"/>
        <v>7.1472605474638393E-2</v>
      </c>
      <c r="L24" s="53">
        <f t="shared" si="8"/>
        <v>1.6907255671338526E-2</v>
      </c>
      <c r="M24" s="160">
        <v>4.13</v>
      </c>
      <c r="N24" s="91">
        <v>4.1689999999999996</v>
      </c>
      <c r="O24" s="124">
        <f t="shared" si="9"/>
        <v>1.9000000000000128E-2</v>
      </c>
      <c r="P24" s="124">
        <f t="shared" si="10"/>
        <v>1.9999999999999574E-2</v>
      </c>
      <c r="Q24" s="131">
        <f t="shared" si="11"/>
        <v>1.9499999999999851E-2</v>
      </c>
      <c r="R24" s="110">
        <v>4.2210000000000001</v>
      </c>
      <c r="S24" s="91">
        <v>4.2690000000000001</v>
      </c>
      <c r="T24" s="124">
        <f t="shared" si="12"/>
        <v>2.2999999999999687E-2</v>
      </c>
      <c r="U24" s="124">
        <f t="shared" si="13"/>
        <v>2.5000000000000355E-2</v>
      </c>
      <c r="V24" s="131">
        <f t="shared" si="14"/>
        <v>2.4000000000000021E-2</v>
      </c>
      <c r="W24" s="110">
        <v>4.2629999999999999</v>
      </c>
      <c r="X24" s="91">
        <v>4.3159999999999998</v>
      </c>
      <c r="Y24" s="136">
        <f t="shared" si="15"/>
        <v>2.5999999999999801E-2</v>
      </c>
      <c r="Z24" s="124">
        <f t="shared" si="16"/>
        <v>2.7000000000000135E-2</v>
      </c>
      <c r="AA24" s="131">
        <f t="shared" si="17"/>
        <v>2.6499999999999968E-2</v>
      </c>
    </row>
    <row r="25" spans="1:27">
      <c r="A25" s="1">
        <v>23</v>
      </c>
      <c r="B25" s="62" t="str">
        <f>'2MASS Singles'!B25</f>
        <v>NGC 2451</v>
      </c>
      <c r="C25" s="1" t="str">
        <f>'2MASS Singles'!C25</f>
        <v>HD61087</v>
      </c>
      <c r="D25" s="81">
        <f>'2MASS Singles'!D25</f>
        <v>184</v>
      </c>
      <c r="E25" s="140">
        <f>'2MASS Singles'!H25</f>
        <v>0.98591088495231727</v>
      </c>
      <c r="F25" s="136">
        <f>'2MASS Singles'!I25</f>
        <v>1.1269108849523173</v>
      </c>
      <c r="G25" s="141">
        <f>'2MASS Singles'!J25</f>
        <v>1.0389108849523181</v>
      </c>
      <c r="H25" s="110">
        <v>2.952</v>
      </c>
      <c r="I25" s="91">
        <v>2.8420000000000001</v>
      </c>
      <c r="J25" s="149">
        <v>2.9670000000000001</v>
      </c>
      <c r="K25" s="54">
        <f t="shared" si="7"/>
        <v>6.8251984098144203E-2</v>
      </c>
      <c r="L25" s="53">
        <f t="shared" si="8"/>
        <v>2.3371299200368973E-2</v>
      </c>
      <c r="M25" s="160">
        <v>2.9420000000000002</v>
      </c>
      <c r="N25" s="91">
        <v>2.9630000000000001</v>
      </c>
      <c r="O25" s="124">
        <f t="shared" si="9"/>
        <v>9.9999999999997868E-3</v>
      </c>
      <c r="P25" s="124">
        <f t="shared" si="10"/>
        <v>1.1000000000000121E-2</v>
      </c>
      <c r="Q25" s="131">
        <f t="shared" si="11"/>
        <v>1.0499999999999954E-2</v>
      </c>
      <c r="R25" s="110">
        <v>2.831</v>
      </c>
      <c r="S25" s="91">
        <v>2.8530000000000002</v>
      </c>
      <c r="T25" s="124">
        <f t="shared" si="12"/>
        <v>1.1000000000000121E-2</v>
      </c>
      <c r="U25" s="124">
        <f t="shared" si="13"/>
        <v>1.1000000000000121E-2</v>
      </c>
      <c r="V25" s="131">
        <f t="shared" si="14"/>
        <v>1.1000000000000121E-2</v>
      </c>
      <c r="W25" s="110">
        <v>2.956</v>
      </c>
      <c r="X25" s="91">
        <v>2.9790000000000001</v>
      </c>
      <c r="Y25" s="136">
        <f t="shared" si="15"/>
        <v>1.1000000000000121E-2</v>
      </c>
      <c r="Z25" s="124">
        <f t="shared" si="16"/>
        <v>1.2000000000000011E-2</v>
      </c>
      <c r="AA25" s="131">
        <f t="shared" si="17"/>
        <v>1.1500000000000066E-2</v>
      </c>
    </row>
    <row r="26" spans="1:27">
      <c r="A26" s="1">
        <v>24</v>
      </c>
      <c r="C26" s="1" t="str">
        <f>'2MASS Singles'!C26</f>
        <v>HD61621</v>
      </c>
      <c r="D26" s="56">
        <f>'2MASS Singles'!D26</f>
        <v>184</v>
      </c>
      <c r="E26" s="142">
        <f>'2MASS Singles'!H26</f>
        <v>1.6569108849523175</v>
      </c>
      <c r="F26" s="124">
        <f>'2MASS Singles'!I26</f>
        <v>1.6989108849523173</v>
      </c>
      <c r="G26" s="143">
        <f>'2MASS Singles'!J26</f>
        <v>1.6219108849523174</v>
      </c>
      <c r="H26" s="110">
        <v>2.2890000000000001</v>
      </c>
      <c r="I26" s="91">
        <v>2.2410000000000001</v>
      </c>
      <c r="J26" s="149">
        <v>2.359</v>
      </c>
      <c r="K26" s="54">
        <f t="shared" si="7"/>
        <v>5.9340823497263044E-2</v>
      </c>
      <c r="L26" s="53">
        <f t="shared" si="8"/>
        <v>2.5841554723731907E-2</v>
      </c>
      <c r="M26" s="160">
        <v>2.278</v>
      </c>
      <c r="N26" s="91">
        <v>2.2999999999999998</v>
      </c>
      <c r="O26" s="124">
        <f t="shared" si="9"/>
        <v>1.1000000000000121E-2</v>
      </c>
      <c r="P26" s="124">
        <f t="shared" si="10"/>
        <v>1.0999999999999677E-2</v>
      </c>
      <c r="Q26" s="131">
        <f t="shared" si="11"/>
        <v>1.0999999999999899E-2</v>
      </c>
      <c r="R26" s="110">
        <v>2.2229999999999999</v>
      </c>
      <c r="S26" s="91">
        <v>2.2559999999999998</v>
      </c>
      <c r="T26" s="124">
        <f t="shared" si="12"/>
        <v>1.8000000000000238E-2</v>
      </c>
      <c r="U26" s="124">
        <f t="shared" si="13"/>
        <v>1.499999999999968E-2</v>
      </c>
      <c r="V26" s="131">
        <f t="shared" si="14"/>
        <v>1.6499999999999959E-2</v>
      </c>
      <c r="W26" s="110">
        <v>2.3490000000000002</v>
      </c>
      <c r="X26" s="91">
        <v>2.3690000000000002</v>
      </c>
      <c r="Y26" s="136">
        <f t="shared" si="15"/>
        <v>9.9999999999997868E-3</v>
      </c>
      <c r="Z26" s="124">
        <f t="shared" si="16"/>
        <v>1.0000000000000231E-2</v>
      </c>
      <c r="AA26" s="131">
        <f t="shared" si="17"/>
        <v>1.0000000000000009E-2</v>
      </c>
    </row>
    <row r="27" spans="1:27">
      <c r="A27" s="1">
        <v>25</v>
      </c>
      <c r="B27" s="57"/>
      <c r="C27" s="1" t="str">
        <f>'2MASS Singles'!C27</f>
        <v>HD61831</v>
      </c>
      <c r="D27" s="56">
        <f>'2MASS Singles'!D27</f>
        <v>184</v>
      </c>
      <c r="E27" s="142">
        <f>'2MASS Singles'!H27</f>
        <v>-1.1060891150476824</v>
      </c>
      <c r="F27" s="124">
        <f>'2MASS Singles'!I27</f>
        <v>-0.99608911504768205</v>
      </c>
      <c r="G27" s="143">
        <f>'2MASS Singles'!J27</f>
        <v>-0.98608911504768226</v>
      </c>
      <c r="H27" s="110">
        <v>5.6829999999999998</v>
      </c>
      <c r="I27" s="91">
        <v>5.625</v>
      </c>
      <c r="J27" s="149">
        <v>5.73</v>
      </c>
      <c r="K27" s="54">
        <f t="shared" si="7"/>
        <v>5.2595944076833094E-2</v>
      </c>
      <c r="L27" s="53">
        <f t="shared" si="8"/>
        <v>9.2609362736529692E-3</v>
      </c>
      <c r="M27" s="160">
        <v>5.6710000000000003</v>
      </c>
      <c r="N27" s="91">
        <v>5.6950000000000003</v>
      </c>
      <c r="O27" s="124">
        <f t="shared" si="9"/>
        <v>1.1999999999999567E-2</v>
      </c>
      <c r="P27" s="124">
        <f t="shared" si="10"/>
        <v>1.2000000000000455E-2</v>
      </c>
      <c r="Q27" s="131">
        <f t="shared" si="11"/>
        <v>1.2000000000000011E-2</v>
      </c>
      <c r="R27" s="110">
        <v>5.6130000000000004</v>
      </c>
      <c r="S27" s="91">
        <v>5.6360000000000001</v>
      </c>
      <c r="T27" s="124">
        <f t="shared" si="12"/>
        <v>1.1999999999999567E-2</v>
      </c>
      <c r="U27" s="124">
        <f t="shared" si="13"/>
        <v>1.1000000000000121E-2</v>
      </c>
      <c r="V27" s="131">
        <f t="shared" si="14"/>
        <v>1.1499999999999844E-2</v>
      </c>
      <c r="W27" s="110">
        <v>5.718</v>
      </c>
      <c r="X27" s="91">
        <v>5.742</v>
      </c>
      <c r="Y27" s="136">
        <f t="shared" si="15"/>
        <v>1.2000000000000455E-2</v>
      </c>
      <c r="Z27" s="124">
        <f t="shared" si="16"/>
        <v>1.1999999999999567E-2</v>
      </c>
      <c r="AA27" s="131">
        <f t="shared" si="17"/>
        <v>1.2000000000000011E-2</v>
      </c>
    </row>
    <row r="28" spans="1:27">
      <c r="A28" s="1">
        <v>26</v>
      </c>
      <c r="B28" s="57"/>
      <c r="C28" s="1" t="str">
        <f>'2MASS Singles'!C28</f>
        <v>HD61899</v>
      </c>
      <c r="D28" s="56">
        <f>'2MASS Singles'!D28</f>
        <v>184</v>
      </c>
      <c r="E28" s="142">
        <f>'2MASS Singles'!H28</f>
        <v>-0.51908911504768263</v>
      </c>
      <c r="F28" s="124">
        <f>'2MASS Singles'!I28</f>
        <v>-0.48608911504768226</v>
      </c>
      <c r="G28" s="143">
        <f>'2MASS Singles'!J28</f>
        <v>-0.49308911504768194</v>
      </c>
      <c r="H28" s="110">
        <v>4.9870000000000001</v>
      </c>
      <c r="I28" s="91">
        <v>5.0199999999999996</v>
      </c>
      <c r="J28" s="149">
        <v>5.149</v>
      </c>
      <c r="K28" s="54">
        <f t="shared" si="7"/>
        <v>8.5609578903298011E-2</v>
      </c>
      <c r="L28" s="53">
        <f t="shared" si="8"/>
        <v>1.6945680701365404E-2</v>
      </c>
      <c r="M28" s="160">
        <v>4.9740000000000002</v>
      </c>
      <c r="N28" s="91">
        <v>4.9989999999999997</v>
      </c>
      <c r="O28" s="124">
        <f t="shared" si="9"/>
        <v>1.2999999999999901E-2</v>
      </c>
      <c r="P28" s="124">
        <f t="shared" si="10"/>
        <v>1.1999999999999567E-2</v>
      </c>
      <c r="Q28" s="131">
        <f t="shared" si="11"/>
        <v>1.2499999999999734E-2</v>
      </c>
      <c r="R28" s="110">
        <v>5.0069999999999997</v>
      </c>
      <c r="S28" s="91">
        <v>5.032</v>
      </c>
      <c r="T28" s="124">
        <f t="shared" si="12"/>
        <v>1.2999999999999901E-2</v>
      </c>
      <c r="U28" s="124">
        <f t="shared" si="13"/>
        <v>1.2000000000000455E-2</v>
      </c>
      <c r="V28" s="131">
        <f t="shared" si="14"/>
        <v>1.2500000000000178E-2</v>
      </c>
      <c r="W28" s="110">
        <v>5.1369999999999996</v>
      </c>
      <c r="X28" s="91">
        <v>5.1609999999999996</v>
      </c>
      <c r="Y28" s="136">
        <f t="shared" si="15"/>
        <v>1.2000000000000455E-2</v>
      </c>
      <c r="Z28" s="124">
        <f t="shared" si="16"/>
        <v>1.1999999999999567E-2</v>
      </c>
      <c r="AA28" s="131">
        <f t="shared" si="17"/>
        <v>1.2000000000000011E-2</v>
      </c>
    </row>
    <row r="29" spans="1:27">
      <c r="A29" s="1">
        <v>27</v>
      </c>
      <c r="C29" s="1" t="str">
        <f>'2MASS Singles'!C29</f>
        <v>HD61926</v>
      </c>
      <c r="D29" s="56">
        <f>'2MASS Singles'!D29</f>
        <v>184</v>
      </c>
      <c r="E29" s="142">
        <f>'2MASS Singles'!H29</f>
        <v>1.5819108849523174</v>
      </c>
      <c r="F29" s="124">
        <f>'2MASS Singles'!I29</f>
        <v>1.6189108849523173</v>
      </c>
      <c r="G29" s="143">
        <f>'2MASS Singles'!J29</f>
        <v>1.6539108849523174</v>
      </c>
      <c r="H29" s="110">
        <v>2.3610000000000002</v>
      </c>
      <c r="I29" s="91">
        <v>2.339</v>
      </c>
      <c r="J29" s="149">
        <v>2.3260000000000001</v>
      </c>
      <c r="K29" s="54">
        <f t="shared" si="7"/>
        <v>1.7691806012954218E-2</v>
      </c>
      <c r="L29" s="53">
        <f t="shared" si="8"/>
        <v>7.5541443266243461E-3</v>
      </c>
      <c r="M29" s="160">
        <v>2.3519999999999999</v>
      </c>
      <c r="N29" s="91">
        <v>2.37</v>
      </c>
      <c r="O29" s="124">
        <f t="shared" si="9"/>
        <v>9.0000000000003411E-3</v>
      </c>
      <c r="P29" s="124">
        <f t="shared" si="10"/>
        <v>8.999999999999897E-3</v>
      </c>
      <c r="Q29" s="131">
        <f t="shared" si="11"/>
        <v>9.000000000000119E-3</v>
      </c>
      <c r="R29" s="110">
        <v>2.3290000000000002</v>
      </c>
      <c r="S29" s="91">
        <v>2.3490000000000002</v>
      </c>
      <c r="T29" s="124">
        <f t="shared" si="12"/>
        <v>9.9999999999997868E-3</v>
      </c>
      <c r="U29" s="124">
        <f t="shared" si="13"/>
        <v>1.0000000000000231E-2</v>
      </c>
      <c r="V29" s="131">
        <f t="shared" si="14"/>
        <v>1.0000000000000009E-2</v>
      </c>
      <c r="W29" s="110">
        <v>2.3140000000000001</v>
      </c>
      <c r="X29" s="91">
        <v>2.3370000000000002</v>
      </c>
      <c r="Y29" s="136">
        <f t="shared" si="15"/>
        <v>1.2000000000000011E-2</v>
      </c>
      <c r="Z29" s="124">
        <f t="shared" si="16"/>
        <v>1.1000000000000121E-2</v>
      </c>
      <c r="AA29" s="131">
        <f t="shared" si="17"/>
        <v>1.1500000000000066E-2</v>
      </c>
    </row>
    <row r="30" spans="1:27">
      <c r="A30" s="1">
        <v>28</v>
      </c>
      <c r="C30" s="1" t="str">
        <f>'2MASS Singles'!C30</f>
        <v>HD61925</v>
      </c>
      <c r="D30" s="56">
        <f>'2MASS Singles'!D30</f>
        <v>184</v>
      </c>
      <c r="E30" s="142">
        <f>'2MASS Singles'!H30</f>
        <v>-0.39108911504768251</v>
      </c>
      <c r="F30" s="124">
        <f>'2MASS Singles'!I30</f>
        <v>-0.39008911504768218</v>
      </c>
      <c r="G30" s="143">
        <f>'2MASS Singles'!J30</f>
        <v>-0.39008911504768218</v>
      </c>
      <c r="H30" s="110">
        <v>4.8280000000000003</v>
      </c>
      <c r="I30" s="91">
        <v>4.9009999999999998</v>
      </c>
      <c r="J30" s="149">
        <v>5.024</v>
      </c>
      <c r="K30" s="54">
        <f t="shared" si="7"/>
        <v>9.9057222519780511E-2</v>
      </c>
      <c r="L30" s="53">
        <f t="shared" si="8"/>
        <v>2.0143134790167529E-2</v>
      </c>
      <c r="M30" s="160">
        <v>4.8159999999999998</v>
      </c>
      <c r="N30" s="91">
        <v>4.8410000000000002</v>
      </c>
      <c r="O30" s="124">
        <f t="shared" si="9"/>
        <v>1.2000000000000455E-2</v>
      </c>
      <c r="P30" s="124">
        <f t="shared" si="10"/>
        <v>1.2999999999999901E-2</v>
      </c>
      <c r="Q30" s="131">
        <f t="shared" si="11"/>
        <v>1.2500000000000178E-2</v>
      </c>
      <c r="R30" s="110">
        <v>4.8879999999999999</v>
      </c>
      <c r="S30" s="91">
        <v>4.9130000000000003</v>
      </c>
      <c r="T30" s="124">
        <f t="shared" si="12"/>
        <v>1.2999999999999901E-2</v>
      </c>
      <c r="U30" s="124">
        <f t="shared" si="13"/>
        <v>1.2000000000000455E-2</v>
      </c>
      <c r="V30" s="131">
        <f t="shared" si="14"/>
        <v>1.2500000000000178E-2</v>
      </c>
      <c r="W30" s="110">
        <v>5.0119999999999996</v>
      </c>
      <c r="X30" s="91">
        <v>5.0369999999999999</v>
      </c>
      <c r="Y30" s="136">
        <f t="shared" si="15"/>
        <v>1.2000000000000455E-2</v>
      </c>
      <c r="Z30" s="124">
        <f t="shared" si="16"/>
        <v>1.2999999999999901E-2</v>
      </c>
      <c r="AA30" s="131">
        <f t="shared" si="17"/>
        <v>1.2500000000000178E-2</v>
      </c>
    </row>
    <row r="31" spans="1:27">
      <c r="A31" s="1">
        <v>29</v>
      </c>
      <c r="C31" s="1" t="str">
        <f>'2MASS Singles'!C31</f>
        <v>HD62227</v>
      </c>
      <c r="D31" s="56">
        <f>'2MASS Singles'!D31</f>
        <v>184</v>
      </c>
      <c r="E31" s="142">
        <f>'2MASS Singles'!H31</f>
        <v>1.4079108849523179</v>
      </c>
      <c r="F31" s="124">
        <f>'2MASS Singles'!I31</f>
        <v>1.4619108849523172</v>
      </c>
      <c r="G31" s="143">
        <f>'2MASS Singles'!J31</f>
        <v>1.4709108849523176</v>
      </c>
      <c r="H31" s="110">
        <v>2.5110000000000001</v>
      </c>
      <c r="I31" s="91">
        <v>2.4889999999999999</v>
      </c>
      <c r="J31" s="149">
        <v>2.4990000000000001</v>
      </c>
      <c r="K31" s="54">
        <f t="shared" si="7"/>
        <v>1.1015141094572321E-2</v>
      </c>
      <c r="L31" s="53">
        <f t="shared" si="8"/>
        <v>4.4066439903609764E-3</v>
      </c>
      <c r="M31" s="160">
        <v>2.5019999999999998</v>
      </c>
      <c r="N31" s="91">
        <v>2.5209999999999999</v>
      </c>
      <c r="O31" s="124">
        <f t="shared" si="9"/>
        <v>9.0000000000003411E-3</v>
      </c>
      <c r="P31" s="124">
        <f t="shared" si="10"/>
        <v>9.9999999999997868E-3</v>
      </c>
      <c r="Q31" s="131">
        <f t="shared" si="11"/>
        <v>9.5000000000000639E-3</v>
      </c>
      <c r="R31" s="110">
        <v>2.4790000000000001</v>
      </c>
      <c r="S31" s="91">
        <v>2.4980000000000002</v>
      </c>
      <c r="T31" s="124">
        <f t="shared" si="12"/>
        <v>9.9999999999997868E-3</v>
      </c>
      <c r="U31" s="124">
        <f t="shared" si="13"/>
        <v>9.0000000000003411E-3</v>
      </c>
      <c r="V31" s="131">
        <f t="shared" si="14"/>
        <v>9.5000000000000639E-3</v>
      </c>
      <c r="W31" s="110">
        <v>2.4900000000000002</v>
      </c>
      <c r="X31" s="91">
        <v>2.5089999999999999</v>
      </c>
      <c r="Y31" s="136">
        <f t="shared" si="15"/>
        <v>8.999999999999897E-3</v>
      </c>
      <c r="Z31" s="124">
        <f t="shared" si="16"/>
        <v>9.9999999999997868E-3</v>
      </c>
      <c r="AA31" s="131">
        <f t="shared" si="17"/>
        <v>9.4999999999998419E-3</v>
      </c>
    </row>
    <row r="32" spans="1:27">
      <c r="A32" s="1">
        <v>30</v>
      </c>
      <c r="C32" s="1" t="str">
        <f>'2MASS Singles'!C32</f>
        <v>HD62226</v>
      </c>
      <c r="D32" s="56">
        <f>'2MASS Singles'!D32</f>
        <v>184</v>
      </c>
      <c r="E32" s="142">
        <f>'2MASS Singles'!H32</f>
        <v>-0.61408911504768238</v>
      </c>
      <c r="F32" s="124">
        <f>'2MASS Singles'!I32</f>
        <v>-0.52108911504768241</v>
      </c>
      <c r="G32" s="143">
        <f>'2MASS Singles'!J32</f>
        <v>-0.54008911504768253</v>
      </c>
      <c r="H32" s="110">
        <v>5.1020000000000003</v>
      </c>
      <c r="I32" s="91">
        <v>5.0620000000000003</v>
      </c>
      <c r="J32" s="149">
        <v>5.2050000000000001</v>
      </c>
      <c r="K32" s="54">
        <f t="shared" si="7"/>
        <v>7.3776690085690225E-2</v>
      </c>
      <c r="L32" s="53">
        <f t="shared" si="8"/>
        <v>1.4401071654438848E-2</v>
      </c>
      <c r="M32" s="160">
        <v>5.09</v>
      </c>
      <c r="N32" s="91">
        <v>5.1139999999999999</v>
      </c>
      <c r="O32" s="124">
        <f t="shared" si="9"/>
        <v>1.2000000000000455E-2</v>
      </c>
      <c r="P32" s="124">
        <f t="shared" si="10"/>
        <v>1.1999999999999567E-2</v>
      </c>
      <c r="Q32" s="131">
        <f t="shared" si="11"/>
        <v>1.2000000000000011E-2</v>
      </c>
      <c r="R32" s="110">
        <v>5.05</v>
      </c>
      <c r="S32" s="91">
        <v>5.0750000000000002</v>
      </c>
      <c r="T32" s="124">
        <f t="shared" si="12"/>
        <v>1.2000000000000455E-2</v>
      </c>
      <c r="U32" s="124">
        <f t="shared" si="13"/>
        <v>1.2999999999999901E-2</v>
      </c>
      <c r="V32" s="131">
        <f t="shared" si="14"/>
        <v>1.2500000000000178E-2</v>
      </c>
      <c r="W32" s="110">
        <v>5.1929999999999996</v>
      </c>
      <c r="X32" s="91">
        <v>5.2160000000000002</v>
      </c>
      <c r="Y32" s="136">
        <f t="shared" si="15"/>
        <v>1.2000000000000455E-2</v>
      </c>
      <c r="Z32" s="124">
        <f t="shared" si="16"/>
        <v>1.1000000000000121E-2</v>
      </c>
      <c r="AA32" s="131">
        <f t="shared" si="17"/>
        <v>1.1500000000000288E-2</v>
      </c>
    </row>
    <row r="33" spans="1:27">
      <c r="A33" s="1">
        <v>31</v>
      </c>
      <c r="C33" s="1" t="str">
        <f>'2MASS Singles'!C33</f>
        <v>HD62415</v>
      </c>
      <c r="D33" s="56">
        <f>'2MASS Singles'!D33</f>
        <v>184</v>
      </c>
      <c r="E33" s="142">
        <f>'2MASS Singles'!H33</f>
        <v>1.2929108849523177</v>
      </c>
      <c r="F33" s="124">
        <f>'2MASS Singles'!I33</f>
        <v>1.2289108849523176</v>
      </c>
      <c r="G33" s="143">
        <f>'2MASS Singles'!J33</f>
        <v>1.1559108849523181</v>
      </c>
      <c r="H33" s="110">
        <v>2.63</v>
      </c>
      <c r="I33" s="91">
        <v>2.734</v>
      </c>
      <c r="J33" s="149">
        <v>2.8370000000000002</v>
      </c>
      <c r="K33" s="54">
        <f t="shared" si="7"/>
        <v>0.10350040257570675</v>
      </c>
      <c r="L33" s="53">
        <f t="shared" si="8"/>
        <v>3.7861383700417056E-2</v>
      </c>
      <c r="M33" s="160">
        <v>2.6190000000000002</v>
      </c>
      <c r="N33" s="91">
        <v>2.6419999999999999</v>
      </c>
      <c r="O33" s="124">
        <f t="shared" si="9"/>
        <v>1.0999999999999677E-2</v>
      </c>
      <c r="P33" s="124">
        <f t="shared" si="10"/>
        <v>1.2000000000000011E-2</v>
      </c>
      <c r="Q33" s="131">
        <f t="shared" si="11"/>
        <v>1.1499999999999844E-2</v>
      </c>
      <c r="R33" s="110">
        <v>2.7229999999999999</v>
      </c>
      <c r="S33" s="91">
        <v>2.7440000000000002</v>
      </c>
      <c r="T33" s="124">
        <f t="shared" si="12"/>
        <v>1.1000000000000121E-2</v>
      </c>
      <c r="U33" s="124">
        <f t="shared" si="13"/>
        <v>1.0000000000000231E-2</v>
      </c>
      <c r="V33" s="131">
        <f t="shared" si="14"/>
        <v>1.0500000000000176E-2</v>
      </c>
      <c r="W33" s="110">
        <v>2.8260000000000001</v>
      </c>
      <c r="X33" s="91">
        <v>2.8479999999999999</v>
      </c>
      <c r="Y33" s="136">
        <f t="shared" si="15"/>
        <v>1.1000000000000121E-2</v>
      </c>
      <c r="Z33" s="124">
        <f t="shared" si="16"/>
        <v>1.0999999999999677E-2</v>
      </c>
      <c r="AA33" s="131">
        <f t="shared" si="17"/>
        <v>1.0999999999999899E-2</v>
      </c>
    </row>
    <row r="34" spans="1:27">
      <c r="A34" s="1">
        <v>32</v>
      </c>
      <c r="C34" s="1" t="str">
        <f>'2MASS Singles'!C34</f>
        <v>HD62559</v>
      </c>
      <c r="D34" s="56">
        <f>'2MASS Singles'!D34</f>
        <v>184</v>
      </c>
      <c r="E34" s="142">
        <f>'2MASS Singles'!H34</f>
        <v>0.73291088495231804</v>
      </c>
      <c r="F34" s="124">
        <f>'2MASS Singles'!I34</f>
        <v>0.6119108849523176</v>
      </c>
      <c r="G34" s="143">
        <f>'2MASS Singles'!J34</f>
        <v>0.49691088495231739</v>
      </c>
      <c r="H34" s="110">
        <v>3.2330000000000001</v>
      </c>
      <c r="I34" s="91">
        <v>3.4550000000000001</v>
      </c>
      <c r="J34" s="149">
        <v>3.71</v>
      </c>
      <c r="K34" s="54">
        <f t="shared" si="7"/>
        <v>0.23869017575090928</v>
      </c>
      <c r="L34" s="53">
        <f t="shared" si="8"/>
        <v>6.8866178808687048E-2</v>
      </c>
      <c r="M34" s="160">
        <v>3.2210000000000001</v>
      </c>
      <c r="N34" s="91">
        <v>3.2450000000000001</v>
      </c>
      <c r="O34" s="124">
        <f t="shared" si="9"/>
        <v>1.2000000000000011E-2</v>
      </c>
      <c r="P34" s="124">
        <f t="shared" si="10"/>
        <v>1.2000000000000011E-2</v>
      </c>
      <c r="Q34" s="131">
        <f t="shared" si="11"/>
        <v>1.2000000000000011E-2</v>
      </c>
      <c r="R34" s="110">
        <v>3.4409999999999998</v>
      </c>
      <c r="S34" s="91">
        <v>3.4689999999999999</v>
      </c>
      <c r="T34" s="124">
        <f t="shared" si="12"/>
        <v>1.4000000000000234E-2</v>
      </c>
      <c r="U34" s="124">
        <f t="shared" si="13"/>
        <v>1.399999999999979E-2</v>
      </c>
      <c r="V34" s="131">
        <f t="shared" si="14"/>
        <v>1.4000000000000012E-2</v>
      </c>
      <c r="W34" s="110">
        <v>3.6909999999999998</v>
      </c>
      <c r="X34" s="91">
        <v>3.7280000000000002</v>
      </c>
      <c r="Y34" s="136">
        <f t="shared" si="15"/>
        <v>1.9000000000000128E-2</v>
      </c>
      <c r="Z34" s="124">
        <f t="shared" si="16"/>
        <v>1.8000000000000238E-2</v>
      </c>
      <c r="AA34" s="131">
        <f t="shared" si="17"/>
        <v>1.8500000000000183E-2</v>
      </c>
    </row>
    <row r="35" spans="1:27">
      <c r="A35" s="1">
        <v>33</v>
      </c>
      <c r="C35" s="1" t="str">
        <f>'2MASS Singles'!C35</f>
        <v>HD62642</v>
      </c>
      <c r="D35" s="56">
        <f>'2MASS Singles'!D35</f>
        <v>184</v>
      </c>
      <c r="E35" s="142">
        <f>'2MASS Singles'!H35</f>
        <v>1.1859108849523174</v>
      </c>
      <c r="F35" s="124">
        <f>'2MASS Singles'!I35</f>
        <v>1.1709108849523178</v>
      </c>
      <c r="G35" s="143">
        <f>'2MASS Singles'!J35</f>
        <v>1.1299108849523174</v>
      </c>
      <c r="H35" s="110">
        <v>2.7469999999999999</v>
      </c>
      <c r="I35" s="91">
        <v>2.7949999999999999</v>
      </c>
      <c r="J35" s="149">
        <v>2.8660000000000001</v>
      </c>
      <c r="K35" s="54">
        <f t="shared" si="7"/>
        <v>5.986930209492463E-2</v>
      </c>
      <c r="L35" s="53">
        <f t="shared" si="8"/>
        <v>2.1361549272689569E-2</v>
      </c>
      <c r="M35" s="160">
        <v>2.7370000000000001</v>
      </c>
      <c r="N35" s="91">
        <v>2.758</v>
      </c>
      <c r="O35" s="124">
        <f t="shared" si="9"/>
        <v>9.9999999999997868E-3</v>
      </c>
      <c r="P35" s="124">
        <f t="shared" si="10"/>
        <v>1.1000000000000121E-2</v>
      </c>
      <c r="Q35" s="131">
        <f t="shared" si="11"/>
        <v>1.0499999999999954E-2</v>
      </c>
      <c r="R35" s="110">
        <v>2.7850000000000001</v>
      </c>
      <c r="S35" s="91">
        <v>2.806</v>
      </c>
      <c r="T35" s="124">
        <f t="shared" si="12"/>
        <v>9.9999999999997868E-3</v>
      </c>
      <c r="U35" s="124">
        <f t="shared" si="13"/>
        <v>1.1000000000000121E-2</v>
      </c>
      <c r="V35" s="131">
        <f t="shared" si="14"/>
        <v>1.0499999999999954E-2</v>
      </c>
      <c r="W35" s="110">
        <v>2.855</v>
      </c>
      <c r="X35" s="91">
        <v>2.8769999999999998</v>
      </c>
      <c r="Y35" s="136">
        <f t="shared" si="15"/>
        <v>1.1000000000000121E-2</v>
      </c>
      <c r="Z35" s="124">
        <f t="shared" si="16"/>
        <v>1.0999999999999677E-2</v>
      </c>
      <c r="AA35" s="131">
        <f t="shared" si="17"/>
        <v>1.0999999999999899E-2</v>
      </c>
    </row>
    <row r="36" spans="1:27">
      <c r="A36" s="1">
        <v>34</v>
      </c>
      <c r="C36" s="1" t="str">
        <f>'2MASS Singles'!C36</f>
        <v>HD62712</v>
      </c>
      <c r="D36" s="56">
        <f>'2MASS Singles'!D36</f>
        <v>184</v>
      </c>
      <c r="E36" s="142">
        <f>'2MASS Singles'!H36</f>
        <v>0.32391088495231735</v>
      </c>
      <c r="F36" s="124">
        <f>'2MASS Singles'!I36</f>
        <v>0.38391088495231784</v>
      </c>
      <c r="G36" s="143">
        <f>'2MASS Singles'!J36</f>
        <v>0.41091088495231798</v>
      </c>
      <c r="H36" s="110">
        <v>3.8180000000000001</v>
      </c>
      <c r="I36" s="91">
        <v>3.802</v>
      </c>
      <c r="J36" s="149">
        <v>3.87</v>
      </c>
      <c r="K36" s="54">
        <f t="shared" si="7"/>
        <v>3.5552777669262389E-2</v>
      </c>
      <c r="L36" s="53">
        <f t="shared" si="8"/>
        <v>9.2827095742199443E-3</v>
      </c>
      <c r="M36" s="160">
        <v>3.802</v>
      </c>
      <c r="N36" s="91">
        <v>3.8340000000000001</v>
      </c>
      <c r="O36" s="124">
        <f t="shared" si="9"/>
        <v>1.6000000000000014E-2</v>
      </c>
      <c r="P36" s="124">
        <f t="shared" si="10"/>
        <v>1.6000000000000014E-2</v>
      </c>
      <c r="Q36" s="131">
        <f t="shared" si="11"/>
        <v>1.6000000000000014E-2</v>
      </c>
      <c r="R36" s="110">
        <v>3.786</v>
      </c>
      <c r="S36" s="91">
        <v>3.8180000000000001</v>
      </c>
      <c r="T36" s="124">
        <f t="shared" si="12"/>
        <v>1.6000000000000014E-2</v>
      </c>
      <c r="U36" s="124">
        <f t="shared" si="13"/>
        <v>1.6000000000000014E-2</v>
      </c>
      <c r="V36" s="131">
        <f t="shared" si="14"/>
        <v>1.6000000000000014E-2</v>
      </c>
      <c r="W36" s="110">
        <v>3.851</v>
      </c>
      <c r="X36" s="91">
        <v>3.8889999999999998</v>
      </c>
      <c r="Y36" s="136">
        <f t="shared" si="15"/>
        <v>1.9000000000000128E-2</v>
      </c>
      <c r="Z36" s="124">
        <f t="shared" si="16"/>
        <v>1.8999999999999684E-2</v>
      </c>
      <c r="AA36" s="131">
        <f t="shared" si="17"/>
        <v>1.8999999999999906E-2</v>
      </c>
    </row>
    <row r="37" spans="1:27">
      <c r="A37" s="1">
        <v>35</v>
      </c>
      <c r="C37" s="1" t="str">
        <f>'2MASS Singles'!C37</f>
        <v>HD62737</v>
      </c>
      <c r="D37" s="56">
        <f>'2MASS Singles'!D37</f>
        <v>184</v>
      </c>
      <c r="E37" s="142">
        <f>'2MASS Singles'!H37</f>
        <v>1.6759108849523177</v>
      </c>
      <c r="F37" s="124">
        <f>'2MASS Singles'!I37</f>
        <v>1.6879108849523181</v>
      </c>
      <c r="G37" s="143">
        <f>'2MASS Singles'!J37</f>
        <v>1.732910884952318</v>
      </c>
      <c r="H37" s="110">
        <v>2.2679999999999998</v>
      </c>
      <c r="I37" s="91">
        <v>2.2570000000000001</v>
      </c>
      <c r="J37" s="149">
        <v>2.1829999999999998</v>
      </c>
      <c r="K37" s="54">
        <f t="shared" si="7"/>
        <v>4.6227697325304934E-2</v>
      </c>
      <c r="L37" s="53">
        <f t="shared" si="8"/>
        <v>2.0674283240297374E-2</v>
      </c>
      <c r="M37" s="160">
        <v>2.2549999999999999</v>
      </c>
      <c r="N37" s="91">
        <v>2.2789999999999999</v>
      </c>
      <c r="O37" s="124">
        <f t="shared" si="9"/>
        <v>1.2999999999999901E-2</v>
      </c>
      <c r="P37" s="124">
        <f t="shared" si="10"/>
        <v>1.1000000000000121E-2</v>
      </c>
      <c r="Q37" s="131">
        <f t="shared" si="11"/>
        <v>1.2000000000000011E-2</v>
      </c>
      <c r="R37" s="110">
        <v>2.242</v>
      </c>
      <c r="S37" s="91">
        <v>2.2709999999999999</v>
      </c>
      <c r="T37" s="124">
        <f t="shared" si="12"/>
        <v>1.5000000000000124E-2</v>
      </c>
      <c r="U37" s="124">
        <f t="shared" si="13"/>
        <v>1.399999999999979E-2</v>
      </c>
      <c r="V37" s="131">
        <f t="shared" si="14"/>
        <v>1.4499999999999957E-2</v>
      </c>
      <c r="W37" s="110">
        <v>2.0459999999999998</v>
      </c>
      <c r="X37" s="91">
        <v>2.2229999999999999</v>
      </c>
      <c r="Y37" s="136">
        <f t="shared" si="15"/>
        <v>0.13700000000000001</v>
      </c>
      <c r="Z37" s="124">
        <f t="shared" si="16"/>
        <v>4.0000000000000036E-2</v>
      </c>
      <c r="AA37" s="131">
        <f t="shared" si="17"/>
        <v>8.8500000000000023E-2</v>
      </c>
    </row>
    <row r="38" spans="1:27">
      <c r="A38" s="1">
        <v>36</v>
      </c>
      <c r="C38" s="1" t="str">
        <f>'2MASS Singles'!C38</f>
        <v>HD62803</v>
      </c>
      <c r="D38" s="56">
        <f>'2MASS Singles'!D38</f>
        <v>184</v>
      </c>
      <c r="E38" s="142">
        <f>'2MASS Singles'!H38</f>
        <v>1.1649108849523175</v>
      </c>
      <c r="F38" s="124">
        <f>'2MASS Singles'!I38</f>
        <v>1.2239108849523177</v>
      </c>
      <c r="G38" s="143">
        <f>'2MASS Singles'!J38</f>
        <v>1.1819108849523179</v>
      </c>
      <c r="H38" s="110">
        <v>2.7690000000000001</v>
      </c>
      <c r="I38" s="91">
        <v>2.7389999999999999</v>
      </c>
      <c r="J38" s="149">
        <v>2.8079999999999998</v>
      </c>
      <c r="K38" s="54">
        <f t="shared" si="7"/>
        <v>3.459768778401235E-2</v>
      </c>
      <c r="L38" s="53">
        <f t="shared" si="8"/>
        <v>1.2481128349210805E-2</v>
      </c>
      <c r="M38" s="160">
        <v>2.7589999999999999</v>
      </c>
      <c r="N38" s="91">
        <v>2.78</v>
      </c>
      <c r="O38" s="124">
        <f t="shared" si="9"/>
        <v>1.0000000000000231E-2</v>
      </c>
      <c r="P38" s="124">
        <f t="shared" si="10"/>
        <v>1.0999999999999677E-2</v>
      </c>
      <c r="Q38" s="131">
        <f t="shared" si="11"/>
        <v>1.0499999999999954E-2</v>
      </c>
      <c r="R38" s="110">
        <v>2.7280000000000002</v>
      </c>
      <c r="S38" s="91">
        <v>2.75</v>
      </c>
      <c r="T38" s="124">
        <f t="shared" si="12"/>
        <v>1.0999999999999677E-2</v>
      </c>
      <c r="U38" s="124">
        <f t="shared" si="13"/>
        <v>1.1000000000000121E-2</v>
      </c>
      <c r="V38" s="131">
        <f t="shared" si="14"/>
        <v>1.0999999999999899E-2</v>
      </c>
      <c r="W38" s="110">
        <v>2.7970000000000002</v>
      </c>
      <c r="X38" s="91">
        <v>2.819</v>
      </c>
      <c r="Y38" s="136">
        <f t="shared" si="15"/>
        <v>1.0999999999999677E-2</v>
      </c>
      <c r="Z38" s="124">
        <f t="shared" si="16"/>
        <v>1.1000000000000121E-2</v>
      </c>
      <c r="AA38" s="131">
        <f t="shared" si="17"/>
        <v>1.0999999999999899E-2</v>
      </c>
    </row>
    <row r="39" spans="1:27">
      <c r="A39" s="1">
        <v>37</v>
      </c>
      <c r="C39" s="1" t="str">
        <f>'2MASS Singles'!C39</f>
        <v>HD62875</v>
      </c>
      <c r="D39" s="56">
        <f>'2MASS Singles'!D39</f>
        <v>184</v>
      </c>
      <c r="E39" s="142">
        <f>'2MASS Singles'!H39</f>
        <v>1.9499108849523168</v>
      </c>
      <c r="F39" s="124">
        <f>'2MASS Singles'!I39</f>
        <v>1.9409108849523182</v>
      </c>
      <c r="G39" s="143">
        <f>'2MASS Singles'!J39</f>
        <v>1.8999108849523179</v>
      </c>
      <c r="H39" s="110">
        <v>1.8660000000000001</v>
      </c>
      <c r="I39" s="91">
        <v>1.7989999999999999</v>
      </c>
      <c r="J39" s="149">
        <v>1.8129999999999999</v>
      </c>
      <c r="K39" s="54">
        <f t="shared" si="7"/>
        <v>3.5341194094144678E-2</v>
      </c>
      <c r="L39" s="53">
        <f t="shared" si="8"/>
        <v>1.9354432691207384E-2</v>
      </c>
      <c r="M39" s="160">
        <v>1.853</v>
      </c>
      <c r="N39" s="91">
        <v>1.8779999999999999</v>
      </c>
      <c r="O39" s="124">
        <f t="shared" si="9"/>
        <v>1.3000000000000123E-2</v>
      </c>
      <c r="P39" s="124">
        <f t="shared" si="10"/>
        <v>1.1999999999999789E-2</v>
      </c>
      <c r="Q39" s="131">
        <f t="shared" si="11"/>
        <v>1.2499999999999956E-2</v>
      </c>
      <c r="R39" s="110">
        <v>1.7909999999999999</v>
      </c>
      <c r="S39" s="91">
        <v>1.8089999999999999</v>
      </c>
      <c r="T39" s="124">
        <f t="shared" si="12"/>
        <v>8.0000000000000071E-3</v>
      </c>
      <c r="U39" s="124">
        <f t="shared" si="13"/>
        <v>1.0000000000000009E-2</v>
      </c>
      <c r="V39" s="131">
        <f t="shared" si="14"/>
        <v>9.000000000000008E-3</v>
      </c>
      <c r="W39" s="110">
        <v>1.8</v>
      </c>
      <c r="X39" s="91">
        <v>1.835</v>
      </c>
      <c r="Y39" s="136">
        <f t="shared" si="15"/>
        <v>1.2999999999999901E-2</v>
      </c>
      <c r="Z39" s="124">
        <f t="shared" si="16"/>
        <v>2.200000000000002E-2</v>
      </c>
      <c r="AA39" s="131">
        <f t="shared" si="17"/>
        <v>1.749999999999996E-2</v>
      </c>
    </row>
    <row r="40" spans="1:27">
      <c r="A40" s="1">
        <v>38</v>
      </c>
      <c r="C40" s="1" t="str">
        <f>'2MASS Singles'!C40</f>
        <v>HD62893</v>
      </c>
      <c r="D40" s="56">
        <f>'2MASS Singles'!D40</f>
        <v>184</v>
      </c>
      <c r="E40" s="142">
        <f>'2MASS Singles'!H40</f>
        <v>-0.26108911504768262</v>
      </c>
      <c r="F40" s="124">
        <f>'2MASS Singles'!I40</f>
        <v>-0.14708911504768274</v>
      </c>
      <c r="G40" s="143">
        <f>'2MASS Singles'!J40</f>
        <v>-0.17808911504768243</v>
      </c>
      <c r="H40" s="110">
        <v>4.6630000000000003</v>
      </c>
      <c r="I40" s="91">
        <v>4.5869999999999997</v>
      </c>
      <c r="J40" s="149">
        <v>4.76</v>
      </c>
      <c r="K40" s="54">
        <f t="shared" si="7"/>
        <v>8.6712167542969426E-2</v>
      </c>
      <c r="L40" s="53">
        <f t="shared" si="8"/>
        <v>1.8567915962091956E-2</v>
      </c>
      <c r="M40" s="160">
        <v>4.6500000000000004</v>
      </c>
      <c r="N40" s="91">
        <v>4.6760000000000002</v>
      </c>
      <c r="O40" s="124">
        <f t="shared" si="9"/>
        <v>1.2999999999999901E-2</v>
      </c>
      <c r="P40" s="124">
        <f t="shared" si="10"/>
        <v>1.2999999999999901E-2</v>
      </c>
      <c r="Q40" s="131">
        <f t="shared" si="11"/>
        <v>1.2999999999999901E-2</v>
      </c>
      <c r="R40" s="110">
        <v>4.5730000000000004</v>
      </c>
      <c r="S40" s="91">
        <v>4.5999999999999996</v>
      </c>
      <c r="T40" s="124">
        <f t="shared" si="12"/>
        <v>1.3999999999999346E-2</v>
      </c>
      <c r="U40" s="124">
        <f t="shared" si="13"/>
        <v>1.2999999999999901E-2</v>
      </c>
      <c r="V40" s="131">
        <f t="shared" si="14"/>
        <v>1.3499999999999623E-2</v>
      </c>
      <c r="W40" s="110">
        <v>4.7469999999999999</v>
      </c>
      <c r="X40" s="91">
        <v>4.7729999999999997</v>
      </c>
      <c r="Y40" s="136">
        <f t="shared" si="15"/>
        <v>1.2999999999999901E-2</v>
      </c>
      <c r="Z40" s="124">
        <f t="shared" si="16"/>
        <v>1.2999999999999901E-2</v>
      </c>
      <c r="AA40" s="131">
        <f t="shared" si="17"/>
        <v>1.2999999999999901E-2</v>
      </c>
    </row>
    <row r="41" spans="1:27">
      <c r="A41" s="1">
        <v>39</v>
      </c>
      <c r="C41" s="1" t="str">
        <f>'2MASS Singles'!C41</f>
        <v>HD62938</v>
      </c>
      <c r="D41" s="56">
        <f>'2MASS Singles'!D41</f>
        <v>184</v>
      </c>
      <c r="E41" s="142">
        <f>'2MASS Singles'!H41</f>
        <v>1.2589108849523178</v>
      </c>
      <c r="F41" s="124">
        <f>'2MASS Singles'!I41</f>
        <v>1.3519108849523178</v>
      </c>
      <c r="G41" s="143">
        <f>'2MASS Singles'!J41</f>
        <v>1.3129108849523172</v>
      </c>
      <c r="H41" s="110">
        <v>2.6680000000000001</v>
      </c>
      <c r="I41" s="91">
        <v>2.6</v>
      </c>
      <c r="J41" s="149">
        <v>2.6629999999999998</v>
      </c>
      <c r="K41" s="54">
        <f t="shared" si="7"/>
        <v>3.7898988552906389E-2</v>
      </c>
      <c r="L41" s="53">
        <f t="shared" si="8"/>
        <v>1.4335766695085003E-2</v>
      </c>
      <c r="M41" s="160">
        <v>2.657</v>
      </c>
      <c r="N41" s="91">
        <v>2.6789999999999998</v>
      </c>
      <c r="O41" s="124">
        <f t="shared" si="9"/>
        <v>1.1000000000000121E-2</v>
      </c>
      <c r="P41" s="124">
        <f t="shared" si="10"/>
        <v>1.0999999999999677E-2</v>
      </c>
      <c r="Q41" s="131">
        <f t="shared" si="11"/>
        <v>1.0999999999999899E-2</v>
      </c>
      <c r="R41" s="110">
        <v>2.59</v>
      </c>
      <c r="S41" s="91">
        <v>2.6110000000000002</v>
      </c>
      <c r="T41" s="124">
        <f t="shared" si="12"/>
        <v>1.0000000000000231E-2</v>
      </c>
      <c r="U41" s="124">
        <f t="shared" si="13"/>
        <v>1.1000000000000121E-2</v>
      </c>
      <c r="V41" s="131">
        <f t="shared" si="14"/>
        <v>1.0500000000000176E-2</v>
      </c>
      <c r="W41" s="110">
        <v>2.6520000000000001</v>
      </c>
      <c r="X41" s="91">
        <v>2.6749999999999998</v>
      </c>
      <c r="Y41" s="136">
        <f t="shared" si="15"/>
        <v>1.0999999999999677E-2</v>
      </c>
      <c r="Z41" s="124">
        <f t="shared" si="16"/>
        <v>1.2000000000000011E-2</v>
      </c>
      <c r="AA41" s="131">
        <f t="shared" si="17"/>
        <v>1.1499999999999844E-2</v>
      </c>
    </row>
    <row r="42" spans="1:27">
      <c r="A42" s="1">
        <v>40</v>
      </c>
      <c r="C42" s="1" t="str">
        <f>'2MASS Singles'!C42</f>
        <v>HD62961</v>
      </c>
      <c r="D42" s="56">
        <f>'2MASS Singles'!D42</f>
        <v>184</v>
      </c>
      <c r="E42" s="142">
        <f>'2MASS Singles'!H42</f>
        <v>1.7039108849523181</v>
      </c>
      <c r="F42" s="124">
        <f>'2MASS Singles'!I42</f>
        <v>1.7119108849523172</v>
      </c>
      <c r="G42" s="143">
        <f>'2MASS Singles'!J42</f>
        <v>1.6729108849523175</v>
      </c>
      <c r="H42" s="110">
        <v>2.23</v>
      </c>
      <c r="I42" s="91">
        <v>2.218</v>
      </c>
      <c r="J42" s="149">
        <v>2.3039999999999998</v>
      </c>
      <c r="K42" s="54">
        <f t="shared" si="7"/>
        <v>4.6576102599222763E-2</v>
      </c>
      <c r="L42" s="53">
        <f t="shared" si="8"/>
        <v>2.069435838235608E-2</v>
      </c>
      <c r="M42" s="160">
        <v>2.2120000000000002</v>
      </c>
      <c r="N42" s="91">
        <v>2.2440000000000002</v>
      </c>
      <c r="O42" s="124">
        <f t="shared" si="9"/>
        <v>1.7999999999999794E-2</v>
      </c>
      <c r="P42" s="124">
        <f t="shared" si="10"/>
        <v>1.4000000000000234E-2</v>
      </c>
      <c r="Q42" s="131">
        <f t="shared" si="11"/>
        <v>1.6000000000000014E-2</v>
      </c>
      <c r="R42" s="110">
        <v>2.1949999999999998</v>
      </c>
      <c r="S42" s="91">
        <v>2.2360000000000002</v>
      </c>
      <c r="T42" s="124">
        <f t="shared" si="12"/>
        <v>2.3000000000000131E-2</v>
      </c>
      <c r="U42" s="124">
        <f t="shared" si="13"/>
        <v>1.8000000000000238E-2</v>
      </c>
      <c r="V42" s="131">
        <f t="shared" si="14"/>
        <v>2.0500000000000185E-2</v>
      </c>
      <c r="W42" s="110">
        <v>2.2909999999999999</v>
      </c>
      <c r="X42" s="91">
        <v>2.3159999999999998</v>
      </c>
      <c r="Y42" s="136">
        <f t="shared" si="15"/>
        <v>1.2999999999999901E-2</v>
      </c>
      <c r="Z42" s="124">
        <f t="shared" si="16"/>
        <v>1.2000000000000011E-2</v>
      </c>
      <c r="AA42" s="131">
        <f t="shared" si="17"/>
        <v>1.2499999999999956E-2</v>
      </c>
    </row>
    <row r="43" spans="1:27">
      <c r="A43" s="1">
        <v>41</v>
      </c>
      <c r="C43" s="1" t="str">
        <f>'2MASS Singles'!C43</f>
        <v>HD62992</v>
      </c>
      <c r="D43" s="56">
        <f>'2MASS Singles'!D43</f>
        <v>184</v>
      </c>
      <c r="E43" s="142">
        <f>'2MASS Singles'!H43</f>
        <v>1.3049108849523172</v>
      </c>
      <c r="F43" s="124">
        <f>'2MASS Singles'!I43</f>
        <v>1.301910884952318</v>
      </c>
      <c r="G43" s="143">
        <f>'2MASS Singles'!J43</f>
        <v>1.2469108849523174</v>
      </c>
      <c r="H43" s="110">
        <v>2.617</v>
      </c>
      <c r="I43" s="91">
        <v>2.6539999999999999</v>
      </c>
      <c r="J43" s="149">
        <v>2.7370000000000001</v>
      </c>
      <c r="K43" s="54">
        <f t="shared" si="7"/>
        <v>6.1451878192072713E-2</v>
      </c>
      <c r="L43" s="53">
        <f t="shared" si="8"/>
        <v>2.3021432889138133E-2</v>
      </c>
      <c r="M43" s="160">
        <v>2.6059999999999999</v>
      </c>
      <c r="N43" s="91">
        <v>2.6280000000000001</v>
      </c>
      <c r="O43" s="124">
        <f t="shared" si="9"/>
        <v>1.1000000000000121E-2</v>
      </c>
      <c r="P43" s="124">
        <f t="shared" si="10"/>
        <v>1.1000000000000121E-2</v>
      </c>
      <c r="Q43" s="131">
        <f t="shared" si="11"/>
        <v>1.1000000000000121E-2</v>
      </c>
      <c r="R43" s="110">
        <v>2.6429999999999998</v>
      </c>
      <c r="S43" s="91">
        <v>2.665</v>
      </c>
      <c r="T43" s="124">
        <f t="shared" si="12"/>
        <v>1.1000000000000121E-2</v>
      </c>
      <c r="U43" s="124">
        <f t="shared" si="13"/>
        <v>1.1000000000000121E-2</v>
      </c>
      <c r="V43" s="131">
        <f t="shared" si="14"/>
        <v>1.1000000000000121E-2</v>
      </c>
      <c r="W43" s="110">
        <v>2.726</v>
      </c>
      <c r="X43" s="91">
        <v>2.7480000000000002</v>
      </c>
      <c r="Y43" s="136">
        <f t="shared" si="15"/>
        <v>1.1000000000000121E-2</v>
      </c>
      <c r="Z43" s="124">
        <f t="shared" si="16"/>
        <v>1.1000000000000121E-2</v>
      </c>
      <c r="AA43" s="131">
        <f t="shared" si="17"/>
        <v>1.1000000000000121E-2</v>
      </c>
    </row>
    <row r="44" spans="1:27">
      <c r="A44" s="1">
        <v>42</v>
      </c>
      <c r="C44" s="1" t="str">
        <f>'2MASS Singles'!C44</f>
        <v>HD62991</v>
      </c>
      <c r="D44" s="56">
        <f>'2MASS Singles'!D44</f>
        <v>184</v>
      </c>
      <c r="E44" s="142">
        <f>'2MASS Singles'!H44</f>
        <v>0.37891088495231795</v>
      </c>
      <c r="F44" s="124">
        <f>'2MASS Singles'!I44</f>
        <v>0.51491088495231807</v>
      </c>
      <c r="G44" s="143">
        <f>'2MASS Singles'!J44</f>
        <v>0.46191088495231725</v>
      </c>
      <c r="H44" s="110">
        <v>3.73</v>
      </c>
      <c r="I44" s="91">
        <v>3.5960000000000001</v>
      </c>
      <c r="J44" s="149">
        <v>3.774</v>
      </c>
      <c r="K44" s="54">
        <f t="shared" si="7"/>
        <v>9.2714615891994034E-2</v>
      </c>
      <c r="L44" s="53">
        <f t="shared" si="8"/>
        <v>2.505800429513352E-2</v>
      </c>
      <c r="M44" s="160">
        <v>3.714</v>
      </c>
      <c r="N44" s="91">
        <v>3.746</v>
      </c>
      <c r="O44" s="124">
        <f t="shared" si="9"/>
        <v>1.6000000000000014E-2</v>
      </c>
      <c r="P44" s="124">
        <f t="shared" si="10"/>
        <v>1.6000000000000014E-2</v>
      </c>
      <c r="Q44" s="131">
        <f t="shared" si="11"/>
        <v>1.6000000000000014E-2</v>
      </c>
      <c r="R44" s="110">
        <v>3.581</v>
      </c>
      <c r="S44" s="91">
        <v>3.6120000000000001</v>
      </c>
      <c r="T44" s="124">
        <f t="shared" si="12"/>
        <v>1.5000000000000124E-2</v>
      </c>
      <c r="U44" s="124">
        <f t="shared" si="13"/>
        <v>1.6000000000000014E-2</v>
      </c>
      <c r="V44" s="131">
        <f t="shared" si="14"/>
        <v>1.5500000000000069E-2</v>
      </c>
      <c r="W44" s="110">
        <v>3.7559999999999998</v>
      </c>
      <c r="X44" s="91">
        <v>3.7930000000000001</v>
      </c>
      <c r="Y44" s="136">
        <f t="shared" si="15"/>
        <v>1.8000000000000238E-2</v>
      </c>
      <c r="Z44" s="124">
        <f t="shared" si="16"/>
        <v>1.9000000000000128E-2</v>
      </c>
      <c r="AA44" s="131">
        <f t="shared" si="17"/>
        <v>1.8500000000000183E-2</v>
      </c>
    </row>
    <row r="45" spans="1:27">
      <c r="A45" s="1">
        <v>43</v>
      </c>
      <c r="C45" s="1" t="str">
        <f>'2MASS Singles'!C45</f>
        <v>HD63080</v>
      </c>
      <c r="D45" s="56">
        <f>'2MASS Singles'!D45</f>
        <v>184</v>
      </c>
      <c r="E45" s="142">
        <f>'2MASS Singles'!H45</f>
        <v>0.91291088495231776</v>
      </c>
      <c r="F45" s="124">
        <f>'2MASS Singles'!I45</f>
        <v>0.96791088495231747</v>
      </c>
      <c r="G45" s="143">
        <f>'2MASS Singles'!J45</f>
        <v>0.90591088495231809</v>
      </c>
      <c r="H45" s="110">
        <v>3.0289999999999999</v>
      </c>
      <c r="I45" s="91">
        <v>3.0129999999999999</v>
      </c>
      <c r="J45" s="149">
        <v>3.121</v>
      </c>
      <c r="K45" s="54">
        <f t="shared" si="7"/>
        <v>5.8286647985051773E-2</v>
      </c>
      <c r="L45" s="53">
        <f t="shared" si="8"/>
        <v>1.9083263555075336E-2</v>
      </c>
      <c r="M45" s="160">
        <v>3.0179999999999998</v>
      </c>
      <c r="N45" s="91">
        <v>3.0390000000000001</v>
      </c>
      <c r="O45" s="124">
        <f t="shared" si="9"/>
        <v>1.1000000000000121E-2</v>
      </c>
      <c r="P45" s="124">
        <f t="shared" si="10"/>
        <v>1.0000000000000231E-2</v>
      </c>
      <c r="Q45" s="131">
        <f t="shared" si="11"/>
        <v>1.0500000000000176E-2</v>
      </c>
      <c r="R45" s="110">
        <v>3.0019999999999998</v>
      </c>
      <c r="S45" s="91">
        <v>3.0249999999999999</v>
      </c>
      <c r="T45" s="124">
        <f t="shared" si="12"/>
        <v>1.1000000000000121E-2</v>
      </c>
      <c r="U45" s="124">
        <f t="shared" si="13"/>
        <v>1.2000000000000011E-2</v>
      </c>
      <c r="V45" s="131">
        <f t="shared" si="14"/>
        <v>1.1500000000000066E-2</v>
      </c>
      <c r="W45" s="110">
        <v>3.109</v>
      </c>
      <c r="X45" s="91">
        <v>3.133</v>
      </c>
      <c r="Y45" s="136">
        <f t="shared" si="15"/>
        <v>1.2000000000000011E-2</v>
      </c>
      <c r="Z45" s="124">
        <f t="shared" si="16"/>
        <v>1.2000000000000011E-2</v>
      </c>
      <c r="AA45" s="131">
        <f t="shared" si="17"/>
        <v>1.2000000000000011E-2</v>
      </c>
    </row>
    <row r="46" spans="1:27">
      <c r="A46" s="1">
        <v>44</v>
      </c>
      <c r="C46" s="1" t="str">
        <f>'2MASS Singles'!C46</f>
        <v>HD63079</v>
      </c>
      <c r="D46" s="56">
        <f>'2MASS Singles'!D46</f>
        <v>184</v>
      </c>
      <c r="E46" s="142">
        <f>'2MASS Singles'!H46</f>
        <v>0.72091088495231759</v>
      </c>
      <c r="F46" s="124">
        <f>'2MASS Singles'!I46</f>
        <v>0.76191088495231796</v>
      </c>
      <c r="G46" s="143">
        <f>'2MASS Singles'!J46</f>
        <v>0.77691088495231764</v>
      </c>
      <c r="H46" s="110">
        <v>3.2480000000000002</v>
      </c>
      <c r="I46" s="91">
        <v>3.2559999999999998</v>
      </c>
      <c r="J46" s="149">
        <v>3.28</v>
      </c>
      <c r="K46" s="54">
        <f t="shared" si="7"/>
        <v>1.6653327995728898E-2</v>
      </c>
      <c r="L46" s="53">
        <f t="shared" si="8"/>
        <v>5.1062943568261137E-3</v>
      </c>
      <c r="M46" s="160">
        <v>3.2360000000000002</v>
      </c>
      <c r="N46" s="91">
        <v>3.26</v>
      </c>
      <c r="O46" s="124">
        <f t="shared" si="9"/>
        <v>1.2000000000000011E-2</v>
      </c>
      <c r="P46" s="124">
        <f t="shared" si="10"/>
        <v>1.1999999999999567E-2</v>
      </c>
      <c r="Q46" s="131">
        <f t="shared" si="11"/>
        <v>1.1999999999999789E-2</v>
      </c>
      <c r="R46" s="110">
        <v>3.2440000000000002</v>
      </c>
      <c r="S46" s="91">
        <v>3.2690000000000001</v>
      </c>
      <c r="T46" s="124">
        <f t="shared" si="12"/>
        <v>1.1999999999999567E-2</v>
      </c>
      <c r="U46" s="124">
        <f t="shared" si="13"/>
        <v>1.3000000000000345E-2</v>
      </c>
      <c r="V46" s="131">
        <f t="shared" si="14"/>
        <v>1.2499999999999956E-2</v>
      </c>
      <c r="W46" s="110">
        <v>3.2669999999999999</v>
      </c>
      <c r="X46" s="91">
        <v>3.2930000000000001</v>
      </c>
      <c r="Y46" s="136">
        <f t="shared" si="15"/>
        <v>1.2999999999999901E-2</v>
      </c>
      <c r="Z46" s="124">
        <f t="shared" si="16"/>
        <v>1.3000000000000345E-2</v>
      </c>
      <c r="AA46" s="131">
        <f t="shared" si="17"/>
        <v>1.3000000000000123E-2</v>
      </c>
    </row>
    <row r="47" spans="1:27">
      <c r="A47" s="1">
        <v>45</v>
      </c>
      <c r="C47" s="1" t="str">
        <f>'2MASS Singles'!C47</f>
        <v>HD63215</v>
      </c>
      <c r="D47" s="56">
        <f>'2MASS Singles'!D47</f>
        <v>184</v>
      </c>
      <c r="E47" s="142">
        <f>'2MASS Singles'!H47</f>
        <v>-0.29408911504768209</v>
      </c>
      <c r="F47" s="124">
        <f>'2MASS Singles'!I47</f>
        <v>-0.2240891150476827</v>
      </c>
      <c r="G47" s="143">
        <f>'2MASS Singles'!J47</f>
        <v>-0.21708911504768214</v>
      </c>
      <c r="H47" s="110">
        <v>4.7060000000000004</v>
      </c>
      <c r="I47" s="91">
        <v>4.6890000000000001</v>
      </c>
      <c r="J47" s="149">
        <v>4.8099999999999996</v>
      </c>
      <c r="K47" s="54">
        <f t="shared" si="7"/>
        <v>6.5505724940648935E-2</v>
      </c>
      <c r="L47" s="53">
        <f t="shared" si="8"/>
        <v>1.3834366407740009E-2</v>
      </c>
      <c r="M47" s="160">
        <v>4.6929999999999996</v>
      </c>
      <c r="N47" s="91">
        <v>4.718</v>
      </c>
      <c r="O47" s="124">
        <f t="shared" si="9"/>
        <v>1.3000000000000789E-2</v>
      </c>
      <c r="P47" s="124">
        <f t="shared" si="10"/>
        <v>1.1999999999999567E-2</v>
      </c>
      <c r="Q47" s="131">
        <f t="shared" si="11"/>
        <v>1.2500000000000178E-2</v>
      </c>
      <c r="R47" s="110">
        <v>4.6749999999999998</v>
      </c>
      <c r="S47" s="91">
        <v>4.702</v>
      </c>
      <c r="T47" s="124">
        <f t="shared" si="12"/>
        <v>1.4000000000000234E-2</v>
      </c>
      <c r="U47" s="124">
        <f t="shared" si="13"/>
        <v>1.2999999999999901E-2</v>
      </c>
      <c r="V47" s="131">
        <f t="shared" si="14"/>
        <v>1.3500000000000068E-2</v>
      </c>
      <c r="W47" s="110">
        <v>4.7969999999999997</v>
      </c>
      <c r="X47" s="91">
        <v>4.8220000000000001</v>
      </c>
      <c r="Y47" s="136">
        <f t="shared" si="15"/>
        <v>1.2999999999999901E-2</v>
      </c>
      <c r="Z47" s="124">
        <f t="shared" si="16"/>
        <v>1.2000000000000455E-2</v>
      </c>
      <c r="AA47" s="131">
        <f t="shared" si="17"/>
        <v>1.2500000000000178E-2</v>
      </c>
    </row>
    <row r="48" spans="1:27">
      <c r="A48" s="1">
        <v>46</v>
      </c>
      <c r="C48" s="1" t="str">
        <f>'2MASS Singles'!C48</f>
        <v>HD63401</v>
      </c>
      <c r="D48" s="56">
        <f>'2MASS Singles'!D48</f>
        <v>184</v>
      </c>
      <c r="E48" s="142">
        <f>'2MASS Singles'!H48</f>
        <v>0.23191088495231771</v>
      </c>
      <c r="F48" s="124">
        <f>'2MASS Singles'!I48</f>
        <v>0.3359108849523178</v>
      </c>
      <c r="G48" s="143">
        <f>'2MASS Singles'!J48</f>
        <v>0.35591088495231737</v>
      </c>
      <c r="H48" s="110">
        <v>3.9660000000000002</v>
      </c>
      <c r="I48" s="91">
        <v>3.879</v>
      </c>
      <c r="J48" s="149">
        <v>3.972</v>
      </c>
      <c r="K48" s="54">
        <f t="shared" si="7"/>
        <v>5.2048054718692456E-2</v>
      </c>
      <c r="L48" s="53">
        <f t="shared" si="8"/>
        <v>1.3213519857499989E-2</v>
      </c>
      <c r="M48" s="160">
        <v>3.95</v>
      </c>
      <c r="N48" s="91">
        <v>3.9809999999999999</v>
      </c>
      <c r="O48" s="124">
        <f t="shared" si="9"/>
        <v>1.6000000000000014E-2</v>
      </c>
      <c r="P48" s="124">
        <f t="shared" si="10"/>
        <v>1.499999999999968E-2</v>
      </c>
      <c r="Q48" s="131">
        <f t="shared" si="11"/>
        <v>1.5499999999999847E-2</v>
      </c>
      <c r="R48" s="110">
        <v>3.863</v>
      </c>
      <c r="S48" s="91">
        <v>3.895</v>
      </c>
      <c r="T48" s="124">
        <f t="shared" si="12"/>
        <v>1.6000000000000014E-2</v>
      </c>
      <c r="U48" s="124">
        <f t="shared" si="13"/>
        <v>1.6000000000000014E-2</v>
      </c>
      <c r="V48" s="131">
        <f t="shared" si="14"/>
        <v>1.6000000000000014E-2</v>
      </c>
      <c r="W48" s="110">
        <v>3.9529999999999998</v>
      </c>
      <c r="X48" s="91">
        <v>3.9889999999999999</v>
      </c>
      <c r="Y48" s="136">
        <f t="shared" si="15"/>
        <v>1.9000000000000128E-2</v>
      </c>
      <c r="Z48" s="124">
        <f t="shared" si="16"/>
        <v>1.6999999999999904E-2</v>
      </c>
      <c r="AA48" s="131">
        <f t="shared" si="17"/>
        <v>1.8000000000000016E-2</v>
      </c>
    </row>
    <row r="49" spans="1:27">
      <c r="A49" s="1">
        <v>47</v>
      </c>
      <c r="C49" s="1" t="str">
        <f>'2MASS Singles'!C49</f>
        <v>HD63424</v>
      </c>
      <c r="D49" s="56">
        <f>'2MASS Singles'!D49</f>
        <v>184</v>
      </c>
      <c r="E49" s="142">
        <f>'2MASS Singles'!H49</f>
        <v>7.9108849523175095E-3</v>
      </c>
      <c r="F49" s="124">
        <f>'2MASS Singles'!I49</f>
        <v>-0.14408911504768263</v>
      </c>
      <c r="G49" s="143">
        <f>'2MASS Singles'!J49</f>
        <v>-0.22708911504768192</v>
      </c>
      <c r="H49" s="110">
        <v>4.3</v>
      </c>
      <c r="I49" s="91">
        <v>4.5830000000000002</v>
      </c>
      <c r="J49" s="149">
        <v>4.8220000000000001</v>
      </c>
      <c r="K49" s="54">
        <f t="shared" si="7"/>
        <v>0.26130888491081472</v>
      </c>
      <c r="L49" s="53">
        <f t="shared" si="8"/>
        <v>5.7200047773253875E-2</v>
      </c>
      <c r="M49" s="160">
        <v>4.2859999999999996</v>
      </c>
      <c r="N49" s="91">
        <v>4.3140000000000001</v>
      </c>
      <c r="O49" s="124">
        <f t="shared" si="9"/>
        <v>1.4000000000000234E-2</v>
      </c>
      <c r="P49" s="124">
        <f t="shared" si="10"/>
        <v>1.4000000000000234E-2</v>
      </c>
      <c r="Q49" s="131">
        <f t="shared" si="11"/>
        <v>1.4000000000000234E-2</v>
      </c>
      <c r="R49" s="110">
        <v>4.569</v>
      </c>
      <c r="S49" s="91">
        <v>4.5960000000000001</v>
      </c>
      <c r="T49" s="124">
        <f t="shared" si="12"/>
        <v>1.4000000000000234E-2</v>
      </c>
      <c r="U49" s="124">
        <f t="shared" si="13"/>
        <v>1.2999999999999901E-2</v>
      </c>
      <c r="V49" s="131">
        <f t="shared" si="14"/>
        <v>1.3500000000000068E-2</v>
      </c>
      <c r="W49" s="110">
        <v>4.8099999999999996</v>
      </c>
      <c r="X49" s="91">
        <v>4.835</v>
      </c>
      <c r="Y49" s="136">
        <f t="shared" si="15"/>
        <v>1.2000000000000455E-2</v>
      </c>
      <c r="Z49" s="124">
        <f t="shared" si="16"/>
        <v>1.2999999999999901E-2</v>
      </c>
      <c r="AA49" s="131">
        <f t="shared" si="17"/>
        <v>1.2500000000000178E-2</v>
      </c>
    </row>
    <row r="50" spans="1:27">
      <c r="A50" s="1">
        <v>48</v>
      </c>
      <c r="C50" s="1" t="str">
        <f>'2MASS Singles'!C50</f>
        <v>HD63465</v>
      </c>
      <c r="D50" s="56">
        <f>'2MASS Singles'!D50</f>
        <v>184</v>
      </c>
      <c r="E50" s="142">
        <f>'2MASS Singles'!H50</f>
        <v>-1.0930891150476825</v>
      </c>
      <c r="F50" s="124">
        <f>'2MASS Singles'!I50</f>
        <v>-1.0430891150476826</v>
      </c>
      <c r="G50" s="143">
        <f>'2MASS Singles'!J50</f>
        <v>-1.0370891150476824</v>
      </c>
      <c r="H50" s="110">
        <v>5.6669999999999998</v>
      </c>
      <c r="I50" s="91">
        <v>5.68</v>
      </c>
      <c r="J50" s="149">
        <v>5.79</v>
      </c>
      <c r="K50" s="54">
        <f t="shared" si="7"/>
        <v>6.7574650079252008E-2</v>
      </c>
      <c r="L50" s="53">
        <f t="shared" si="8"/>
        <v>1.1829605545763905E-2</v>
      </c>
      <c r="M50" s="160">
        <v>5.6559999999999997</v>
      </c>
      <c r="N50" s="91">
        <v>5.6790000000000003</v>
      </c>
      <c r="O50" s="124">
        <f t="shared" si="9"/>
        <v>1.1000000000000121E-2</v>
      </c>
      <c r="P50" s="124">
        <f t="shared" si="10"/>
        <v>1.2000000000000455E-2</v>
      </c>
      <c r="Q50" s="131">
        <f t="shared" si="11"/>
        <v>1.1500000000000288E-2</v>
      </c>
      <c r="R50" s="110">
        <v>5.6680000000000001</v>
      </c>
      <c r="S50" s="91">
        <v>5.6920000000000002</v>
      </c>
      <c r="T50" s="124">
        <f t="shared" si="12"/>
        <v>1.1999999999999567E-2</v>
      </c>
      <c r="U50" s="124">
        <f t="shared" si="13"/>
        <v>1.2000000000000455E-2</v>
      </c>
      <c r="V50" s="131">
        <f t="shared" si="14"/>
        <v>1.2000000000000011E-2</v>
      </c>
      <c r="W50" s="110">
        <v>5.7789999999999999</v>
      </c>
      <c r="X50" s="91">
        <v>5.8019999999999996</v>
      </c>
      <c r="Y50" s="136">
        <f t="shared" si="15"/>
        <v>1.1000000000000121E-2</v>
      </c>
      <c r="Z50" s="124">
        <f t="shared" si="16"/>
        <v>1.1999999999999567E-2</v>
      </c>
      <c r="AA50" s="131">
        <f t="shared" si="17"/>
        <v>1.1499999999999844E-2</v>
      </c>
    </row>
    <row r="51" spans="1:27">
      <c r="A51" s="1">
        <v>49</v>
      </c>
      <c r="C51" s="1" t="str">
        <f>'2MASS Singles'!C51</f>
        <v>CD-37_3845</v>
      </c>
      <c r="D51" s="56">
        <f>'2MASS Singles'!D51</f>
        <v>184</v>
      </c>
      <c r="E51" s="142">
        <f>'2MASS Singles'!H51</f>
        <v>2.0299108849523169</v>
      </c>
      <c r="F51" s="124">
        <f>'2MASS Singles'!I51</f>
        <v>2.0699108849523178</v>
      </c>
      <c r="G51" s="143">
        <f>'2MASS Singles'!J51</f>
        <v>1.9949108849523185</v>
      </c>
      <c r="H51" s="110">
        <v>1.7849999999999999</v>
      </c>
      <c r="I51" s="91">
        <v>1.718</v>
      </c>
      <c r="J51" s="149">
        <v>1.742</v>
      </c>
      <c r="K51" s="54">
        <f t="shared" si="7"/>
        <v>3.3946035605550928E-2</v>
      </c>
      <c r="L51" s="53">
        <f t="shared" si="8"/>
        <v>1.9416226275815594E-2</v>
      </c>
      <c r="M51" s="160">
        <v>1.778</v>
      </c>
      <c r="N51" s="91">
        <v>1.792</v>
      </c>
      <c r="O51" s="124">
        <f t="shared" si="9"/>
        <v>6.9999999999998952E-3</v>
      </c>
      <c r="P51" s="124">
        <f t="shared" si="10"/>
        <v>7.0000000000001172E-3</v>
      </c>
      <c r="Q51" s="131">
        <f t="shared" si="11"/>
        <v>7.0000000000000062E-3</v>
      </c>
      <c r="R51" s="110">
        <v>1.712</v>
      </c>
      <c r="S51" s="91">
        <v>1.7230000000000001</v>
      </c>
      <c r="T51" s="124">
        <f t="shared" si="12"/>
        <v>6.0000000000000053E-3</v>
      </c>
      <c r="U51" s="124">
        <f t="shared" si="13"/>
        <v>5.0000000000001155E-3</v>
      </c>
      <c r="V51" s="131">
        <f t="shared" si="14"/>
        <v>5.5000000000000604E-3</v>
      </c>
      <c r="W51" s="110">
        <v>1.736</v>
      </c>
      <c r="X51" s="91">
        <v>1.7470000000000001</v>
      </c>
      <c r="Y51" s="136">
        <f t="shared" si="15"/>
        <v>6.0000000000000053E-3</v>
      </c>
      <c r="Z51" s="124">
        <f t="shared" si="16"/>
        <v>5.0000000000001155E-3</v>
      </c>
      <c r="AA51" s="131">
        <f t="shared" si="17"/>
        <v>5.5000000000000604E-3</v>
      </c>
    </row>
    <row r="52" spans="1:27">
      <c r="A52" s="1">
        <v>50</v>
      </c>
      <c r="C52" s="1" t="str">
        <f>'2MASS Singles'!C52</f>
        <v>HD62376</v>
      </c>
      <c r="D52" s="56">
        <f>'2MASS Singles'!D52</f>
        <v>184</v>
      </c>
      <c r="E52" s="142">
        <f>'2MASS Singles'!H52</f>
        <v>0.35191088495231782</v>
      </c>
      <c r="F52" s="124">
        <f>'2MASS Singles'!I52</f>
        <v>0.44191088495231767</v>
      </c>
      <c r="G52" s="143">
        <f>'2MASS Singles'!J52</f>
        <v>0.39791088495231808</v>
      </c>
      <c r="H52" s="110">
        <v>3.7730000000000001</v>
      </c>
      <c r="I52" s="91">
        <v>3.71</v>
      </c>
      <c r="J52" s="149">
        <v>3.8940000000000001</v>
      </c>
      <c r="K52" s="54">
        <f t="shared" si="7"/>
        <v>9.3511140156311567E-2</v>
      </c>
      <c r="L52" s="53">
        <f t="shared" si="8"/>
        <v>2.4657943259992501E-2</v>
      </c>
      <c r="M52" s="160">
        <v>3.7570000000000001</v>
      </c>
      <c r="N52" s="91">
        <v>3.7890000000000001</v>
      </c>
      <c r="O52" s="124">
        <f t="shared" si="9"/>
        <v>1.6000000000000014E-2</v>
      </c>
      <c r="P52" s="124">
        <f t="shared" si="10"/>
        <v>1.6000000000000014E-2</v>
      </c>
      <c r="Q52" s="131">
        <f t="shared" si="11"/>
        <v>1.6000000000000014E-2</v>
      </c>
      <c r="R52" s="110">
        <v>3.694</v>
      </c>
      <c r="S52" s="91">
        <v>3.7250000000000001</v>
      </c>
      <c r="T52" s="124">
        <f t="shared" si="12"/>
        <v>1.6000000000000014E-2</v>
      </c>
      <c r="U52" s="124">
        <f t="shared" si="13"/>
        <v>1.5000000000000124E-2</v>
      </c>
      <c r="V52" s="131">
        <f t="shared" si="14"/>
        <v>1.5500000000000069E-2</v>
      </c>
      <c r="W52" s="110">
        <v>3.8759999999999999</v>
      </c>
      <c r="X52" s="91">
        <v>3.9129999999999998</v>
      </c>
      <c r="Y52" s="136">
        <f t="shared" si="15"/>
        <v>1.8000000000000238E-2</v>
      </c>
      <c r="Z52" s="124">
        <f t="shared" si="16"/>
        <v>1.8999999999999684E-2</v>
      </c>
      <c r="AA52" s="131">
        <f t="shared" si="17"/>
        <v>1.8499999999999961E-2</v>
      </c>
    </row>
    <row r="53" spans="1:27">
      <c r="A53" s="1">
        <v>51</v>
      </c>
      <c r="B53" s="62" t="str">
        <f>'2MASS Singles'!B53</f>
        <v>NGC 2516</v>
      </c>
      <c r="C53" s="1" t="str">
        <f>'2MASS Singles'!C53</f>
        <v>HD65869</v>
      </c>
      <c r="D53" s="56">
        <f>'2MASS Singles'!D53</f>
        <v>342</v>
      </c>
      <c r="E53" s="142">
        <f>'2MASS Singles'!H53</f>
        <v>-0.15913053028067292</v>
      </c>
      <c r="F53" s="124">
        <f>'2MASS Singles'!I53</f>
        <v>-8.2130530280672964E-2</v>
      </c>
      <c r="G53" s="143">
        <f>'2MASS Singles'!J53</f>
        <v>-0.12613053028067345</v>
      </c>
      <c r="H53" s="110">
        <v>3.8159999999999998</v>
      </c>
      <c r="I53" s="91">
        <v>3.7829999999999999</v>
      </c>
      <c r="J53" s="149">
        <v>3.8559999999999999</v>
      </c>
      <c r="K53" s="54">
        <f t="shared" si="7"/>
        <v>3.6555893277737471E-2</v>
      </c>
      <c r="L53" s="53">
        <f t="shared" si="8"/>
        <v>9.573782613113261E-3</v>
      </c>
      <c r="M53" s="160">
        <v>3.8079999999999998</v>
      </c>
      <c r="N53" s="91">
        <v>3.8250000000000002</v>
      </c>
      <c r="O53" s="124">
        <f t="shared" si="9"/>
        <v>8.0000000000000071E-3</v>
      </c>
      <c r="P53" s="124">
        <f t="shared" si="10"/>
        <v>9.0000000000003411E-3</v>
      </c>
      <c r="Q53" s="131">
        <f t="shared" si="11"/>
        <v>8.5000000000001741E-3</v>
      </c>
      <c r="R53" s="110">
        <v>3.7749999999999999</v>
      </c>
      <c r="S53" s="91">
        <v>3.7919999999999998</v>
      </c>
      <c r="T53" s="124">
        <f t="shared" si="12"/>
        <v>8.0000000000000071E-3</v>
      </c>
      <c r="U53" s="124">
        <f t="shared" si="13"/>
        <v>8.999999999999897E-3</v>
      </c>
      <c r="V53" s="131">
        <f t="shared" si="14"/>
        <v>8.499999999999952E-3</v>
      </c>
      <c r="W53" s="110">
        <v>3.847</v>
      </c>
      <c r="X53" s="91">
        <v>3.8639999999999999</v>
      </c>
      <c r="Y53" s="136">
        <f t="shared" si="15"/>
        <v>8.999999999999897E-3</v>
      </c>
      <c r="Z53" s="124">
        <f t="shared" si="16"/>
        <v>8.0000000000000071E-3</v>
      </c>
      <c r="AA53" s="131">
        <f t="shared" si="17"/>
        <v>8.499999999999952E-3</v>
      </c>
    </row>
    <row r="54" spans="1:27">
      <c r="A54" s="1">
        <v>52</v>
      </c>
      <c r="C54" s="1" t="str">
        <f>'2MASS Singles'!C54</f>
        <v>HIP120403</v>
      </c>
      <c r="D54" s="56">
        <f>'2MASS Singles'!D54</f>
        <v>342</v>
      </c>
      <c r="E54" s="142">
        <f>'2MASS Singles'!H54</f>
        <v>0.6928694697193265</v>
      </c>
      <c r="F54" s="124">
        <f>'2MASS Singles'!I54</f>
        <v>0.72886946971932609</v>
      </c>
      <c r="G54" s="143">
        <f>'2MASS Singles'!J54</f>
        <v>0.6878694697193275</v>
      </c>
      <c r="H54" s="110">
        <v>3.052</v>
      </c>
      <c r="I54" s="91">
        <v>3.0579999999999998</v>
      </c>
      <c r="J54" s="149">
        <v>3.1259999999999999</v>
      </c>
      <c r="K54" s="54">
        <f t="shared" si="7"/>
        <v>4.1101500378128902E-2</v>
      </c>
      <c r="L54" s="53">
        <f t="shared" si="8"/>
        <v>1.335042238354122E-2</v>
      </c>
      <c r="M54" s="160">
        <v>3.0430000000000001</v>
      </c>
      <c r="N54" s="91">
        <v>3.0609999999999999</v>
      </c>
      <c r="O54" s="124">
        <f t="shared" si="9"/>
        <v>8.999999999999897E-3</v>
      </c>
      <c r="P54" s="124">
        <f t="shared" si="10"/>
        <v>8.999999999999897E-3</v>
      </c>
      <c r="Q54" s="131">
        <f t="shared" si="11"/>
        <v>8.999999999999897E-3</v>
      </c>
      <c r="R54" s="110">
        <v>3.0489999999999999</v>
      </c>
      <c r="S54" s="91">
        <v>3.0680000000000001</v>
      </c>
      <c r="T54" s="124">
        <f t="shared" si="12"/>
        <v>8.999999999999897E-3</v>
      </c>
      <c r="U54" s="124">
        <f t="shared" si="13"/>
        <v>1.0000000000000231E-2</v>
      </c>
      <c r="V54" s="131">
        <f t="shared" si="14"/>
        <v>9.5000000000000639E-3</v>
      </c>
      <c r="W54" s="110">
        <v>3.1160000000000001</v>
      </c>
      <c r="X54" s="91">
        <v>3.1349999999999998</v>
      </c>
      <c r="Y54" s="136">
        <f t="shared" si="15"/>
        <v>9.9999999999997868E-3</v>
      </c>
      <c r="Z54" s="124">
        <f t="shared" si="16"/>
        <v>8.999999999999897E-3</v>
      </c>
      <c r="AA54" s="131">
        <f t="shared" si="17"/>
        <v>9.4999999999998419E-3</v>
      </c>
    </row>
    <row r="55" spans="1:27">
      <c r="A55" s="1">
        <v>53</v>
      </c>
      <c r="B55" s="57"/>
      <c r="C55" s="1" t="str">
        <f>'2MASS Singles'!C55</f>
        <v>HD 65987</v>
      </c>
      <c r="D55" s="81">
        <f>'2MASS Singles'!D55</f>
        <v>342</v>
      </c>
      <c r="E55" s="140">
        <f>'2MASS Singles'!H55</f>
        <v>-2.2130530280673355E-2</v>
      </c>
      <c r="F55" s="136">
        <f>'2MASS Singles'!I55</f>
        <v>5.886946971932705E-2</v>
      </c>
      <c r="G55" s="141">
        <f>'2MASS Singles'!J55</f>
        <v>2.6869469719327022E-2</v>
      </c>
      <c r="H55" s="110">
        <v>3.7</v>
      </c>
      <c r="I55" s="91">
        <v>3.6640000000000001</v>
      </c>
      <c r="J55" s="149">
        <v>3.726</v>
      </c>
      <c r="K55" s="54">
        <f t="shared" si="7"/>
        <v>3.1134118476894901E-2</v>
      </c>
      <c r="L55" s="53">
        <f t="shared" si="8"/>
        <v>8.422214195733517E-3</v>
      </c>
      <c r="M55" s="160">
        <v>3.6920000000000002</v>
      </c>
      <c r="N55" s="91">
        <v>3.7090000000000001</v>
      </c>
      <c r="O55" s="124">
        <f t="shared" si="9"/>
        <v>8.0000000000000071E-3</v>
      </c>
      <c r="P55" s="124">
        <f t="shared" si="10"/>
        <v>8.999999999999897E-3</v>
      </c>
      <c r="Q55" s="131">
        <f t="shared" si="11"/>
        <v>8.499999999999952E-3</v>
      </c>
      <c r="R55" s="110">
        <v>3.6549999999999998</v>
      </c>
      <c r="S55" s="91">
        <v>3.6720000000000002</v>
      </c>
      <c r="T55" s="124">
        <f t="shared" si="12"/>
        <v>9.0000000000003411E-3</v>
      </c>
      <c r="U55" s="124">
        <f t="shared" si="13"/>
        <v>8.0000000000000071E-3</v>
      </c>
      <c r="V55" s="131">
        <f t="shared" si="14"/>
        <v>8.5000000000001741E-3</v>
      </c>
      <c r="W55" s="110">
        <v>3.7170000000000001</v>
      </c>
      <c r="X55" s="91">
        <v>3.734</v>
      </c>
      <c r="Y55" s="136">
        <f t="shared" si="15"/>
        <v>8.999999999999897E-3</v>
      </c>
      <c r="Z55" s="124">
        <f t="shared" si="16"/>
        <v>8.0000000000000071E-3</v>
      </c>
      <c r="AA55" s="131">
        <f t="shared" si="17"/>
        <v>8.499999999999952E-3</v>
      </c>
    </row>
    <row r="56" spans="1:27">
      <c r="A56" s="1">
        <v>54</v>
      </c>
      <c r="B56" s="57"/>
      <c r="C56" s="1" t="str">
        <f>'2MASS Singles'!C56</f>
        <v>HD65405</v>
      </c>
      <c r="D56" s="81">
        <f>'2MASS Singles'!D56</f>
        <v>342</v>
      </c>
      <c r="E56" s="140">
        <f>'2MASS Singles'!H56</f>
        <v>0.42686946971932649</v>
      </c>
      <c r="F56" s="136">
        <f>'2MASS Singles'!I56</f>
        <v>0.4118694697193277</v>
      </c>
      <c r="G56" s="141">
        <f>'2MASS Singles'!J56</f>
        <v>0.37586946971932633</v>
      </c>
      <c r="H56" s="110">
        <v>3.3010000000000002</v>
      </c>
      <c r="I56" s="91">
        <v>3.355</v>
      </c>
      <c r="J56" s="149">
        <v>3.4220000000000002</v>
      </c>
      <c r="K56" s="54">
        <f t="shared" si="7"/>
        <v>6.0616279441527372E-2</v>
      </c>
      <c r="L56" s="53">
        <f t="shared" si="8"/>
        <v>1.8044139544014893E-2</v>
      </c>
      <c r="M56" s="160">
        <v>3.2909999999999999</v>
      </c>
      <c r="N56" s="91">
        <v>3.31</v>
      </c>
      <c r="O56" s="124">
        <f t="shared" si="9"/>
        <v>1.0000000000000231E-2</v>
      </c>
      <c r="P56" s="124">
        <f t="shared" si="10"/>
        <v>8.999999999999897E-3</v>
      </c>
      <c r="Q56" s="131">
        <f t="shared" si="11"/>
        <v>9.5000000000000639E-3</v>
      </c>
      <c r="R56" s="110">
        <v>3.3460000000000001</v>
      </c>
      <c r="S56" s="91">
        <v>3.3639999999999999</v>
      </c>
      <c r="T56" s="124">
        <f t="shared" si="12"/>
        <v>8.999999999999897E-3</v>
      </c>
      <c r="U56" s="124">
        <f t="shared" si="13"/>
        <v>8.999999999999897E-3</v>
      </c>
      <c r="V56" s="131">
        <f t="shared" si="14"/>
        <v>8.999999999999897E-3</v>
      </c>
      <c r="W56" s="110">
        <v>3.4129999999999998</v>
      </c>
      <c r="X56" s="91">
        <v>3.431</v>
      </c>
      <c r="Y56" s="136">
        <f t="shared" si="15"/>
        <v>9.0000000000003411E-3</v>
      </c>
      <c r="Z56" s="124">
        <f t="shared" si="16"/>
        <v>8.999999999999897E-3</v>
      </c>
      <c r="AA56" s="131">
        <f t="shared" si="17"/>
        <v>9.000000000000119E-3</v>
      </c>
    </row>
    <row r="57" spans="1:27">
      <c r="A57" s="1">
        <v>55</v>
      </c>
      <c r="C57" s="1" t="str">
        <f>'2MASS Singles'!C57</f>
        <v>HD65578</v>
      </c>
      <c r="D57" s="81">
        <f>'2MASS Singles'!D57</f>
        <v>342</v>
      </c>
      <c r="E57" s="140">
        <f>'2MASS Singles'!H57</f>
        <v>0.34686946971932642</v>
      </c>
      <c r="F57" s="136">
        <f>'2MASS Singles'!I57</f>
        <v>0.34986946971932653</v>
      </c>
      <c r="G57" s="141">
        <f>'2MASS Singles'!J57</f>
        <v>0.2918694697193267</v>
      </c>
      <c r="H57" s="110">
        <v>3.3759999999999999</v>
      </c>
      <c r="I57" s="91">
        <v>3.411</v>
      </c>
      <c r="J57" s="149">
        <v>3.4980000000000002</v>
      </c>
      <c r="K57" s="54">
        <f t="shared" si="7"/>
        <v>6.2819848243475987E-2</v>
      </c>
      <c r="L57" s="53">
        <f t="shared" si="8"/>
        <v>1.8323728218806803E-2</v>
      </c>
      <c r="M57" s="160">
        <v>3.3660000000000001</v>
      </c>
      <c r="N57" s="91">
        <v>3.3849999999999998</v>
      </c>
      <c r="O57" s="124">
        <f t="shared" si="9"/>
        <v>9.9999999999997868E-3</v>
      </c>
      <c r="P57" s="124">
        <f t="shared" si="10"/>
        <v>8.999999999999897E-3</v>
      </c>
      <c r="Q57" s="131">
        <f t="shared" si="11"/>
        <v>9.4999999999998419E-3</v>
      </c>
      <c r="R57" s="110">
        <v>3.4020000000000001</v>
      </c>
      <c r="S57" s="91">
        <v>3.42</v>
      </c>
      <c r="T57" s="124">
        <f t="shared" si="12"/>
        <v>8.999999999999897E-3</v>
      </c>
      <c r="U57" s="124">
        <f t="shared" si="13"/>
        <v>8.999999999999897E-3</v>
      </c>
      <c r="V57" s="131">
        <f t="shared" si="14"/>
        <v>8.999999999999897E-3</v>
      </c>
      <c r="W57" s="110">
        <v>3.4889999999999999</v>
      </c>
      <c r="X57" s="91">
        <v>3.5070000000000001</v>
      </c>
      <c r="Y57" s="136">
        <f t="shared" si="15"/>
        <v>9.0000000000003411E-3</v>
      </c>
      <c r="Z57" s="124">
        <f t="shared" si="16"/>
        <v>8.999999999999897E-3</v>
      </c>
      <c r="AA57" s="131">
        <f t="shared" si="17"/>
        <v>9.000000000000119E-3</v>
      </c>
    </row>
    <row r="58" spans="1:27">
      <c r="A58" s="1">
        <v>56</v>
      </c>
      <c r="C58" s="1" t="str">
        <f>'2MASS Singles'!C58</f>
        <v>HD65663</v>
      </c>
      <c r="D58" s="81">
        <f>'2MASS Singles'!D58</f>
        <v>342</v>
      </c>
      <c r="E58" s="140">
        <f>'2MASS Singles'!H58</f>
        <v>-1.1281305302806732</v>
      </c>
      <c r="F58" s="136">
        <f>'2MASS Singles'!I58</f>
        <v>-1.0991305302806733</v>
      </c>
      <c r="G58" s="141">
        <f>'2MASS Singles'!J58</f>
        <v>-1.1361305302806732</v>
      </c>
      <c r="H58" s="110">
        <v>4.8479999999999999</v>
      </c>
      <c r="I58" s="91">
        <v>4.8899999999999997</v>
      </c>
      <c r="J58" s="149">
        <v>5.0449999999999999</v>
      </c>
      <c r="K58" s="54">
        <f t="shared" si="7"/>
        <v>0.10376094319797478</v>
      </c>
      <c r="L58" s="53">
        <f t="shared" si="8"/>
        <v>2.105681049813464E-2</v>
      </c>
      <c r="M58" s="160">
        <v>4.8339999999999996</v>
      </c>
      <c r="N58" s="91">
        <v>4.8620000000000001</v>
      </c>
      <c r="O58" s="124">
        <f t="shared" si="9"/>
        <v>1.4000000000000234E-2</v>
      </c>
      <c r="P58" s="124">
        <f t="shared" si="10"/>
        <v>1.4000000000000234E-2</v>
      </c>
      <c r="Q58" s="131">
        <f t="shared" si="11"/>
        <v>1.4000000000000234E-2</v>
      </c>
      <c r="R58" s="110">
        <v>4.8760000000000003</v>
      </c>
      <c r="S58" s="91">
        <v>4.9059999999999997</v>
      </c>
      <c r="T58" s="124">
        <f t="shared" si="12"/>
        <v>1.3999999999999346E-2</v>
      </c>
      <c r="U58" s="124">
        <f t="shared" si="13"/>
        <v>1.6000000000000014E-2</v>
      </c>
      <c r="V58" s="131">
        <f t="shared" si="14"/>
        <v>1.499999999999968E-2</v>
      </c>
      <c r="W58" s="110">
        <v>5.0279999999999996</v>
      </c>
      <c r="X58" s="91">
        <v>5.0620000000000003</v>
      </c>
      <c r="Y58" s="136">
        <f t="shared" si="15"/>
        <v>1.7000000000000348E-2</v>
      </c>
      <c r="Z58" s="124">
        <f t="shared" si="16"/>
        <v>1.7000000000000348E-2</v>
      </c>
      <c r="AA58" s="131">
        <f t="shared" si="17"/>
        <v>1.7000000000000348E-2</v>
      </c>
    </row>
    <row r="59" spans="1:27">
      <c r="A59" s="1">
        <v>57</v>
      </c>
      <c r="C59" s="1" t="str">
        <f>'2MASS Singles'!C59</f>
        <v>HD65950</v>
      </c>
      <c r="D59" s="81">
        <f>'2MASS Singles'!D59</f>
        <v>342</v>
      </c>
      <c r="E59" s="140">
        <f>'2MASS Singles'!H59</f>
        <v>-0.92313053028067316</v>
      </c>
      <c r="F59" s="136">
        <f>'2MASS Singles'!I59</f>
        <v>-0.88713053028067268</v>
      </c>
      <c r="G59" s="141">
        <f>'2MASS Singles'!J59</f>
        <v>-0.90613053028067281</v>
      </c>
      <c r="H59" s="110">
        <v>4.577</v>
      </c>
      <c r="I59" s="91">
        <v>4.5979999999999999</v>
      </c>
      <c r="J59" s="149">
        <v>4.6870000000000003</v>
      </c>
      <c r="K59" s="54">
        <f t="shared" si="7"/>
        <v>5.839805932848588E-2</v>
      </c>
      <c r="L59" s="53">
        <f t="shared" si="8"/>
        <v>1.2638448851930285E-2</v>
      </c>
      <c r="M59" s="160">
        <v>4.5650000000000004</v>
      </c>
      <c r="N59" s="91">
        <v>4.59</v>
      </c>
      <c r="O59" s="124">
        <f t="shared" si="9"/>
        <v>1.1999999999999567E-2</v>
      </c>
      <c r="P59" s="124">
        <f t="shared" si="10"/>
        <v>1.2999999999999901E-2</v>
      </c>
      <c r="Q59" s="131">
        <f t="shared" si="11"/>
        <v>1.2499999999999734E-2</v>
      </c>
      <c r="R59" s="110">
        <v>4.585</v>
      </c>
      <c r="S59" s="91">
        <v>4.6100000000000003</v>
      </c>
      <c r="T59" s="124">
        <f t="shared" si="12"/>
        <v>1.2999999999999901E-2</v>
      </c>
      <c r="U59" s="124">
        <f t="shared" si="13"/>
        <v>1.2000000000000455E-2</v>
      </c>
      <c r="V59" s="131">
        <f t="shared" si="14"/>
        <v>1.2500000000000178E-2</v>
      </c>
      <c r="W59" s="110">
        <v>4.6740000000000004</v>
      </c>
      <c r="X59" s="91">
        <v>4.7009999999999996</v>
      </c>
      <c r="Y59" s="136">
        <f t="shared" si="15"/>
        <v>1.2999999999999901E-2</v>
      </c>
      <c r="Z59" s="124">
        <f t="shared" si="16"/>
        <v>1.3999999999999346E-2</v>
      </c>
      <c r="AA59" s="131">
        <f t="shared" si="17"/>
        <v>1.3499999999999623E-2</v>
      </c>
    </row>
    <row r="60" spans="1:27">
      <c r="A60" s="1">
        <v>58</v>
      </c>
      <c r="C60" s="1" t="str">
        <f>'2MASS Singles'!C60</f>
        <v>SAO250045</v>
      </c>
      <c r="D60" s="81">
        <f>'2MASS Singles'!D60</f>
        <v>342</v>
      </c>
      <c r="E60" s="140">
        <f>'2MASS Singles'!H60</f>
        <v>-0.75113053028067345</v>
      </c>
      <c r="F60" s="136">
        <f>'2MASS Singles'!I60</f>
        <v>-0.74813053028067333</v>
      </c>
      <c r="G60" s="141">
        <f>'2MASS Singles'!J60</f>
        <v>-0.81513053028067262</v>
      </c>
      <c r="H60" s="110">
        <v>4.3780000000000001</v>
      </c>
      <c r="I60" s="91">
        <v>4.4290000000000003</v>
      </c>
      <c r="J60" s="149">
        <v>4.5659999999999998</v>
      </c>
      <c r="K60" s="54">
        <f t="shared" si="7"/>
        <v>9.7223111107047483E-2</v>
      </c>
      <c r="L60" s="53">
        <f t="shared" si="8"/>
        <v>2.1810314314001527E-2</v>
      </c>
      <c r="M60" s="160">
        <v>4.367</v>
      </c>
      <c r="N60" s="91">
        <v>4.3890000000000002</v>
      </c>
      <c r="O60" s="124">
        <f t="shared" si="9"/>
        <v>1.1000000000000121E-2</v>
      </c>
      <c r="P60" s="124">
        <f t="shared" si="10"/>
        <v>1.1000000000000121E-2</v>
      </c>
      <c r="Q60" s="131">
        <f t="shared" si="11"/>
        <v>1.1000000000000121E-2</v>
      </c>
      <c r="R60" s="110">
        <v>4.4169999999999998</v>
      </c>
      <c r="S60" s="91">
        <v>4.4409999999999998</v>
      </c>
      <c r="T60" s="124">
        <f t="shared" si="12"/>
        <v>1.2000000000000455E-2</v>
      </c>
      <c r="U60" s="124">
        <f t="shared" si="13"/>
        <v>1.1999999999999567E-2</v>
      </c>
      <c r="V60" s="131">
        <f t="shared" si="14"/>
        <v>1.2000000000000011E-2</v>
      </c>
      <c r="W60" s="110">
        <v>4.5529999999999999</v>
      </c>
      <c r="X60" s="91">
        <v>4.5780000000000003</v>
      </c>
      <c r="Y60" s="136">
        <f t="shared" si="15"/>
        <v>1.2999999999999901E-2</v>
      </c>
      <c r="Z60" s="124">
        <f t="shared" si="16"/>
        <v>1.2000000000000455E-2</v>
      </c>
      <c r="AA60" s="131">
        <f t="shared" si="17"/>
        <v>1.2500000000000178E-2</v>
      </c>
    </row>
    <row r="61" spans="1:27">
      <c r="A61" s="1">
        <v>59</v>
      </c>
      <c r="C61" s="1" t="str">
        <f>'2MASS Singles'!C61</f>
        <v>SAO250024</v>
      </c>
      <c r="D61" s="81">
        <f>'2MASS Singles'!D61</f>
        <v>342</v>
      </c>
      <c r="E61" s="140">
        <f>'2MASS Singles'!H61</f>
        <v>0.38786946971932679</v>
      </c>
      <c r="F61" s="136">
        <f>'2MASS Singles'!I61</f>
        <v>0.43286946971932672</v>
      </c>
      <c r="G61" s="141">
        <f>'2MASS Singles'!J61</f>
        <v>0.43886946971932694</v>
      </c>
      <c r="H61" s="110">
        <v>3.3370000000000002</v>
      </c>
      <c r="I61" s="91">
        <v>3.3359999999999999</v>
      </c>
      <c r="J61" s="149">
        <v>3.3639999999999999</v>
      </c>
      <c r="K61" s="54">
        <f t="shared" si="7"/>
        <v>1.5885003409925061E-2</v>
      </c>
      <c r="L61" s="53">
        <f t="shared" si="8"/>
        <v>4.7479336684044223E-3</v>
      </c>
      <c r="M61" s="160">
        <v>3.3279999999999998</v>
      </c>
      <c r="N61" s="91">
        <v>3.347</v>
      </c>
      <c r="O61" s="124">
        <f t="shared" si="9"/>
        <v>9.0000000000003411E-3</v>
      </c>
      <c r="P61" s="124">
        <f t="shared" si="10"/>
        <v>9.9999999999997868E-3</v>
      </c>
      <c r="Q61" s="131">
        <f t="shared" si="11"/>
        <v>9.5000000000000639E-3</v>
      </c>
      <c r="R61" s="110">
        <v>3.327</v>
      </c>
      <c r="S61" s="91">
        <v>3.3450000000000002</v>
      </c>
      <c r="T61" s="124">
        <f t="shared" si="12"/>
        <v>8.999999999999897E-3</v>
      </c>
      <c r="U61" s="124">
        <f t="shared" si="13"/>
        <v>9.0000000000003411E-3</v>
      </c>
      <c r="V61" s="131">
        <f t="shared" si="14"/>
        <v>9.000000000000119E-3</v>
      </c>
      <c r="W61" s="110">
        <v>3.3540000000000001</v>
      </c>
      <c r="X61" s="91">
        <v>3.3730000000000002</v>
      </c>
      <c r="Y61" s="136">
        <f t="shared" si="15"/>
        <v>9.9999999999997868E-3</v>
      </c>
      <c r="Z61" s="124">
        <f t="shared" si="16"/>
        <v>9.0000000000003411E-3</v>
      </c>
      <c r="AA61" s="131">
        <f t="shared" si="17"/>
        <v>9.5000000000000639E-3</v>
      </c>
    </row>
    <row r="62" spans="1:27">
      <c r="A62" s="1">
        <v>60</v>
      </c>
      <c r="C62" s="1" t="str">
        <f>'2MASS Singles'!C62</f>
        <v>HD66066</v>
      </c>
      <c r="D62" s="81">
        <f>'2MASS Singles'!D62</f>
        <v>342</v>
      </c>
      <c r="E62" s="140">
        <f>'2MASS Singles'!H62</f>
        <v>-0.64613053028067302</v>
      </c>
      <c r="F62" s="136">
        <f>'2MASS Singles'!I62</f>
        <v>-0.57113053028067284</v>
      </c>
      <c r="G62" s="141">
        <f>'2MASS Singles'!J62</f>
        <v>-0.60613053028067299</v>
      </c>
      <c r="H62" s="110">
        <v>4.266</v>
      </c>
      <c r="I62" s="91">
        <v>4.2350000000000003</v>
      </c>
      <c r="J62" s="149">
        <v>4.3159999999999998</v>
      </c>
      <c r="K62" s="54">
        <f t="shared" si="7"/>
        <v>4.0869711686447138E-2</v>
      </c>
      <c r="L62" s="53">
        <f t="shared" si="8"/>
        <v>9.5661336552501693E-3</v>
      </c>
      <c r="M62" s="160">
        <v>4.2560000000000002</v>
      </c>
      <c r="N62" s="91">
        <v>4.2770000000000001</v>
      </c>
      <c r="O62" s="124">
        <f t="shared" si="9"/>
        <v>9.9999999999997868E-3</v>
      </c>
      <c r="P62" s="124">
        <f t="shared" si="10"/>
        <v>1.1000000000000121E-2</v>
      </c>
      <c r="Q62" s="131">
        <f t="shared" si="11"/>
        <v>1.0499999999999954E-2</v>
      </c>
      <c r="R62" s="110">
        <v>4.2240000000000002</v>
      </c>
      <c r="S62" s="91">
        <v>4.2450000000000001</v>
      </c>
      <c r="T62" s="124">
        <f t="shared" si="12"/>
        <v>1.1000000000000121E-2</v>
      </c>
      <c r="U62" s="124">
        <f t="shared" si="13"/>
        <v>9.9999999999997868E-3</v>
      </c>
      <c r="V62" s="131">
        <f t="shared" si="14"/>
        <v>1.0499999999999954E-2</v>
      </c>
      <c r="W62" s="110">
        <v>4.3049999999999997</v>
      </c>
      <c r="X62" s="91">
        <v>4.3280000000000003</v>
      </c>
      <c r="Y62" s="136">
        <f t="shared" si="15"/>
        <v>1.1000000000000121E-2</v>
      </c>
      <c r="Z62" s="124">
        <f t="shared" si="16"/>
        <v>1.2000000000000455E-2</v>
      </c>
      <c r="AA62" s="131">
        <f t="shared" si="17"/>
        <v>1.1500000000000288E-2</v>
      </c>
    </row>
    <row r="63" spans="1:27">
      <c r="A63" s="1">
        <v>61</v>
      </c>
      <c r="C63" s="1" t="str">
        <f>'2MASS Singles'!C63</f>
        <v>CD-60_1975</v>
      </c>
      <c r="D63" s="81">
        <f>'2MASS Singles'!D63</f>
        <v>342</v>
      </c>
      <c r="E63" s="140">
        <f>'2MASS Singles'!H63</f>
        <v>0.6928694697193265</v>
      </c>
      <c r="F63" s="136">
        <f>'2MASS Singles'!I63</f>
        <v>0.67686946971932649</v>
      </c>
      <c r="G63" s="141">
        <f>'2MASS Singles'!J63</f>
        <v>0.69886946971932673</v>
      </c>
      <c r="H63" s="110">
        <v>3.052</v>
      </c>
      <c r="I63" s="91">
        <v>3.1070000000000002</v>
      </c>
      <c r="J63" s="149">
        <v>3.1150000000000002</v>
      </c>
      <c r="K63" s="54">
        <f t="shared" si="7"/>
        <v>3.4297716153314638E-2</v>
      </c>
      <c r="L63" s="53">
        <f t="shared" si="8"/>
        <v>1.1094797116664213E-2</v>
      </c>
      <c r="M63" s="160">
        <v>3.0430000000000001</v>
      </c>
      <c r="N63" s="91">
        <v>3.0609999999999999</v>
      </c>
      <c r="O63" s="124">
        <f t="shared" si="9"/>
        <v>8.999999999999897E-3</v>
      </c>
      <c r="P63" s="124">
        <f t="shared" si="10"/>
        <v>8.999999999999897E-3</v>
      </c>
      <c r="Q63" s="131">
        <f t="shared" si="11"/>
        <v>8.999999999999897E-3</v>
      </c>
      <c r="R63" s="110">
        <v>3.0979999999999999</v>
      </c>
      <c r="S63" s="91">
        <v>3.117</v>
      </c>
      <c r="T63" s="124">
        <f t="shared" si="12"/>
        <v>9.0000000000003411E-3</v>
      </c>
      <c r="U63" s="124">
        <f t="shared" si="13"/>
        <v>9.9999999999997868E-3</v>
      </c>
      <c r="V63" s="131">
        <f t="shared" si="14"/>
        <v>9.5000000000000639E-3</v>
      </c>
      <c r="W63" s="110">
        <v>3.105</v>
      </c>
      <c r="X63" s="91">
        <v>3.125</v>
      </c>
      <c r="Y63" s="136">
        <f t="shared" si="15"/>
        <v>1.0000000000000231E-2</v>
      </c>
      <c r="Z63" s="124">
        <f t="shared" si="16"/>
        <v>9.9999999999997868E-3</v>
      </c>
      <c r="AA63" s="131">
        <f t="shared" si="17"/>
        <v>1.0000000000000009E-2</v>
      </c>
    </row>
    <row r="64" spans="1:27">
      <c r="A64" s="1">
        <v>62</v>
      </c>
      <c r="C64" s="32" t="str">
        <f>'2MASS Singles'!C64</f>
        <v>HD66194</v>
      </c>
      <c r="D64" s="81">
        <f>'2MASS Singles'!D64</f>
        <v>342</v>
      </c>
      <c r="E64" s="140">
        <f>'2MASS Singles'!H64</f>
        <v>-2.1121305302806732</v>
      </c>
      <c r="F64" s="136">
        <f>'2MASS Singles'!I64</f>
        <v>-2.1751305302806729</v>
      </c>
      <c r="G64" s="141">
        <f>'2MASS Singles'!J64</f>
        <v>-2.3111305302806731</v>
      </c>
      <c r="H64" s="150">
        <v>6.9989999999999997</v>
      </c>
      <c r="I64" s="151">
        <v>6.9989999999999997</v>
      </c>
      <c r="J64" s="152">
        <v>6.9989999999999997</v>
      </c>
      <c r="K64" s="54">
        <f t="shared" si="7"/>
        <v>0</v>
      </c>
      <c r="L64" s="53">
        <f t="shared" si="8"/>
        <v>0</v>
      </c>
      <c r="M64" s="160">
        <v>6.9989999999999997</v>
      </c>
      <c r="N64" s="91">
        <v>6.9989999999999997</v>
      </c>
      <c r="O64" s="124">
        <f t="shared" si="9"/>
        <v>0</v>
      </c>
      <c r="P64" s="124">
        <f t="shared" si="10"/>
        <v>0</v>
      </c>
      <c r="Q64" s="131">
        <f t="shared" si="11"/>
        <v>0</v>
      </c>
      <c r="R64" s="110">
        <v>6.9989999999999997</v>
      </c>
      <c r="S64" s="91">
        <v>6.9989999999999997</v>
      </c>
      <c r="T64" s="124">
        <f t="shared" si="12"/>
        <v>0</v>
      </c>
      <c r="U64" s="124">
        <f t="shared" si="13"/>
        <v>0</v>
      </c>
      <c r="V64" s="131">
        <f t="shared" si="14"/>
        <v>0</v>
      </c>
      <c r="W64" s="110">
        <v>6.9989999999999997</v>
      </c>
      <c r="X64" s="91">
        <v>6.9989999999999997</v>
      </c>
      <c r="Y64" s="136">
        <f t="shared" si="15"/>
        <v>0</v>
      </c>
      <c r="Z64" s="124">
        <f t="shared" si="16"/>
        <v>0</v>
      </c>
      <c r="AA64" s="131">
        <f t="shared" si="17"/>
        <v>0</v>
      </c>
    </row>
    <row r="65" spans="1:28">
      <c r="A65" s="1">
        <v>63</v>
      </c>
      <c r="C65" s="1" t="str">
        <f>'2MASS Singles'!C65</f>
        <v>HD66341</v>
      </c>
      <c r="D65" s="81">
        <f>'2MASS Singles'!D65</f>
        <v>342</v>
      </c>
      <c r="E65" s="140">
        <f>'2MASS Singles'!H65</f>
        <v>-1.3361305302806734</v>
      </c>
      <c r="F65" s="136">
        <f>'2MASS Singles'!I65</f>
        <v>-1.2911305302806735</v>
      </c>
      <c r="G65" s="141">
        <f>'2MASS Singles'!J65</f>
        <v>-1.3081305302806729</v>
      </c>
      <c r="H65" s="110">
        <v>5.1740000000000004</v>
      </c>
      <c r="I65" s="91">
        <v>5.2039999999999997</v>
      </c>
      <c r="J65" s="149">
        <v>5.375</v>
      </c>
      <c r="K65" s="54">
        <f t="shared" si="7"/>
        <v>0.10842970072816757</v>
      </c>
      <c r="L65" s="53">
        <f t="shared" si="8"/>
        <v>2.0649343120961259E-2</v>
      </c>
      <c r="M65" s="160">
        <v>5.157</v>
      </c>
      <c r="N65" s="91">
        <v>5.1920000000000002</v>
      </c>
      <c r="O65" s="124">
        <f t="shared" si="9"/>
        <v>1.7000000000000348E-2</v>
      </c>
      <c r="P65" s="124">
        <f t="shared" si="10"/>
        <v>1.7999999999999794E-2</v>
      </c>
      <c r="Q65" s="131">
        <f t="shared" si="11"/>
        <v>1.7500000000000071E-2</v>
      </c>
      <c r="R65" s="110">
        <v>5.1859999999999999</v>
      </c>
      <c r="S65" s="91">
        <v>5.2210000000000001</v>
      </c>
      <c r="T65" s="124">
        <f t="shared" si="12"/>
        <v>1.7999999999999794E-2</v>
      </c>
      <c r="U65" s="124">
        <f t="shared" si="13"/>
        <v>1.7000000000000348E-2</v>
      </c>
      <c r="V65" s="131">
        <f t="shared" si="14"/>
        <v>1.7500000000000071E-2</v>
      </c>
      <c r="W65" s="110">
        <v>5.3540000000000001</v>
      </c>
      <c r="X65" s="91">
        <v>5.3959999999999999</v>
      </c>
      <c r="Y65" s="136">
        <f t="shared" si="15"/>
        <v>2.0999999999999908E-2</v>
      </c>
      <c r="Z65" s="124">
        <f t="shared" si="16"/>
        <v>2.0999999999999908E-2</v>
      </c>
      <c r="AA65" s="131">
        <f t="shared" si="17"/>
        <v>2.0999999999999908E-2</v>
      </c>
    </row>
    <row r="66" spans="1:28">
      <c r="A66" s="1">
        <v>64</v>
      </c>
      <c r="C66" s="1" t="str">
        <f>'2MASS Singles'!C66</f>
        <v>HD66137</v>
      </c>
      <c r="D66" s="81">
        <f>'2MASS Singles'!D66</f>
        <v>342</v>
      </c>
      <c r="E66" s="140">
        <f>'2MASS Singles'!H66</f>
        <v>-2.9130530280673028E-2</v>
      </c>
      <c r="F66" s="136">
        <f>'2MASS Singles'!I66</f>
        <v>2.9869469719327135E-2</v>
      </c>
      <c r="G66" s="141">
        <f>'2MASS Singles'!J66</f>
        <v>-6.3130530280672836E-2</v>
      </c>
      <c r="H66" s="110">
        <v>3.706</v>
      </c>
      <c r="I66" s="91">
        <v>3.6880000000000002</v>
      </c>
      <c r="J66" s="149">
        <v>3.802</v>
      </c>
      <c r="K66" s="54">
        <f t="shared" ref="K66:K114" si="18">STDEV(H66,I66,J66)</f>
        <v>6.1286213784178228E-2</v>
      </c>
      <c r="L66" s="53">
        <f t="shared" ref="L66:L114" si="19">K66/(AVERAGE(H66,I66,J66))</f>
        <v>1.6421815054710139E-2</v>
      </c>
      <c r="M66" s="160">
        <v>3.698</v>
      </c>
      <c r="N66" s="91">
        <v>3.7149999999999999</v>
      </c>
      <c r="O66" s="124">
        <f t="shared" ref="O66:O114" si="20">ABS(M66-H66)</f>
        <v>8.0000000000000071E-3</v>
      </c>
      <c r="P66" s="124">
        <f t="shared" ref="P66:P114" si="21">ABS(N66-H66)</f>
        <v>8.999999999999897E-3</v>
      </c>
      <c r="Q66" s="131">
        <f t="shared" ref="Q66:Q114" si="22">AVERAGE(O66, P66)</f>
        <v>8.499999999999952E-3</v>
      </c>
      <c r="R66" s="110">
        <v>3.68</v>
      </c>
      <c r="S66" s="91">
        <v>3.6970000000000001</v>
      </c>
      <c r="T66" s="124">
        <f t="shared" ref="T66:T114" si="23">ABS(R66-I66)</f>
        <v>8.0000000000000071E-3</v>
      </c>
      <c r="U66" s="124">
        <f t="shared" ref="U66:U114" si="24">ABS(S66-I66)</f>
        <v>8.999999999999897E-3</v>
      </c>
      <c r="V66" s="131">
        <f t="shared" ref="V66:V114" si="25">AVERAGE(T66, U66)</f>
        <v>8.499999999999952E-3</v>
      </c>
      <c r="W66" s="110">
        <v>3.7930000000000001</v>
      </c>
      <c r="X66" s="91">
        <v>3.81</v>
      </c>
      <c r="Y66" s="136">
        <f t="shared" ref="Y66:Y114" si="26">ABS(W66-J66)</f>
        <v>8.999999999999897E-3</v>
      </c>
      <c r="Z66" s="124">
        <f t="shared" ref="Z66:Z114" si="27">ABS(X66-J66)</f>
        <v>8.0000000000000071E-3</v>
      </c>
      <c r="AA66" s="131">
        <f t="shared" ref="AA66:AA114" si="28">AVERAGE(Y66, Z66)</f>
        <v>8.499999999999952E-3</v>
      </c>
    </row>
    <row r="67" spans="1:28">
      <c r="A67" s="1">
        <v>65</v>
      </c>
      <c r="C67" s="25" t="str">
        <f>'2MASS Singles'!C67</f>
        <v>HD66259</v>
      </c>
      <c r="D67" s="81">
        <f>'2MASS Singles'!D67</f>
        <v>342</v>
      </c>
      <c r="E67" s="140">
        <f>'2MASS Singles'!H67</f>
        <v>0.68986946971932639</v>
      </c>
      <c r="F67" s="136">
        <f>'2MASS Singles'!I67</f>
        <v>0.62986946971932767</v>
      </c>
      <c r="G67" s="141">
        <f>'2MASS Singles'!J67</f>
        <v>0.57986946971932696</v>
      </c>
      <c r="H67" s="153">
        <v>3.0550000000000002</v>
      </c>
      <c r="I67" s="154">
        <v>3.1520000000000001</v>
      </c>
      <c r="J67" s="155">
        <v>3.23</v>
      </c>
      <c r="K67" s="72">
        <f t="shared" si="18"/>
        <v>8.7671736228577782E-2</v>
      </c>
      <c r="L67" s="53">
        <f t="shared" si="19"/>
        <v>2.7870637775324076E-2</v>
      </c>
      <c r="M67" s="160">
        <v>3.0449999999999999</v>
      </c>
      <c r="N67" s="91">
        <v>3.0640000000000001</v>
      </c>
      <c r="O67" s="124">
        <f t="shared" si="20"/>
        <v>1.0000000000000231E-2</v>
      </c>
      <c r="P67" s="124">
        <f t="shared" si="21"/>
        <v>8.999999999999897E-3</v>
      </c>
      <c r="Q67" s="131">
        <f t="shared" si="22"/>
        <v>9.5000000000000639E-3</v>
      </c>
      <c r="R67" s="110">
        <v>3.1419999999999999</v>
      </c>
      <c r="S67" s="91">
        <v>3.161</v>
      </c>
      <c r="T67" s="124">
        <f t="shared" si="23"/>
        <v>1.0000000000000231E-2</v>
      </c>
      <c r="U67" s="124">
        <f t="shared" si="24"/>
        <v>8.999999999999897E-3</v>
      </c>
      <c r="V67" s="131">
        <f t="shared" si="25"/>
        <v>9.5000000000000639E-3</v>
      </c>
      <c r="W67" s="110">
        <v>3.22</v>
      </c>
      <c r="X67" s="91">
        <v>3.2389999999999999</v>
      </c>
      <c r="Y67" s="136">
        <f t="shared" si="26"/>
        <v>9.9999999999997868E-3</v>
      </c>
      <c r="Z67" s="124">
        <f t="shared" si="27"/>
        <v>8.999999999999897E-3</v>
      </c>
      <c r="AA67" s="131">
        <f t="shared" si="28"/>
        <v>9.4999999999998419E-3</v>
      </c>
      <c r="AB67" s="1" t="s">
        <v>845</v>
      </c>
    </row>
    <row r="68" spans="1:28">
      <c r="A68" s="1">
        <v>66</v>
      </c>
      <c r="C68" s="1" t="str">
        <f>'2MASS Singles'!C68</f>
        <v>CPD-60_944</v>
      </c>
      <c r="D68" s="81">
        <f>'2MASS Singles'!D68</f>
        <v>342</v>
      </c>
      <c r="E68" s="140">
        <f>'2MASS Singles'!H68</f>
        <v>0.56586946971932761</v>
      </c>
      <c r="F68" s="136">
        <f>'2MASS Singles'!I68</f>
        <v>0.6748694697193276</v>
      </c>
      <c r="G68" s="141">
        <f>'2MASS Singles'!J68</f>
        <v>0.55986946971932738</v>
      </c>
      <c r="H68" s="110">
        <v>3.17</v>
      </c>
      <c r="I68" s="91">
        <v>3.109</v>
      </c>
      <c r="J68" s="149">
        <v>3.2490000000000001</v>
      </c>
      <c r="K68" s="54">
        <f t="shared" si="18"/>
        <v>7.0192592201741705E-2</v>
      </c>
      <c r="L68" s="53">
        <f t="shared" si="19"/>
        <v>2.2100942129011869E-2</v>
      </c>
      <c r="M68" s="160">
        <v>3.161</v>
      </c>
      <c r="N68" s="91">
        <v>3.1789999999999998</v>
      </c>
      <c r="O68" s="124">
        <f t="shared" si="20"/>
        <v>8.999999999999897E-3</v>
      </c>
      <c r="P68" s="124">
        <f t="shared" si="21"/>
        <v>8.999999999999897E-3</v>
      </c>
      <c r="Q68" s="131">
        <f t="shared" si="22"/>
        <v>8.999999999999897E-3</v>
      </c>
      <c r="R68" s="110">
        <v>3.1</v>
      </c>
      <c r="S68" s="91">
        <v>3.1190000000000002</v>
      </c>
      <c r="T68" s="124">
        <f t="shared" si="23"/>
        <v>8.999999999999897E-3</v>
      </c>
      <c r="U68" s="124">
        <f t="shared" si="24"/>
        <v>1.0000000000000231E-2</v>
      </c>
      <c r="V68" s="131">
        <f t="shared" si="25"/>
        <v>9.5000000000000639E-3</v>
      </c>
      <c r="W68" s="110">
        <v>3.2389999999999999</v>
      </c>
      <c r="X68" s="91">
        <v>3.258</v>
      </c>
      <c r="Y68" s="136">
        <f t="shared" si="26"/>
        <v>1.0000000000000231E-2</v>
      </c>
      <c r="Z68" s="124">
        <f t="shared" si="27"/>
        <v>8.999999999999897E-3</v>
      </c>
      <c r="AA68" s="131">
        <f t="shared" si="28"/>
        <v>9.5000000000000639E-3</v>
      </c>
    </row>
    <row r="69" spans="1:28">
      <c r="A69" s="1">
        <v>67</v>
      </c>
      <c r="C69" s="32" t="str">
        <f>'2MASS Singles'!C69</f>
        <v>HD64185</v>
      </c>
      <c r="D69" s="81">
        <f>'2MASS Singles'!D69</f>
        <v>342</v>
      </c>
      <c r="E69" s="140">
        <f>'2MASS Singles'!H69</f>
        <v>-2.6481305302806728</v>
      </c>
      <c r="F69" s="136">
        <f>'2MASS Singles'!I69</f>
        <v>-2.8111305302806731</v>
      </c>
      <c r="G69" s="141">
        <f>'2MASS Singles'!J69</f>
        <v>-2.9331305302806729</v>
      </c>
      <c r="H69" s="150">
        <v>6.9989999999999997</v>
      </c>
      <c r="I69" s="151">
        <v>6.9989999999999997</v>
      </c>
      <c r="J69" s="152">
        <v>6.9989999999999997</v>
      </c>
      <c r="K69" s="54">
        <f t="shared" si="18"/>
        <v>0</v>
      </c>
      <c r="L69" s="53">
        <f t="shared" si="19"/>
        <v>0</v>
      </c>
      <c r="M69" s="160">
        <v>6.9989999999999997</v>
      </c>
      <c r="N69" s="91">
        <v>6.9989999999999997</v>
      </c>
      <c r="O69" s="124">
        <f t="shared" si="20"/>
        <v>0</v>
      </c>
      <c r="P69" s="124">
        <f t="shared" si="21"/>
        <v>0</v>
      </c>
      <c r="Q69" s="131">
        <f t="shared" si="22"/>
        <v>0</v>
      </c>
      <c r="R69" s="110">
        <v>6.9989999999999997</v>
      </c>
      <c r="S69" s="91">
        <v>6.9989999999999997</v>
      </c>
      <c r="T69" s="124">
        <f t="shared" si="23"/>
        <v>0</v>
      </c>
      <c r="U69" s="124">
        <f t="shared" si="24"/>
        <v>0</v>
      </c>
      <c r="V69" s="131">
        <f t="shared" si="25"/>
        <v>0</v>
      </c>
      <c r="W69" s="110">
        <v>6.9989999999999997</v>
      </c>
      <c r="X69" s="91">
        <v>6.9989999999999997</v>
      </c>
      <c r="Y69" s="136">
        <f t="shared" si="26"/>
        <v>0</v>
      </c>
      <c r="Z69" s="124">
        <f t="shared" si="27"/>
        <v>0</v>
      </c>
      <c r="AA69" s="131">
        <f t="shared" si="28"/>
        <v>0</v>
      </c>
    </row>
    <row r="70" spans="1:28">
      <c r="A70" s="1">
        <v>68</v>
      </c>
      <c r="C70" s="1" t="str">
        <f>'2MASS Singles'!C70</f>
        <v>HD65094</v>
      </c>
      <c r="D70" s="81">
        <f>'2MASS Singles'!D70</f>
        <v>342</v>
      </c>
      <c r="E70" s="140">
        <f>'2MASS Singles'!H70</f>
        <v>2.8694697193270002E-3</v>
      </c>
      <c r="F70" s="136">
        <f>'2MASS Singles'!I70</f>
        <v>4.5869469719327149E-2</v>
      </c>
      <c r="G70" s="141">
        <f>'2MASS Singles'!J70</f>
        <v>-1.1130530280673234E-2</v>
      </c>
      <c r="H70" s="110">
        <v>3.6789999999999998</v>
      </c>
      <c r="I70" s="91">
        <v>3.6749999999999998</v>
      </c>
      <c r="J70" s="149">
        <v>3.758</v>
      </c>
      <c r="K70" s="54">
        <f t="shared" si="18"/>
        <v>4.6808118953873906E-2</v>
      </c>
      <c r="L70" s="53">
        <f t="shared" si="19"/>
        <v>1.2637181143054513E-2</v>
      </c>
      <c r="M70" s="160">
        <v>3.67</v>
      </c>
      <c r="N70" s="91">
        <v>3.6869999999999998</v>
      </c>
      <c r="O70" s="124">
        <f t="shared" si="20"/>
        <v>8.999999999999897E-3</v>
      </c>
      <c r="P70" s="124">
        <f t="shared" si="21"/>
        <v>8.0000000000000071E-3</v>
      </c>
      <c r="Q70" s="131">
        <f t="shared" si="22"/>
        <v>8.499999999999952E-3</v>
      </c>
      <c r="R70" s="110">
        <v>3.6659999999999999</v>
      </c>
      <c r="S70" s="91">
        <v>3.6829999999999998</v>
      </c>
      <c r="T70" s="124">
        <f t="shared" si="23"/>
        <v>8.999999999999897E-3</v>
      </c>
      <c r="U70" s="124">
        <f t="shared" si="24"/>
        <v>8.0000000000000071E-3</v>
      </c>
      <c r="V70" s="131">
        <f t="shared" si="25"/>
        <v>8.499999999999952E-3</v>
      </c>
      <c r="W70" s="110">
        <v>3.75</v>
      </c>
      <c r="X70" s="91">
        <v>3.766</v>
      </c>
      <c r="Y70" s="136">
        <f t="shared" si="26"/>
        <v>8.0000000000000071E-3</v>
      </c>
      <c r="Z70" s="124">
        <f t="shared" si="27"/>
        <v>8.0000000000000071E-3</v>
      </c>
      <c r="AA70" s="131">
        <f t="shared" si="28"/>
        <v>8.0000000000000071E-3</v>
      </c>
    </row>
    <row r="71" spans="1:28">
      <c r="A71" s="1">
        <v>69</v>
      </c>
      <c r="C71" s="1" t="str">
        <f>'2MASS Singles'!C71</f>
        <v>HD66409</v>
      </c>
      <c r="D71" s="81">
        <f>'2MASS Singles'!D71</f>
        <v>342</v>
      </c>
      <c r="E71" s="140">
        <f>'2MASS Singles'!H71</f>
        <v>0.63686946971932734</v>
      </c>
      <c r="F71" s="136">
        <f>'2MASS Singles'!I71</f>
        <v>0.67786946971932771</v>
      </c>
      <c r="G71" s="141">
        <f>'2MASS Singles'!J71</f>
        <v>0.66386946971932659</v>
      </c>
      <c r="H71" s="110">
        <v>3.1040000000000001</v>
      </c>
      <c r="I71" s="91">
        <v>3.1059999999999999</v>
      </c>
      <c r="J71" s="149">
        <v>3.149</v>
      </c>
      <c r="K71" s="54">
        <f t="shared" si="18"/>
        <v>2.5423086620891145E-2</v>
      </c>
      <c r="L71" s="53">
        <f t="shared" si="19"/>
        <v>8.1492958502696264E-3</v>
      </c>
      <c r="M71" s="160">
        <v>3.0939999999999999</v>
      </c>
      <c r="N71" s="91">
        <v>3.113</v>
      </c>
      <c r="O71" s="124">
        <f t="shared" si="20"/>
        <v>1.0000000000000231E-2</v>
      </c>
      <c r="P71" s="124">
        <f t="shared" si="21"/>
        <v>8.999999999999897E-3</v>
      </c>
      <c r="Q71" s="131">
        <f t="shared" si="22"/>
        <v>9.5000000000000639E-3</v>
      </c>
      <c r="R71" s="110">
        <v>3.097</v>
      </c>
      <c r="S71" s="91">
        <v>3.1160000000000001</v>
      </c>
      <c r="T71" s="124">
        <f t="shared" si="23"/>
        <v>8.999999999999897E-3</v>
      </c>
      <c r="U71" s="124">
        <f t="shared" si="24"/>
        <v>1.0000000000000231E-2</v>
      </c>
      <c r="V71" s="131">
        <f t="shared" si="25"/>
        <v>9.5000000000000639E-3</v>
      </c>
      <c r="W71" s="110">
        <v>3.1389999999999998</v>
      </c>
      <c r="X71" s="91">
        <v>3.1579999999999999</v>
      </c>
      <c r="Y71" s="136">
        <f t="shared" si="26"/>
        <v>1.0000000000000231E-2</v>
      </c>
      <c r="Z71" s="124">
        <f t="shared" si="27"/>
        <v>8.999999999999897E-3</v>
      </c>
      <c r="AA71" s="131">
        <f t="shared" si="28"/>
        <v>9.5000000000000639E-3</v>
      </c>
    </row>
    <row r="72" spans="1:28">
      <c r="A72" s="1">
        <v>70</v>
      </c>
      <c r="C72" s="1" t="str">
        <f>'2MASS Singles'!C72</f>
        <v>HD66656</v>
      </c>
      <c r="D72" s="81">
        <f>'2MASS Singles'!D72</f>
        <v>342</v>
      </c>
      <c r="E72" s="140">
        <f>'2MASS Singles'!H72</f>
        <v>0.48586946971932754</v>
      </c>
      <c r="F72" s="136">
        <f>'2MASS Singles'!I72</f>
        <v>0.46786946971932686</v>
      </c>
      <c r="G72" s="141">
        <f>'2MASS Singles'!J72</f>
        <v>0.45486946971932696</v>
      </c>
      <c r="H72" s="110">
        <v>3.2450000000000001</v>
      </c>
      <c r="I72" s="91">
        <v>3.3039999999999998</v>
      </c>
      <c r="J72" s="149">
        <v>3.3490000000000002</v>
      </c>
      <c r="K72" s="54">
        <f t="shared" si="18"/>
        <v>5.215681483117366E-2</v>
      </c>
      <c r="L72" s="53">
        <f t="shared" si="19"/>
        <v>1.5808288997122749E-2</v>
      </c>
      <c r="M72" s="160">
        <v>3.2360000000000002</v>
      </c>
      <c r="N72" s="91">
        <v>3.2549999999999999</v>
      </c>
      <c r="O72" s="124">
        <f t="shared" si="20"/>
        <v>8.999999999999897E-3</v>
      </c>
      <c r="P72" s="124">
        <f t="shared" si="21"/>
        <v>9.9999999999997868E-3</v>
      </c>
      <c r="Q72" s="131">
        <f t="shared" si="22"/>
        <v>9.4999999999998419E-3</v>
      </c>
      <c r="R72" s="110">
        <v>3.294</v>
      </c>
      <c r="S72" s="91">
        <v>3.3130000000000002</v>
      </c>
      <c r="T72" s="124">
        <f t="shared" si="23"/>
        <v>9.9999999999997868E-3</v>
      </c>
      <c r="U72" s="124">
        <f t="shared" si="24"/>
        <v>9.0000000000003411E-3</v>
      </c>
      <c r="V72" s="131">
        <f t="shared" si="25"/>
        <v>9.5000000000000639E-3</v>
      </c>
      <c r="W72" s="110">
        <v>3.339</v>
      </c>
      <c r="X72" s="91">
        <v>3.3580000000000001</v>
      </c>
      <c r="Y72" s="136">
        <f t="shared" si="26"/>
        <v>1.0000000000000231E-2</v>
      </c>
      <c r="Z72" s="124">
        <f t="shared" si="27"/>
        <v>8.999999999999897E-3</v>
      </c>
      <c r="AA72" s="131">
        <f t="shared" si="28"/>
        <v>9.5000000000000639E-3</v>
      </c>
    </row>
    <row r="73" spans="1:28">
      <c r="A73" s="1">
        <v>71</v>
      </c>
      <c r="C73" s="1" t="str">
        <f>'2MASS Singles'!C73</f>
        <v>CPD-60_985</v>
      </c>
      <c r="D73" s="81">
        <f>'2MASS Singles'!D73</f>
        <v>342</v>
      </c>
      <c r="E73" s="140">
        <f>'2MASS Singles'!H73</f>
        <v>0.38186946971932656</v>
      </c>
      <c r="F73" s="136">
        <f>'2MASS Singles'!I73</f>
        <v>0.43286946971932672</v>
      </c>
      <c r="G73" s="141">
        <f>'2MASS Singles'!J73</f>
        <v>0.37486946971932689</v>
      </c>
      <c r="H73" s="110">
        <v>3.343</v>
      </c>
      <c r="I73" s="91">
        <v>3.3359999999999999</v>
      </c>
      <c r="J73" s="149">
        <v>3.423</v>
      </c>
      <c r="K73" s="54">
        <f t="shared" si="18"/>
        <v>4.8335632129241267E-2</v>
      </c>
      <c r="L73" s="53">
        <f t="shared" si="19"/>
        <v>1.435427602333437E-2</v>
      </c>
      <c r="M73" s="160">
        <v>3.3340000000000001</v>
      </c>
      <c r="N73" s="91">
        <v>3.3519999999999999</v>
      </c>
      <c r="O73" s="124">
        <f t="shared" si="20"/>
        <v>8.999999999999897E-3</v>
      </c>
      <c r="P73" s="124">
        <f t="shared" si="21"/>
        <v>8.999999999999897E-3</v>
      </c>
      <c r="Q73" s="131">
        <f t="shared" si="22"/>
        <v>8.999999999999897E-3</v>
      </c>
      <c r="R73" s="110">
        <v>3.327</v>
      </c>
      <c r="S73" s="91">
        <v>3.3450000000000002</v>
      </c>
      <c r="T73" s="124">
        <f t="shared" si="23"/>
        <v>8.999999999999897E-3</v>
      </c>
      <c r="U73" s="124">
        <f t="shared" si="24"/>
        <v>9.0000000000003411E-3</v>
      </c>
      <c r="V73" s="131">
        <f t="shared" si="25"/>
        <v>9.000000000000119E-3</v>
      </c>
      <c r="W73" s="110">
        <v>3.4140000000000001</v>
      </c>
      <c r="X73" s="91">
        <v>3.4319999999999999</v>
      </c>
      <c r="Y73" s="136">
        <f t="shared" si="26"/>
        <v>8.999999999999897E-3</v>
      </c>
      <c r="Z73" s="124">
        <f t="shared" si="27"/>
        <v>8.999999999999897E-3</v>
      </c>
      <c r="AA73" s="131">
        <f t="shared" si="28"/>
        <v>8.999999999999897E-3</v>
      </c>
    </row>
    <row r="74" spans="1:28">
      <c r="A74" s="1">
        <v>72</v>
      </c>
      <c r="C74" s="1" t="str">
        <f>'2MASS Singles'!C74</f>
        <v>CD-60_1929</v>
      </c>
      <c r="D74" s="81">
        <f>'2MASS Singles'!D74</f>
        <v>342</v>
      </c>
      <c r="E74" s="140">
        <f>'2MASS Singles'!H74</f>
        <v>0.61786946971932721</v>
      </c>
      <c r="F74" s="136">
        <f>'2MASS Singles'!I74</f>
        <v>0.55986946971932738</v>
      </c>
      <c r="G74" s="141">
        <f>'2MASS Singles'!J74</f>
        <v>0.61786946971932721</v>
      </c>
      <c r="H74" s="110">
        <v>3.121</v>
      </c>
      <c r="I74" s="91">
        <v>3.218</v>
      </c>
      <c r="J74" s="149">
        <v>3.1930000000000001</v>
      </c>
      <c r="K74" s="54">
        <f t="shared" si="18"/>
        <v>5.0362022728771855E-2</v>
      </c>
      <c r="L74" s="53">
        <f t="shared" si="19"/>
        <v>1.5850405810566046E-2</v>
      </c>
      <c r="M74" s="160">
        <v>3.1120000000000001</v>
      </c>
      <c r="N74" s="91">
        <v>3.1309999999999998</v>
      </c>
      <c r="O74" s="124">
        <f t="shared" si="20"/>
        <v>8.999999999999897E-3</v>
      </c>
      <c r="P74" s="124">
        <f t="shared" si="21"/>
        <v>9.9999999999997868E-3</v>
      </c>
      <c r="Q74" s="131">
        <f t="shared" si="22"/>
        <v>9.4999999999998419E-3</v>
      </c>
      <c r="R74" s="110">
        <v>3.2090000000000001</v>
      </c>
      <c r="S74" s="91">
        <v>3.2269999999999999</v>
      </c>
      <c r="T74" s="124">
        <f t="shared" si="23"/>
        <v>8.999999999999897E-3</v>
      </c>
      <c r="U74" s="124">
        <f t="shared" si="24"/>
        <v>8.999999999999897E-3</v>
      </c>
      <c r="V74" s="131">
        <f t="shared" si="25"/>
        <v>8.999999999999897E-3</v>
      </c>
      <c r="W74" s="110">
        <v>3.1829999999999998</v>
      </c>
      <c r="X74" s="91">
        <v>3.2029999999999998</v>
      </c>
      <c r="Y74" s="136">
        <f t="shared" si="26"/>
        <v>1.0000000000000231E-2</v>
      </c>
      <c r="Z74" s="124">
        <f t="shared" si="27"/>
        <v>9.9999999999997868E-3</v>
      </c>
      <c r="AA74" s="131">
        <f t="shared" si="28"/>
        <v>1.0000000000000009E-2</v>
      </c>
    </row>
    <row r="75" spans="1:28">
      <c r="A75" s="1">
        <v>73</v>
      </c>
      <c r="C75" s="1" t="str">
        <f>'2MASS Singles'!C75</f>
        <v>SAO250042</v>
      </c>
      <c r="D75" s="81">
        <f>'2MASS Singles'!D75</f>
        <v>342</v>
      </c>
      <c r="E75" s="140">
        <f>'2MASS Singles'!H75</f>
        <v>0.54286946971932615</v>
      </c>
      <c r="F75" s="136">
        <f>'2MASS Singles'!I75</f>
        <v>0.53186946971932691</v>
      </c>
      <c r="G75" s="141">
        <f>'2MASS Singles'!J75</f>
        <v>0.55686946971932727</v>
      </c>
      <c r="H75" s="110">
        <v>3.1920000000000002</v>
      </c>
      <c r="I75" s="91">
        <v>3.2440000000000002</v>
      </c>
      <c r="J75" s="149">
        <v>3.2519999999999998</v>
      </c>
      <c r="K75" s="54">
        <f t="shared" si="18"/>
        <v>3.2578111260988182E-2</v>
      </c>
      <c r="L75" s="53">
        <f t="shared" si="19"/>
        <v>1.0088184742254806E-2</v>
      </c>
      <c r="M75" s="160">
        <v>3.1819999999999999</v>
      </c>
      <c r="N75" s="91">
        <v>3.2010000000000001</v>
      </c>
      <c r="O75" s="124">
        <f t="shared" si="20"/>
        <v>1.0000000000000231E-2</v>
      </c>
      <c r="P75" s="124">
        <f t="shared" si="21"/>
        <v>8.999999999999897E-3</v>
      </c>
      <c r="Q75" s="131">
        <f t="shared" si="22"/>
        <v>9.5000000000000639E-3</v>
      </c>
      <c r="R75" s="110">
        <v>3.2349999999999999</v>
      </c>
      <c r="S75" s="91">
        <v>3.2530000000000001</v>
      </c>
      <c r="T75" s="124">
        <f t="shared" si="23"/>
        <v>9.0000000000003411E-3</v>
      </c>
      <c r="U75" s="124">
        <f t="shared" si="24"/>
        <v>8.999999999999897E-3</v>
      </c>
      <c r="V75" s="131">
        <f t="shared" si="25"/>
        <v>9.000000000000119E-3</v>
      </c>
      <c r="W75" s="110">
        <v>3.242</v>
      </c>
      <c r="X75" s="91">
        <v>3.2610000000000001</v>
      </c>
      <c r="Y75" s="136">
        <f t="shared" si="26"/>
        <v>9.9999999999997868E-3</v>
      </c>
      <c r="Z75" s="124">
        <f t="shared" si="27"/>
        <v>9.0000000000003411E-3</v>
      </c>
      <c r="AA75" s="131">
        <f t="shared" si="28"/>
        <v>9.5000000000000639E-3</v>
      </c>
    </row>
    <row r="76" spans="1:28">
      <c r="A76" s="1">
        <v>74</v>
      </c>
      <c r="C76" s="1" t="str">
        <f>'2MASS Singles'!C76</f>
        <v>HD65949</v>
      </c>
      <c r="D76" s="81">
        <f>'2MASS Singles'!D76</f>
        <v>342</v>
      </c>
      <c r="E76" s="140">
        <f>'2MASS Singles'!H76</f>
        <v>0.65786946971932636</v>
      </c>
      <c r="F76" s="136">
        <f>'2MASS Singles'!I76</f>
        <v>0.69386946971932772</v>
      </c>
      <c r="G76" s="141">
        <f>'2MASS Singles'!J76</f>
        <v>0.69786946971932728</v>
      </c>
      <c r="H76" s="110">
        <v>3.0840000000000001</v>
      </c>
      <c r="I76" s="91">
        <v>3.0910000000000002</v>
      </c>
      <c r="J76" s="149">
        <v>3.1160000000000001</v>
      </c>
      <c r="K76" s="54">
        <f t="shared" si="18"/>
        <v>1.6822603841260716E-2</v>
      </c>
      <c r="L76" s="53">
        <f t="shared" si="19"/>
        <v>5.4319030808074641E-3</v>
      </c>
      <c r="M76" s="160">
        <v>3.0750000000000002</v>
      </c>
      <c r="N76" s="91">
        <v>3.093</v>
      </c>
      <c r="O76" s="124">
        <f t="shared" si="20"/>
        <v>8.999999999999897E-3</v>
      </c>
      <c r="P76" s="124">
        <f t="shared" si="21"/>
        <v>8.999999999999897E-3</v>
      </c>
      <c r="Q76" s="131">
        <f t="shared" si="22"/>
        <v>8.999999999999897E-3</v>
      </c>
      <c r="R76" s="110">
        <v>3.0819999999999999</v>
      </c>
      <c r="S76" s="91">
        <v>3.101</v>
      </c>
      <c r="T76" s="124">
        <f t="shared" si="23"/>
        <v>9.0000000000003411E-3</v>
      </c>
      <c r="U76" s="124">
        <f t="shared" si="24"/>
        <v>9.9999999999997868E-3</v>
      </c>
      <c r="V76" s="131">
        <f t="shared" si="25"/>
        <v>9.5000000000000639E-3</v>
      </c>
      <c r="W76" s="110">
        <v>3.1059999999999999</v>
      </c>
      <c r="X76" s="91">
        <v>3.1259999999999999</v>
      </c>
      <c r="Y76" s="136">
        <f t="shared" si="26"/>
        <v>1.0000000000000231E-2</v>
      </c>
      <c r="Z76" s="124">
        <f t="shared" si="27"/>
        <v>9.9999999999997868E-3</v>
      </c>
      <c r="AA76" s="131">
        <f t="shared" si="28"/>
        <v>1.0000000000000009E-2</v>
      </c>
    </row>
    <row r="77" spans="1:28">
      <c r="A77" s="1">
        <v>75</v>
      </c>
      <c r="B77" s="62" t="str">
        <f>'2MASS Singles'!B77</f>
        <v>NGC 3532</v>
      </c>
      <c r="C77" s="1" t="str">
        <f>'2MASS Singles'!C77</f>
        <v>HD96430</v>
      </c>
      <c r="D77" s="81">
        <f>'2MASS Singles'!D77</f>
        <v>412</v>
      </c>
      <c r="E77" s="140">
        <f>'2MASS Singles'!H77</f>
        <v>0.62651391983432703</v>
      </c>
      <c r="F77" s="136">
        <f>'2MASS Singles'!I77</f>
        <v>0.71451391983432622</v>
      </c>
      <c r="G77" s="141">
        <f>'2MASS Singles'!J77</f>
        <v>0.67451391983432707</v>
      </c>
      <c r="H77" s="110">
        <v>2.7069999999999999</v>
      </c>
      <c r="I77" s="91">
        <v>2.6669999999999998</v>
      </c>
      <c r="J77" s="149">
        <v>2.6930000000000001</v>
      </c>
      <c r="K77" s="54">
        <f t="shared" si="18"/>
        <v>2.0297783130184478E-2</v>
      </c>
      <c r="L77" s="53">
        <f t="shared" si="19"/>
        <v>7.5484504017049002E-3</v>
      </c>
      <c r="M77" s="160">
        <v>2.702</v>
      </c>
      <c r="N77" s="91">
        <v>2.7109999999999999</v>
      </c>
      <c r="O77" s="124">
        <f t="shared" si="20"/>
        <v>4.9999999999998934E-3</v>
      </c>
      <c r="P77" s="124">
        <f t="shared" si="21"/>
        <v>4.0000000000000036E-3</v>
      </c>
      <c r="Q77" s="131">
        <f t="shared" si="22"/>
        <v>4.4999999999999485E-3</v>
      </c>
      <c r="R77" s="110">
        <v>2.6619999999999999</v>
      </c>
      <c r="S77" s="91">
        <v>2.6720000000000002</v>
      </c>
      <c r="T77" s="124">
        <f t="shared" si="23"/>
        <v>4.9999999999998934E-3</v>
      </c>
      <c r="U77" s="124">
        <f t="shared" si="24"/>
        <v>5.0000000000003375E-3</v>
      </c>
      <c r="V77" s="131">
        <f t="shared" si="25"/>
        <v>5.0000000000001155E-3</v>
      </c>
      <c r="W77" s="110">
        <v>2.6880000000000002</v>
      </c>
      <c r="X77" s="91">
        <v>2.698</v>
      </c>
      <c r="Y77" s="136">
        <f t="shared" si="26"/>
        <v>4.9999999999998934E-3</v>
      </c>
      <c r="Z77" s="124">
        <f t="shared" si="27"/>
        <v>4.9999999999998934E-3</v>
      </c>
      <c r="AA77" s="131">
        <f t="shared" si="28"/>
        <v>4.9999999999998934E-3</v>
      </c>
    </row>
    <row r="78" spans="1:28">
      <c r="A78" s="1">
        <v>76</v>
      </c>
      <c r="C78" s="1" t="str">
        <f>'2MASS Singles'!C78</f>
        <v>HD96489</v>
      </c>
      <c r="D78" s="81">
        <f>'2MASS Singles'!D78</f>
        <v>412</v>
      </c>
      <c r="E78" s="140">
        <f>'2MASS Singles'!H78</f>
        <v>-0.29148608016567312</v>
      </c>
      <c r="F78" s="136">
        <f>'2MASS Singles'!I78</f>
        <v>-0.28648608016567323</v>
      </c>
      <c r="G78" s="141">
        <f>'2MASS Singles'!J78</f>
        <v>-0.33748608016567339</v>
      </c>
      <c r="H78" s="110">
        <v>3.1829999999999998</v>
      </c>
      <c r="I78" s="91">
        <v>3.19</v>
      </c>
      <c r="J78" s="149">
        <v>3.234</v>
      </c>
      <c r="K78" s="54">
        <f t="shared" si="18"/>
        <v>2.7646579052992015E-2</v>
      </c>
      <c r="L78" s="53">
        <f t="shared" si="19"/>
        <v>8.6332608680104138E-3</v>
      </c>
      <c r="M78" s="160">
        <v>3.1760000000000002</v>
      </c>
      <c r="N78" s="91">
        <v>3.19</v>
      </c>
      <c r="O78" s="124">
        <f t="shared" si="20"/>
        <v>6.9999999999996732E-3</v>
      </c>
      <c r="P78" s="124">
        <f t="shared" si="21"/>
        <v>7.0000000000001172E-3</v>
      </c>
      <c r="Q78" s="131">
        <f t="shared" si="22"/>
        <v>6.9999999999998952E-3</v>
      </c>
      <c r="R78" s="110">
        <v>3.1829999999999998</v>
      </c>
      <c r="S78" s="91">
        <v>3.198</v>
      </c>
      <c r="T78" s="124">
        <f t="shared" si="23"/>
        <v>7.0000000000001172E-3</v>
      </c>
      <c r="U78" s="124">
        <f t="shared" si="24"/>
        <v>8.0000000000000071E-3</v>
      </c>
      <c r="V78" s="131">
        <f t="shared" si="25"/>
        <v>7.5000000000000622E-3</v>
      </c>
      <c r="W78" s="110">
        <v>3.226</v>
      </c>
      <c r="X78" s="91">
        <v>3.2429999999999999</v>
      </c>
      <c r="Y78" s="136">
        <f t="shared" si="26"/>
        <v>8.0000000000000071E-3</v>
      </c>
      <c r="Z78" s="124">
        <f t="shared" si="27"/>
        <v>8.999999999999897E-3</v>
      </c>
      <c r="AA78" s="131">
        <f t="shared" si="28"/>
        <v>8.499999999999952E-3</v>
      </c>
    </row>
    <row r="79" spans="1:28">
      <c r="A79" s="1">
        <v>77</v>
      </c>
      <c r="C79" s="1" t="str">
        <f>'2MASS Singles'!C79</f>
        <v>HD96430</v>
      </c>
      <c r="D79" s="81">
        <f>'2MASS Singles'!D79</f>
        <v>412</v>
      </c>
      <c r="E79" s="140">
        <f>'2MASS Singles'!H79</f>
        <v>0.62651391983432703</v>
      </c>
      <c r="F79" s="136">
        <f>'2MASS Singles'!I79</f>
        <v>0.71451391983432622</v>
      </c>
      <c r="G79" s="141">
        <f>'2MASS Singles'!J79</f>
        <v>0.67451391983432707</v>
      </c>
      <c r="H79" s="110">
        <v>2.7069999999999999</v>
      </c>
      <c r="I79" s="91">
        <v>2.6669999999999998</v>
      </c>
      <c r="J79" s="149">
        <v>2.6930000000000001</v>
      </c>
      <c r="K79" s="54">
        <f t="shared" si="18"/>
        <v>2.0297783130184478E-2</v>
      </c>
      <c r="L79" s="53">
        <f t="shared" si="19"/>
        <v>7.5484504017049002E-3</v>
      </c>
      <c r="M79" s="160">
        <v>2.702</v>
      </c>
      <c r="N79" s="91">
        <v>2.7109999999999999</v>
      </c>
      <c r="O79" s="124">
        <f t="shared" si="20"/>
        <v>4.9999999999998934E-3</v>
      </c>
      <c r="P79" s="124">
        <f t="shared" si="21"/>
        <v>4.0000000000000036E-3</v>
      </c>
      <c r="Q79" s="131">
        <f t="shared" si="22"/>
        <v>4.4999999999999485E-3</v>
      </c>
      <c r="R79" s="110">
        <v>2.6619999999999999</v>
      </c>
      <c r="S79" s="91">
        <v>2.6720000000000002</v>
      </c>
      <c r="T79" s="124">
        <f t="shared" si="23"/>
        <v>4.9999999999998934E-3</v>
      </c>
      <c r="U79" s="124">
        <f t="shared" si="24"/>
        <v>5.0000000000003375E-3</v>
      </c>
      <c r="V79" s="131">
        <f t="shared" si="25"/>
        <v>5.0000000000001155E-3</v>
      </c>
      <c r="W79" s="110">
        <v>2.6880000000000002</v>
      </c>
      <c r="X79" s="91">
        <v>2.698</v>
      </c>
      <c r="Y79" s="136">
        <f t="shared" si="26"/>
        <v>4.9999999999998934E-3</v>
      </c>
      <c r="Z79" s="124">
        <f t="shared" si="27"/>
        <v>4.9999999999998934E-3</v>
      </c>
      <c r="AA79" s="131">
        <f t="shared" si="28"/>
        <v>4.9999999999998934E-3</v>
      </c>
    </row>
    <row r="80" spans="1:28">
      <c r="A80" s="1">
        <v>78</v>
      </c>
      <c r="B80" s="57"/>
      <c r="C80" s="1" t="str">
        <f>'2MASS Singles'!C80</f>
        <v>HD96668</v>
      </c>
      <c r="D80" s="81">
        <f>'2MASS Singles'!D80</f>
        <v>412</v>
      </c>
      <c r="E80" s="140">
        <f>'2MASS Singles'!H80</f>
        <v>0.1335139198343267</v>
      </c>
      <c r="F80" s="136">
        <f>'2MASS Singles'!I80</f>
        <v>0.19251391983432597</v>
      </c>
      <c r="G80" s="141">
        <f>'2MASS Singles'!J80</f>
        <v>0.17951391983432607</v>
      </c>
      <c r="H80" s="110">
        <v>2.9380000000000002</v>
      </c>
      <c r="I80" s="91">
        <v>2.915</v>
      </c>
      <c r="J80" s="149">
        <v>2.9209999999999998</v>
      </c>
      <c r="K80" s="54">
        <f t="shared" si="18"/>
        <v>1.193035344544896E-2</v>
      </c>
      <c r="L80" s="53">
        <f t="shared" si="19"/>
        <v>4.0792181828523911E-3</v>
      </c>
      <c r="M80" s="160">
        <v>2.9329999999999998</v>
      </c>
      <c r="N80" s="91">
        <v>2.9430000000000001</v>
      </c>
      <c r="O80" s="124">
        <f t="shared" si="20"/>
        <v>5.0000000000003375E-3</v>
      </c>
      <c r="P80" s="124">
        <f t="shared" si="21"/>
        <v>4.9999999999998934E-3</v>
      </c>
      <c r="Q80" s="131">
        <f t="shared" si="22"/>
        <v>5.0000000000001155E-3</v>
      </c>
      <c r="R80" s="110">
        <v>2.91</v>
      </c>
      <c r="S80" s="91">
        <v>2.919</v>
      </c>
      <c r="T80" s="124">
        <f t="shared" si="23"/>
        <v>4.9999999999998934E-3</v>
      </c>
      <c r="U80" s="124">
        <f t="shared" si="24"/>
        <v>4.0000000000000036E-3</v>
      </c>
      <c r="V80" s="131">
        <f t="shared" si="25"/>
        <v>4.4999999999999485E-3</v>
      </c>
      <c r="W80" s="110">
        <v>2.9169999999999998</v>
      </c>
      <c r="X80" s="91">
        <v>2.9260000000000002</v>
      </c>
      <c r="Y80" s="136">
        <f t="shared" si="26"/>
        <v>4.0000000000000036E-3</v>
      </c>
      <c r="Z80" s="124">
        <f t="shared" si="27"/>
        <v>5.0000000000003375E-3</v>
      </c>
      <c r="AA80" s="131">
        <f t="shared" si="28"/>
        <v>4.5000000000001705E-3</v>
      </c>
    </row>
    <row r="81" spans="1:27">
      <c r="A81" s="1">
        <v>79</v>
      </c>
      <c r="C81" s="1" t="str">
        <f>'2MASS Singles'!C81</f>
        <v>HD96227</v>
      </c>
      <c r="D81" s="81">
        <f>'2MASS Singles'!D81</f>
        <v>412</v>
      </c>
      <c r="E81" s="140">
        <f>'2MASS Singles'!H81</f>
        <v>3.7513919834326614E-2</v>
      </c>
      <c r="F81" s="136">
        <f>'2MASS Singles'!I81</f>
        <v>9.4513919834326998E-2</v>
      </c>
      <c r="G81" s="141">
        <f>'2MASS Singles'!J81</f>
        <v>4.4513919834326288E-2</v>
      </c>
      <c r="H81" s="110">
        <v>2.9860000000000002</v>
      </c>
      <c r="I81" s="91">
        <v>2.9620000000000002</v>
      </c>
      <c r="J81" s="149">
        <v>2.9870000000000001</v>
      </c>
      <c r="K81" s="54">
        <f t="shared" si="18"/>
        <v>1.4153915830374742E-2</v>
      </c>
      <c r="L81" s="53">
        <f t="shared" si="19"/>
        <v>4.7522940672774733E-3</v>
      </c>
      <c r="M81" s="160">
        <v>2.9809999999999999</v>
      </c>
      <c r="N81" s="91">
        <v>2.9910000000000001</v>
      </c>
      <c r="O81" s="124">
        <f t="shared" si="20"/>
        <v>5.0000000000003375E-3</v>
      </c>
      <c r="P81" s="124">
        <f t="shared" si="21"/>
        <v>4.9999999999998934E-3</v>
      </c>
      <c r="Q81" s="131">
        <f t="shared" si="22"/>
        <v>5.0000000000001155E-3</v>
      </c>
      <c r="R81" s="110">
        <v>2.9569999999999999</v>
      </c>
      <c r="S81" s="91">
        <v>2.9670000000000001</v>
      </c>
      <c r="T81" s="124">
        <f t="shared" si="23"/>
        <v>5.0000000000003375E-3</v>
      </c>
      <c r="U81" s="124">
        <f t="shared" si="24"/>
        <v>4.9999999999998934E-3</v>
      </c>
      <c r="V81" s="131">
        <f t="shared" si="25"/>
        <v>5.0000000000001155E-3</v>
      </c>
      <c r="W81" s="110">
        <v>2.9820000000000002</v>
      </c>
      <c r="X81" s="91">
        <v>2.992</v>
      </c>
      <c r="Y81" s="136">
        <f t="shared" si="26"/>
        <v>4.9999999999998934E-3</v>
      </c>
      <c r="Z81" s="124">
        <f t="shared" si="27"/>
        <v>4.9999999999998934E-3</v>
      </c>
      <c r="AA81" s="131">
        <f t="shared" si="28"/>
        <v>4.9999999999998934E-3</v>
      </c>
    </row>
    <row r="82" spans="1:27">
      <c r="A82" s="1">
        <v>80</v>
      </c>
      <c r="C82" s="1" t="str">
        <f>'2MASS Singles'!C82</f>
        <v>HD96226</v>
      </c>
      <c r="D82" s="81">
        <f>'2MASS Singles'!D82</f>
        <v>412</v>
      </c>
      <c r="E82" s="140">
        <f>'2MASS Singles'!H82</f>
        <v>0.14051391983432637</v>
      </c>
      <c r="F82" s="136">
        <f>'2MASS Singles'!I82</f>
        <v>0.1935139198343272</v>
      </c>
      <c r="G82" s="141">
        <f>'2MASS Singles'!J82</f>
        <v>0.20951391983432721</v>
      </c>
      <c r="H82" s="110">
        <v>2.9350000000000001</v>
      </c>
      <c r="I82" s="91">
        <v>2.9140000000000001</v>
      </c>
      <c r="J82" s="149">
        <v>2.907</v>
      </c>
      <c r="K82" s="54">
        <f t="shared" si="18"/>
        <v>1.4571661996262924E-2</v>
      </c>
      <c r="L82" s="53">
        <f t="shared" si="19"/>
        <v>4.9925749187744147E-3</v>
      </c>
      <c r="M82" s="160">
        <v>2.93</v>
      </c>
      <c r="N82" s="91">
        <v>2.9390000000000001</v>
      </c>
      <c r="O82" s="124">
        <f t="shared" si="20"/>
        <v>4.9999999999998934E-3</v>
      </c>
      <c r="P82" s="124">
        <f t="shared" si="21"/>
        <v>4.0000000000000036E-3</v>
      </c>
      <c r="Q82" s="131">
        <f t="shared" si="22"/>
        <v>4.4999999999999485E-3</v>
      </c>
      <c r="R82" s="110">
        <v>2.9089999999999998</v>
      </c>
      <c r="S82" s="91">
        <v>2.919</v>
      </c>
      <c r="T82" s="124">
        <f t="shared" si="23"/>
        <v>5.0000000000003375E-3</v>
      </c>
      <c r="U82" s="124">
        <f t="shared" si="24"/>
        <v>4.9999999999998934E-3</v>
      </c>
      <c r="V82" s="131">
        <f t="shared" si="25"/>
        <v>5.0000000000001155E-3</v>
      </c>
      <c r="W82" s="110">
        <v>2.903</v>
      </c>
      <c r="X82" s="91">
        <v>2.9119999999999999</v>
      </c>
      <c r="Y82" s="136">
        <f t="shared" si="26"/>
        <v>4.0000000000000036E-3</v>
      </c>
      <c r="Z82" s="124">
        <f t="shared" si="27"/>
        <v>4.9999999999998934E-3</v>
      </c>
      <c r="AA82" s="131">
        <f t="shared" si="28"/>
        <v>4.4999999999999485E-3</v>
      </c>
    </row>
    <row r="83" spans="1:27">
      <c r="A83" s="1">
        <v>81</v>
      </c>
      <c r="C83" s="1" t="str">
        <f>'2MASS Singles'!C83</f>
        <v>HD96305</v>
      </c>
      <c r="D83" s="81">
        <f>'2MASS Singles'!D83</f>
        <v>412</v>
      </c>
      <c r="E83" s="140">
        <f>'2MASS Singles'!H83</f>
        <v>0.46451391983432622</v>
      </c>
      <c r="F83" s="136">
        <f>'2MASS Singles'!I83</f>
        <v>0.53151391983432639</v>
      </c>
      <c r="G83" s="141">
        <f>'2MASS Singles'!J83</f>
        <v>0.46851391983432578</v>
      </c>
      <c r="H83" s="110">
        <v>2.7829999999999999</v>
      </c>
      <c r="I83" s="91">
        <v>2.7570000000000001</v>
      </c>
      <c r="J83" s="149">
        <v>2.79</v>
      </c>
      <c r="K83" s="54">
        <f t="shared" si="18"/>
        <v>1.7387735140993232E-2</v>
      </c>
      <c r="L83" s="53">
        <f t="shared" si="19"/>
        <v>6.2620894865521842E-3</v>
      </c>
      <c r="M83" s="160">
        <v>2.7789999999999999</v>
      </c>
      <c r="N83" s="91">
        <v>2.7879999999999998</v>
      </c>
      <c r="O83" s="124">
        <f t="shared" si="20"/>
        <v>4.0000000000000036E-3</v>
      </c>
      <c r="P83" s="124">
        <f t="shared" si="21"/>
        <v>4.9999999999998934E-3</v>
      </c>
      <c r="Q83" s="131">
        <f t="shared" si="22"/>
        <v>4.4999999999999485E-3</v>
      </c>
      <c r="R83" s="110">
        <v>2.7530000000000001</v>
      </c>
      <c r="S83" s="91">
        <v>2.762</v>
      </c>
      <c r="T83" s="124">
        <f t="shared" si="23"/>
        <v>4.0000000000000036E-3</v>
      </c>
      <c r="U83" s="124">
        <f t="shared" si="24"/>
        <v>4.9999999999998934E-3</v>
      </c>
      <c r="V83" s="131">
        <f t="shared" si="25"/>
        <v>4.4999999999999485E-3</v>
      </c>
      <c r="W83" s="110">
        <v>2.7850000000000001</v>
      </c>
      <c r="X83" s="91">
        <v>2.794</v>
      </c>
      <c r="Y83" s="136">
        <f t="shared" si="26"/>
        <v>4.9999999999998934E-3</v>
      </c>
      <c r="Z83" s="124">
        <f t="shared" si="27"/>
        <v>4.0000000000000036E-3</v>
      </c>
      <c r="AA83" s="131">
        <f t="shared" si="28"/>
        <v>4.4999999999999485E-3</v>
      </c>
    </row>
    <row r="84" spans="1:27">
      <c r="A84" s="1">
        <v>82</v>
      </c>
      <c r="C84" s="1" t="str">
        <f>'2MASS Singles'!C84</f>
        <v>CPD-58_3102</v>
      </c>
      <c r="D84" s="81">
        <f>'2MASS Singles'!D84</f>
        <v>412</v>
      </c>
      <c r="E84" s="140">
        <f>'2MASS Singles'!H84</f>
        <v>0.22251391983432711</v>
      </c>
      <c r="F84" s="136">
        <f>'2MASS Singles'!I84</f>
        <v>0.20051391983432687</v>
      </c>
      <c r="G84" s="141">
        <f>'2MASS Singles'!J84</f>
        <v>0.14851391983432727</v>
      </c>
      <c r="H84" s="110">
        <v>2.895</v>
      </c>
      <c r="I84" s="91">
        <v>2.911</v>
      </c>
      <c r="J84" s="149">
        <v>2.9359999999999999</v>
      </c>
      <c r="K84" s="54">
        <f t="shared" si="18"/>
        <v>2.0663978319771785E-2</v>
      </c>
      <c r="L84" s="53">
        <f t="shared" si="19"/>
        <v>7.0912760191392532E-3</v>
      </c>
      <c r="M84" s="160">
        <v>2.891</v>
      </c>
      <c r="N84" s="91">
        <v>2.9</v>
      </c>
      <c r="O84" s="124">
        <f t="shared" si="20"/>
        <v>4.0000000000000036E-3</v>
      </c>
      <c r="P84" s="124">
        <f t="shared" si="21"/>
        <v>4.9999999999998934E-3</v>
      </c>
      <c r="Q84" s="131">
        <f t="shared" si="22"/>
        <v>4.4999999999999485E-3</v>
      </c>
      <c r="R84" s="110">
        <v>2.9060000000000001</v>
      </c>
      <c r="S84" s="91">
        <v>2.915</v>
      </c>
      <c r="T84" s="124">
        <f t="shared" si="23"/>
        <v>4.9999999999998934E-3</v>
      </c>
      <c r="U84" s="124">
        <f t="shared" si="24"/>
        <v>4.0000000000000036E-3</v>
      </c>
      <c r="V84" s="131">
        <f t="shared" si="25"/>
        <v>4.4999999999999485E-3</v>
      </c>
      <c r="W84" s="110">
        <v>2.931</v>
      </c>
      <c r="X84" s="91">
        <v>2.9409999999999998</v>
      </c>
      <c r="Y84" s="136">
        <f t="shared" si="26"/>
        <v>4.9999999999998934E-3</v>
      </c>
      <c r="Z84" s="124">
        <f t="shared" si="27"/>
        <v>4.9999999999998934E-3</v>
      </c>
      <c r="AA84" s="131">
        <f t="shared" si="28"/>
        <v>4.9999999999998934E-3</v>
      </c>
    </row>
    <row r="85" spans="1:27">
      <c r="A85" s="1">
        <v>83</v>
      </c>
      <c r="C85" s="1" t="str">
        <f>'2MASS Singles'!C85</f>
        <v>HD96620</v>
      </c>
      <c r="D85" s="81">
        <f>'2MASS Singles'!D85</f>
        <v>412</v>
      </c>
      <c r="E85" s="142">
        <f>'2MASS Singles'!H85</f>
        <v>-0.8664860801656733</v>
      </c>
      <c r="F85" s="124">
        <f>'2MASS Singles'!I85</f>
        <v>-0.88748608016567321</v>
      </c>
      <c r="G85" s="143">
        <f>'2MASS Singles'!J85</f>
        <v>-0.87648608016567309</v>
      </c>
      <c r="H85" s="110">
        <v>4.0819999999999999</v>
      </c>
      <c r="I85" s="91">
        <v>4.274</v>
      </c>
      <c r="J85" s="149">
        <v>4.3819999999999997</v>
      </c>
      <c r="K85" s="54">
        <f t="shared" ref="K85" si="29">STDEV(H85,I85,J85)</f>
        <v>0.15194735930578057</v>
      </c>
      <c r="L85" s="53">
        <f t="shared" ref="L85" si="30">K85/(AVERAGE(H85,I85,J85))</f>
        <v>3.578600077856349E-2</v>
      </c>
      <c r="M85" s="160">
        <v>4.0510000000000002</v>
      </c>
      <c r="N85" s="91">
        <v>4.1120000000000001</v>
      </c>
      <c r="O85" s="124">
        <f t="shared" ref="O85" si="31">ABS(M85-H85)</f>
        <v>3.0999999999999694E-2</v>
      </c>
      <c r="P85" s="124">
        <f t="shared" ref="P85" si="32">ABS(N85-H85)</f>
        <v>3.0000000000000249E-2</v>
      </c>
      <c r="Q85" s="131">
        <f t="shared" ref="Q85" si="33">AVERAGE(O85, P85)</f>
        <v>3.0499999999999972E-2</v>
      </c>
      <c r="R85" s="110">
        <v>4.2439999999999998</v>
      </c>
      <c r="S85" s="91">
        <v>4.3040000000000003</v>
      </c>
      <c r="T85" s="124">
        <f t="shared" ref="T85" si="34">ABS(R85-I85)</f>
        <v>3.0000000000000249E-2</v>
      </c>
      <c r="U85" s="124">
        <f t="shared" ref="U85" si="35">ABS(S85-I85)</f>
        <v>3.0000000000000249E-2</v>
      </c>
      <c r="V85" s="131">
        <f t="shared" ref="V85" si="36">AVERAGE(T85, U85)</f>
        <v>3.0000000000000249E-2</v>
      </c>
      <c r="W85" s="110">
        <v>4.3520000000000003</v>
      </c>
      <c r="X85" s="91">
        <v>4.4119999999999999</v>
      </c>
      <c r="Y85" s="136">
        <f t="shared" ref="Y85" si="37">ABS(W85-J85)</f>
        <v>2.9999999999999361E-2</v>
      </c>
      <c r="Z85" s="124">
        <f t="shared" ref="Z85" si="38">ABS(X85-J85)</f>
        <v>3.0000000000000249E-2</v>
      </c>
      <c r="AA85" s="131">
        <f t="shared" ref="AA85" si="39">AVERAGE(Y85, Z85)</f>
        <v>2.9999999999999805E-2</v>
      </c>
    </row>
    <row r="86" spans="1:27">
      <c r="A86" s="1">
        <v>84</v>
      </c>
      <c r="C86" s="1" t="str">
        <f>'2MASS Singles'!C86</f>
        <v>HD96653</v>
      </c>
      <c r="D86" s="81">
        <f>'2MASS Singles'!D86</f>
        <v>412</v>
      </c>
      <c r="E86" s="140">
        <f>'2MASS Singles'!H86</f>
        <v>0.17051391983432573</v>
      </c>
      <c r="F86" s="136">
        <f>'2MASS Singles'!I86</f>
        <v>0.16051391983432595</v>
      </c>
      <c r="G86" s="141">
        <f>'2MASS Singles'!J86</f>
        <v>0.1205139198343268</v>
      </c>
      <c r="H86" s="110">
        <v>2.92</v>
      </c>
      <c r="I86" s="91">
        <v>2.93</v>
      </c>
      <c r="J86" s="149">
        <v>2.95</v>
      </c>
      <c r="K86" s="54">
        <f t="shared" si="18"/>
        <v>1.5275252316519577E-2</v>
      </c>
      <c r="L86" s="53">
        <f t="shared" si="19"/>
        <v>5.2074723806316741E-3</v>
      </c>
      <c r="M86" s="160">
        <v>2.915</v>
      </c>
      <c r="N86" s="91">
        <v>2.9249999999999998</v>
      </c>
      <c r="O86" s="124">
        <f t="shared" si="20"/>
        <v>4.9999999999998934E-3</v>
      </c>
      <c r="P86" s="124">
        <f t="shared" si="21"/>
        <v>4.9999999999998934E-3</v>
      </c>
      <c r="Q86" s="131">
        <f t="shared" si="22"/>
        <v>4.9999999999998934E-3</v>
      </c>
      <c r="R86" s="110">
        <v>2.9249999999999998</v>
      </c>
      <c r="S86" s="91">
        <v>2.9350000000000001</v>
      </c>
      <c r="T86" s="124">
        <f t="shared" si="23"/>
        <v>5.0000000000003375E-3</v>
      </c>
      <c r="U86" s="124">
        <f t="shared" si="24"/>
        <v>4.9999999999998934E-3</v>
      </c>
      <c r="V86" s="131">
        <f t="shared" si="25"/>
        <v>5.0000000000001155E-3</v>
      </c>
      <c r="W86" s="110">
        <v>2.9449999999999998</v>
      </c>
      <c r="X86" s="91">
        <v>2.9540000000000002</v>
      </c>
      <c r="Y86" s="136">
        <f t="shared" si="26"/>
        <v>5.0000000000003375E-3</v>
      </c>
      <c r="Z86" s="124">
        <f t="shared" si="27"/>
        <v>4.0000000000000036E-3</v>
      </c>
      <c r="AA86" s="131">
        <f t="shared" si="28"/>
        <v>4.5000000000001705E-3</v>
      </c>
    </row>
    <row r="87" spans="1:27">
      <c r="A87" s="1">
        <v>85</v>
      </c>
      <c r="C87" s="1" t="str">
        <f>'2MASS Singles'!C87</f>
        <v>HD96059</v>
      </c>
      <c r="D87" s="81">
        <f>'2MASS Singles'!D87</f>
        <v>412</v>
      </c>
      <c r="E87" s="140">
        <f>'2MASS Singles'!H87</f>
        <v>-7.9486080165673378E-2</v>
      </c>
      <c r="F87" s="136">
        <f>'2MASS Singles'!I87</f>
        <v>-4.8486080165673684E-2</v>
      </c>
      <c r="G87" s="141">
        <f>'2MASS Singles'!J87</f>
        <v>-4.4486080165674124E-2</v>
      </c>
      <c r="H87" s="110">
        <v>3.0489999999999999</v>
      </c>
      <c r="I87" s="91">
        <v>3.0369999999999999</v>
      </c>
      <c r="J87" s="149">
        <v>3.0350000000000001</v>
      </c>
      <c r="K87" s="54">
        <f t="shared" si="18"/>
        <v>7.5718777944002932E-3</v>
      </c>
      <c r="L87" s="53">
        <f t="shared" si="19"/>
        <v>2.4904761959435237E-3</v>
      </c>
      <c r="M87" s="160">
        <v>3.0430000000000001</v>
      </c>
      <c r="N87" s="91">
        <v>3.0539999999999998</v>
      </c>
      <c r="O87" s="124">
        <f t="shared" si="20"/>
        <v>5.9999999999997833E-3</v>
      </c>
      <c r="P87" s="124">
        <f t="shared" si="21"/>
        <v>4.9999999999998934E-3</v>
      </c>
      <c r="Q87" s="131">
        <f t="shared" si="22"/>
        <v>5.4999999999998384E-3</v>
      </c>
      <c r="R87" s="110">
        <v>3.032</v>
      </c>
      <c r="S87" s="91">
        <v>3.0430000000000001</v>
      </c>
      <c r="T87" s="124">
        <f t="shared" si="23"/>
        <v>4.9999999999998934E-3</v>
      </c>
      <c r="U87" s="124">
        <f t="shared" si="24"/>
        <v>6.0000000000002274E-3</v>
      </c>
      <c r="V87" s="131">
        <f t="shared" si="25"/>
        <v>5.5000000000000604E-3</v>
      </c>
      <c r="W87" s="110">
        <v>3.0289999999999999</v>
      </c>
      <c r="X87" s="91">
        <v>3.0409999999999999</v>
      </c>
      <c r="Y87" s="136">
        <f t="shared" si="26"/>
        <v>6.0000000000002274E-3</v>
      </c>
      <c r="Z87" s="124">
        <f t="shared" si="27"/>
        <v>5.9999999999997833E-3</v>
      </c>
      <c r="AA87" s="131">
        <f t="shared" si="28"/>
        <v>6.0000000000000053E-3</v>
      </c>
    </row>
    <row r="88" spans="1:27">
      <c r="A88" s="1">
        <v>86</v>
      </c>
      <c r="C88" s="1" t="str">
        <f>'2MASS Singles'!C88</f>
        <v>HD96755</v>
      </c>
      <c r="D88" s="81">
        <f>'2MASS Singles'!D88</f>
        <v>412</v>
      </c>
      <c r="E88" s="140">
        <f>'2MASS Singles'!H88</f>
        <v>0.24751391983432569</v>
      </c>
      <c r="F88" s="136">
        <f>'2MASS Singles'!I88</f>
        <v>0.27651391983432738</v>
      </c>
      <c r="G88" s="141">
        <f>'2MASS Singles'!J88</f>
        <v>0.29951391983432707</v>
      </c>
      <c r="H88" s="110">
        <v>2.8839999999999999</v>
      </c>
      <c r="I88" s="91">
        <v>2.875</v>
      </c>
      <c r="J88" s="149">
        <v>2.8660000000000001</v>
      </c>
      <c r="K88" s="54">
        <f t="shared" si="18"/>
        <v>8.999999999999897E-3</v>
      </c>
      <c r="L88" s="53">
        <f t="shared" si="19"/>
        <v>3.1304347826086598E-3</v>
      </c>
      <c r="M88" s="160">
        <v>2.879</v>
      </c>
      <c r="N88" s="91">
        <v>2.8879999999999999</v>
      </c>
      <c r="O88" s="124">
        <f t="shared" si="20"/>
        <v>4.9999999999998934E-3</v>
      </c>
      <c r="P88" s="124">
        <f t="shared" si="21"/>
        <v>4.0000000000000036E-3</v>
      </c>
      <c r="Q88" s="131">
        <f t="shared" si="22"/>
        <v>4.4999999999999485E-3</v>
      </c>
      <c r="R88" s="110">
        <v>2.871</v>
      </c>
      <c r="S88" s="91">
        <v>2.88</v>
      </c>
      <c r="T88" s="124">
        <f t="shared" si="23"/>
        <v>4.0000000000000036E-3</v>
      </c>
      <c r="U88" s="124">
        <f t="shared" si="24"/>
        <v>4.9999999999998934E-3</v>
      </c>
      <c r="V88" s="131">
        <f t="shared" si="25"/>
        <v>4.4999999999999485E-3</v>
      </c>
      <c r="W88" s="110">
        <v>2.8620000000000001</v>
      </c>
      <c r="X88" s="91">
        <v>2.871</v>
      </c>
      <c r="Y88" s="136">
        <f t="shared" si="26"/>
        <v>4.0000000000000036E-3</v>
      </c>
      <c r="Z88" s="124">
        <f t="shared" si="27"/>
        <v>4.9999999999998934E-3</v>
      </c>
      <c r="AA88" s="131">
        <f t="shared" si="28"/>
        <v>4.4999999999999485E-3</v>
      </c>
    </row>
    <row r="89" spans="1:27">
      <c r="A89" s="1">
        <v>87</v>
      </c>
      <c r="C89" s="1" t="str">
        <f>'2MASS Singles'!C89</f>
        <v>HD96058</v>
      </c>
      <c r="D89" s="81">
        <f>'2MASS Singles'!D89</f>
        <v>412</v>
      </c>
      <c r="E89" s="140">
        <f>'2MASS Singles'!H89</f>
        <v>0.18851391983432642</v>
      </c>
      <c r="F89" s="136">
        <f>'2MASS Singles'!I89</f>
        <v>0.19751391983432676</v>
      </c>
      <c r="G89" s="141">
        <f>'2MASS Singles'!J89</f>
        <v>9.8513919834326558E-2</v>
      </c>
      <c r="H89" s="110">
        <v>2.9119999999999999</v>
      </c>
      <c r="I89" s="91">
        <v>2.9119999999999999</v>
      </c>
      <c r="J89" s="149">
        <v>2.96</v>
      </c>
      <c r="K89" s="54">
        <f t="shared" si="18"/>
        <v>2.7712812921102059E-2</v>
      </c>
      <c r="L89" s="53">
        <f t="shared" si="19"/>
        <v>9.464758511305349E-3</v>
      </c>
      <c r="M89" s="160">
        <v>2.907</v>
      </c>
      <c r="N89" s="91">
        <v>2.9159999999999999</v>
      </c>
      <c r="O89" s="124">
        <f t="shared" si="20"/>
        <v>4.9999999999998934E-3</v>
      </c>
      <c r="P89" s="124">
        <f t="shared" si="21"/>
        <v>4.0000000000000036E-3</v>
      </c>
      <c r="Q89" s="131">
        <f t="shared" si="22"/>
        <v>4.4999999999999485E-3</v>
      </c>
      <c r="R89" s="110">
        <v>2.907</v>
      </c>
      <c r="S89" s="91">
        <v>2.9169999999999998</v>
      </c>
      <c r="T89" s="124">
        <f t="shared" si="23"/>
        <v>4.9999999999998934E-3</v>
      </c>
      <c r="U89" s="124">
        <f t="shared" si="24"/>
        <v>4.9999999999998934E-3</v>
      </c>
      <c r="V89" s="131">
        <f t="shared" si="25"/>
        <v>4.9999999999998934E-3</v>
      </c>
      <c r="W89" s="110">
        <v>2.9550000000000001</v>
      </c>
      <c r="X89" s="91">
        <v>2.9649999999999999</v>
      </c>
      <c r="Y89" s="136">
        <f t="shared" si="26"/>
        <v>4.9999999999998934E-3</v>
      </c>
      <c r="Z89" s="124">
        <f t="shared" si="27"/>
        <v>4.9999999999998934E-3</v>
      </c>
      <c r="AA89" s="131">
        <f t="shared" si="28"/>
        <v>4.9999999999998934E-3</v>
      </c>
    </row>
    <row r="90" spans="1:27">
      <c r="A90" s="1">
        <v>88</v>
      </c>
      <c r="C90" s="1" t="str">
        <f>'2MASS Singles'!C90</f>
        <v>HD96898</v>
      </c>
      <c r="D90" s="81">
        <f>'2MASS Singles'!D90</f>
        <v>412</v>
      </c>
      <c r="E90" s="140">
        <f>'2MASS Singles'!H90</f>
        <v>-1.1974860801656737</v>
      </c>
      <c r="F90" s="136">
        <f>'2MASS Singles'!I90</f>
        <v>-1.3584860801656733</v>
      </c>
      <c r="G90" s="141">
        <f>'2MASS Singles'!J90</f>
        <v>-1.4804860801656732</v>
      </c>
      <c r="H90" s="110">
        <v>4.9290000000000003</v>
      </c>
      <c r="I90" s="91">
        <v>5.3929999999999998</v>
      </c>
      <c r="J90" s="149">
        <v>5.8209999999999997</v>
      </c>
      <c r="K90" s="54">
        <f t="shared" si="18"/>
        <v>0.44612105980327776</v>
      </c>
      <c r="L90" s="53">
        <f t="shared" si="19"/>
        <v>8.2906719903972817E-2</v>
      </c>
      <c r="M90" s="160">
        <v>4.907</v>
      </c>
      <c r="N90" s="91">
        <v>4.9509999999999996</v>
      </c>
      <c r="O90" s="124">
        <f t="shared" si="20"/>
        <v>2.2000000000000242E-2</v>
      </c>
      <c r="P90" s="124">
        <f t="shared" si="21"/>
        <v>2.1999999999999353E-2</v>
      </c>
      <c r="Q90" s="131">
        <f t="shared" si="22"/>
        <v>2.1999999999999797E-2</v>
      </c>
      <c r="R90" s="110">
        <v>5.3730000000000002</v>
      </c>
      <c r="S90" s="91">
        <v>5.4130000000000003</v>
      </c>
      <c r="T90" s="124">
        <f t="shared" si="23"/>
        <v>1.9999999999999574E-2</v>
      </c>
      <c r="U90" s="124">
        <f t="shared" si="24"/>
        <v>2.0000000000000462E-2</v>
      </c>
      <c r="V90" s="131">
        <f t="shared" si="25"/>
        <v>2.0000000000000018E-2</v>
      </c>
      <c r="W90" s="110">
        <v>5.798</v>
      </c>
      <c r="X90" s="91">
        <v>5.843</v>
      </c>
      <c r="Y90" s="136">
        <f t="shared" si="26"/>
        <v>2.2999999999999687E-2</v>
      </c>
      <c r="Z90" s="124">
        <f t="shared" si="27"/>
        <v>2.2000000000000242E-2</v>
      </c>
      <c r="AA90" s="131">
        <f t="shared" si="28"/>
        <v>2.2499999999999964E-2</v>
      </c>
    </row>
    <row r="91" spans="1:27">
      <c r="A91" s="1">
        <v>89</v>
      </c>
      <c r="C91" s="1" t="str">
        <f>'2MASS Singles'!C91</f>
        <v>HD96895</v>
      </c>
      <c r="D91" s="81">
        <f>'2MASS Singles'!D91</f>
        <v>412</v>
      </c>
      <c r="E91" s="140">
        <f>'2MASS Singles'!H91</f>
        <v>0.19751391983432676</v>
      </c>
      <c r="F91" s="136">
        <f>'2MASS Singles'!I91</f>
        <v>0.1985139198343262</v>
      </c>
      <c r="G91" s="141">
        <f>'2MASS Singles'!J91</f>
        <v>0.21651391983432688</v>
      </c>
      <c r="H91" s="110">
        <v>2.907</v>
      </c>
      <c r="I91" s="91">
        <v>2.9119999999999999</v>
      </c>
      <c r="J91" s="149">
        <v>2.9039999999999999</v>
      </c>
      <c r="K91" s="54">
        <f t="shared" si="18"/>
        <v>4.0414518843273749E-3</v>
      </c>
      <c r="L91" s="53">
        <f t="shared" si="19"/>
        <v>1.3899295715902931E-3</v>
      </c>
      <c r="M91" s="160">
        <v>2.903</v>
      </c>
      <c r="N91" s="91">
        <v>2.9119999999999999</v>
      </c>
      <c r="O91" s="124">
        <f t="shared" si="20"/>
        <v>4.0000000000000036E-3</v>
      </c>
      <c r="P91" s="124">
        <f t="shared" si="21"/>
        <v>4.9999999999998934E-3</v>
      </c>
      <c r="Q91" s="131">
        <f t="shared" si="22"/>
        <v>4.4999999999999485E-3</v>
      </c>
      <c r="R91" s="110">
        <v>2.907</v>
      </c>
      <c r="S91" s="91">
        <v>2.9159999999999999</v>
      </c>
      <c r="T91" s="124">
        <f t="shared" si="23"/>
        <v>4.9999999999998934E-3</v>
      </c>
      <c r="U91" s="124">
        <f t="shared" si="24"/>
        <v>4.0000000000000036E-3</v>
      </c>
      <c r="V91" s="131">
        <f t="shared" si="25"/>
        <v>4.4999999999999485E-3</v>
      </c>
      <c r="W91" s="110">
        <v>2.9</v>
      </c>
      <c r="X91" s="91">
        <v>2.9089999999999998</v>
      </c>
      <c r="Y91" s="136">
        <f t="shared" si="26"/>
        <v>4.0000000000000036E-3</v>
      </c>
      <c r="Z91" s="124">
        <f t="shared" si="27"/>
        <v>4.9999999999998934E-3</v>
      </c>
      <c r="AA91" s="131">
        <f t="shared" si="28"/>
        <v>4.4999999999999485E-3</v>
      </c>
    </row>
    <row r="92" spans="1:27">
      <c r="A92" s="1">
        <v>90</v>
      </c>
      <c r="B92" s="62" t="str">
        <f>'2MASS Singles'!B92</f>
        <v>IC 2602</v>
      </c>
      <c r="C92" s="1" t="str">
        <f>'2MASS Singles'!C92</f>
        <v>HD92536</v>
      </c>
      <c r="D92" s="81">
        <f>'2MASS Singles'!D92</f>
        <v>149</v>
      </c>
      <c r="E92" s="140">
        <f>'2MASS Singles'!H92</f>
        <v>0.56506865793863081</v>
      </c>
      <c r="F92" s="136">
        <f>'2MASS Singles'!I92</f>
        <v>0.64306865793863111</v>
      </c>
      <c r="G92" s="141">
        <f>'2MASS Singles'!J92</f>
        <v>0.60206865793863074</v>
      </c>
      <c r="H92" s="110">
        <v>3.5070000000000001</v>
      </c>
      <c r="I92" s="91">
        <v>3.4660000000000002</v>
      </c>
      <c r="J92" s="149">
        <v>3.617</v>
      </c>
      <c r="K92" s="54">
        <f t="shared" si="18"/>
        <v>7.8083288865159778E-2</v>
      </c>
      <c r="L92" s="53">
        <f t="shared" si="19"/>
        <v>2.2119911859818635E-2</v>
      </c>
      <c r="M92" s="160">
        <v>3.492</v>
      </c>
      <c r="N92" s="91">
        <v>3.5219999999999998</v>
      </c>
      <c r="O92" s="124">
        <f t="shared" si="20"/>
        <v>1.5000000000000124E-2</v>
      </c>
      <c r="P92" s="124">
        <f t="shared" si="21"/>
        <v>1.499999999999968E-2</v>
      </c>
      <c r="Q92" s="131">
        <f t="shared" si="22"/>
        <v>1.4999999999999902E-2</v>
      </c>
      <c r="R92" s="110">
        <v>3.4510000000000001</v>
      </c>
      <c r="S92" s="91">
        <v>3.48</v>
      </c>
      <c r="T92" s="124">
        <f t="shared" si="23"/>
        <v>1.5000000000000124E-2</v>
      </c>
      <c r="U92" s="124">
        <f t="shared" si="24"/>
        <v>1.399999999999979E-2</v>
      </c>
      <c r="V92" s="131">
        <f t="shared" si="25"/>
        <v>1.4499999999999957E-2</v>
      </c>
      <c r="W92" s="110">
        <v>3.5990000000000002</v>
      </c>
      <c r="X92" s="91">
        <v>3.6349999999999998</v>
      </c>
      <c r="Y92" s="136">
        <f t="shared" si="26"/>
        <v>1.7999999999999794E-2</v>
      </c>
      <c r="Z92" s="124">
        <f t="shared" si="27"/>
        <v>1.7999999999999794E-2</v>
      </c>
      <c r="AA92" s="131">
        <f t="shared" si="28"/>
        <v>1.7999999999999794E-2</v>
      </c>
    </row>
    <row r="93" spans="1:27">
      <c r="A93" s="1">
        <v>91</v>
      </c>
      <c r="C93" s="1" t="str">
        <f>'2MASS Singles'!C93</f>
        <v>HD92664</v>
      </c>
      <c r="D93" s="81">
        <f>'2MASS Singles'!D93</f>
        <v>149</v>
      </c>
      <c r="E93" s="140">
        <f>'2MASS Singles'!H93</f>
        <v>-7.6931342061369534E-2</v>
      </c>
      <c r="F93" s="136">
        <f>'2MASS Singles'!I93</f>
        <v>1.0686579386307571E-3</v>
      </c>
      <c r="G93" s="141">
        <f>'2MASS Singles'!J93</f>
        <v>1.0068657938631098E-2</v>
      </c>
      <c r="H93" s="110">
        <v>4.5330000000000004</v>
      </c>
      <c r="I93" s="91">
        <v>4.4960000000000004</v>
      </c>
      <c r="J93" s="149">
        <v>4.6280000000000001</v>
      </c>
      <c r="K93" s="54">
        <f t="shared" si="18"/>
        <v>6.8090625884429282E-2</v>
      </c>
      <c r="L93" s="53">
        <f t="shared" si="19"/>
        <v>1.4957302310411353E-2</v>
      </c>
      <c r="M93" s="160">
        <v>4.5179999999999998</v>
      </c>
      <c r="N93" s="91">
        <v>4.5469999999999997</v>
      </c>
      <c r="O93" s="124">
        <f t="shared" si="20"/>
        <v>1.5000000000000568E-2</v>
      </c>
      <c r="P93" s="124">
        <f t="shared" si="21"/>
        <v>1.3999999999999346E-2</v>
      </c>
      <c r="Q93" s="131">
        <f t="shared" si="22"/>
        <v>1.4499999999999957E-2</v>
      </c>
      <c r="R93" s="110">
        <v>4.4820000000000002</v>
      </c>
      <c r="S93" s="91">
        <v>4.5110000000000001</v>
      </c>
      <c r="T93" s="124">
        <f t="shared" si="23"/>
        <v>1.4000000000000234E-2</v>
      </c>
      <c r="U93" s="124">
        <f t="shared" si="24"/>
        <v>1.499999999999968E-2</v>
      </c>
      <c r="V93" s="131">
        <f t="shared" si="25"/>
        <v>1.4499999999999957E-2</v>
      </c>
      <c r="W93" s="110">
        <v>4.6130000000000004</v>
      </c>
      <c r="X93" s="91">
        <v>4.6429999999999998</v>
      </c>
      <c r="Y93" s="136">
        <f t="shared" si="26"/>
        <v>1.499999999999968E-2</v>
      </c>
      <c r="Z93" s="124">
        <f t="shared" si="27"/>
        <v>1.499999999999968E-2</v>
      </c>
      <c r="AA93" s="131">
        <f t="shared" si="28"/>
        <v>1.499999999999968E-2</v>
      </c>
    </row>
    <row r="94" spans="1:27">
      <c r="A94" s="1">
        <v>92</v>
      </c>
      <c r="C94" s="1" t="str">
        <f>'2MASS Singles'!C94</f>
        <v>HD92715</v>
      </c>
      <c r="D94" s="81">
        <f>'2MASS Singles'!D94</f>
        <v>149</v>
      </c>
      <c r="E94" s="140">
        <f>'2MASS Singles'!H94</f>
        <v>0.9240686579386308</v>
      </c>
      <c r="F94" s="136">
        <f>'2MASS Singles'!I94</f>
        <v>0.95806865793863061</v>
      </c>
      <c r="G94" s="141">
        <f>'2MASS Singles'!J94</f>
        <v>0.89706865793863066</v>
      </c>
      <c r="H94" s="110">
        <v>3.0510000000000002</v>
      </c>
      <c r="I94" s="91">
        <v>3.0590000000000002</v>
      </c>
      <c r="J94" s="149">
        <v>3.1760000000000002</v>
      </c>
      <c r="K94" s="54">
        <f t="shared" si="18"/>
        <v>6.9973804622396607E-2</v>
      </c>
      <c r="L94" s="53">
        <f t="shared" si="19"/>
        <v>2.2606225917207602E-2</v>
      </c>
      <c r="M94" s="160">
        <v>3.04</v>
      </c>
      <c r="N94" s="91">
        <v>3.0619999999999998</v>
      </c>
      <c r="O94" s="124">
        <f t="shared" si="20"/>
        <v>1.1000000000000121E-2</v>
      </c>
      <c r="P94" s="124">
        <f t="shared" si="21"/>
        <v>1.0999999999999677E-2</v>
      </c>
      <c r="Q94" s="131">
        <f t="shared" si="22"/>
        <v>1.0999999999999899E-2</v>
      </c>
      <c r="R94" s="110">
        <v>3.048</v>
      </c>
      <c r="S94" s="91">
        <v>3.0710000000000002</v>
      </c>
      <c r="T94" s="124">
        <f t="shared" si="23"/>
        <v>1.1000000000000121E-2</v>
      </c>
      <c r="U94" s="124">
        <f t="shared" si="24"/>
        <v>1.2000000000000011E-2</v>
      </c>
      <c r="V94" s="131">
        <f t="shared" si="25"/>
        <v>1.1500000000000066E-2</v>
      </c>
      <c r="W94" s="110">
        <v>3.1629999999999998</v>
      </c>
      <c r="X94" s="91">
        <v>3.1880000000000002</v>
      </c>
      <c r="Y94" s="136">
        <f t="shared" si="26"/>
        <v>1.3000000000000345E-2</v>
      </c>
      <c r="Z94" s="124">
        <f t="shared" si="27"/>
        <v>1.2000000000000011E-2</v>
      </c>
      <c r="AA94" s="131">
        <f t="shared" si="28"/>
        <v>1.2500000000000178E-2</v>
      </c>
    </row>
    <row r="95" spans="1:27">
      <c r="A95" s="1">
        <v>93</v>
      </c>
      <c r="B95" s="57"/>
      <c r="C95" s="1" t="str">
        <f>'2MASS Singles'!C95</f>
        <v>HD93194</v>
      </c>
      <c r="D95" s="81">
        <f>'2MASS Singles'!D95</f>
        <v>149</v>
      </c>
      <c r="E95" s="140">
        <f>'2MASS Singles'!H95</f>
        <v>-0.80993134206136919</v>
      </c>
      <c r="F95" s="136">
        <f>'2MASS Singles'!I95</f>
        <v>-0.75693134206136925</v>
      </c>
      <c r="G95" s="141">
        <f>'2MASS Singles'!J95</f>
        <v>-0.77193134206136893</v>
      </c>
      <c r="H95" s="110">
        <v>5.617</v>
      </c>
      <c r="I95" s="91">
        <v>5.6379999999999999</v>
      </c>
      <c r="J95" s="149">
        <v>5.8120000000000003</v>
      </c>
      <c r="K95" s="54">
        <f t="shared" si="18"/>
        <v>0.10703737664946783</v>
      </c>
      <c r="L95" s="53">
        <f t="shared" si="19"/>
        <v>1.881479638767232E-2</v>
      </c>
      <c r="M95" s="160">
        <v>5.6020000000000003</v>
      </c>
      <c r="N95" s="91">
        <v>5.6319999999999997</v>
      </c>
      <c r="O95" s="124">
        <f t="shared" si="20"/>
        <v>1.499999999999968E-2</v>
      </c>
      <c r="P95" s="124">
        <f t="shared" si="21"/>
        <v>1.499999999999968E-2</v>
      </c>
      <c r="Q95" s="131">
        <f t="shared" si="22"/>
        <v>1.499999999999968E-2</v>
      </c>
      <c r="R95" s="110">
        <v>5.6230000000000002</v>
      </c>
      <c r="S95" s="91">
        <v>5.6539999999999999</v>
      </c>
      <c r="T95" s="124">
        <f t="shared" si="23"/>
        <v>1.499999999999968E-2</v>
      </c>
      <c r="U95" s="124">
        <f t="shared" si="24"/>
        <v>1.6000000000000014E-2</v>
      </c>
      <c r="V95" s="131">
        <f t="shared" si="25"/>
        <v>1.5499999999999847E-2</v>
      </c>
      <c r="W95" s="110">
        <v>5.7969999999999997</v>
      </c>
      <c r="X95" s="91">
        <v>5.827</v>
      </c>
      <c r="Y95" s="136">
        <f t="shared" si="26"/>
        <v>1.5000000000000568E-2</v>
      </c>
      <c r="Z95" s="124">
        <f t="shared" si="27"/>
        <v>1.499999999999968E-2</v>
      </c>
      <c r="AA95" s="131">
        <f t="shared" si="28"/>
        <v>1.5000000000000124E-2</v>
      </c>
    </row>
    <row r="96" spans="1:27">
      <c r="A96" s="1">
        <v>94</v>
      </c>
      <c r="B96" s="57"/>
      <c r="C96" s="1" t="str">
        <f>'2MASS Singles'!C96</f>
        <v>HD92783</v>
      </c>
      <c r="D96" s="81">
        <f>'2MASS Singles'!D96</f>
        <v>149</v>
      </c>
      <c r="E96" s="140">
        <f>'2MASS Singles'!H96</f>
        <v>0.91806865793863057</v>
      </c>
      <c r="F96" s="136">
        <f>'2MASS Singles'!I96</f>
        <v>0.94506865793863071</v>
      </c>
      <c r="G96" s="141">
        <f>'2MASS Singles'!J96</f>
        <v>0.92906865793863069</v>
      </c>
      <c r="H96" s="110">
        <v>3.0579999999999998</v>
      </c>
      <c r="I96" s="91">
        <v>3.0739999999999998</v>
      </c>
      <c r="J96" s="149">
        <v>3.1349999999999998</v>
      </c>
      <c r="K96" s="54">
        <f t="shared" si="18"/>
        <v>4.0632499307820064E-2</v>
      </c>
      <c r="L96" s="53">
        <f t="shared" si="19"/>
        <v>1.3153933087672407E-2</v>
      </c>
      <c r="M96" s="160">
        <v>3.0459999999999998</v>
      </c>
      <c r="N96" s="91">
        <v>3.069</v>
      </c>
      <c r="O96" s="124">
        <f t="shared" si="20"/>
        <v>1.2000000000000011E-2</v>
      </c>
      <c r="P96" s="124">
        <f t="shared" si="21"/>
        <v>1.1000000000000121E-2</v>
      </c>
      <c r="Q96" s="131">
        <f t="shared" si="22"/>
        <v>1.1500000000000066E-2</v>
      </c>
      <c r="R96" s="110">
        <v>3.0630000000000002</v>
      </c>
      <c r="S96" s="91">
        <v>3.0859999999999999</v>
      </c>
      <c r="T96" s="124">
        <f t="shared" si="23"/>
        <v>1.0999999999999677E-2</v>
      </c>
      <c r="U96" s="124">
        <f t="shared" si="24"/>
        <v>1.2000000000000011E-2</v>
      </c>
      <c r="V96" s="131">
        <f t="shared" si="25"/>
        <v>1.1499999999999844E-2</v>
      </c>
      <c r="W96" s="110">
        <v>3.1219999999999999</v>
      </c>
      <c r="X96" s="91">
        <v>3.1480000000000001</v>
      </c>
      <c r="Y96" s="136">
        <f t="shared" si="26"/>
        <v>1.2999999999999901E-2</v>
      </c>
      <c r="Z96" s="124">
        <f t="shared" si="27"/>
        <v>1.3000000000000345E-2</v>
      </c>
      <c r="AA96" s="131">
        <f t="shared" si="28"/>
        <v>1.3000000000000123E-2</v>
      </c>
    </row>
    <row r="97" spans="1:27">
      <c r="A97" s="1">
        <v>95</v>
      </c>
      <c r="C97" s="1" t="str">
        <f>'2MASS Singles'!C97</f>
        <v>HD92938</v>
      </c>
      <c r="D97" s="81">
        <f>'2MASS Singles'!D97</f>
        <v>149</v>
      </c>
      <c r="E97" s="140">
        <f>'2MASS Singles'!H97</f>
        <v>-0.79593134206136895</v>
      </c>
      <c r="F97" s="136">
        <f>'2MASS Singles'!I97</f>
        <v>-0.71993134206136933</v>
      </c>
      <c r="G97" s="141">
        <f>'2MASS Singles'!J97</f>
        <v>-0.73293134206136923</v>
      </c>
      <c r="H97" s="110">
        <v>5.5960000000000001</v>
      </c>
      <c r="I97" s="91">
        <v>5.5819999999999999</v>
      </c>
      <c r="J97" s="149">
        <v>5.7539999999999996</v>
      </c>
      <c r="K97" s="54">
        <f t="shared" si="18"/>
        <v>9.5519631490076196E-2</v>
      </c>
      <c r="L97" s="53">
        <f t="shared" si="19"/>
        <v>1.6924101964931996E-2</v>
      </c>
      <c r="M97" s="160">
        <v>5.5810000000000004</v>
      </c>
      <c r="N97" s="91">
        <v>5.6109999999999998</v>
      </c>
      <c r="O97" s="124">
        <f t="shared" si="20"/>
        <v>1.499999999999968E-2</v>
      </c>
      <c r="P97" s="124">
        <f t="shared" si="21"/>
        <v>1.499999999999968E-2</v>
      </c>
      <c r="Q97" s="131">
        <f t="shared" si="22"/>
        <v>1.499999999999968E-2</v>
      </c>
      <c r="R97" s="110">
        <v>5.5670000000000002</v>
      </c>
      <c r="S97" s="91">
        <v>5.5970000000000004</v>
      </c>
      <c r="T97" s="124">
        <f t="shared" si="23"/>
        <v>1.499999999999968E-2</v>
      </c>
      <c r="U97" s="124">
        <f t="shared" si="24"/>
        <v>1.5000000000000568E-2</v>
      </c>
      <c r="V97" s="131">
        <f t="shared" si="25"/>
        <v>1.5000000000000124E-2</v>
      </c>
      <c r="W97" s="110">
        <v>5.7389999999999999</v>
      </c>
      <c r="X97" s="91">
        <v>5.7690000000000001</v>
      </c>
      <c r="Y97" s="136">
        <f t="shared" si="26"/>
        <v>1.499999999999968E-2</v>
      </c>
      <c r="Z97" s="124">
        <f t="shared" si="27"/>
        <v>1.5000000000000568E-2</v>
      </c>
      <c r="AA97" s="131">
        <f t="shared" si="28"/>
        <v>1.5000000000000124E-2</v>
      </c>
    </row>
    <row r="98" spans="1:27">
      <c r="A98" s="1">
        <v>96</v>
      </c>
      <c r="C98" s="1" t="str">
        <f>'2MASS Singles'!C98</f>
        <v>HD92966</v>
      </c>
      <c r="D98" s="81">
        <f>'2MASS Singles'!D98</f>
        <v>149</v>
      </c>
      <c r="E98" s="140">
        <f>'2MASS Singles'!H98</f>
        <v>1.3520686579386307</v>
      </c>
      <c r="F98" s="136">
        <f>'2MASS Singles'!I98</f>
        <v>1.4170686579386311</v>
      </c>
      <c r="G98" s="141">
        <f>'2MASS Singles'!J98</f>
        <v>1.374068657938631</v>
      </c>
      <c r="H98" s="110">
        <v>2.5880000000000001</v>
      </c>
      <c r="I98" s="91">
        <v>2.544</v>
      </c>
      <c r="J98" s="149">
        <v>2.613</v>
      </c>
      <c r="K98" s="54">
        <f t="shared" si="18"/>
        <v>3.493326972004384E-2</v>
      </c>
      <c r="L98" s="53">
        <f t="shared" si="19"/>
        <v>1.3531285882521824E-2</v>
      </c>
      <c r="M98" s="160">
        <v>2.5779999999999998</v>
      </c>
      <c r="N98" s="91">
        <v>2.5990000000000002</v>
      </c>
      <c r="O98" s="124">
        <f t="shared" si="20"/>
        <v>1.0000000000000231E-2</v>
      </c>
      <c r="P98" s="124">
        <f t="shared" si="21"/>
        <v>1.1000000000000121E-2</v>
      </c>
      <c r="Q98" s="131">
        <f t="shared" si="22"/>
        <v>1.0500000000000176E-2</v>
      </c>
      <c r="R98" s="110">
        <v>2.5329999999999999</v>
      </c>
      <c r="S98" s="91">
        <v>2.5550000000000002</v>
      </c>
      <c r="T98" s="124">
        <f t="shared" si="23"/>
        <v>1.1000000000000121E-2</v>
      </c>
      <c r="U98" s="124">
        <f t="shared" si="24"/>
        <v>1.1000000000000121E-2</v>
      </c>
      <c r="V98" s="131">
        <f t="shared" si="25"/>
        <v>1.1000000000000121E-2</v>
      </c>
      <c r="W98" s="110">
        <v>2.6019999999999999</v>
      </c>
      <c r="X98" s="91">
        <v>2.625</v>
      </c>
      <c r="Y98" s="136">
        <f t="shared" si="26"/>
        <v>1.1000000000000121E-2</v>
      </c>
      <c r="Z98" s="124">
        <f t="shared" si="27"/>
        <v>1.2000000000000011E-2</v>
      </c>
      <c r="AA98" s="131">
        <f t="shared" si="28"/>
        <v>1.1500000000000066E-2</v>
      </c>
    </row>
    <row r="99" spans="1:27">
      <c r="A99" s="1">
        <v>97</v>
      </c>
      <c r="C99" s="1" t="str">
        <f>'2MASS Singles'!C99</f>
        <v>HD92989</v>
      </c>
      <c r="D99" s="81">
        <f>'2MASS Singles'!D99</f>
        <v>149</v>
      </c>
      <c r="E99" s="140">
        <f>'2MASS Singles'!H99</f>
        <v>1.6280686579386305</v>
      </c>
      <c r="F99" s="136">
        <f>'2MASS Singles'!I99</f>
        <v>1.6690686579386309</v>
      </c>
      <c r="G99" s="141">
        <f>'2MASS Singles'!J99</f>
        <v>1.6010686579386304</v>
      </c>
      <c r="H99" s="110">
        <v>2.331</v>
      </c>
      <c r="I99" s="91">
        <v>2.298</v>
      </c>
      <c r="J99" s="149">
        <v>2.387</v>
      </c>
      <c r="K99" s="54">
        <f t="shared" si="18"/>
        <v>4.4992591982829046E-2</v>
      </c>
      <c r="L99" s="53">
        <f t="shared" si="19"/>
        <v>1.9238565557081973E-2</v>
      </c>
      <c r="M99" s="160">
        <v>2.3210000000000002</v>
      </c>
      <c r="N99" s="91">
        <v>2.3410000000000002</v>
      </c>
      <c r="O99" s="124">
        <f t="shared" si="20"/>
        <v>9.9999999999997868E-3</v>
      </c>
      <c r="P99" s="124">
        <f t="shared" si="21"/>
        <v>1.0000000000000231E-2</v>
      </c>
      <c r="Q99" s="131">
        <f t="shared" si="22"/>
        <v>1.0000000000000009E-2</v>
      </c>
      <c r="R99" s="110">
        <v>2.286</v>
      </c>
      <c r="S99" s="91">
        <v>2.31</v>
      </c>
      <c r="T99" s="124">
        <f t="shared" si="23"/>
        <v>1.2000000000000011E-2</v>
      </c>
      <c r="U99" s="124">
        <f t="shared" si="24"/>
        <v>1.2000000000000011E-2</v>
      </c>
      <c r="V99" s="131">
        <f t="shared" si="25"/>
        <v>1.2000000000000011E-2</v>
      </c>
      <c r="W99" s="110">
        <v>2.3769999999999998</v>
      </c>
      <c r="X99" s="91">
        <v>2.3959999999999999</v>
      </c>
      <c r="Y99" s="136">
        <f t="shared" si="26"/>
        <v>1.0000000000000231E-2</v>
      </c>
      <c r="Z99" s="124">
        <f t="shared" si="27"/>
        <v>8.999999999999897E-3</v>
      </c>
      <c r="AA99" s="131">
        <f t="shared" si="28"/>
        <v>9.5000000000000639E-3</v>
      </c>
    </row>
    <row r="100" spans="1:27">
      <c r="A100" s="1">
        <v>98</v>
      </c>
      <c r="C100" s="1" t="str">
        <f>'2MASS Singles'!C100</f>
        <v>HD91959</v>
      </c>
      <c r="D100" s="81">
        <f>'2MASS Singles'!D100</f>
        <v>149</v>
      </c>
      <c r="E100" s="140">
        <f>'2MASS Singles'!H100</f>
        <v>2.7900686579386313</v>
      </c>
      <c r="F100" s="136">
        <f>'2MASS Singles'!I100</f>
        <v>2.7480686579386315</v>
      </c>
      <c r="G100" s="141">
        <f>'2MASS Singles'!J100</f>
        <v>2.7420686579386313</v>
      </c>
      <c r="H100" s="110">
        <v>1.395</v>
      </c>
      <c r="I100" s="91">
        <v>1.2809999999999999</v>
      </c>
      <c r="J100" s="149">
        <v>1.272</v>
      </c>
      <c r="K100" s="54">
        <f t="shared" si="18"/>
        <v>6.8563838865687815E-2</v>
      </c>
      <c r="L100" s="53">
        <f t="shared" si="19"/>
        <v>5.2100181508881314E-2</v>
      </c>
      <c r="M100" s="160">
        <v>1.389</v>
      </c>
      <c r="N100" s="91">
        <v>1.4</v>
      </c>
      <c r="O100" s="124">
        <f t="shared" si="20"/>
        <v>6.0000000000000053E-3</v>
      </c>
      <c r="P100" s="124">
        <f t="shared" si="21"/>
        <v>4.9999999999998934E-3</v>
      </c>
      <c r="Q100" s="131">
        <f t="shared" si="22"/>
        <v>5.4999999999999494E-3</v>
      </c>
      <c r="R100" s="110">
        <v>1.2789999999999999</v>
      </c>
      <c r="S100" s="91">
        <v>1.284</v>
      </c>
      <c r="T100" s="124">
        <f t="shared" si="23"/>
        <v>2.0000000000000018E-3</v>
      </c>
      <c r="U100" s="124">
        <f t="shared" si="24"/>
        <v>3.0000000000001137E-3</v>
      </c>
      <c r="V100" s="131">
        <f t="shared" si="25"/>
        <v>2.5000000000000577E-3</v>
      </c>
      <c r="W100" s="110">
        <v>1.2689999999999999</v>
      </c>
      <c r="X100" s="91">
        <v>1.274</v>
      </c>
      <c r="Y100" s="136">
        <f t="shared" si="26"/>
        <v>3.0000000000001137E-3</v>
      </c>
      <c r="Z100" s="124">
        <f t="shared" si="27"/>
        <v>2.0000000000000018E-3</v>
      </c>
      <c r="AA100" s="131">
        <f t="shared" si="28"/>
        <v>2.5000000000000577E-3</v>
      </c>
    </row>
    <row r="101" spans="1:27">
      <c r="A101" s="1">
        <v>99</v>
      </c>
      <c r="C101" s="1" t="str">
        <f>'2MASS Singles'!C101</f>
        <v>HD92175</v>
      </c>
      <c r="D101" s="81">
        <f>'2MASS Singles'!D101</f>
        <v>149</v>
      </c>
      <c r="E101" s="140">
        <f>'2MASS Singles'!H101</f>
        <v>0.7600686579386311</v>
      </c>
      <c r="F101" s="136">
        <f>'2MASS Singles'!I101</f>
        <v>0.16306865793863068</v>
      </c>
      <c r="G101" s="141">
        <f>'2MASS Singles'!J101</f>
        <v>1.6068657938630437E-2</v>
      </c>
      <c r="H101" s="110">
        <v>3.2440000000000002</v>
      </c>
      <c r="I101" s="91">
        <v>4.2519999999999998</v>
      </c>
      <c r="J101" s="149">
        <v>4.6189999999999998</v>
      </c>
      <c r="K101" s="54">
        <f t="shared" si="18"/>
        <v>0.71196652543032779</v>
      </c>
      <c r="L101" s="53">
        <f t="shared" si="19"/>
        <v>0.17630206985480673</v>
      </c>
      <c r="M101" s="160">
        <v>3.2309999999999999</v>
      </c>
      <c r="N101" s="91">
        <v>3.2559999999999998</v>
      </c>
      <c r="O101" s="124">
        <f t="shared" si="20"/>
        <v>1.3000000000000345E-2</v>
      </c>
      <c r="P101" s="124">
        <f t="shared" si="21"/>
        <v>1.1999999999999567E-2</v>
      </c>
      <c r="Q101" s="131">
        <f t="shared" si="22"/>
        <v>1.2499999999999956E-2</v>
      </c>
      <c r="R101" s="110">
        <v>4.2359999999999998</v>
      </c>
      <c r="S101" s="91">
        <v>4.2670000000000003</v>
      </c>
      <c r="T101" s="124">
        <f t="shared" si="23"/>
        <v>1.6000000000000014E-2</v>
      </c>
      <c r="U101" s="124">
        <f t="shared" si="24"/>
        <v>1.5000000000000568E-2</v>
      </c>
      <c r="V101" s="131">
        <f t="shared" si="25"/>
        <v>1.5500000000000291E-2</v>
      </c>
      <c r="W101" s="110">
        <v>4.6040000000000001</v>
      </c>
      <c r="X101" s="91">
        <v>4.6340000000000003</v>
      </c>
      <c r="Y101" s="136">
        <f t="shared" si="26"/>
        <v>1.499999999999968E-2</v>
      </c>
      <c r="Z101" s="124">
        <f t="shared" si="27"/>
        <v>1.5000000000000568E-2</v>
      </c>
      <c r="AA101" s="131">
        <f t="shared" si="28"/>
        <v>1.5000000000000124E-2</v>
      </c>
    </row>
    <row r="102" spans="1:27">
      <c r="A102" s="1">
        <v>100</v>
      </c>
      <c r="C102" s="1" t="str">
        <f>'2MASS Singles'!C102</f>
        <v>HD93012</v>
      </c>
      <c r="D102" s="81">
        <f>'2MASS Singles'!D102</f>
        <v>149</v>
      </c>
      <c r="E102" s="140">
        <f>'2MASS Singles'!H102</f>
        <v>2.5060686579386307</v>
      </c>
      <c r="F102" s="136">
        <f>'2MASS Singles'!I102</f>
        <v>2.3910686579386304</v>
      </c>
      <c r="G102" s="141">
        <f>'2MASS Singles'!J102</f>
        <v>2.2710686579386312</v>
      </c>
      <c r="H102" s="110">
        <v>1.5249999999999999</v>
      </c>
      <c r="I102" s="91">
        <v>1.5049999999999999</v>
      </c>
      <c r="J102" s="149">
        <v>1.556</v>
      </c>
      <c r="K102" s="54">
        <f t="shared" si="18"/>
        <v>2.5696951829610792E-2</v>
      </c>
      <c r="L102" s="53">
        <f t="shared" si="19"/>
        <v>1.6810042627307537E-2</v>
      </c>
      <c r="M102" s="160">
        <v>1.52</v>
      </c>
      <c r="N102" s="91">
        <v>1.53</v>
      </c>
      <c r="O102" s="124">
        <f t="shared" si="20"/>
        <v>4.9999999999998934E-3</v>
      </c>
      <c r="P102" s="124">
        <f t="shared" si="21"/>
        <v>5.0000000000001155E-3</v>
      </c>
      <c r="Q102" s="131">
        <f t="shared" si="22"/>
        <v>5.0000000000000044E-3</v>
      </c>
      <c r="R102" s="110">
        <v>1.4990000000000001</v>
      </c>
      <c r="S102" s="91">
        <v>1.5109999999999999</v>
      </c>
      <c r="T102" s="124">
        <f t="shared" si="23"/>
        <v>5.9999999999997833E-3</v>
      </c>
      <c r="U102" s="124">
        <f t="shared" si="24"/>
        <v>6.0000000000000053E-3</v>
      </c>
      <c r="V102" s="131">
        <f t="shared" si="25"/>
        <v>5.9999999999998943E-3</v>
      </c>
      <c r="W102" s="110">
        <v>1.5489999999999999</v>
      </c>
      <c r="X102" s="91">
        <v>1.5629999999999999</v>
      </c>
      <c r="Y102" s="136">
        <f t="shared" si="26"/>
        <v>7.0000000000001172E-3</v>
      </c>
      <c r="Z102" s="124">
        <f t="shared" si="27"/>
        <v>6.9999999999998952E-3</v>
      </c>
      <c r="AA102" s="131">
        <f t="shared" si="28"/>
        <v>7.0000000000000062E-3</v>
      </c>
    </row>
    <row r="103" spans="1:27">
      <c r="A103" s="1">
        <v>101</v>
      </c>
      <c r="C103" s="1" t="str">
        <f>'2MASS Singles'!C103</f>
        <v>HD93505</v>
      </c>
      <c r="D103" s="81">
        <f>'2MASS Singles'!D103</f>
        <v>149</v>
      </c>
      <c r="E103" s="140">
        <f>'2MASS Singles'!H103</f>
        <v>6.0068657938630921E-2</v>
      </c>
      <c r="F103" s="136">
        <f>'2MASS Singles'!I103</f>
        <v>-0.68393134206136885</v>
      </c>
      <c r="G103" s="141">
        <f>'2MASS Singles'!J103</f>
        <v>-0.94593134206136931</v>
      </c>
      <c r="H103" s="110">
        <v>4.3310000000000004</v>
      </c>
      <c r="I103" s="91">
        <v>5.5270000000000001</v>
      </c>
      <c r="J103" s="149">
        <v>6.0659999999999998</v>
      </c>
      <c r="K103" s="54">
        <f t="shared" si="18"/>
        <v>0.88799042787633409</v>
      </c>
      <c r="L103" s="53">
        <f t="shared" si="19"/>
        <v>0.16729284624648344</v>
      </c>
      <c r="M103" s="160">
        <v>4.3150000000000004</v>
      </c>
      <c r="N103" s="91">
        <v>4.3460000000000001</v>
      </c>
      <c r="O103" s="124">
        <f t="shared" si="20"/>
        <v>1.6000000000000014E-2</v>
      </c>
      <c r="P103" s="124">
        <f t="shared" si="21"/>
        <v>1.499999999999968E-2</v>
      </c>
      <c r="Q103" s="131">
        <f t="shared" si="22"/>
        <v>1.5499999999999847E-2</v>
      </c>
      <c r="R103" s="110">
        <v>5.5110000000000001</v>
      </c>
      <c r="S103" s="91">
        <v>5.5419999999999998</v>
      </c>
      <c r="T103" s="124">
        <f t="shared" si="23"/>
        <v>1.6000000000000014E-2</v>
      </c>
      <c r="U103" s="124">
        <f t="shared" si="24"/>
        <v>1.499999999999968E-2</v>
      </c>
      <c r="V103" s="131">
        <f t="shared" si="25"/>
        <v>1.5499999999999847E-2</v>
      </c>
      <c r="W103" s="110">
        <v>6.0510000000000002</v>
      </c>
      <c r="X103" s="91">
        <v>6.08</v>
      </c>
      <c r="Y103" s="136">
        <f t="shared" si="26"/>
        <v>1.499999999999968E-2</v>
      </c>
      <c r="Z103" s="124">
        <f t="shared" si="27"/>
        <v>1.4000000000000234E-2</v>
      </c>
      <c r="AA103" s="131">
        <f t="shared" si="28"/>
        <v>1.4499999999999957E-2</v>
      </c>
    </row>
    <row r="104" spans="1:27">
      <c r="A104" s="1">
        <v>102</v>
      </c>
      <c r="C104" s="1" t="str">
        <f>'2MASS Singles'!C104</f>
        <v>HD91839</v>
      </c>
      <c r="D104" s="81">
        <f>'2MASS Singles'!D104</f>
        <v>149</v>
      </c>
      <c r="E104" s="140">
        <f>'2MASS Singles'!H104</f>
        <v>2.1170686579386304</v>
      </c>
      <c r="F104" s="136">
        <f>'2MASS Singles'!I104</f>
        <v>2.1310686579386307</v>
      </c>
      <c r="G104" s="141">
        <f>'2MASS Singles'!J104</f>
        <v>2.0410686579386308</v>
      </c>
      <c r="H104" s="110">
        <v>1.734</v>
      </c>
      <c r="I104" s="91">
        <v>1.68</v>
      </c>
      <c r="J104" s="149">
        <v>1.7170000000000001</v>
      </c>
      <c r="K104" s="54">
        <f t="shared" si="18"/>
        <v>2.7610384519838462E-2</v>
      </c>
      <c r="L104" s="53">
        <f t="shared" si="19"/>
        <v>1.6143276858217769E-2</v>
      </c>
      <c r="M104" s="160">
        <v>1.728</v>
      </c>
      <c r="N104" s="91">
        <v>1.7390000000000001</v>
      </c>
      <c r="O104" s="124">
        <f t="shared" si="20"/>
        <v>6.0000000000000053E-3</v>
      </c>
      <c r="P104" s="124">
        <f t="shared" si="21"/>
        <v>5.0000000000001155E-3</v>
      </c>
      <c r="Q104" s="131">
        <f t="shared" si="22"/>
        <v>5.5000000000000604E-3</v>
      </c>
      <c r="R104" s="110">
        <v>1.673</v>
      </c>
      <c r="S104" s="91">
        <v>1.6870000000000001</v>
      </c>
      <c r="T104" s="124">
        <f t="shared" si="23"/>
        <v>6.9999999999998952E-3</v>
      </c>
      <c r="U104" s="124">
        <f t="shared" si="24"/>
        <v>7.0000000000001172E-3</v>
      </c>
      <c r="V104" s="131">
        <f t="shared" si="25"/>
        <v>7.0000000000000062E-3</v>
      </c>
      <c r="W104" s="110">
        <v>1.7110000000000001</v>
      </c>
      <c r="X104" s="91">
        <v>1.722</v>
      </c>
      <c r="Y104" s="136">
        <f t="shared" si="26"/>
        <v>6.0000000000000053E-3</v>
      </c>
      <c r="Z104" s="124">
        <f t="shared" si="27"/>
        <v>4.9999999999998934E-3</v>
      </c>
      <c r="AA104" s="131">
        <f t="shared" si="28"/>
        <v>5.4999999999999494E-3</v>
      </c>
    </row>
    <row r="105" spans="1:27">
      <c r="A105" s="1">
        <v>103</v>
      </c>
      <c r="C105" s="1" t="str">
        <f>'2MASS Singles'!C105</f>
        <v>GSC08960-01942</v>
      </c>
      <c r="D105" s="81">
        <f>'2MASS Singles'!D105</f>
        <v>149</v>
      </c>
      <c r="E105" s="140">
        <f>'2MASS Singles'!H105</f>
        <v>2.5780686579386316</v>
      </c>
      <c r="F105" s="136">
        <f>'2MASS Singles'!I105</f>
        <v>2.4010686579386302</v>
      </c>
      <c r="G105" s="141">
        <f>'2MASS Singles'!J105</f>
        <v>2.3460686579386305</v>
      </c>
      <c r="H105" s="110">
        <v>1.492</v>
      </c>
      <c r="I105" s="91">
        <v>1.4990000000000001</v>
      </c>
      <c r="J105" s="149">
        <v>1.508</v>
      </c>
      <c r="K105" s="54">
        <f t="shared" si="18"/>
        <v>8.0208062770106454E-3</v>
      </c>
      <c r="L105" s="53">
        <f t="shared" si="19"/>
        <v>5.3483927163885158E-3</v>
      </c>
      <c r="M105" s="160">
        <v>1.488</v>
      </c>
      <c r="N105" s="91">
        <v>1.496</v>
      </c>
      <c r="O105" s="124">
        <f t="shared" si="20"/>
        <v>4.0000000000000036E-3</v>
      </c>
      <c r="P105" s="124">
        <f t="shared" si="21"/>
        <v>4.0000000000000036E-3</v>
      </c>
      <c r="Q105" s="131">
        <f t="shared" si="22"/>
        <v>4.0000000000000036E-3</v>
      </c>
      <c r="R105" s="110">
        <v>1.494</v>
      </c>
      <c r="S105" s="91">
        <v>1.5049999999999999</v>
      </c>
      <c r="T105" s="124">
        <f t="shared" si="23"/>
        <v>5.0000000000001155E-3</v>
      </c>
      <c r="U105" s="124">
        <f t="shared" si="24"/>
        <v>5.9999999999997833E-3</v>
      </c>
      <c r="V105" s="131">
        <f t="shared" si="25"/>
        <v>5.4999999999999494E-3</v>
      </c>
      <c r="W105" s="110">
        <v>1.502</v>
      </c>
      <c r="X105" s="91">
        <v>1.514</v>
      </c>
      <c r="Y105" s="136">
        <f t="shared" si="26"/>
        <v>6.0000000000000053E-3</v>
      </c>
      <c r="Z105" s="124">
        <f t="shared" si="27"/>
        <v>6.0000000000000053E-3</v>
      </c>
      <c r="AA105" s="131">
        <f t="shared" si="28"/>
        <v>6.0000000000000053E-3</v>
      </c>
    </row>
    <row r="106" spans="1:27">
      <c r="A106" s="1">
        <v>104</v>
      </c>
      <c r="C106" s="1" t="str">
        <f>'2MASS Singles'!C106</f>
        <v>HD93405</v>
      </c>
      <c r="D106" s="81">
        <f>'2MASS Singles'!D106</f>
        <v>149</v>
      </c>
      <c r="E106" s="140">
        <f>'2MASS Singles'!H106</f>
        <v>2.4230686579386305</v>
      </c>
      <c r="F106" s="136">
        <f>'2MASS Singles'!I106</f>
        <v>2.19306865793863</v>
      </c>
      <c r="G106" s="141">
        <f>'2MASS Singles'!J106</f>
        <v>2.1230686579386306</v>
      </c>
      <c r="H106" s="110">
        <v>1.5660000000000001</v>
      </c>
      <c r="I106" s="91">
        <v>1.635</v>
      </c>
      <c r="J106" s="149">
        <v>1.6659999999999999</v>
      </c>
      <c r="K106" s="54">
        <f t="shared" si="18"/>
        <v>5.1189191567491348E-2</v>
      </c>
      <c r="L106" s="53">
        <f t="shared" si="19"/>
        <v>3.1552819951196638E-2</v>
      </c>
      <c r="M106" s="160">
        <v>1.5609999999999999</v>
      </c>
      <c r="N106" s="91">
        <v>1.5720000000000001</v>
      </c>
      <c r="O106" s="124">
        <f t="shared" si="20"/>
        <v>5.0000000000001155E-3</v>
      </c>
      <c r="P106" s="124">
        <f t="shared" si="21"/>
        <v>6.0000000000000053E-3</v>
      </c>
      <c r="Q106" s="131">
        <f t="shared" si="22"/>
        <v>5.5000000000000604E-3</v>
      </c>
      <c r="R106" s="110">
        <v>1.627</v>
      </c>
      <c r="S106" s="91">
        <v>1.643</v>
      </c>
      <c r="T106" s="124">
        <f t="shared" si="23"/>
        <v>8.0000000000000071E-3</v>
      </c>
      <c r="U106" s="124">
        <f t="shared" si="24"/>
        <v>8.0000000000000071E-3</v>
      </c>
      <c r="V106" s="131">
        <f t="shared" si="25"/>
        <v>8.0000000000000071E-3</v>
      </c>
      <c r="W106" s="110">
        <v>1.6579999999999999</v>
      </c>
      <c r="X106" s="91">
        <v>1.6719999999999999</v>
      </c>
      <c r="Y106" s="136">
        <f t="shared" si="26"/>
        <v>8.0000000000000071E-3</v>
      </c>
      <c r="Z106" s="124">
        <f t="shared" si="27"/>
        <v>6.0000000000000053E-3</v>
      </c>
      <c r="AA106" s="131">
        <f t="shared" si="28"/>
        <v>7.0000000000000062E-3</v>
      </c>
    </row>
    <row r="107" spans="1:27">
      <c r="A107" s="1">
        <v>105</v>
      </c>
      <c r="C107" s="1" t="str">
        <f>'2MASS Singles'!C107</f>
        <v>HD93600</v>
      </c>
      <c r="D107" s="81">
        <f>'2MASS Singles'!D107</f>
        <v>149</v>
      </c>
      <c r="E107" s="140">
        <f>'2MASS Singles'!H107</f>
        <v>1.5060686579386307</v>
      </c>
      <c r="F107" s="136">
        <f>'2MASS Singles'!I107</f>
        <v>1.2500686579386304</v>
      </c>
      <c r="G107" s="141">
        <f>'2MASS Singles'!J107</f>
        <v>1.1490686579386304</v>
      </c>
      <c r="H107" s="110">
        <v>2.4409999999999998</v>
      </c>
      <c r="I107" s="91">
        <v>2.734</v>
      </c>
      <c r="J107" s="149">
        <v>2.8740000000000001</v>
      </c>
      <c r="K107" s="54">
        <f t="shared" si="18"/>
        <v>0.22095927226527531</v>
      </c>
      <c r="L107" s="53">
        <f t="shared" si="19"/>
        <v>8.235530088157858E-2</v>
      </c>
      <c r="M107" s="160">
        <v>2.4319999999999999</v>
      </c>
      <c r="N107" s="91">
        <v>2.4500000000000002</v>
      </c>
      <c r="O107" s="124">
        <f t="shared" si="20"/>
        <v>8.999999999999897E-3</v>
      </c>
      <c r="P107" s="124">
        <f t="shared" si="21"/>
        <v>9.0000000000003411E-3</v>
      </c>
      <c r="Q107" s="131">
        <f t="shared" si="22"/>
        <v>9.000000000000119E-3</v>
      </c>
      <c r="R107" s="110">
        <v>2.7229999999999999</v>
      </c>
      <c r="S107" s="91">
        <v>2.746</v>
      </c>
      <c r="T107" s="124">
        <f t="shared" si="23"/>
        <v>1.1000000000000121E-2</v>
      </c>
      <c r="U107" s="124">
        <f t="shared" si="24"/>
        <v>1.2000000000000011E-2</v>
      </c>
      <c r="V107" s="131">
        <f t="shared" si="25"/>
        <v>1.1500000000000066E-2</v>
      </c>
      <c r="W107" s="110">
        <v>2.8620000000000001</v>
      </c>
      <c r="X107" s="91">
        <v>2.8849999999999998</v>
      </c>
      <c r="Y107" s="136">
        <f t="shared" si="26"/>
        <v>1.2000000000000011E-2</v>
      </c>
      <c r="Z107" s="124">
        <f t="shared" si="27"/>
        <v>1.0999999999999677E-2</v>
      </c>
      <c r="AA107" s="131">
        <f t="shared" si="28"/>
        <v>1.1499999999999844E-2</v>
      </c>
    </row>
    <row r="108" spans="1:27">
      <c r="A108" s="1">
        <v>106</v>
      </c>
      <c r="C108" s="1" t="str">
        <f>'2MASS Singles'!C108</f>
        <v>HD93607</v>
      </c>
      <c r="D108" s="81">
        <f>'2MASS Singles'!D108</f>
        <v>149</v>
      </c>
      <c r="E108" s="140">
        <f>'2MASS Singles'!H108</f>
        <v>-0.67993134206136929</v>
      </c>
      <c r="F108" s="136">
        <f>'2MASS Singles'!I108</f>
        <v>-0.63093134206136892</v>
      </c>
      <c r="G108" s="141">
        <f>'2MASS Singles'!J108</f>
        <v>-0.62493134206136958</v>
      </c>
      <c r="H108" s="110">
        <v>5.42</v>
      </c>
      <c r="I108" s="91">
        <v>5.4450000000000003</v>
      </c>
      <c r="J108" s="149">
        <v>5.59</v>
      </c>
      <c r="K108" s="54">
        <f t="shared" si="18"/>
        <v>9.1787798753428976E-2</v>
      </c>
      <c r="L108" s="53">
        <f t="shared" si="19"/>
        <v>1.6734329763615129E-2</v>
      </c>
      <c r="M108" s="160">
        <v>5.4050000000000002</v>
      </c>
      <c r="N108" s="91">
        <v>5.4349999999999996</v>
      </c>
      <c r="O108" s="124">
        <f t="shared" si="20"/>
        <v>1.499999999999968E-2</v>
      </c>
      <c r="P108" s="124">
        <f t="shared" si="21"/>
        <v>1.499999999999968E-2</v>
      </c>
      <c r="Q108" s="131">
        <f t="shared" si="22"/>
        <v>1.499999999999968E-2</v>
      </c>
      <c r="R108" s="110">
        <v>5.43</v>
      </c>
      <c r="S108" s="91">
        <v>5.46</v>
      </c>
      <c r="T108" s="124">
        <f t="shared" si="23"/>
        <v>1.5000000000000568E-2</v>
      </c>
      <c r="U108" s="124">
        <f t="shared" si="24"/>
        <v>1.499999999999968E-2</v>
      </c>
      <c r="V108" s="131">
        <f t="shared" si="25"/>
        <v>1.5000000000000124E-2</v>
      </c>
      <c r="W108" s="110">
        <v>5.5750000000000002</v>
      </c>
      <c r="X108" s="91">
        <v>5.6050000000000004</v>
      </c>
      <c r="Y108" s="136">
        <f t="shared" si="26"/>
        <v>1.499999999999968E-2</v>
      </c>
      <c r="Z108" s="124">
        <f t="shared" si="27"/>
        <v>1.5000000000000568E-2</v>
      </c>
      <c r="AA108" s="131">
        <f t="shared" si="28"/>
        <v>1.5000000000000124E-2</v>
      </c>
    </row>
    <row r="109" spans="1:27">
      <c r="A109" s="1">
        <v>107</v>
      </c>
      <c r="C109" s="1" t="str">
        <f>'2MASS Singles'!C109</f>
        <v>HD307842</v>
      </c>
      <c r="D109" s="81">
        <f>'2MASS Singles'!D109</f>
        <v>149</v>
      </c>
      <c r="E109" s="140">
        <f>'2MASS Singles'!H109</f>
        <v>2.2050686579386305</v>
      </c>
      <c r="F109" s="136">
        <f>'2MASS Singles'!I109</f>
        <v>1.8620686579386305</v>
      </c>
      <c r="G109" s="141">
        <f>'2MASS Singles'!J109</f>
        <v>1.7740686579386304</v>
      </c>
      <c r="H109" s="110">
        <v>1.6859999999999999</v>
      </c>
      <c r="I109" s="91">
        <v>1.9319999999999999</v>
      </c>
      <c r="J109" s="149">
        <v>2.008</v>
      </c>
      <c r="K109" s="54">
        <f t="shared" si="18"/>
        <v>0.16831320011613274</v>
      </c>
      <c r="L109" s="53">
        <f t="shared" si="19"/>
        <v>8.9751084313615059E-2</v>
      </c>
      <c r="M109" s="160">
        <v>1.681</v>
      </c>
      <c r="N109" s="91">
        <v>1.6919999999999999</v>
      </c>
      <c r="O109" s="124">
        <f t="shared" si="20"/>
        <v>4.9999999999998934E-3</v>
      </c>
      <c r="P109" s="124">
        <f t="shared" si="21"/>
        <v>6.0000000000000053E-3</v>
      </c>
      <c r="Q109" s="131">
        <f t="shared" si="22"/>
        <v>5.4999999999999494E-3</v>
      </c>
      <c r="R109" s="110">
        <v>1.9219999999999999</v>
      </c>
      <c r="S109" s="91">
        <v>1.9419999999999999</v>
      </c>
      <c r="T109" s="124">
        <f t="shared" si="23"/>
        <v>1.0000000000000009E-2</v>
      </c>
      <c r="U109" s="124">
        <f t="shared" si="24"/>
        <v>1.0000000000000009E-2</v>
      </c>
      <c r="V109" s="131">
        <f t="shared" si="25"/>
        <v>1.0000000000000009E-2</v>
      </c>
      <c r="W109" s="110">
        <v>1.9950000000000001</v>
      </c>
      <c r="X109" s="91">
        <v>2.0249999999999999</v>
      </c>
      <c r="Y109" s="136">
        <f t="shared" si="26"/>
        <v>1.2999999999999901E-2</v>
      </c>
      <c r="Z109" s="124">
        <f t="shared" si="27"/>
        <v>1.6999999999999904E-2</v>
      </c>
      <c r="AA109" s="131">
        <f t="shared" si="28"/>
        <v>1.4999999999999902E-2</v>
      </c>
    </row>
    <row r="110" spans="1:27">
      <c r="A110" s="1">
        <v>108</v>
      </c>
      <c r="C110" s="1" t="str">
        <f>'2MASS Singles'!C110</f>
        <v>HD92535</v>
      </c>
      <c r="D110" s="81">
        <f>'2MASS Singles'!D110</f>
        <v>149</v>
      </c>
      <c r="E110" s="140">
        <f>'2MASS Singles'!H110</f>
        <v>1.9360686579386304</v>
      </c>
      <c r="F110" s="136">
        <f>'2MASS Singles'!I110</f>
        <v>1.9110686579386309</v>
      </c>
      <c r="G110" s="141">
        <f>'2MASS Singles'!J110</f>
        <v>1.8520686579386307</v>
      </c>
      <c r="H110" s="110">
        <v>1.8819999999999999</v>
      </c>
      <c r="I110" s="91">
        <v>1.849</v>
      </c>
      <c r="J110" s="149">
        <v>1.925</v>
      </c>
      <c r="K110" s="54">
        <f t="shared" si="18"/>
        <v>3.8109491381194481E-2</v>
      </c>
      <c r="L110" s="53">
        <f t="shared" si="19"/>
        <v>2.0213662330902306E-2</v>
      </c>
      <c r="M110" s="160">
        <v>1.87</v>
      </c>
      <c r="N110" s="91">
        <v>1.8939999999999999</v>
      </c>
      <c r="O110" s="124">
        <f t="shared" si="20"/>
        <v>1.1999999999999789E-2</v>
      </c>
      <c r="P110" s="124">
        <f t="shared" si="21"/>
        <v>1.2000000000000011E-2</v>
      </c>
      <c r="Q110" s="131">
        <f t="shared" si="22"/>
        <v>1.19999999999999E-2</v>
      </c>
      <c r="R110" s="110">
        <v>1.825</v>
      </c>
      <c r="S110" s="91">
        <v>1.8779999999999999</v>
      </c>
      <c r="T110" s="124">
        <f t="shared" si="23"/>
        <v>2.4000000000000021E-2</v>
      </c>
      <c r="U110" s="124">
        <f t="shared" si="24"/>
        <v>2.8999999999999915E-2</v>
      </c>
      <c r="V110" s="131">
        <f t="shared" si="25"/>
        <v>2.6499999999999968E-2</v>
      </c>
      <c r="W110" s="110">
        <v>1.9119999999999999</v>
      </c>
      <c r="X110" s="91">
        <v>1.9359999999999999</v>
      </c>
      <c r="Y110" s="136">
        <f t="shared" si="26"/>
        <v>1.3000000000000123E-2</v>
      </c>
      <c r="Z110" s="124">
        <f t="shared" si="27"/>
        <v>1.0999999999999899E-2</v>
      </c>
      <c r="AA110" s="131">
        <f t="shared" si="28"/>
        <v>1.2000000000000011E-2</v>
      </c>
    </row>
    <row r="111" spans="1:27">
      <c r="A111" s="1">
        <v>109</v>
      </c>
      <c r="C111" s="1" t="str">
        <f>'2MASS Singles'!C111</f>
        <v>HD93874</v>
      </c>
      <c r="D111" s="56">
        <f>'2MASS Singles'!D111</f>
        <v>149</v>
      </c>
      <c r="E111" s="142">
        <f>'2MASS Singles'!H111</f>
        <v>2.0130686579386303</v>
      </c>
      <c r="F111" s="124">
        <f>'2MASS Singles'!I111</f>
        <v>1.9870686579386305</v>
      </c>
      <c r="G111" s="143">
        <f>'2MASS Singles'!J111</f>
        <v>1.930068657938631</v>
      </c>
      <c r="H111" s="110">
        <v>1.798</v>
      </c>
      <c r="I111" s="91">
        <v>1.7649999999999999</v>
      </c>
      <c r="J111" s="149">
        <v>1.782</v>
      </c>
      <c r="K111" s="54">
        <f t="shared" si="18"/>
        <v>1.6502525059315487E-2</v>
      </c>
      <c r="L111" s="53">
        <f t="shared" si="19"/>
        <v>9.2624088265568696E-3</v>
      </c>
      <c r="M111" s="160">
        <v>1.79</v>
      </c>
      <c r="N111" s="91">
        <v>1.806</v>
      </c>
      <c r="O111" s="124">
        <f t="shared" si="20"/>
        <v>8.0000000000000071E-3</v>
      </c>
      <c r="P111" s="124">
        <f t="shared" si="21"/>
        <v>8.0000000000000071E-3</v>
      </c>
      <c r="Q111" s="131">
        <f t="shared" si="22"/>
        <v>8.0000000000000071E-3</v>
      </c>
      <c r="R111" s="110">
        <v>1.7589999999999999</v>
      </c>
      <c r="S111" s="91">
        <v>1.7709999999999999</v>
      </c>
      <c r="T111" s="124">
        <f t="shared" si="23"/>
        <v>6.0000000000000053E-3</v>
      </c>
      <c r="U111" s="124">
        <f t="shared" si="24"/>
        <v>6.0000000000000053E-3</v>
      </c>
      <c r="V111" s="131">
        <f t="shared" si="25"/>
        <v>6.0000000000000053E-3</v>
      </c>
      <c r="W111" s="110">
        <v>1.7749999999999999</v>
      </c>
      <c r="X111" s="91">
        <v>1.79</v>
      </c>
      <c r="Y111" s="136">
        <f t="shared" si="26"/>
        <v>7.0000000000001172E-3</v>
      </c>
      <c r="Z111" s="124">
        <f t="shared" si="27"/>
        <v>8.0000000000000071E-3</v>
      </c>
      <c r="AA111" s="131">
        <f t="shared" si="28"/>
        <v>7.5000000000000622E-3</v>
      </c>
    </row>
    <row r="112" spans="1:27">
      <c r="A112" s="1">
        <v>110</v>
      </c>
      <c r="C112" s="1" t="str">
        <f>'2MASS Singles'!C112</f>
        <v>HD93892</v>
      </c>
      <c r="D112" s="56">
        <f>'2MASS Singles'!D112</f>
        <v>149</v>
      </c>
      <c r="E112" s="142">
        <f>'2MASS Singles'!H112</f>
        <v>2.1540686579386303</v>
      </c>
      <c r="F112" s="124">
        <f>'2MASS Singles'!I112</f>
        <v>1.9330686579386311</v>
      </c>
      <c r="G112" s="143">
        <f>'2MASS Singles'!J112</f>
        <v>1.9130686579386307</v>
      </c>
      <c r="H112" s="110">
        <v>1.714</v>
      </c>
      <c r="I112" s="91">
        <v>1.8080000000000001</v>
      </c>
      <c r="J112" s="149">
        <v>1.7969999999999999</v>
      </c>
      <c r="K112" s="54">
        <f t="shared" si="18"/>
        <v>5.1390660630118407E-2</v>
      </c>
      <c r="L112" s="53">
        <f t="shared" si="19"/>
        <v>2.8985144179423807E-2</v>
      </c>
      <c r="M112" s="160">
        <v>1.7090000000000001</v>
      </c>
      <c r="N112" s="91">
        <v>1.7190000000000001</v>
      </c>
      <c r="O112" s="124">
        <f t="shared" si="20"/>
        <v>4.9999999999998934E-3</v>
      </c>
      <c r="P112" s="124">
        <f t="shared" si="21"/>
        <v>5.0000000000001155E-3</v>
      </c>
      <c r="Q112" s="131">
        <f t="shared" si="22"/>
        <v>5.0000000000000044E-3</v>
      </c>
      <c r="R112" s="110">
        <v>1.7969999999999999</v>
      </c>
      <c r="S112" s="91">
        <v>1.8220000000000001</v>
      </c>
      <c r="T112" s="124">
        <f t="shared" si="23"/>
        <v>1.1000000000000121E-2</v>
      </c>
      <c r="U112" s="124">
        <f t="shared" si="24"/>
        <v>1.4000000000000012E-2</v>
      </c>
      <c r="V112" s="131">
        <f t="shared" si="25"/>
        <v>1.2500000000000067E-2</v>
      </c>
      <c r="W112" s="110">
        <v>1.788</v>
      </c>
      <c r="X112" s="91">
        <v>1.8080000000000001</v>
      </c>
      <c r="Y112" s="136">
        <f t="shared" si="26"/>
        <v>8.999999999999897E-3</v>
      </c>
      <c r="Z112" s="124">
        <f t="shared" si="27"/>
        <v>1.1000000000000121E-2</v>
      </c>
      <c r="AA112" s="131">
        <f t="shared" si="28"/>
        <v>1.0000000000000009E-2</v>
      </c>
    </row>
    <row r="113" spans="1:27">
      <c r="A113" s="1">
        <v>111</v>
      </c>
      <c r="C113" s="1" t="str">
        <f>'2MASS Singles'!C113</f>
        <v>HD92568</v>
      </c>
      <c r="D113" s="56">
        <f>'2MASS Singles'!D113</f>
        <v>149</v>
      </c>
      <c r="E113" s="142">
        <f>'2MASS Singles'!H113</f>
        <v>1.8970686579386307</v>
      </c>
      <c r="F113" s="124">
        <f>'2MASS Singles'!I113</f>
        <v>1.7180686579386304</v>
      </c>
      <c r="G113" s="143">
        <f>'2MASS Singles'!J113</f>
        <v>1.680068657938631</v>
      </c>
      <c r="H113" s="110">
        <v>1.9219999999999999</v>
      </c>
      <c r="I113" s="91">
        <v>2.2280000000000002</v>
      </c>
      <c r="J113" s="149">
        <v>2.3039999999999998</v>
      </c>
      <c r="K113" s="54">
        <f t="shared" si="18"/>
        <v>0.20221111080584403</v>
      </c>
      <c r="L113" s="53">
        <f t="shared" si="19"/>
        <v>9.3993388970798272E-2</v>
      </c>
      <c r="M113" s="160">
        <v>1.913</v>
      </c>
      <c r="N113" s="91">
        <v>1.931</v>
      </c>
      <c r="O113" s="124">
        <f t="shared" si="20"/>
        <v>8.999999999999897E-3</v>
      </c>
      <c r="P113" s="124">
        <f t="shared" si="21"/>
        <v>9.000000000000119E-3</v>
      </c>
      <c r="Q113" s="131">
        <f t="shared" si="22"/>
        <v>9.000000000000008E-3</v>
      </c>
      <c r="R113" s="110">
        <v>2.2050000000000001</v>
      </c>
      <c r="S113" s="91">
        <v>2.2450000000000001</v>
      </c>
      <c r="T113" s="124">
        <f t="shared" si="23"/>
        <v>2.3000000000000131E-2</v>
      </c>
      <c r="U113" s="124">
        <f t="shared" si="24"/>
        <v>1.6999999999999904E-2</v>
      </c>
      <c r="V113" s="131">
        <f t="shared" si="25"/>
        <v>2.0000000000000018E-2</v>
      </c>
      <c r="W113" s="110">
        <v>2.2919999999999998</v>
      </c>
      <c r="X113" s="91">
        <v>2.3159999999999998</v>
      </c>
      <c r="Y113" s="136">
        <f t="shared" si="26"/>
        <v>1.2000000000000011E-2</v>
      </c>
      <c r="Z113" s="124">
        <f t="shared" si="27"/>
        <v>1.2000000000000011E-2</v>
      </c>
      <c r="AA113" s="131">
        <f t="shared" si="28"/>
        <v>1.2000000000000011E-2</v>
      </c>
    </row>
    <row r="114" spans="1:27">
      <c r="A114" s="1">
        <v>112</v>
      </c>
      <c r="C114" s="1" t="str">
        <f>'2MASS Singles'!C114</f>
        <v>HD92570</v>
      </c>
      <c r="D114" s="56">
        <f>'2MASS Singles'!D114</f>
        <v>149</v>
      </c>
      <c r="E114" s="144">
        <f>'2MASS Singles'!H114</f>
        <v>2.624068657938631</v>
      </c>
      <c r="F114" s="128">
        <f>'2MASS Singles'!I114</f>
        <v>2.4750686579386301</v>
      </c>
      <c r="G114" s="145">
        <f>'2MASS Singles'!J114</f>
        <v>2.3800686579386312</v>
      </c>
      <c r="H114" s="156">
        <v>1.472</v>
      </c>
      <c r="I114" s="157">
        <v>1.458</v>
      </c>
      <c r="J114" s="158">
        <v>1.4890000000000001</v>
      </c>
      <c r="K114" s="54">
        <f t="shared" si="18"/>
        <v>1.5524174696260095E-2</v>
      </c>
      <c r="L114" s="53">
        <f t="shared" si="19"/>
        <v>1.0539154579945755E-2</v>
      </c>
      <c r="M114" s="161">
        <v>1.4670000000000001</v>
      </c>
      <c r="N114" s="157">
        <v>1.476</v>
      </c>
      <c r="O114" s="128">
        <f t="shared" si="20"/>
        <v>4.9999999999998934E-3</v>
      </c>
      <c r="P114" s="128">
        <f t="shared" si="21"/>
        <v>4.0000000000000036E-3</v>
      </c>
      <c r="Q114" s="132">
        <f t="shared" si="22"/>
        <v>4.4999999999999485E-3</v>
      </c>
      <c r="R114" s="156">
        <v>1.452</v>
      </c>
      <c r="S114" s="157">
        <v>1.464</v>
      </c>
      <c r="T114" s="128">
        <f t="shared" si="23"/>
        <v>6.0000000000000053E-3</v>
      </c>
      <c r="U114" s="128">
        <f t="shared" si="24"/>
        <v>6.0000000000000053E-3</v>
      </c>
      <c r="V114" s="132">
        <f t="shared" si="25"/>
        <v>6.0000000000000053E-3</v>
      </c>
      <c r="W114" s="156">
        <v>1.4830000000000001</v>
      </c>
      <c r="X114" s="157">
        <v>1.494</v>
      </c>
      <c r="Y114" s="137">
        <f t="shared" si="26"/>
        <v>6.0000000000000053E-3</v>
      </c>
      <c r="Z114" s="128">
        <f t="shared" si="27"/>
        <v>4.9999999999998934E-3</v>
      </c>
      <c r="AA114" s="132">
        <f t="shared" si="28"/>
        <v>5.4999999999999494E-3</v>
      </c>
    </row>
    <row r="115" spans="1:27">
      <c r="D115" s="54"/>
      <c r="E115" s="54"/>
      <c r="F115" s="54"/>
      <c r="G115" s="54"/>
      <c r="K115" s="54"/>
      <c r="L115" s="72"/>
      <c r="M115" s="51"/>
    </row>
    <row r="116" spans="1:27">
      <c r="D116" s="54"/>
      <c r="E116" s="54"/>
      <c r="F116" s="54"/>
      <c r="G116" s="54"/>
      <c r="K116" s="54"/>
      <c r="L116" s="72"/>
      <c r="M116" s="51"/>
    </row>
    <row r="117" spans="1:27">
      <c r="D117" s="54"/>
      <c r="E117" s="54"/>
      <c r="F117" s="54"/>
      <c r="G117" s="54"/>
      <c r="K117" s="54"/>
      <c r="L117" s="72"/>
      <c r="M117" s="51"/>
    </row>
    <row r="118" spans="1:27">
      <c r="D118" s="54"/>
      <c r="E118" s="54"/>
      <c r="F118" s="54"/>
      <c r="G118" s="54"/>
      <c r="K118" s="54"/>
      <c r="L118" s="72"/>
      <c r="M118" s="51"/>
    </row>
    <row r="119" spans="1:27">
      <c r="D119" s="54"/>
      <c r="E119" s="54"/>
      <c r="F119" s="54"/>
      <c r="G119" s="54"/>
      <c r="K119" s="54"/>
      <c r="L119" s="72"/>
      <c r="M119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M237"/>
  <sheetViews>
    <sheetView workbookViewId="0">
      <selection activeCell="H208" sqref="H208"/>
    </sheetView>
  </sheetViews>
  <sheetFormatPr baseColWidth="10" defaultRowHeight="15" x14ac:dyDescent="0"/>
  <cols>
    <col min="1" max="1" width="16.1640625" customWidth="1"/>
    <col min="6" max="6" width="11.5" bestFit="1" customWidth="1"/>
    <col min="7" max="7" width="37" customWidth="1"/>
    <col min="8" max="8" width="62" customWidth="1"/>
  </cols>
  <sheetData>
    <row r="1" spans="1:13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24" t="s">
        <v>64</v>
      </c>
      <c r="H1" s="24" t="s">
        <v>123</v>
      </c>
    </row>
    <row r="2" spans="1:13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57"/>
      <c r="J2" s="57"/>
      <c r="K2" s="19"/>
    </row>
    <row r="3" spans="1:13">
      <c r="A3" s="1" t="str">
        <f>'All Singles'!A3</f>
        <v>HD73287</v>
      </c>
      <c r="B3" s="1" t="str">
        <f>'All Singles'!B3</f>
        <v>B7 V</v>
      </c>
      <c r="C3" s="1">
        <f>'All Singles'!D3</f>
        <v>145</v>
      </c>
      <c r="D3" s="4">
        <f>'2MASS Singles'!H2</f>
        <v>1.4601599888251284</v>
      </c>
      <c r="E3" s="4">
        <f>'2MASS Singles'!I2</f>
        <v>1.5431599888251277</v>
      </c>
      <c r="F3" s="4">
        <f>'2MASS Singles'!J2</f>
        <v>1.549159988825128</v>
      </c>
      <c r="G3" s="1"/>
      <c r="H3" s="25" t="s">
        <v>885</v>
      </c>
      <c r="I3" s="1">
        <v>1</v>
      </c>
      <c r="K3" s="25">
        <v>0</v>
      </c>
      <c r="L3" s="1">
        <v>0</v>
      </c>
      <c r="M3" s="19" t="s">
        <v>392</v>
      </c>
    </row>
    <row r="4" spans="1:13">
      <c r="A4" s="55" t="str">
        <f>'All Singles'!A4</f>
        <v>HD 73287</v>
      </c>
      <c r="B4" s="1"/>
      <c r="C4" s="1"/>
      <c r="D4" s="55">
        <v>0.01</v>
      </c>
      <c r="E4" s="55">
        <v>0.01</v>
      </c>
      <c r="F4" s="55">
        <v>0.01</v>
      </c>
      <c r="G4" s="1"/>
      <c r="H4" s="1"/>
      <c r="I4" s="1"/>
      <c r="K4" s="25"/>
      <c r="L4" s="1">
        <v>1</v>
      </c>
      <c r="M4" s="19" t="s">
        <v>393</v>
      </c>
    </row>
    <row r="5" spans="1:13">
      <c r="A5" s="1" t="str">
        <f>'All Singles'!A5</f>
        <v>HD73904</v>
      </c>
      <c r="B5" s="1" t="str">
        <f>'All Singles'!B5</f>
        <v>A2 V</v>
      </c>
      <c r="C5" s="1">
        <f>'All Singles'!D5</f>
        <v>145</v>
      </c>
      <c r="D5" s="4">
        <f>'2MASS Singles'!H3</f>
        <v>1.6931599888251281</v>
      </c>
      <c r="E5" s="4">
        <f>'2MASS Singles'!I3</f>
        <v>1.6991599888251283</v>
      </c>
      <c r="F5" s="4">
        <f>'2MASS Singles'!J3</f>
        <v>1.6581599888251279</v>
      </c>
      <c r="G5" s="1"/>
      <c r="H5" s="1"/>
      <c r="I5" s="1">
        <v>2</v>
      </c>
      <c r="K5" s="25">
        <v>1</v>
      </c>
      <c r="L5" s="1">
        <v>2</v>
      </c>
      <c r="M5" s="19" t="s">
        <v>394</v>
      </c>
    </row>
    <row r="6" spans="1:13">
      <c r="A6" s="55" t="str">
        <f>'All Singles'!A6</f>
        <v>HD 73904</v>
      </c>
      <c r="B6" s="1"/>
      <c r="C6" s="1"/>
      <c r="D6" s="55">
        <v>0.01</v>
      </c>
      <c r="E6" s="55">
        <v>0.01</v>
      </c>
      <c r="F6" s="55">
        <v>0.01</v>
      </c>
      <c r="G6" s="1"/>
      <c r="H6" s="1"/>
      <c r="K6" s="25"/>
      <c r="L6" s="1">
        <v>3</v>
      </c>
      <c r="M6" s="19" t="s">
        <v>395</v>
      </c>
    </row>
    <row r="7" spans="1:13">
      <c r="A7" s="1" t="str">
        <f>'All Singles'!A7</f>
        <v>HD74195</v>
      </c>
      <c r="B7" s="1" t="str">
        <f>'All Singles'!B7</f>
        <v>B3 IV</v>
      </c>
      <c r="C7" s="1">
        <f>'All Singles'!D7</f>
        <v>145</v>
      </c>
      <c r="D7" s="4">
        <f>'2MASS Singles'!H4</f>
        <v>-1.7358400111748722</v>
      </c>
      <c r="E7" s="4">
        <f>'2MASS Singles'!I4</f>
        <v>-1.7878400111748718</v>
      </c>
      <c r="F7" s="4">
        <f>'2MASS Singles'!J4</f>
        <v>-1.6648400111748716</v>
      </c>
      <c r="G7" s="1"/>
      <c r="H7" s="1"/>
      <c r="I7" s="1">
        <v>3</v>
      </c>
      <c r="K7" s="25">
        <v>2</v>
      </c>
      <c r="L7" s="1">
        <v>4</v>
      </c>
      <c r="M7" s="19" t="s">
        <v>396</v>
      </c>
    </row>
    <row r="8" spans="1:13">
      <c r="A8" s="55" t="str">
        <f>'All Singles'!A8</f>
        <v>HD 74195</v>
      </c>
      <c r="B8" s="1"/>
      <c r="C8" s="1"/>
      <c r="D8" s="55">
        <v>0.01</v>
      </c>
      <c r="E8" s="55">
        <v>0.01</v>
      </c>
      <c r="F8" s="55">
        <v>0.01</v>
      </c>
      <c r="G8" s="1"/>
      <c r="H8" s="1"/>
      <c r="I8" s="1"/>
      <c r="K8" s="25"/>
      <c r="L8" s="1">
        <v>5</v>
      </c>
      <c r="M8" s="19" t="s">
        <v>397</v>
      </c>
    </row>
    <row r="9" spans="1:13">
      <c r="A9" s="1" t="str">
        <f>'All Singles'!A9</f>
        <v>HD74678</v>
      </c>
      <c r="B9" s="1" t="str">
        <f>'All Singles'!B9</f>
        <v>A1 V</v>
      </c>
      <c r="C9" s="1">
        <f>'All Singles'!D9</f>
        <v>145</v>
      </c>
      <c r="D9" s="4">
        <f>'2MASS Singles'!H5</f>
        <v>1.6701599888251284</v>
      </c>
      <c r="E9" s="4">
        <f>'2MASS Singles'!I5</f>
        <v>1.6651599888251285</v>
      </c>
      <c r="F9" s="4">
        <f>'2MASS Singles'!J5</f>
        <v>1.5931599888251284</v>
      </c>
      <c r="G9" s="1"/>
      <c r="H9" s="1"/>
      <c r="I9" s="1">
        <v>4</v>
      </c>
      <c r="K9" s="25">
        <v>3</v>
      </c>
      <c r="L9" s="1">
        <v>6</v>
      </c>
      <c r="M9" s="19" t="s">
        <v>398</v>
      </c>
    </row>
    <row r="10" spans="1:13">
      <c r="A10" s="55" t="str">
        <f>'All Singles'!A10</f>
        <v>HD 74678</v>
      </c>
      <c r="B10" s="1"/>
      <c r="C10" s="1"/>
      <c r="D10" s="55">
        <v>0.01</v>
      </c>
      <c r="E10" s="55">
        <v>0.01</v>
      </c>
      <c r="F10" s="55">
        <v>0.01</v>
      </c>
      <c r="G10" s="1"/>
      <c r="H10" s="1"/>
      <c r="K10" s="25"/>
      <c r="L10" s="1">
        <v>7</v>
      </c>
      <c r="M10" s="19" t="s">
        <v>399</v>
      </c>
    </row>
    <row r="11" spans="1:13">
      <c r="A11" s="1" t="str">
        <f>'All Singles'!A11</f>
        <v>HD74955</v>
      </c>
      <c r="B11" s="1" t="str">
        <f>'All Singles'!B11</f>
        <v>A1 V</v>
      </c>
      <c r="C11" s="1">
        <f>'All Singles'!D11</f>
        <v>145</v>
      </c>
      <c r="D11" s="4">
        <f>'2MASS Singles'!H6</f>
        <v>1.5331599888251279</v>
      </c>
      <c r="E11" s="4">
        <f>'2MASS Singles'!I6</f>
        <v>1.5261599888251283</v>
      </c>
      <c r="F11" s="4">
        <f>'2MASS Singles'!J6</f>
        <v>1.4461599888251282</v>
      </c>
      <c r="G11" s="1"/>
      <c r="H11" s="1"/>
      <c r="I11" s="1">
        <v>5</v>
      </c>
      <c r="K11" s="25">
        <v>4</v>
      </c>
      <c r="L11" s="1">
        <v>8</v>
      </c>
      <c r="M11" s="19" t="s">
        <v>400</v>
      </c>
    </row>
    <row r="12" spans="1:13">
      <c r="A12" s="55" t="str">
        <f>'All Singles'!A12</f>
        <v>HD 74955</v>
      </c>
      <c r="B12" s="1"/>
      <c r="C12" s="1"/>
      <c r="D12" s="55">
        <v>0.01</v>
      </c>
      <c r="E12" s="55">
        <v>0.01</v>
      </c>
      <c r="F12" s="55">
        <v>0.01</v>
      </c>
      <c r="G12" s="1"/>
      <c r="H12" s="1"/>
      <c r="I12" s="1"/>
      <c r="K12" s="25"/>
      <c r="L12" s="1">
        <v>9</v>
      </c>
      <c r="M12" s="19" t="s">
        <v>401</v>
      </c>
    </row>
    <row r="13" spans="1:13">
      <c r="A13" s="1" t="str">
        <f>'All Singles'!A13</f>
        <v>HD75202</v>
      </c>
      <c r="B13" s="1" t="str">
        <f>'All Singles'!B13</f>
        <v>A3 IV</v>
      </c>
      <c r="C13" s="1">
        <f>'All Singles'!D13</f>
        <v>145</v>
      </c>
      <c r="D13" s="4">
        <f>'2MASS Singles'!H7</f>
        <v>1.5161599888251285</v>
      </c>
      <c r="E13" s="4">
        <f>'2MASS Singles'!I7</f>
        <v>1.4791599888251277</v>
      </c>
      <c r="F13" s="4">
        <f>'2MASS Singles'!J7</f>
        <v>1.4111599888251281</v>
      </c>
      <c r="G13" s="1"/>
      <c r="H13" s="1"/>
      <c r="I13" s="1">
        <v>6</v>
      </c>
      <c r="K13" s="25">
        <v>5</v>
      </c>
      <c r="L13" s="1">
        <v>10</v>
      </c>
      <c r="M13" s="19" t="s">
        <v>402</v>
      </c>
    </row>
    <row r="14" spans="1:13">
      <c r="A14" s="55" t="str">
        <f>'All Singles'!A14</f>
        <v>HD 75202</v>
      </c>
      <c r="B14" s="1"/>
      <c r="C14" s="1"/>
      <c r="D14" s="55">
        <v>0.01</v>
      </c>
      <c r="E14" s="55">
        <v>0.01</v>
      </c>
      <c r="F14" s="55">
        <v>0.01</v>
      </c>
      <c r="G14" s="1"/>
      <c r="H14" s="1"/>
      <c r="K14" s="25"/>
      <c r="L14" s="1">
        <v>11</v>
      </c>
      <c r="M14" s="19" t="s">
        <v>403</v>
      </c>
    </row>
    <row r="15" spans="1:13">
      <c r="A15" s="1" t="str">
        <f>'All Singles'!A15</f>
        <v>HD75466</v>
      </c>
      <c r="B15" s="1" t="str">
        <f>'All Singles'!B15</f>
        <v>B8 V</v>
      </c>
      <c r="C15" s="1">
        <f>'All Singles'!D15</f>
        <v>145</v>
      </c>
      <c r="D15" s="4">
        <f>'2MASS Singles'!H8</f>
        <v>0.63315998882512847</v>
      </c>
      <c r="E15" s="4">
        <f>'2MASS Singles'!I8</f>
        <v>0.68415998882512774</v>
      </c>
      <c r="F15" s="4">
        <f>'2MASS Singles'!J8</f>
        <v>0.68815998882512819</v>
      </c>
      <c r="G15" s="1"/>
      <c r="H15" s="1"/>
      <c r="I15" s="1">
        <v>7</v>
      </c>
      <c r="K15" s="25">
        <v>6</v>
      </c>
      <c r="L15" s="1">
        <v>12</v>
      </c>
      <c r="M15" s="19" t="s">
        <v>404</v>
      </c>
    </row>
    <row r="16" spans="1:13">
      <c r="A16" s="55" t="str">
        <f>'All Singles'!A16</f>
        <v>HD 75466</v>
      </c>
      <c r="B16" s="1"/>
      <c r="C16" s="1"/>
      <c r="D16" s="55">
        <v>0.01</v>
      </c>
      <c r="E16" s="55">
        <v>0.01</v>
      </c>
      <c r="F16" s="55">
        <v>0.01</v>
      </c>
      <c r="G16" s="1"/>
      <c r="H16" s="1"/>
      <c r="I16" s="1"/>
      <c r="K16" s="25"/>
      <c r="L16" s="1">
        <v>13</v>
      </c>
      <c r="M16" s="19" t="s">
        <v>417</v>
      </c>
    </row>
    <row r="17" spans="1:13">
      <c r="A17" s="1" t="str">
        <f>'All Singles'!A17</f>
        <v>Hogg12</v>
      </c>
      <c r="B17" s="1" t="str">
        <f>'All Singles'!B17</f>
        <v>B5 V</v>
      </c>
      <c r="C17" s="1">
        <f>'All Singles'!D17</f>
        <v>145</v>
      </c>
      <c r="D17" s="4">
        <f>'2MASS Singles'!H9</f>
        <v>-3.5840011174872011E-2</v>
      </c>
      <c r="E17" s="4">
        <f>'2MASS Singles'!I9</f>
        <v>7.1599888251281385E-3</v>
      </c>
      <c r="F17" s="4">
        <f>'2MASS Singles'!J9</f>
        <v>-4.8400111748723162E-3</v>
      </c>
      <c r="G17" s="1"/>
      <c r="H17" s="1"/>
      <c r="I17" s="1">
        <v>8</v>
      </c>
      <c r="K17" s="25">
        <v>7</v>
      </c>
      <c r="L17" s="1">
        <v>14</v>
      </c>
      <c r="M17" s="19" t="s">
        <v>20</v>
      </c>
    </row>
    <row r="18" spans="1:13">
      <c r="A18" s="55" t="str">
        <f>'All Singles'!A18</f>
        <v>HD 74071</v>
      </c>
      <c r="B18" s="1"/>
      <c r="C18" s="1"/>
      <c r="D18" s="55">
        <v>0.01</v>
      </c>
      <c r="E18" s="55">
        <v>0.01</v>
      </c>
      <c r="F18" s="55">
        <v>0.01</v>
      </c>
      <c r="G18" s="1"/>
      <c r="H18" s="1"/>
      <c r="K18" s="25"/>
      <c r="L18" s="1">
        <v>15</v>
      </c>
      <c r="M18" s="19" t="s">
        <v>21</v>
      </c>
    </row>
    <row r="19" spans="1:13">
      <c r="A19" s="1" t="str">
        <f>'All Singles'!A19</f>
        <v>Hogg1</v>
      </c>
      <c r="B19" s="1" t="str">
        <f>'All Singles'!B19</f>
        <v>B7 V</v>
      </c>
      <c r="C19" s="1">
        <f>'All Singles'!D19</f>
        <v>145</v>
      </c>
      <c r="D19" s="4">
        <f>'2MASS Singles'!H10</f>
        <v>1.615998882512848E-2</v>
      </c>
      <c r="E19" s="4">
        <f>'2MASS Singles'!I10</f>
        <v>0.1181599888251279</v>
      </c>
      <c r="F19" s="4">
        <f>'2MASS Singles'!J10</f>
        <v>8.715998882512821E-2</v>
      </c>
      <c r="G19" s="1"/>
      <c r="H19" s="1"/>
      <c r="I19" s="1">
        <v>9</v>
      </c>
      <c r="K19" s="25">
        <v>8</v>
      </c>
      <c r="L19" s="1">
        <v>16</v>
      </c>
      <c r="M19" s="19" t="s">
        <v>418</v>
      </c>
    </row>
    <row r="20" spans="1:13">
      <c r="A20" s="55" t="str">
        <f>'All Singles'!A20</f>
        <v>HD 74196</v>
      </c>
      <c r="B20" s="1"/>
      <c r="C20" s="1"/>
      <c r="D20" s="55">
        <v>0.01</v>
      </c>
      <c r="E20" s="55">
        <v>0.01</v>
      </c>
      <c r="F20" s="55">
        <v>0.01</v>
      </c>
      <c r="G20" s="1"/>
      <c r="H20" s="1"/>
      <c r="I20" s="1"/>
      <c r="K20" s="25"/>
      <c r="L20" s="1">
        <v>17</v>
      </c>
      <c r="M20" s="19" t="s">
        <v>419</v>
      </c>
    </row>
    <row r="21" spans="1:13">
      <c r="A21" s="1" t="str">
        <f>'All Singles'!A21</f>
        <v>Hogg2</v>
      </c>
      <c r="B21" s="1" t="str">
        <f>'All Singles'!B21</f>
        <v>B5 V</v>
      </c>
      <c r="C21" s="1">
        <f>'All Singles'!D21</f>
        <v>145</v>
      </c>
      <c r="D21" s="4">
        <f>'2MASS Singles'!H11</f>
        <v>-0.26284001117487232</v>
      </c>
      <c r="E21" s="4">
        <f>'2MASS Singles'!I11</f>
        <v>-0.26684001117487188</v>
      </c>
      <c r="F21" s="4">
        <f>'2MASS Singles'!J11</f>
        <v>-0.27384001117487156</v>
      </c>
      <c r="G21" s="1"/>
      <c r="H21" s="1"/>
      <c r="I21" s="1">
        <v>10</v>
      </c>
      <c r="K21" s="25">
        <v>9</v>
      </c>
      <c r="L21" s="1">
        <v>18</v>
      </c>
      <c r="M21" s="19" t="s">
        <v>420</v>
      </c>
    </row>
    <row r="22" spans="1:13">
      <c r="A22" s="55" t="str">
        <f>'All Singles'!A22</f>
        <v>HD 74146</v>
      </c>
      <c r="B22" s="1"/>
      <c r="C22" s="1"/>
      <c r="D22" s="55">
        <v>0.01</v>
      </c>
      <c r="E22" s="55">
        <v>0.01</v>
      </c>
      <c r="F22" s="55">
        <v>0.01</v>
      </c>
      <c r="G22" s="1"/>
      <c r="H22" s="1"/>
      <c r="K22" s="25"/>
      <c r="L22" s="1">
        <v>19</v>
      </c>
      <c r="M22" s="19" t="s">
        <v>421</v>
      </c>
    </row>
    <row r="23" spans="1:13">
      <c r="A23" s="1" t="str">
        <f>'All Singles'!A23</f>
        <v>Hogg3</v>
      </c>
      <c r="B23" s="1" t="str">
        <f>'All Singles'!B23</f>
        <v>B3 IV</v>
      </c>
      <c r="C23" s="1">
        <f>'All Singles'!D23</f>
        <v>145</v>
      </c>
      <c r="D23" s="4">
        <f>'2MASS Singles'!H12</f>
        <v>-0.60984001117487185</v>
      </c>
      <c r="E23" s="4">
        <f>'2MASS Singles'!I12</f>
        <v>-0.53884001117487212</v>
      </c>
      <c r="F23" s="4">
        <f>'2MASS Singles'!J12</f>
        <v>-0.54384001117487202</v>
      </c>
      <c r="G23" s="1"/>
      <c r="H23" s="1"/>
      <c r="I23" s="1">
        <v>11</v>
      </c>
      <c r="K23" s="25">
        <v>10</v>
      </c>
      <c r="M23" s="19" t="s">
        <v>433</v>
      </c>
    </row>
    <row r="24" spans="1:13">
      <c r="A24" s="55" t="str">
        <f>'All Singles'!A24</f>
        <v>HD 74560</v>
      </c>
      <c r="B24" s="1"/>
      <c r="C24" s="1"/>
      <c r="D24" s="55">
        <v>0.01</v>
      </c>
      <c r="E24" s="55">
        <v>0.01</v>
      </c>
      <c r="F24" s="55">
        <v>0.01</v>
      </c>
      <c r="G24" s="1"/>
      <c r="H24" s="1"/>
      <c r="I24" s="1"/>
      <c r="K24" s="25"/>
      <c r="M24" s="19" t="s">
        <v>452</v>
      </c>
    </row>
    <row r="25" spans="1:13">
      <c r="A25" s="1" t="str">
        <f>'All Singles'!A25</f>
        <v>Hogg6</v>
      </c>
      <c r="B25" s="1" t="str">
        <f>'All Singles'!B25</f>
        <v>A0 V</v>
      </c>
      <c r="C25" s="1">
        <f>'All Singles'!D25</f>
        <v>145</v>
      </c>
      <c r="D25" s="4">
        <f>'2MASS Singles'!H13</f>
        <v>1.4441599888251284</v>
      </c>
      <c r="E25" s="4">
        <f>'2MASS Singles'!I13</f>
        <v>1.4751599888251281</v>
      </c>
      <c r="F25" s="4">
        <f>'2MASS Singles'!J13</f>
        <v>1.3981599888251282</v>
      </c>
      <c r="G25" s="1"/>
      <c r="H25" s="1"/>
      <c r="I25" s="1">
        <v>12</v>
      </c>
      <c r="K25" s="25">
        <v>11</v>
      </c>
      <c r="M25" s="19" t="s">
        <v>460</v>
      </c>
    </row>
    <row r="26" spans="1:13">
      <c r="A26" s="55" t="str">
        <f>'All Singles'!A26</f>
        <v>HD 74275</v>
      </c>
      <c r="B26" s="1"/>
      <c r="C26" s="1"/>
      <c r="D26" s="55">
        <v>0.01</v>
      </c>
      <c r="E26" s="55">
        <v>0.01</v>
      </c>
      <c r="F26" s="55">
        <v>0.01</v>
      </c>
      <c r="G26" s="1"/>
      <c r="H26" s="1"/>
      <c r="K26" s="25"/>
      <c r="M26" s="19" t="s">
        <v>463</v>
      </c>
    </row>
    <row r="27" spans="1:13">
      <c r="A27" s="1" t="str">
        <f>'All Singles'!A27</f>
        <v>Hogg8</v>
      </c>
      <c r="B27" s="1" t="str">
        <f>'All Singles'!B27</f>
        <v>A1 V</v>
      </c>
      <c r="C27" s="1">
        <f>'All Singles'!D27</f>
        <v>145</v>
      </c>
      <c r="D27" s="4">
        <f>'2MASS Singles'!H14</f>
        <v>1.5301599888251278</v>
      </c>
      <c r="E27" s="4">
        <f>'2MASS Singles'!I14</f>
        <v>1.5461599888251278</v>
      </c>
      <c r="F27" s="4">
        <f>'2MASS Singles'!J14</f>
        <v>1.5291599888251284</v>
      </c>
      <c r="G27" s="1"/>
      <c r="H27" s="1"/>
      <c r="I27" s="1">
        <v>13</v>
      </c>
      <c r="K27" s="25">
        <v>12</v>
      </c>
      <c r="M27" s="19" t="s">
        <v>464</v>
      </c>
    </row>
    <row r="28" spans="1:13">
      <c r="A28" s="55" t="str">
        <f>'All Singles'!A28</f>
        <v>HD 74516</v>
      </c>
      <c r="B28" s="1"/>
      <c r="C28" s="1"/>
      <c r="D28" s="55">
        <v>0.01</v>
      </c>
      <c r="E28" s="55">
        <v>0.01</v>
      </c>
      <c r="F28" s="55">
        <v>0.01</v>
      </c>
      <c r="G28" s="1"/>
      <c r="H28" s="1"/>
      <c r="I28" s="1"/>
      <c r="K28" s="25"/>
      <c r="M28" s="19" t="s">
        <v>465</v>
      </c>
    </row>
    <row r="29" spans="1:13">
      <c r="A29" s="1" t="str">
        <f>'All Singles'!A56</f>
        <v>HD73778</v>
      </c>
      <c r="B29" s="1" t="str">
        <f>'All Singles'!B56</f>
        <v>F0 V</v>
      </c>
      <c r="C29" s="1">
        <f>'All Singles'!D56</f>
        <v>145</v>
      </c>
      <c r="D29" s="4">
        <f>'2MASS Singles'!H15</f>
        <v>3.8431599888251284</v>
      </c>
      <c r="E29" s="4">
        <f>'2MASS Singles'!I15</f>
        <v>3.7641599888251278</v>
      </c>
      <c r="F29" s="4">
        <f>'2MASS Singles'!J15</f>
        <v>3.7051599888251285</v>
      </c>
      <c r="G29" s="1"/>
      <c r="H29" s="1"/>
      <c r="I29" s="1">
        <v>14</v>
      </c>
      <c r="K29" s="25">
        <v>13</v>
      </c>
      <c r="M29" s="19" t="s">
        <v>466</v>
      </c>
    </row>
    <row r="30" spans="1:13">
      <c r="A30" s="55" t="str">
        <f>'All Singles'!A57</f>
        <v>HD 73778</v>
      </c>
      <c r="B30" s="1"/>
      <c r="C30" s="1"/>
      <c r="D30" s="55">
        <v>0.01</v>
      </c>
      <c r="E30" s="55">
        <v>0.01</v>
      </c>
      <c r="F30" s="55">
        <v>0.01</v>
      </c>
      <c r="G30" s="1"/>
      <c r="H30" s="1"/>
      <c r="K30" s="25"/>
      <c r="M30" s="19" t="s">
        <v>467</v>
      </c>
    </row>
    <row r="31" spans="1:13">
      <c r="A31" s="1" t="str">
        <f>'All Singles'!A58</f>
        <v>HD74009</v>
      </c>
      <c r="B31" s="1" t="str">
        <f>'All Singles'!B58</f>
        <v>F3 V</v>
      </c>
      <c r="C31" s="1">
        <f>'All Singles'!D58</f>
        <v>145</v>
      </c>
      <c r="D31" s="4">
        <f>'2MASS Singles'!H16</f>
        <v>2.2661599888251285</v>
      </c>
      <c r="E31" s="4">
        <f>'2MASS Singles'!I16</f>
        <v>2.0261599888251283</v>
      </c>
      <c r="F31" s="4">
        <f>'2MASS Singles'!J16</f>
        <v>1.9921599888251285</v>
      </c>
      <c r="G31" s="1"/>
      <c r="H31" s="1"/>
      <c r="I31" s="1">
        <v>15</v>
      </c>
      <c r="K31" s="25">
        <v>14</v>
      </c>
      <c r="M31" s="19" t="s">
        <v>468</v>
      </c>
    </row>
    <row r="32" spans="1:13">
      <c r="A32" s="55" t="str">
        <f>'All Singles'!A59</f>
        <v>HD 74009</v>
      </c>
      <c r="B32" s="1"/>
      <c r="C32" s="1"/>
      <c r="D32" s="55">
        <v>0.01</v>
      </c>
      <c r="E32" s="55">
        <v>0.01</v>
      </c>
      <c r="F32" s="55">
        <v>0.01</v>
      </c>
      <c r="G32" s="1"/>
      <c r="H32" s="1"/>
      <c r="I32" s="1"/>
      <c r="K32" s="25"/>
      <c r="M32" s="19" t="s">
        <v>469</v>
      </c>
    </row>
    <row r="33" spans="1:13">
      <c r="A33" s="1" t="str">
        <f>'All Singles'!A60</f>
        <v>HD74044</v>
      </c>
      <c r="B33" s="1" t="str">
        <f>'All Singles'!B60</f>
        <v>A3</v>
      </c>
      <c r="C33" s="1">
        <f>'All Singles'!D60</f>
        <v>145</v>
      </c>
      <c r="D33" s="4">
        <f>'2MASS Singles'!H17</f>
        <v>2.2781599888251289</v>
      </c>
      <c r="E33" s="4">
        <f>'2MASS Singles'!I17</f>
        <v>2.1841599888251277</v>
      </c>
      <c r="F33" s="4">
        <f>'2MASS Singles'!J17</f>
        <v>2.1781599888251284</v>
      </c>
      <c r="G33" s="1"/>
      <c r="H33" s="1"/>
      <c r="I33" s="1">
        <v>16</v>
      </c>
      <c r="K33" s="25">
        <v>15</v>
      </c>
      <c r="M33" s="19" t="s">
        <v>470</v>
      </c>
    </row>
    <row r="34" spans="1:13">
      <c r="A34" s="55" t="str">
        <f>'All Singles'!A61</f>
        <v>HD 74044</v>
      </c>
      <c r="B34" s="1"/>
      <c r="C34" s="1"/>
      <c r="D34" s="55">
        <v>0.01</v>
      </c>
      <c r="E34" s="55">
        <v>0.01</v>
      </c>
      <c r="F34" s="55">
        <v>0.01</v>
      </c>
      <c r="G34" s="1"/>
      <c r="H34" s="1"/>
      <c r="K34" s="25"/>
      <c r="M34" s="19" t="s">
        <v>471</v>
      </c>
    </row>
    <row r="35" spans="1:13">
      <c r="A35" s="1" t="str">
        <f>'All Singles'!A62</f>
        <v>HD74056</v>
      </c>
      <c r="B35" s="1" t="str">
        <f>'All Singles'!B62</f>
        <v>A1 V</v>
      </c>
      <c r="C35" s="1">
        <f>'All Singles'!D62</f>
        <v>145</v>
      </c>
      <c r="D35" s="4">
        <f>'2MASS Singles'!H18</f>
        <v>3.3411599888251278</v>
      </c>
      <c r="E35" s="4">
        <f>'2MASS Singles'!I18</f>
        <v>3.3321599888251274</v>
      </c>
      <c r="F35" s="4">
        <f>'2MASS Singles'!J18</f>
        <v>3.2561599888251287</v>
      </c>
      <c r="G35" s="1"/>
      <c r="H35" s="1"/>
      <c r="I35" s="1">
        <v>17</v>
      </c>
      <c r="K35" s="25">
        <v>16</v>
      </c>
      <c r="M35" s="19" t="s">
        <v>472</v>
      </c>
    </row>
    <row r="36" spans="1:13">
      <c r="A36" s="55" t="str">
        <f>'All Singles'!A63</f>
        <v>HD 74056</v>
      </c>
      <c r="B36" s="1"/>
      <c r="C36" s="1"/>
      <c r="D36" s="55">
        <v>0.01</v>
      </c>
      <c r="E36" s="55">
        <v>0.01</v>
      </c>
      <c r="F36" s="55">
        <v>0.01</v>
      </c>
      <c r="G36" s="1"/>
      <c r="H36" s="1"/>
      <c r="I36" s="1"/>
      <c r="K36" s="25"/>
      <c r="M36" s="19" t="s">
        <v>473</v>
      </c>
    </row>
    <row r="37" spans="1:13">
      <c r="A37" s="1" t="str">
        <f>'All Singles'!A64</f>
        <v>HD74145</v>
      </c>
      <c r="B37" s="1" t="str">
        <f>'All Singles'!B64</f>
        <v>A7 III</v>
      </c>
      <c r="C37" s="1">
        <f>'All Singles'!D64</f>
        <v>145</v>
      </c>
      <c r="D37" s="4">
        <f>'2MASS Singles'!H19</f>
        <v>2.2691599888251286</v>
      </c>
      <c r="E37" s="4">
        <f>'2MASS Singles'!I19</f>
        <v>2.2051599888251285</v>
      </c>
      <c r="F37" s="4">
        <f>'2MASS Singles'!J19</f>
        <v>2.1281599888251277</v>
      </c>
      <c r="G37" s="1"/>
      <c r="H37" s="1"/>
      <c r="I37" s="1">
        <v>18</v>
      </c>
      <c r="K37" s="25">
        <v>17</v>
      </c>
      <c r="M37" s="19" t="s">
        <v>474</v>
      </c>
    </row>
    <row r="38" spans="1:13">
      <c r="A38" s="55" t="str">
        <f>'All Singles'!A65</f>
        <v>HD 74145</v>
      </c>
      <c r="B38" s="1"/>
      <c r="C38" s="1"/>
      <c r="D38" s="55">
        <v>0.01</v>
      </c>
      <c r="E38" s="55">
        <v>0.01</v>
      </c>
      <c r="F38" s="55">
        <v>0.01</v>
      </c>
      <c r="G38" s="1"/>
      <c r="H38" s="1"/>
      <c r="K38" s="25"/>
      <c r="M38" s="19" t="s">
        <v>475</v>
      </c>
    </row>
    <row r="39" spans="1:13">
      <c r="A39" s="1" t="str">
        <f>'All Singles'!A66</f>
        <v>HD74537</v>
      </c>
      <c r="B39" s="1" t="str">
        <f>'All Singles'!B66</f>
        <v>A3 IV</v>
      </c>
      <c r="C39" s="1">
        <f>'All Singles'!D66</f>
        <v>145</v>
      </c>
      <c r="D39" s="4">
        <f>'2MASS Singles'!H20</f>
        <v>2.4521599888251284</v>
      </c>
      <c r="E39" s="4">
        <f>'2MASS Singles'!I20</f>
        <v>2.4151599888251276</v>
      </c>
      <c r="F39" s="4">
        <f>'2MASS Singles'!J20</f>
        <v>2.315159988825128</v>
      </c>
      <c r="G39" s="1"/>
      <c r="H39" s="1"/>
      <c r="I39" s="1">
        <v>19</v>
      </c>
      <c r="K39" s="25">
        <v>18</v>
      </c>
      <c r="M39" s="19" t="s">
        <v>476</v>
      </c>
    </row>
    <row r="40" spans="1:13">
      <c r="A40" s="55" t="str">
        <f>'All Singles'!A67</f>
        <v>HD 74537</v>
      </c>
      <c r="B40" s="1"/>
      <c r="C40" s="1"/>
      <c r="D40" s="55">
        <v>0.01</v>
      </c>
      <c r="E40" s="55">
        <v>0.01</v>
      </c>
      <c r="F40" s="55">
        <v>0.01</v>
      </c>
      <c r="G40" s="1"/>
      <c r="H40" s="1"/>
      <c r="I40" s="1"/>
      <c r="K40" s="25"/>
      <c r="M40" s="19" t="s">
        <v>477</v>
      </c>
    </row>
    <row r="41" spans="1:13">
      <c r="A41" s="1" t="str">
        <f>'All Singles'!A68</f>
        <v>HD74665</v>
      </c>
      <c r="B41" s="1" t="str">
        <f>'All Singles'!B68</f>
        <v>A3 V</v>
      </c>
      <c r="C41" s="1">
        <f>'All Singles'!D68</f>
        <v>145</v>
      </c>
      <c r="D41" s="4">
        <f>'2MASS Singles'!H21</f>
        <v>1.8321599888251283</v>
      </c>
      <c r="E41" s="4">
        <f>'2MASS Singles'!I21</f>
        <v>1.7811599888251282</v>
      </c>
      <c r="F41" s="4">
        <f>'2MASS Singles'!J21</f>
        <v>1.714159988825128</v>
      </c>
      <c r="G41" s="1"/>
      <c r="H41" s="1"/>
      <c r="I41" s="1">
        <v>20</v>
      </c>
      <c r="K41" s="25">
        <v>19</v>
      </c>
      <c r="M41" s="105" t="s">
        <v>478</v>
      </c>
    </row>
    <row r="42" spans="1:13">
      <c r="A42" s="55" t="str">
        <f>'All Singles'!A69</f>
        <v>HD 74665</v>
      </c>
      <c r="B42" s="1"/>
      <c r="C42" s="1"/>
      <c r="D42" s="55">
        <v>0.01</v>
      </c>
      <c r="E42" s="55">
        <v>0.01</v>
      </c>
      <c r="F42" s="55">
        <v>0.01</v>
      </c>
      <c r="G42" s="1"/>
      <c r="H42" s="1"/>
      <c r="K42" s="25"/>
      <c r="M42" s="19" t="s">
        <v>479</v>
      </c>
    </row>
    <row r="43" spans="1:13">
      <c r="A43" s="62" t="s">
        <v>92</v>
      </c>
      <c r="B43" s="62" t="s">
        <v>92</v>
      </c>
      <c r="C43" s="62" t="s">
        <v>92</v>
      </c>
      <c r="D43" s="62" t="s">
        <v>92</v>
      </c>
      <c r="E43" s="62" t="s">
        <v>92</v>
      </c>
      <c r="F43" s="62" t="s">
        <v>92</v>
      </c>
      <c r="G43" s="62" t="s">
        <v>92</v>
      </c>
      <c r="H43" s="62" t="s">
        <v>92</v>
      </c>
      <c r="I43" s="57"/>
      <c r="K43" s="19"/>
      <c r="M43" s="19" t="s">
        <v>480</v>
      </c>
    </row>
    <row r="44" spans="1:13">
      <c r="A44" s="1" t="str">
        <f>'All Singles'!A101</f>
        <v>M110</v>
      </c>
      <c r="B44" s="1" t="str">
        <f>'All Singles'!B101</f>
        <v>A0 III</v>
      </c>
      <c r="C44" s="1">
        <f>'All Singles'!D101</f>
        <v>270</v>
      </c>
      <c r="D44" s="4">
        <f>'2MASS Singles'!H22</f>
        <v>-1.3268188207949372</v>
      </c>
      <c r="E44" s="4">
        <f>'2MASS Singles'!I22</f>
        <v>-1.3238188207949371</v>
      </c>
      <c r="F44" s="4">
        <f>'2MASS Singles'!J22</f>
        <v>-1.360818820794937</v>
      </c>
      <c r="G44" s="30" t="s">
        <v>658</v>
      </c>
      <c r="H44" s="1" t="s">
        <v>886</v>
      </c>
      <c r="I44" s="1">
        <v>1</v>
      </c>
      <c r="K44" s="19"/>
      <c r="M44" s="19" t="s">
        <v>481</v>
      </c>
    </row>
    <row r="45" spans="1:13">
      <c r="A45" s="55" t="str">
        <f>'All Singles'!A102</f>
        <v>HD 162817</v>
      </c>
      <c r="B45" s="1"/>
      <c r="C45" s="1"/>
      <c r="D45" s="55">
        <v>0.01</v>
      </c>
      <c r="E45" s="55">
        <v>0.01</v>
      </c>
      <c r="F45" s="55">
        <v>0.01</v>
      </c>
      <c r="G45" s="1"/>
      <c r="H45" s="1"/>
      <c r="I45" s="1"/>
      <c r="K45" s="19"/>
      <c r="M45" s="19" t="s">
        <v>482</v>
      </c>
    </row>
    <row r="46" spans="1:13">
      <c r="A46" s="1" t="str">
        <f>'All Singles'!A216</f>
        <v>M26</v>
      </c>
      <c r="B46" s="1" t="str">
        <f>'All Singles'!B216</f>
        <v>B6 V</v>
      </c>
      <c r="C46" s="1">
        <f>'All Singles'!$D$216</f>
        <v>270</v>
      </c>
      <c r="D46" s="4">
        <f>'2MASS Singles'!H23</f>
        <v>-1.0688188207949372</v>
      </c>
      <c r="E46" s="4">
        <f>'2MASS Singles'!I23</f>
        <v>-1.0128188207949371</v>
      </c>
      <c r="F46" s="44">
        <f>'2MASS Singles'!J23</f>
        <v>-1.0058188207949375</v>
      </c>
      <c r="I46" s="1">
        <v>2</v>
      </c>
      <c r="K46" s="19"/>
      <c r="M46" s="19" t="s">
        <v>483</v>
      </c>
    </row>
    <row r="47" spans="1:13">
      <c r="A47" s="55" t="str">
        <f>'All Singles'!A217</f>
        <v>HD 162374</v>
      </c>
      <c r="B47" s="1"/>
      <c r="C47" s="1"/>
      <c r="D47" s="55">
        <v>0.01</v>
      </c>
      <c r="E47" s="55">
        <v>0.01</v>
      </c>
      <c r="F47" s="55">
        <v>0.01</v>
      </c>
      <c r="K47" s="19"/>
      <c r="M47" s="19" t="s">
        <v>484</v>
      </c>
    </row>
    <row r="48" spans="1:13">
      <c r="A48" s="1" t="str">
        <f>'All Singles'!A159</f>
        <v>M88</v>
      </c>
      <c r="B48" s="1" t="str">
        <f>'All Singles'!B159</f>
        <v>B9.5 III</v>
      </c>
      <c r="C48" s="1">
        <f>'All Singles'!D159</f>
        <v>270</v>
      </c>
      <c r="D48" s="4">
        <f>'2MASS Singles'!H24</f>
        <v>-0.92581882079493738</v>
      </c>
      <c r="E48" s="4">
        <f>'2MASS Singles'!I24</f>
        <v>-0.92181882079493693</v>
      </c>
      <c r="F48" s="4">
        <f>'2MASS Singles'!J24</f>
        <v>-0.89481882079493769</v>
      </c>
      <c r="G48" s="1"/>
      <c r="H48" s="1"/>
      <c r="I48" s="1">
        <v>3</v>
      </c>
      <c r="K48" s="19"/>
      <c r="M48" s="19" t="s">
        <v>485</v>
      </c>
    </row>
    <row r="49" spans="1:13">
      <c r="A49" s="55" t="str">
        <f>'All Singles'!A160</f>
        <v>HD 162725</v>
      </c>
      <c r="B49" s="1"/>
      <c r="C49" s="1"/>
      <c r="D49" s="55">
        <v>0.01</v>
      </c>
      <c r="E49" s="55">
        <v>0.01</v>
      </c>
      <c r="F49" s="55">
        <v>0.01</v>
      </c>
      <c r="G49" s="1"/>
      <c r="H49" s="1"/>
      <c r="I49" s="1"/>
      <c r="K49" s="19"/>
      <c r="M49" s="19" t="s">
        <v>486</v>
      </c>
    </row>
    <row r="50" spans="1:13">
      <c r="A50" s="62" t="s">
        <v>93</v>
      </c>
      <c r="B50" s="62" t="s">
        <v>93</v>
      </c>
      <c r="C50" s="62" t="s">
        <v>93</v>
      </c>
      <c r="D50" s="62" t="s">
        <v>93</v>
      </c>
      <c r="E50" s="62" t="s">
        <v>93</v>
      </c>
      <c r="F50" s="62" t="s">
        <v>93</v>
      </c>
      <c r="G50" s="62" t="s">
        <v>93</v>
      </c>
      <c r="H50" s="62" t="s">
        <v>93</v>
      </c>
      <c r="I50" s="57"/>
      <c r="K50" s="19"/>
      <c r="M50" s="19" t="s">
        <v>487</v>
      </c>
    </row>
    <row r="51" spans="1:13">
      <c r="A51" s="1" t="str">
        <f>'All Singles'!A170</f>
        <v>M131</v>
      </c>
      <c r="B51" s="1" t="str">
        <f>'All Singles'!B170</f>
        <v>B9 V</v>
      </c>
      <c r="C51" s="1">
        <f>'All Singles'!D170</f>
        <v>184</v>
      </c>
      <c r="D51" s="4">
        <f>'2MASS Singles'!H25</f>
        <v>0.98591088495231727</v>
      </c>
      <c r="E51" s="4">
        <f>'2MASS Singles'!I25</f>
        <v>1.1269108849523173</v>
      </c>
      <c r="F51" s="4">
        <f>'2MASS Singles'!J25</f>
        <v>1.0389108849523181</v>
      </c>
      <c r="G51" s="1"/>
      <c r="H51" s="1" t="s">
        <v>887</v>
      </c>
      <c r="I51" s="1">
        <v>1</v>
      </c>
      <c r="K51" s="19"/>
      <c r="M51" s="19" t="s">
        <v>488</v>
      </c>
    </row>
    <row r="52" spans="1:13">
      <c r="A52" s="55" t="str">
        <f>'All Singles'!A171</f>
        <v>HD 61087</v>
      </c>
      <c r="B52" s="1"/>
      <c r="C52" s="1"/>
      <c r="D52" s="55">
        <v>0.01</v>
      </c>
      <c r="E52" s="55">
        <v>0.01</v>
      </c>
      <c r="F52" s="55">
        <v>0.01</v>
      </c>
      <c r="G52" s="1"/>
      <c r="H52" s="1"/>
      <c r="I52" s="1"/>
      <c r="K52" s="19"/>
      <c r="M52" s="19" t="s">
        <v>489</v>
      </c>
    </row>
    <row r="53" spans="1:13">
      <c r="A53" s="1" t="str">
        <f>'All Singles'!A172</f>
        <v>M161</v>
      </c>
      <c r="B53" s="1" t="str">
        <f>'All Singles'!B172</f>
        <v>A0 V</v>
      </c>
      <c r="C53" s="1">
        <f>'All Singles'!D172</f>
        <v>184</v>
      </c>
      <c r="D53" s="4">
        <f>'2MASS Singles'!H26</f>
        <v>1.6569108849523175</v>
      </c>
      <c r="E53" s="4">
        <f>'2MASS Singles'!I26</f>
        <v>1.6989108849523173</v>
      </c>
      <c r="F53" s="4">
        <f>'2MASS Singles'!J26</f>
        <v>1.6219108849523174</v>
      </c>
      <c r="G53" s="1"/>
      <c r="H53" s="1"/>
      <c r="I53" s="1">
        <v>2</v>
      </c>
      <c r="K53" s="19"/>
      <c r="M53" s="19" t="s">
        <v>332</v>
      </c>
    </row>
    <row r="54" spans="1:13">
      <c r="A54" s="55" t="str">
        <f>'All Singles'!A173</f>
        <v>HD 61621</v>
      </c>
      <c r="B54" s="1"/>
      <c r="C54" s="1"/>
      <c r="D54" s="55">
        <v>0.01</v>
      </c>
      <c r="E54" s="55">
        <v>0.01</v>
      </c>
      <c r="F54" s="55">
        <v>0.01</v>
      </c>
      <c r="G54" s="1"/>
      <c r="H54" s="1"/>
      <c r="K54" s="19"/>
      <c r="M54" s="19" t="s">
        <v>430</v>
      </c>
    </row>
    <row r="55" spans="1:13">
      <c r="A55" s="1" t="str">
        <f>'All Singles'!A174</f>
        <v>M175</v>
      </c>
      <c r="B55" s="1" t="str">
        <f>'All Singles'!B174</f>
        <v>B3 V</v>
      </c>
      <c r="C55" s="1">
        <f>'All Singles'!D174</f>
        <v>184</v>
      </c>
      <c r="D55" s="4">
        <f>'2MASS Singles'!H27</f>
        <v>-1.1060891150476824</v>
      </c>
      <c r="E55" s="4">
        <f>'2MASS Singles'!I27</f>
        <v>-0.99608911504768205</v>
      </c>
      <c r="F55" s="4">
        <f>'2MASS Singles'!J27</f>
        <v>-0.98608911504768226</v>
      </c>
      <c r="G55" s="1"/>
      <c r="H55" s="1"/>
      <c r="I55" s="1">
        <v>3</v>
      </c>
      <c r="K55" s="19"/>
      <c r="M55" s="19" t="s">
        <v>432</v>
      </c>
    </row>
    <row r="56" spans="1:13">
      <c r="A56" s="55" t="str">
        <f>'All Singles'!A175</f>
        <v>HD 61831</v>
      </c>
      <c r="B56" s="1"/>
      <c r="C56" s="1"/>
      <c r="D56" s="55">
        <v>0.01</v>
      </c>
      <c r="E56" s="55">
        <v>0.01</v>
      </c>
      <c r="F56" s="55">
        <v>0.01</v>
      </c>
      <c r="G56" s="1"/>
      <c r="H56" s="1"/>
      <c r="I56" s="1"/>
      <c r="K56" s="19"/>
      <c r="M56" s="19" t="s">
        <v>49</v>
      </c>
    </row>
    <row r="57" spans="1:13">
      <c r="A57" s="1" t="str">
        <f>'All Singles'!A176</f>
        <v>M184</v>
      </c>
      <c r="B57" s="1" t="str">
        <f>'All Singles'!B176</f>
        <v>B2.5 V</v>
      </c>
      <c r="C57" s="1">
        <f>'All Singles'!D176</f>
        <v>184</v>
      </c>
      <c r="D57" s="4">
        <f>'2MASS Singles'!H28</f>
        <v>-0.51908911504768263</v>
      </c>
      <c r="E57" s="4">
        <f>'2MASS Singles'!I28</f>
        <v>-0.48608911504768226</v>
      </c>
      <c r="F57" s="4">
        <f>'2MASS Singles'!J28</f>
        <v>-0.49308911504768194</v>
      </c>
      <c r="G57" s="1"/>
      <c r="H57" s="1"/>
      <c r="I57" s="1">
        <v>4</v>
      </c>
      <c r="K57" s="19"/>
      <c r="M57" s="19" t="s">
        <v>434</v>
      </c>
    </row>
    <row r="58" spans="1:13">
      <c r="A58" s="55" t="str">
        <f>'All Singles'!A177</f>
        <v>HD 61899</v>
      </c>
      <c r="B58" s="1"/>
      <c r="C58" s="1"/>
      <c r="D58" s="55">
        <v>0.01</v>
      </c>
      <c r="E58" s="55">
        <v>0.01</v>
      </c>
      <c r="F58" s="55">
        <v>0.01</v>
      </c>
      <c r="G58" s="1"/>
      <c r="H58" s="1"/>
      <c r="I58" s="1"/>
      <c r="K58" s="19"/>
      <c r="M58" s="19" t="s">
        <v>436</v>
      </c>
    </row>
    <row r="59" spans="1:13">
      <c r="A59" s="1" t="str">
        <f>'All Singles'!A178</f>
        <v>M186</v>
      </c>
      <c r="B59" s="1" t="str">
        <f>'All Singles'!B178</f>
        <v>B7 V</v>
      </c>
      <c r="C59" s="1">
        <f>'All Singles'!D178</f>
        <v>184</v>
      </c>
      <c r="D59" s="4">
        <f>'2MASS Singles'!H29</f>
        <v>1.5819108849523174</v>
      </c>
      <c r="E59" s="4">
        <f>'2MASS Singles'!I29</f>
        <v>1.6189108849523173</v>
      </c>
      <c r="F59" s="4">
        <f>'2MASS Singles'!J29</f>
        <v>1.6539108849523174</v>
      </c>
      <c r="G59" s="1"/>
      <c r="H59" s="1"/>
      <c r="I59" s="1">
        <v>5</v>
      </c>
      <c r="K59" s="19"/>
      <c r="M59" s="19" t="s">
        <v>437</v>
      </c>
    </row>
    <row r="60" spans="1:13">
      <c r="A60" s="55" t="str">
        <f>'All Singles'!A179</f>
        <v>HD 61926</v>
      </c>
      <c r="B60" s="1"/>
      <c r="C60" s="1"/>
      <c r="D60" s="55">
        <v>0.01</v>
      </c>
      <c r="E60" s="55">
        <v>0.01</v>
      </c>
      <c r="F60" s="55">
        <v>0.01</v>
      </c>
      <c r="G60" s="1"/>
      <c r="H60" s="1"/>
      <c r="K60" s="19"/>
      <c r="M60" s="19" t="s">
        <v>438</v>
      </c>
    </row>
    <row r="61" spans="1:13">
      <c r="A61" s="1" t="str">
        <f>'All Singles'!A180</f>
        <v>M187</v>
      </c>
      <c r="B61" s="1" t="str">
        <f>'All Singles'!B180</f>
        <v>B5 IVe</v>
      </c>
      <c r="C61" s="1">
        <f>'All Singles'!D180</f>
        <v>184</v>
      </c>
      <c r="D61" s="4">
        <f>'2MASS Singles'!H30</f>
        <v>-0.39108911504768251</v>
      </c>
      <c r="E61" s="4">
        <f>'2MASS Singles'!I30</f>
        <v>-0.39008911504768218</v>
      </c>
      <c r="F61" s="4">
        <f>'2MASS Singles'!J30</f>
        <v>-0.39008911504768218</v>
      </c>
      <c r="G61" s="1"/>
      <c r="H61" s="1"/>
      <c r="I61" s="1">
        <v>6</v>
      </c>
      <c r="K61" s="19"/>
      <c r="M61" s="19" t="s">
        <v>439</v>
      </c>
    </row>
    <row r="62" spans="1:13">
      <c r="A62" s="55" t="str">
        <f>'All Singles'!A181</f>
        <v>HD 61925</v>
      </c>
      <c r="B62" s="1"/>
      <c r="C62" s="1"/>
      <c r="D62" s="55">
        <v>0.01</v>
      </c>
      <c r="E62" s="55">
        <v>0.01</v>
      </c>
      <c r="F62" s="55">
        <v>0.01</v>
      </c>
      <c r="G62" s="1"/>
      <c r="H62" s="1"/>
      <c r="I62" s="1"/>
      <c r="K62" s="19"/>
      <c r="M62" s="19" t="s">
        <v>440</v>
      </c>
    </row>
    <row r="63" spans="1:13">
      <c r="A63" s="1" t="str">
        <f>'All Singles'!A182</f>
        <v>M202</v>
      </c>
      <c r="B63" s="1" t="str">
        <f>'All Singles'!B182</f>
        <v>B9 V</v>
      </c>
      <c r="C63" s="1">
        <f>'All Singles'!D182</f>
        <v>184</v>
      </c>
      <c r="D63" s="4">
        <f>'2MASS Singles'!H31</f>
        <v>1.4079108849523179</v>
      </c>
      <c r="E63" s="4">
        <f>'2MASS Singles'!I31</f>
        <v>1.4619108849523172</v>
      </c>
      <c r="F63" s="4">
        <f>'2MASS Singles'!J31</f>
        <v>1.4709108849523176</v>
      </c>
      <c r="G63" s="1"/>
      <c r="H63" s="1"/>
      <c r="I63" s="1">
        <v>7</v>
      </c>
      <c r="K63" s="19"/>
      <c r="M63" s="19" t="s">
        <v>1</v>
      </c>
    </row>
    <row r="64" spans="1:13">
      <c r="A64" s="55" t="str">
        <f>'All Singles'!A183</f>
        <v>HD 62227</v>
      </c>
      <c r="B64" s="1"/>
      <c r="C64" s="1"/>
      <c r="D64" s="55">
        <v>0.01</v>
      </c>
      <c r="E64" s="55">
        <v>0.01</v>
      </c>
      <c r="F64" s="55">
        <v>0.01</v>
      </c>
      <c r="G64" s="1"/>
      <c r="H64" s="1"/>
      <c r="I64" s="1"/>
      <c r="K64" s="19"/>
      <c r="M64" s="19" t="s">
        <v>441</v>
      </c>
    </row>
    <row r="65" spans="1:13">
      <c r="A65" s="1" t="str">
        <f>'All Singles'!A184</f>
        <v>M203</v>
      </c>
      <c r="B65" s="1" t="str">
        <f>'All Singles'!B184</f>
        <v>B5 V</v>
      </c>
      <c r="C65" s="1">
        <f>'All Singles'!D184</f>
        <v>184</v>
      </c>
      <c r="D65" s="4">
        <f>'2MASS Singles'!H32</f>
        <v>-0.61408911504768238</v>
      </c>
      <c r="E65" s="4">
        <f>'2MASS Singles'!I32</f>
        <v>-0.52108911504768241</v>
      </c>
      <c r="F65" s="4">
        <f>'2MASS Singles'!J32</f>
        <v>-0.54008911504768253</v>
      </c>
      <c r="G65" s="1"/>
      <c r="H65" s="1"/>
      <c r="I65" s="1">
        <v>8</v>
      </c>
      <c r="K65" s="19"/>
      <c r="M65" s="19" t="s">
        <v>442</v>
      </c>
    </row>
    <row r="66" spans="1:13">
      <c r="A66" s="55" t="str">
        <f>'All Singles'!A185</f>
        <v>HD 62226</v>
      </c>
      <c r="B66" s="1"/>
      <c r="C66" s="1"/>
      <c r="D66" s="55">
        <v>0.01</v>
      </c>
      <c r="E66" s="55">
        <v>0.01</v>
      </c>
      <c r="F66" s="55">
        <v>0.01</v>
      </c>
      <c r="G66" s="1"/>
      <c r="H66" s="1"/>
      <c r="K66" s="19"/>
      <c r="M66" s="19" t="s">
        <v>443</v>
      </c>
    </row>
    <row r="67" spans="1:13">
      <c r="A67" s="1" t="str">
        <f>'All Singles'!A186</f>
        <v>M211</v>
      </c>
      <c r="B67" s="1" t="str">
        <f>'All Singles'!B186</f>
        <v>A8 V</v>
      </c>
      <c r="C67" s="1">
        <f>'All Singles'!D186</f>
        <v>184</v>
      </c>
      <c r="D67" s="4">
        <f>'2MASS Singles'!H33</f>
        <v>1.2929108849523177</v>
      </c>
      <c r="E67" s="4">
        <f>'2MASS Singles'!I33</f>
        <v>1.2289108849523176</v>
      </c>
      <c r="F67" s="4">
        <f>'2MASS Singles'!J33</f>
        <v>1.1559108849523181</v>
      </c>
      <c r="G67" s="1"/>
      <c r="H67" s="1"/>
      <c r="I67" s="1">
        <v>9</v>
      </c>
      <c r="K67" s="19"/>
      <c r="M67" s="19" t="s">
        <v>444</v>
      </c>
    </row>
    <row r="68" spans="1:13">
      <c r="A68" s="55" t="str">
        <f>'All Singles'!A187</f>
        <v>HD 62415</v>
      </c>
      <c r="B68" s="1"/>
      <c r="C68" s="1"/>
      <c r="D68" s="55">
        <v>0.01</v>
      </c>
      <c r="E68" s="55">
        <v>0.01</v>
      </c>
      <c r="F68" s="55">
        <v>0.01</v>
      </c>
      <c r="G68" s="1"/>
      <c r="H68" s="1"/>
      <c r="I68" s="1"/>
      <c r="K68" s="19"/>
      <c r="M68" s="19" t="s">
        <v>446</v>
      </c>
    </row>
    <row r="69" spans="1:13">
      <c r="A69" s="1" t="str">
        <f>'All Singles'!A190</f>
        <v>M221</v>
      </c>
      <c r="B69" s="1" t="str">
        <f>'All Singles'!B190</f>
        <v>F2 IV</v>
      </c>
      <c r="C69" s="1">
        <f>'All Singles'!D190</f>
        <v>184</v>
      </c>
      <c r="D69" s="4">
        <f>'2MASS Singles'!H34</f>
        <v>0.73291088495231804</v>
      </c>
      <c r="E69" s="4">
        <f>'2MASS Singles'!I34</f>
        <v>0.6119108849523176</v>
      </c>
      <c r="F69" s="4">
        <f>'2MASS Singles'!J34</f>
        <v>0.49691088495231739</v>
      </c>
      <c r="G69" s="1"/>
      <c r="H69" s="1"/>
      <c r="I69" s="1">
        <v>10</v>
      </c>
      <c r="K69" s="19"/>
      <c r="M69" s="19" t="s">
        <v>447</v>
      </c>
    </row>
    <row r="70" spans="1:13">
      <c r="A70" s="55" t="str">
        <f>'All Singles'!A191</f>
        <v>HD 62559</v>
      </c>
      <c r="B70" s="1"/>
      <c r="C70" s="1"/>
      <c r="D70" s="55">
        <v>0.01</v>
      </c>
      <c r="E70" s="55">
        <v>0.01</v>
      </c>
      <c r="F70" s="55">
        <v>0.01</v>
      </c>
      <c r="G70" s="1"/>
      <c r="H70" s="1"/>
      <c r="I70" s="1"/>
      <c r="K70" s="19"/>
      <c r="M70" s="19" t="s">
        <v>449</v>
      </c>
    </row>
    <row r="71" spans="1:13">
      <c r="A71" s="1" t="str">
        <f>'All Singles'!A192</f>
        <v>M228</v>
      </c>
      <c r="B71" s="1" t="str">
        <f>'All Singles'!B192</f>
        <v>B9.5 V</v>
      </c>
      <c r="C71" s="1">
        <f>'All Singles'!D192</f>
        <v>184</v>
      </c>
      <c r="D71" s="4">
        <f>'2MASS Singles'!H35</f>
        <v>1.1859108849523174</v>
      </c>
      <c r="E71" s="4">
        <f>'2MASS Singles'!I35</f>
        <v>1.1709108849523178</v>
      </c>
      <c r="F71" s="4">
        <f>'2MASS Singles'!J35</f>
        <v>1.1299108849523174</v>
      </c>
      <c r="G71" s="1"/>
      <c r="H71" s="1"/>
      <c r="I71" s="1">
        <v>11</v>
      </c>
      <c r="K71" s="19"/>
      <c r="M71" s="19" t="s">
        <v>450</v>
      </c>
    </row>
    <row r="72" spans="1:13">
      <c r="A72" s="55" t="str">
        <f>'All Singles'!A193</f>
        <v>HD 62642</v>
      </c>
      <c r="B72" s="1"/>
      <c r="C72" s="1"/>
      <c r="D72" s="55">
        <v>0.01</v>
      </c>
      <c r="E72" s="55">
        <v>0.01</v>
      </c>
      <c r="F72" s="55">
        <v>0.01</v>
      </c>
      <c r="G72" s="1"/>
      <c r="H72" s="1"/>
      <c r="K72" s="19"/>
      <c r="M72" s="19" t="s">
        <v>451</v>
      </c>
    </row>
    <row r="73" spans="1:13">
      <c r="A73" s="1" t="str">
        <f>'All Singles'!A194</f>
        <v>M233</v>
      </c>
      <c r="B73" s="1" t="str">
        <f>'All Singles'!B194</f>
        <v>B8 IV</v>
      </c>
      <c r="C73" s="1">
        <f>'All Singles'!D194</f>
        <v>184</v>
      </c>
      <c r="D73" s="4">
        <f>'2MASS Singles'!H36</f>
        <v>0.32391088495231735</v>
      </c>
      <c r="E73" s="4">
        <f>'2MASS Singles'!I36</f>
        <v>0.38391088495231784</v>
      </c>
      <c r="F73" s="4">
        <f>'2MASS Singles'!J36</f>
        <v>0.41091088495231798</v>
      </c>
      <c r="G73" s="1"/>
      <c r="H73" s="1"/>
      <c r="I73" s="1">
        <v>12</v>
      </c>
      <c r="K73" s="19"/>
      <c r="M73" s="19" t="s">
        <v>453</v>
      </c>
    </row>
    <row r="74" spans="1:13">
      <c r="A74" s="55" t="str">
        <f>'All Singles'!A195</f>
        <v>HD 62712</v>
      </c>
      <c r="B74" s="1"/>
      <c r="C74" s="1"/>
      <c r="D74" s="55">
        <v>0.01</v>
      </c>
      <c r="E74" s="55">
        <v>0.01</v>
      </c>
      <c r="F74" s="55">
        <v>0.01</v>
      </c>
      <c r="G74" s="1"/>
      <c r="H74" s="1"/>
      <c r="I74" s="1"/>
      <c r="K74" s="19"/>
      <c r="M74" s="19" t="s">
        <v>455</v>
      </c>
    </row>
    <row r="75" spans="1:13">
      <c r="A75" s="1" t="str">
        <f>'All Singles'!A196</f>
        <v>M237</v>
      </c>
      <c r="B75" s="1" t="str">
        <f>'All Singles'!B196</f>
        <v>B9 III</v>
      </c>
      <c r="C75" s="1">
        <f>'All Singles'!D196</f>
        <v>184</v>
      </c>
      <c r="D75" s="4">
        <f>'2MASS Singles'!H37</f>
        <v>1.6759108849523177</v>
      </c>
      <c r="E75" s="4">
        <f>'2MASS Singles'!I37</f>
        <v>1.6879108849523181</v>
      </c>
      <c r="F75" s="4">
        <f>'2MASS Singles'!J37</f>
        <v>1.732910884952318</v>
      </c>
      <c r="G75" s="1"/>
      <c r="H75" s="1"/>
      <c r="I75" s="1">
        <v>13</v>
      </c>
      <c r="K75" s="19"/>
      <c r="M75" s="19" t="s">
        <v>458</v>
      </c>
    </row>
    <row r="76" spans="1:13">
      <c r="A76" s="55" t="str">
        <f>'All Singles'!A197</f>
        <v>HD 62737</v>
      </c>
      <c r="B76" s="1"/>
      <c r="C76" s="1"/>
      <c r="D76" s="55">
        <v>0.01</v>
      </c>
      <c r="E76" s="55">
        <v>0.01</v>
      </c>
      <c r="F76" s="55">
        <v>0.01</v>
      </c>
      <c r="G76" s="1"/>
      <c r="H76" s="1"/>
      <c r="I76" s="1"/>
      <c r="K76" s="19"/>
      <c r="M76" s="19" t="s">
        <v>459</v>
      </c>
    </row>
    <row r="77" spans="1:13">
      <c r="A77" s="1" t="str">
        <f>'All Singles'!A198</f>
        <v>M239</v>
      </c>
      <c r="B77" s="1" t="str">
        <f>'All Singles'!B198</f>
        <v>B9 V</v>
      </c>
      <c r="C77" s="1">
        <f>'All Singles'!D198</f>
        <v>184</v>
      </c>
      <c r="D77" s="4">
        <f>'2MASS Singles'!H38</f>
        <v>1.1649108849523175</v>
      </c>
      <c r="E77" s="4">
        <f>'2MASS Singles'!I38</f>
        <v>1.2239108849523177</v>
      </c>
      <c r="F77" s="4">
        <f>'2MASS Singles'!J38</f>
        <v>1.1819108849523179</v>
      </c>
      <c r="G77" s="1"/>
      <c r="H77" s="1"/>
      <c r="I77" s="1">
        <v>14</v>
      </c>
      <c r="K77" s="19"/>
      <c r="M77" s="19" t="s">
        <v>462</v>
      </c>
    </row>
    <row r="78" spans="1:13">
      <c r="A78" s="55" t="str">
        <f>'All Singles'!A199</f>
        <v>HD 62803</v>
      </c>
      <c r="B78" s="1"/>
      <c r="C78" s="1"/>
      <c r="D78" s="55">
        <v>0.01</v>
      </c>
      <c r="E78" s="55">
        <v>0.01</v>
      </c>
      <c r="F78" s="55">
        <v>0.01</v>
      </c>
      <c r="G78" s="1"/>
      <c r="H78" s="1"/>
      <c r="K78" s="19"/>
      <c r="M78" s="19" t="s">
        <v>435</v>
      </c>
    </row>
    <row r="79" spans="1:13">
      <c r="A79" s="1" t="str">
        <f>'All Singles'!A200</f>
        <v>M243</v>
      </c>
      <c r="B79" s="1" t="str">
        <f>'All Singles'!B200</f>
        <v>B8 V</v>
      </c>
      <c r="C79" s="1">
        <f>'All Singles'!D200</f>
        <v>184</v>
      </c>
      <c r="D79" s="4">
        <f>'2MASS Singles'!H39</f>
        <v>1.9499108849523168</v>
      </c>
      <c r="E79" s="4">
        <f>'2MASS Singles'!I39</f>
        <v>1.9409108849523182</v>
      </c>
      <c r="F79" s="4">
        <f>'2MASS Singles'!J39</f>
        <v>1.8999108849523179</v>
      </c>
      <c r="G79" s="1"/>
      <c r="H79" s="1"/>
      <c r="I79" s="1">
        <v>15</v>
      </c>
      <c r="K79" s="19"/>
      <c r="M79" s="19" t="s">
        <v>445</v>
      </c>
    </row>
    <row r="80" spans="1:13">
      <c r="A80" s="55" t="str">
        <f>'All Singles'!A201</f>
        <v>HD 62875</v>
      </c>
      <c r="B80" s="1"/>
      <c r="C80" s="1"/>
      <c r="D80" s="55">
        <v>0.01</v>
      </c>
      <c r="E80" s="55">
        <v>0.01</v>
      </c>
      <c r="F80" s="55">
        <v>0.01</v>
      </c>
      <c r="G80" s="1"/>
      <c r="H80" s="1"/>
      <c r="I80" s="1"/>
      <c r="K80" s="19"/>
      <c r="M80" s="19" t="s">
        <v>448</v>
      </c>
    </row>
    <row r="81" spans="1:13">
      <c r="A81" s="1" t="str">
        <f>'All Singles'!A202</f>
        <v>M246</v>
      </c>
      <c r="B81" s="1" t="str">
        <f>'All Singles'!B202</f>
        <v>B7 V</v>
      </c>
      <c r="C81" s="1">
        <f>'All Singles'!D202</f>
        <v>184</v>
      </c>
      <c r="D81" s="4">
        <f>'2MASS Singles'!H40</f>
        <v>-0.26108911504768262</v>
      </c>
      <c r="E81" s="4">
        <f>'2MASS Singles'!I40</f>
        <v>-0.14708911504768274</v>
      </c>
      <c r="F81" s="4">
        <f>'2MASS Singles'!J40</f>
        <v>-0.17808911504768243</v>
      </c>
      <c r="G81" s="1"/>
      <c r="H81" s="1"/>
      <c r="I81" s="1">
        <v>16</v>
      </c>
      <c r="K81" s="19"/>
      <c r="M81" s="19" t="s">
        <v>454</v>
      </c>
    </row>
    <row r="82" spans="1:13">
      <c r="A82" s="55" t="str">
        <f>'All Singles'!A203</f>
        <v>HD 62893</v>
      </c>
      <c r="B82" s="1"/>
      <c r="C82" s="1"/>
      <c r="D82" s="55">
        <v>0.01</v>
      </c>
      <c r="E82" s="55">
        <v>0.01</v>
      </c>
      <c r="F82" s="55">
        <v>0.01</v>
      </c>
      <c r="G82" s="1"/>
      <c r="H82" s="1"/>
      <c r="I82" s="1"/>
      <c r="K82" s="19"/>
      <c r="M82" s="19" t="s">
        <v>456</v>
      </c>
    </row>
    <row r="83" spans="1:13">
      <c r="A83" s="1" t="str">
        <f>'All Singles'!A204</f>
        <v>M248</v>
      </c>
      <c r="B83" s="1" t="str">
        <f>'All Singles'!B204</f>
        <v>A0 V</v>
      </c>
      <c r="C83" s="1">
        <f>'All Singles'!D204</f>
        <v>184</v>
      </c>
      <c r="D83" s="4">
        <f>'2MASS Singles'!H41</f>
        <v>1.2589108849523178</v>
      </c>
      <c r="E83" s="4">
        <f>'2MASS Singles'!I41</f>
        <v>1.3519108849523178</v>
      </c>
      <c r="F83" s="4">
        <f>'2MASS Singles'!J41</f>
        <v>1.3129108849523172</v>
      </c>
      <c r="G83" s="1"/>
      <c r="H83" s="1"/>
      <c r="I83" s="1">
        <v>17</v>
      </c>
      <c r="K83" s="19"/>
      <c r="M83" s="19" t="s">
        <v>266</v>
      </c>
    </row>
    <row r="84" spans="1:13">
      <c r="A84" s="55" t="str">
        <f>'All Singles'!A205</f>
        <v>HD 62938</v>
      </c>
      <c r="B84" s="1"/>
      <c r="C84" s="1"/>
      <c r="D84" s="55">
        <v>0.01</v>
      </c>
      <c r="E84" s="55">
        <v>0.01</v>
      </c>
      <c r="F84" s="55">
        <v>0.01</v>
      </c>
      <c r="G84" s="1"/>
      <c r="H84" s="1"/>
      <c r="K84" s="19"/>
      <c r="M84" s="19" t="s">
        <v>457</v>
      </c>
    </row>
    <row r="85" spans="1:13">
      <c r="A85" s="1" t="str">
        <f>'All Singles'!A206</f>
        <v>M249</v>
      </c>
      <c r="B85" s="1" t="str">
        <f>'All Singles'!B206</f>
        <v>A0 V</v>
      </c>
      <c r="C85" s="1">
        <f>'All Singles'!D206</f>
        <v>184</v>
      </c>
      <c r="D85" s="4">
        <f>'2MASS Singles'!H42</f>
        <v>1.7039108849523181</v>
      </c>
      <c r="E85" s="4">
        <f>'2MASS Singles'!I42</f>
        <v>1.7119108849523172</v>
      </c>
      <c r="F85" s="4">
        <f>'2MASS Singles'!J42</f>
        <v>1.6729108849523175</v>
      </c>
      <c r="G85" s="1"/>
      <c r="H85" s="1"/>
      <c r="I85" s="1">
        <v>18</v>
      </c>
      <c r="K85" s="19"/>
      <c r="M85" s="19" t="s">
        <v>461</v>
      </c>
    </row>
    <row r="86" spans="1:13">
      <c r="A86" s="55" t="str">
        <f>'All Singles'!A207</f>
        <v>HD 62961</v>
      </c>
      <c r="B86" s="1"/>
      <c r="C86" s="1"/>
      <c r="D86" s="55">
        <v>0.01</v>
      </c>
      <c r="E86" s="55">
        <v>0.01</v>
      </c>
      <c r="F86" s="55">
        <v>0.01</v>
      </c>
      <c r="G86" s="1"/>
      <c r="H86" s="1"/>
      <c r="I86" s="1"/>
      <c r="K86" s="19"/>
      <c r="M86" s="19" t="s">
        <v>77</v>
      </c>
    </row>
    <row r="87" spans="1:13">
      <c r="A87" s="1" t="str">
        <f>'All Singles'!A208</f>
        <v>M250</v>
      </c>
      <c r="B87" s="1" t="str">
        <f>'All Singles'!B208</f>
        <v>A7 III</v>
      </c>
      <c r="C87" s="1">
        <f>'All Singles'!D208</f>
        <v>184</v>
      </c>
      <c r="D87" s="4">
        <f>'2MASS Singles'!H43</f>
        <v>1.3049108849523172</v>
      </c>
      <c r="E87" s="4">
        <f>'2MASS Singles'!I43</f>
        <v>1.301910884952318</v>
      </c>
      <c r="F87" s="4">
        <f>'2MASS Singles'!J43</f>
        <v>1.2469108849523174</v>
      </c>
      <c r="G87" s="1"/>
      <c r="H87" s="1"/>
      <c r="I87" s="1">
        <v>19</v>
      </c>
      <c r="K87" s="19"/>
      <c r="M87" s="19" t="s">
        <v>490</v>
      </c>
    </row>
    <row r="88" spans="1:13">
      <c r="A88" s="55" t="str">
        <f>'All Singles'!A209</f>
        <v>HD 62992</v>
      </c>
      <c r="B88" s="1"/>
      <c r="C88" s="1"/>
      <c r="D88" s="55">
        <v>0.01</v>
      </c>
      <c r="E88" s="55">
        <v>0.01</v>
      </c>
      <c r="F88" s="55">
        <v>0.01</v>
      </c>
      <c r="G88" s="1"/>
      <c r="H88" s="1"/>
      <c r="I88" s="1"/>
      <c r="K88" s="19"/>
      <c r="M88" s="19" t="s">
        <v>491</v>
      </c>
    </row>
    <row r="89" spans="1:13">
      <c r="A89" s="1" t="str">
        <f>'All Singles'!A210</f>
        <v>M251</v>
      </c>
      <c r="B89" s="1" t="str">
        <f>'All Singles'!B210</f>
        <v>B3 IV</v>
      </c>
      <c r="C89" s="1">
        <f>'All Singles'!D210</f>
        <v>184</v>
      </c>
      <c r="D89" s="4">
        <f>'2MASS Singles'!H44</f>
        <v>0.37891088495231795</v>
      </c>
      <c r="E89" s="4">
        <f>'2MASS Singles'!I44</f>
        <v>0.51491088495231807</v>
      </c>
      <c r="F89" s="4">
        <f>'2MASS Singles'!J44</f>
        <v>0.46191088495231725</v>
      </c>
      <c r="G89" s="1"/>
      <c r="H89" s="1"/>
      <c r="I89" s="1">
        <v>20</v>
      </c>
      <c r="K89" s="19"/>
      <c r="M89" s="19" t="s">
        <v>13</v>
      </c>
    </row>
    <row r="90" spans="1:13">
      <c r="A90" s="55" t="str">
        <f>'All Singles'!A211</f>
        <v>HD 62991</v>
      </c>
      <c r="B90" s="1"/>
      <c r="C90" s="1"/>
      <c r="D90" s="55">
        <v>0.01</v>
      </c>
      <c r="E90" s="55">
        <v>0.01</v>
      </c>
      <c r="F90" s="55">
        <v>0.01</v>
      </c>
      <c r="G90" s="1"/>
      <c r="H90" s="1"/>
      <c r="K90" s="19"/>
      <c r="M90" s="19" t="s">
        <v>14</v>
      </c>
    </row>
    <row r="91" spans="1:13">
      <c r="A91" s="1" t="str">
        <f>'All Singles'!A212</f>
        <v>M255</v>
      </c>
      <c r="B91" s="1" t="str">
        <f>'All Singles'!B212</f>
        <v>A0 IV</v>
      </c>
      <c r="C91" s="1">
        <f>'All Singles'!D212</f>
        <v>184</v>
      </c>
      <c r="D91" s="4">
        <f>'2MASS Singles'!H45</f>
        <v>0.91291088495231776</v>
      </c>
      <c r="E91" s="4">
        <f>'2MASS Singles'!I45</f>
        <v>0.96791088495231747</v>
      </c>
      <c r="F91" s="4">
        <f>'2MASS Singles'!J45</f>
        <v>0.90591088495231809</v>
      </c>
      <c r="G91" s="1"/>
      <c r="H91" s="1"/>
      <c r="I91" s="1">
        <v>21</v>
      </c>
      <c r="K91" s="19"/>
      <c r="M91" s="19" t="s">
        <v>492</v>
      </c>
    </row>
    <row r="92" spans="1:13">
      <c r="A92" s="55" t="str">
        <f>'All Singles'!A213</f>
        <v>HD 63080</v>
      </c>
      <c r="B92" s="1"/>
      <c r="C92" s="1"/>
      <c r="D92" s="55">
        <v>0.01</v>
      </c>
      <c r="E92" s="55">
        <v>0.01</v>
      </c>
      <c r="F92" s="55">
        <v>0.01</v>
      </c>
      <c r="G92" s="1"/>
      <c r="H92" s="1"/>
      <c r="I92" s="1"/>
      <c r="K92" s="19"/>
      <c r="M92" s="19" t="s">
        <v>493</v>
      </c>
    </row>
    <row r="93" spans="1:13">
      <c r="A93" s="1" t="str">
        <f>'All Singles'!A214</f>
        <v>M256</v>
      </c>
      <c r="B93" s="1" t="str">
        <f>'All Singles'!B214</f>
        <v>B9 V</v>
      </c>
      <c r="C93" s="1">
        <f>'All Singles'!D214</f>
        <v>184</v>
      </c>
      <c r="D93" s="4">
        <f>'2MASS Singles'!H46</f>
        <v>0.72091088495231759</v>
      </c>
      <c r="E93" s="4">
        <f>'2MASS Singles'!I46</f>
        <v>0.76191088495231796</v>
      </c>
      <c r="F93" s="4">
        <f>'2MASS Singles'!J46</f>
        <v>0.77691088495231764</v>
      </c>
      <c r="G93" s="1"/>
      <c r="H93" s="1"/>
      <c r="I93" s="1">
        <v>22</v>
      </c>
      <c r="K93" s="19"/>
      <c r="M93" s="19" t="s">
        <v>405</v>
      </c>
    </row>
    <row r="94" spans="1:13">
      <c r="A94" s="55" t="str">
        <f>'All Singles'!A215</f>
        <v>HD 63079</v>
      </c>
      <c r="B94" s="1"/>
      <c r="C94" s="1"/>
      <c r="D94" s="55">
        <v>0.01</v>
      </c>
      <c r="E94" s="55">
        <v>0.01</v>
      </c>
      <c r="F94" s="55">
        <v>0.01</v>
      </c>
      <c r="G94" s="1"/>
      <c r="H94" s="1"/>
      <c r="I94" s="1"/>
      <c r="K94" s="19"/>
      <c r="M94" s="19" t="s">
        <v>406</v>
      </c>
    </row>
    <row r="95" spans="1:13">
      <c r="A95" s="1" t="str">
        <f>'All Singles'!A218</f>
        <v>M267</v>
      </c>
      <c r="B95" s="1" t="str">
        <f>'All Singles'!B218</f>
        <v>B7 V</v>
      </c>
      <c r="C95" s="1">
        <f>'All Singles'!D218</f>
        <v>184</v>
      </c>
      <c r="D95" s="4">
        <f>'2MASS Singles'!H47</f>
        <v>-0.29408911504768209</v>
      </c>
      <c r="E95" s="4">
        <f>'2MASS Singles'!I47</f>
        <v>-0.2240891150476827</v>
      </c>
      <c r="F95" s="4">
        <f>'2MASS Singles'!J47</f>
        <v>-0.21708911504768214</v>
      </c>
      <c r="G95" s="1"/>
      <c r="H95" s="1"/>
      <c r="I95" s="1">
        <v>23</v>
      </c>
      <c r="K95" s="19"/>
      <c r="M95" s="19" t="s">
        <v>407</v>
      </c>
    </row>
    <row r="96" spans="1:13">
      <c r="A96" s="55" t="str">
        <f>'All Singles'!A219</f>
        <v>HD 63215</v>
      </c>
      <c r="B96" s="1"/>
      <c r="C96" s="1"/>
      <c r="D96" s="55">
        <v>0.01</v>
      </c>
      <c r="E96" s="55">
        <v>0.01</v>
      </c>
      <c r="F96" s="55">
        <v>0.01</v>
      </c>
      <c r="G96" s="1"/>
      <c r="H96" s="1"/>
      <c r="K96" s="19"/>
      <c r="M96" s="19" t="s">
        <v>408</v>
      </c>
    </row>
    <row r="97" spans="1:13">
      <c r="A97" s="1" t="str">
        <f>'All Singles'!A220</f>
        <v>M277</v>
      </c>
      <c r="B97" s="1" t="str">
        <f>'All Singles'!B220</f>
        <v>B8 III</v>
      </c>
      <c r="C97" s="1">
        <f>'All Singles'!D220</f>
        <v>184</v>
      </c>
      <c r="D97" s="4">
        <f>'2MASS Singles'!H48</f>
        <v>0.23191088495231771</v>
      </c>
      <c r="E97" s="4">
        <f>'2MASS Singles'!I48</f>
        <v>0.3359108849523178</v>
      </c>
      <c r="F97" s="4">
        <f>'2MASS Singles'!J48</f>
        <v>0.35591088495231737</v>
      </c>
      <c r="G97" s="1"/>
      <c r="H97" s="1"/>
      <c r="I97" s="1">
        <v>24</v>
      </c>
      <c r="K97" s="19"/>
      <c r="M97" s="19" t="s">
        <v>409</v>
      </c>
    </row>
    <row r="98" spans="1:13">
      <c r="A98" s="55" t="str">
        <f>'All Singles'!A221</f>
        <v>HD 63401</v>
      </c>
      <c r="B98" s="1"/>
      <c r="C98" s="1"/>
      <c r="D98" s="55">
        <v>0.01</v>
      </c>
      <c r="E98" s="55">
        <v>0.01</v>
      </c>
      <c r="F98" s="55">
        <v>0.01</v>
      </c>
      <c r="G98" s="1"/>
      <c r="H98" s="1"/>
      <c r="I98" s="1"/>
      <c r="K98" s="19"/>
      <c r="M98" s="19" t="s">
        <v>410</v>
      </c>
    </row>
    <row r="99" spans="1:13">
      <c r="A99" s="1" t="str">
        <f>'All Singles'!A222</f>
        <v>M281</v>
      </c>
      <c r="B99" s="1" t="str">
        <f>'All Singles'!B222</f>
        <v>F3 IV</v>
      </c>
      <c r="C99" s="1">
        <f>'All Singles'!D222</f>
        <v>184</v>
      </c>
      <c r="D99" s="4">
        <f>'2MASS Singles'!H49</f>
        <v>7.9108849523175095E-3</v>
      </c>
      <c r="E99" s="4">
        <f>'2MASS Singles'!I49</f>
        <v>-0.14408911504768263</v>
      </c>
      <c r="F99" s="4">
        <f>'2MASS Singles'!J49</f>
        <v>-0.22708911504768192</v>
      </c>
      <c r="G99" s="1"/>
      <c r="H99" s="1"/>
      <c r="I99" s="1">
        <v>25</v>
      </c>
      <c r="K99" s="19"/>
      <c r="M99" s="19" t="s">
        <v>411</v>
      </c>
    </row>
    <row r="100" spans="1:13">
      <c r="A100" s="55" t="str">
        <f>'All Singles'!A223</f>
        <v>HD 63424</v>
      </c>
      <c r="B100" s="1"/>
      <c r="C100" s="1"/>
      <c r="D100" s="55">
        <v>0.01</v>
      </c>
      <c r="E100" s="55">
        <v>0.01</v>
      </c>
      <c r="F100" s="55">
        <v>0.01</v>
      </c>
      <c r="G100" s="1"/>
      <c r="H100" s="1"/>
      <c r="I100" s="1"/>
      <c r="K100" s="19"/>
      <c r="M100" s="19" t="s">
        <v>264</v>
      </c>
    </row>
    <row r="101" spans="1:13">
      <c r="A101" s="1" t="str">
        <f>'All Singles'!A224</f>
        <v>M283</v>
      </c>
      <c r="B101" s="1" t="str">
        <f>'All Singles'!B224</f>
        <v>B2 III</v>
      </c>
      <c r="C101" s="1">
        <f>'All Singles'!D224</f>
        <v>184</v>
      </c>
      <c r="D101" s="4">
        <f>'2MASS Singles'!H50</f>
        <v>-1.0930891150476825</v>
      </c>
      <c r="E101" s="4">
        <f>'2MASS Singles'!I50</f>
        <v>-1.0430891150476826</v>
      </c>
      <c r="F101" s="4">
        <f>'2MASS Singles'!J50</f>
        <v>-1.0370891150476824</v>
      </c>
      <c r="G101" s="1"/>
      <c r="H101" s="1"/>
      <c r="I101" s="1">
        <v>26</v>
      </c>
      <c r="K101" s="19"/>
      <c r="M101" s="19" t="s">
        <v>412</v>
      </c>
    </row>
    <row r="102" spans="1:13">
      <c r="A102" s="55" t="str">
        <f>'All Singles'!A225</f>
        <v>HD 63465</v>
      </c>
      <c r="B102" s="1"/>
      <c r="C102" s="1"/>
      <c r="D102" s="55">
        <v>0.01</v>
      </c>
      <c r="E102" s="55">
        <v>0.01</v>
      </c>
      <c r="F102" s="55">
        <v>0.01</v>
      </c>
      <c r="G102" s="1"/>
      <c r="H102" s="1"/>
      <c r="K102" s="19"/>
      <c r="M102" s="19" t="s">
        <v>413</v>
      </c>
    </row>
    <row r="103" spans="1:13">
      <c r="A103" s="1" t="str">
        <f>'All Singles'!A226</f>
        <v>M36</v>
      </c>
      <c r="B103" s="1" t="str">
        <f>'All Singles'!B226</f>
        <v>A0 V</v>
      </c>
      <c r="C103" s="1">
        <f>'All Singles'!D226</f>
        <v>184</v>
      </c>
      <c r="D103" s="4">
        <f>'2MASS Singles'!H51</f>
        <v>2.0299108849523169</v>
      </c>
      <c r="E103" s="4">
        <f>'2MASS Singles'!I51</f>
        <v>2.0699108849523178</v>
      </c>
      <c r="F103" s="4">
        <f>'2MASS Singles'!J51</f>
        <v>1.9949108849523185</v>
      </c>
      <c r="G103" s="1"/>
      <c r="H103" s="1"/>
      <c r="I103" s="1">
        <v>27</v>
      </c>
      <c r="K103" s="19"/>
      <c r="M103" s="19" t="s">
        <v>414</v>
      </c>
    </row>
    <row r="104" spans="1:13">
      <c r="A104" s="55" t="str">
        <f>'All Singles'!A227</f>
        <v>CD -37 3845</v>
      </c>
      <c r="B104" s="1"/>
      <c r="C104" s="1"/>
      <c r="D104" s="55">
        <v>0.01</v>
      </c>
      <c r="E104" s="55">
        <v>0.01</v>
      </c>
      <c r="F104" s="55">
        <v>0.01</v>
      </c>
      <c r="G104" s="1"/>
      <c r="H104" s="1"/>
      <c r="I104" s="1"/>
      <c r="K104" s="19"/>
      <c r="M104" s="19" t="s">
        <v>415</v>
      </c>
    </row>
    <row r="105" spans="1:13">
      <c r="A105" s="1" t="str">
        <f>'All Singles'!A242</f>
        <v>M209</v>
      </c>
      <c r="B105" s="1" t="str">
        <f>'All Singles'!B242</f>
        <v>B8 V</v>
      </c>
      <c r="C105" s="1">
        <f>'All Singles'!D242</f>
        <v>184</v>
      </c>
      <c r="D105" s="4">
        <f>'2MASS Singles'!H52</f>
        <v>0.35191088495231782</v>
      </c>
      <c r="E105" s="4">
        <f>'2MASS Singles'!I52</f>
        <v>0.44191088495231767</v>
      </c>
      <c r="F105" s="4">
        <f>'2MASS Singles'!J52</f>
        <v>0.39791088495231808</v>
      </c>
      <c r="G105" s="1"/>
      <c r="H105" s="1"/>
      <c r="I105" s="1">
        <v>28</v>
      </c>
      <c r="K105" s="19"/>
      <c r="M105" s="105" t="s">
        <v>416</v>
      </c>
    </row>
    <row r="106" spans="1:13">
      <c r="A106" s="55" t="str">
        <f>'All Singles'!A243</f>
        <v>HD 62376</v>
      </c>
      <c r="B106" s="1"/>
      <c r="C106" s="1"/>
      <c r="D106" s="55">
        <v>0.01</v>
      </c>
      <c r="E106" s="55">
        <v>0.01</v>
      </c>
      <c r="F106" s="55">
        <v>0.01</v>
      </c>
      <c r="G106" s="1"/>
      <c r="H106" s="1"/>
      <c r="I106" s="1"/>
      <c r="K106" s="19"/>
      <c r="M106" s="19" t="s">
        <v>422</v>
      </c>
    </row>
    <row r="107" spans="1:13">
      <c r="A107" s="62" t="s">
        <v>94</v>
      </c>
      <c r="B107" s="62" t="s">
        <v>94</v>
      </c>
      <c r="C107" s="62" t="s">
        <v>94</v>
      </c>
      <c r="D107" s="62" t="s">
        <v>94</v>
      </c>
      <c r="E107" s="62" t="s">
        <v>94</v>
      </c>
      <c r="F107" s="62" t="s">
        <v>94</v>
      </c>
      <c r="G107" s="62" t="s">
        <v>94</v>
      </c>
      <c r="H107" s="62" t="s">
        <v>94</v>
      </c>
      <c r="I107" s="57"/>
      <c r="K107" s="19"/>
      <c r="M107" s="19" t="s">
        <v>423</v>
      </c>
    </row>
    <row r="108" spans="1:13">
      <c r="A108" s="1" t="str">
        <f>'All Singles'!A93</f>
        <v>M10</v>
      </c>
      <c r="B108" s="1" t="str">
        <f>'All Singles'!B93</f>
        <v>B8.5 V</v>
      </c>
      <c r="C108" s="1">
        <f>'All Singles'!D93</f>
        <v>342</v>
      </c>
      <c r="D108" s="4">
        <f>'2MASS Singles'!H53</f>
        <v>-0.15913053028067292</v>
      </c>
      <c r="E108" s="4">
        <f>'2MASS Singles'!I53</f>
        <v>-8.2130530280672964E-2</v>
      </c>
      <c r="F108" s="4">
        <f>'2MASS Singles'!J53</f>
        <v>-0.12613053028067345</v>
      </c>
      <c r="G108" s="25" t="s">
        <v>888</v>
      </c>
      <c r="H108" s="25" t="s">
        <v>889</v>
      </c>
      <c r="I108" s="38">
        <v>1</v>
      </c>
      <c r="K108" s="19"/>
      <c r="M108" s="19" t="s">
        <v>424</v>
      </c>
    </row>
    <row r="109" spans="1:13">
      <c r="A109" s="55" t="str">
        <f>'All Singles'!A94</f>
        <v>HD 65869</v>
      </c>
      <c r="B109" s="1"/>
      <c r="C109" s="1"/>
      <c r="D109" s="55">
        <v>0.01</v>
      </c>
      <c r="E109" s="55">
        <v>0.01</v>
      </c>
      <c r="F109" s="55">
        <v>0.01</v>
      </c>
      <c r="G109" s="1"/>
      <c r="H109" s="19"/>
      <c r="I109" s="38"/>
      <c r="K109" s="19"/>
      <c r="M109" s="19" t="s">
        <v>425</v>
      </c>
    </row>
    <row r="110" spans="1:13">
      <c r="A110" s="1" t="str">
        <f>'All Singles'!A97</f>
        <v>M11</v>
      </c>
      <c r="B110" s="1" t="str">
        <f>'All Singles'!B97</f>
        <v>B9.5 V</v>
      </c>
      <c r="C110" s="1">
        <f>'All Singles'!D97</f>
        <v>342</v>
      </c>
      <c r="D110" s="4">
        <f>'2MASS Singles'!H54</f>
        <v>0.6928694697193265</v>
      </c>
      <c r="E110" s="4">
        <f>'2MASS Singles'!I54</f>
        <v>0.72886946971932609</v>
      </c>
      <c r="F110" s="4">
        <f>'2MASS Singles'!J54</f>
        <v>0.6878694697193275</v>
      </c>
      <c r="G110" s="1"/>
      <c r="I110" s="38">
        <v>2</v>
      </c>
      <c r="K110" s="19"/>
      <c r="M110" s="19" t="s">
        <v>426</v>
      </c>
    </row>
    <row r="111" spans="1:13">
      <c r="A111" s="55" t="str">
        <f>'All Singles'!A98</f>
        <v>HIP 120403</v>
      </c>
      <c r="B111" s="1"/>
      <c r="C111" s="1"/>
      <c r="D111" s="55">
        <v>0.01</v>
      </c>
      <c r="E111" s="55">
        <v>0.01</v>
      </c>
      <c r="F111" s="55">
        <v>0.01</v>
      </c>
      <c r="G111" s="1"/>
      <c r="I111" s="236"/>
      <c r="K111" s="19"/>
      <c r="M111" s="19" t="s">
        <v>25</v>
      </c>
    </row>
    <row r="112" spans="1:13">
      <c r="A112" s="25" t="str">
        <f>'All Singles'!A99</f>
        <v>M15</v>
      </c>
      <c r="B112" s="25" t="str">
        <f>'All Singles'!B99</f>
        <v>Apv... C</v>
      </c>
      <c r="C112" s="25">
        <f>'All Singles'!D99</f>
        <v>342</v>
      </c>
      <c r="D112" s="4">
        <f>'2MASS Singles'!H55</f>
        <v>-2.2130530280673355E-2</v>
      </c>
      <c r="E112" s="4">
        <f>'2MASS Singles'!I55</f>
        <v>5.886946971932705E-2</v>
      </c>
      <c r="F112" s="4">
        <f>'2MASS Singles'!J55</f>
        <v>2.6869469719327022E-2</v>
      </c>
      <c r="G112" s="25" t="str">
        <f>'All Singles'!G99</f>
        <v>added from binary section</v>
      </c>
      <c r="H112" s="25"/>
      <c r="I112" s="38">
        <v>3</v>
      </c>
      <c r="K112" s="19"/>
      <c r="M112" s="19" t="s">
        <v>427</v>
      </c>
    </row>
    <row r="113" spans="1:13">
      <c r="A113" s="58" t="str">
        <f>'All Singles'!A100</f>
        <v>HD 65987</v>
      </c>
      <c r="B113" s="58"/>
      <c r="C113" s="58"/>
      <c r="D113" s="55">
        <v>0.01</v>
      </c>
      <c r="E113" s="55">
        <v>0.01</v>
      </c>
      <c r="F113" s="55">
        <v>0.01</v>
      </c>
      <c r="G113" s="58"/>
      <c r="H113" s="58"/>
      <c r="I113" s="38"/>
      <c r="K113" s="19"/>
      <c r="M113" s="19" t="s">
        <v>428</v>
      </c>
    </row>
    <row r="114" spans="1:13">
      <c r="A114" s="1" t="str">
        <f>'All Singles'!A103</f>
        <v>M113</v>
      </c>
      <c r="B114" s="1" t="str">
        <f>'All Singles'!B103</f>
        <v>A2 V</v>
      </c>
      <c r="C114" s="1">
        <f>'All Singles'!D103</f>
        <v>342</v>
      </c>
      <c r="D114" s="4">
        <f>'2MASS Singles'!H56</f>
        <v>0.42686946971932649</v>
      </c>
      <c r="E114" s="4">
        <f>'2MASS Singles'!I56</f>
        <v>0.4118694697193277</v>
      </c>
      <c r="F114" s="4">
        <f>'2MASS Singles'!J56</f>
        <v>0.37586946971932633</v>
      </c>
      <c r="G114" s="1"/>
      <c r="I114" s="38">
        <v>4</v>
      </c>
      <c r="K114" s="19"/>
      <c r="M114" s="19" t="s">
        <v>429</v>
      </c>
    </row>
    <row r="115" spans="1:13">
      <c r="A115" s="55" t="str">
        <f>'All Singles'!A104</f>
        <v>HD 65405</v>
      </c>
      <c r="B115" s="1"/>
      <c r="C115" s="1"/>
      <c r="D115" s="55">
        <v>0.01</v>
      </c>
      <c r="E115" s="55">
        <v>0.01</v>
      </c>
      <c r="F115" s="55">
        <v>0.01</v>
      </c>
      <c r="G115" s="1"/>
      <c r="I115" s="38"/>
      <c r="K115" s="19"/>
      <c r="M115" s="19" t="s">
        <v>26</v>
      </c>
    </row>
    <row r="116" spans="1:13">
      <c r="A116" s="1" t="str">
        <f>'All Singles'!A107</f>
        <v>M116</v>
      </c>
      <c r="B116" s="1" t="str">
        <f>'All Singles'!B107</f>
        <v>B8 V</v>
      </c>
      <c r="C116" s="1">
        <f>'All Singles'!D107</f>
        <v>342</v>
      </c>
      <c r="D116" s="4">
        <f>'2MASS Singles'!H57</f>
        <v>0.34686946971932642</v>
      </c>
      <c r="E116" s="4">
        <f>'2MASS Singles'!I57</f>
        <v>0.34986946971932653</v>
      </c>
      <c r="F116" s="4">
        <f>'2MASS Singles'!J57</f>
        <v>0.2918694697193267</v>
      </c>
      <c r="G116" s="1"/>
      <c r="I116" s="38">
        <v>5</v>
      </c>
      <c r="J116" s="19"/>
      <c r="K116" s="19"/>
    </row>
    <row r="117" spans="1:13">
      <c r="A117" s="55" t="str">
        <f>'All Singles'!A108</f>
        <v>HD 65578</v>
      </c>
      <c r="B117" s="1"/>
      <c r="C117" s="1"/>
      <c r="D117" s="55">
        <v>0.01</v>
      </c>
      <c r="E117" s="55">
        <v>0.01</v>
      </c>
      <c r="F117" s="55">
        <v>0.01</v>
      </c>
      <c r="G117" s="1"/>
      <c r="I117" s="236"/>
      <c r="J117" s="19"/>
      <c r="K117" s="19"/>
    </row>
    <row r="118" spans="1:13">
      <c r="A118" s="1" t="str">
        <f>'All Singles'!A109</f>
        <v>M120</v>
      </c>
      <c r="B118" s="1" t="str">
        <f>'All Singles'!B109</f>
        <v>B8 IVe</v>
      </c>
      <c r="C118" s="1">
        <f>'All Singles'!D109</f>
        <v>342</v>
      </c>
      <c r="D118" s="4">
        <f>'2MASS Singles'!H58</f>
        <v>-1.1281305302806732</v>
      </c>
      <c r="E118" s="4">
        <f>'2MASS Singles'!I58</f>
        <v>-1.0991305302806733</v>
      </c>
      <c r="F118" s="4">
        <f>'2MASS Singles'!J58</f>
        <v>-1.1361305302806732</v>
      </c>
      <c r="G118" s="1"/>
      <c r="I118" s="38">
        <v>6</v>
      </c>
      <c r="J118" s="19"/>
      <c r="K118" s="19"/>
    </row>
    <row r="119" spans="1:13">
      <c r="A119" s="55" t="str">
        <f>'All Singles'!A110</f>
        <v>HD 65663</v>
      </c>
      <c r="B119" s="1"/>
      <c r="C119" s="1"/>
      <c r="D119" s="55">
        <v>0.01</v>
      </c>
      <c r="E119" s="55">
        <v>0.01</v>
      </c>
      <c r="F119" s="55">
        <v>0.01</v>
      </c>
      <c r="G119" s="1"/>
      <c r="I119" s="38"/>
      <c r="J119" s="19"/>
      <c r="K119" s="19"/>
    </row>
    <row r="120" spans="1:13">
      <c r="A120" s="1" t="str">
        <f>'All Singles'!A111</f>
        <v>M126</v>
      </c>
      <c r="B120" s="1" t="str">
        <f>'All Singles'!B111</f>
        <v>B8.5 III</v>
      </c>
      <c r="C120" s="1">
        <f>'All Singles'!D111</f>
        <v>342</v>
      </c>
      <c r="D120" s="4">
        <f>'2MASS Singles'!H59</f>
        <v>-0.92313053028067316</v>
      </c>
      <c r="E120" s="4">
        <f>'2MASS Singles'!I59</f>
        <v>-0.88713053028067268</v>
      </c>
      <c r="F120" s="4">
        <f>'2MASS Singles'!J59</f>
        <v>-0.90613053028067281</v>
      </c>
      <c r="G120" s="1"/>
      <c r="I120" s="38">
        <v>7</v>
      </c>
      <c r="J120" s="19"/>
      <c r="K120" s="19"/>
    </row>
    <row r="121" spans="1:13">
      <c r="A121" s="55" t="str">
        <f>'All Singles'!A112</f>
        <v>HD 65950</v>
      </c>
      <c r="B121" s="1"/>
      <c r="C121" s="1"/>
      <c r="D121" s="55">
        <v>0.01</v>
      </c>
      <c r="E121" s="55">
        <v>0.01</v>
      </c>
      <c r="F121" s="55">
        <v>0.01</v>
      </c>
      <c r="G121" s="1"/>
      <c r="I121" s="38"/>
      <c r="J121" s="19"/>
      <c r="K121" s="19"/>
    </row>
    <row r="122" spans="1:13">
      <c r="A122" s="1" t="str">
        <f>'All Singles'!A113</f>
        <v>M129</v>
      </c>
      <c r="B122" s="1" t="str">
        <f>'All Singles'!B113</f>
        <v>B9 IV</v>
      </c>
      <c r="C122" s="1">
        <f>'All Singles'!D113</f>
        <v>342</v>
      </c>
      <c r="D122" s="4">
        <f>'2MASS Singles'!H60</f>
        <v>-0.75113053028067345</v>
      </c>
      <c r="E122" s="4">
        <f>'2MASS Singles'!I60</f>
        <v>-0.74813053028067333</v>
      </c>
      <c r="F122" s="4">
        <f>'2MASS Singles'!J60</f>
        <v>-0.81513053028067262</v>
      </c>
      <c r="G122" s="1"/>
      <c r="I122" s="38">
        <v>8</v>
      </c>
      <c r="J122" s="19"/>
      <c r="K122" s="19"/>
    </row>
    <row r="123" spans="1:13">
      <c r="A123" s="55" t="str">
        <f>'All Singles'!A114</f>
        <v>SAO 250045</v>
      </c>
      <c r="B123" s="1"/>
      <c r="C123" s="1"/>
      <c r="D123" s="55">
        <v>0.01</v>
      </c>
      <c r="E123" s="55">
        <v>0.01</v>
      </c>
      <c r="F123" s="55">
        <v>0.01</v>
      </c>
      <c r="G123" s="1"/>
      <c r="I123" s="236"/>
      <c r="J123" s="19"/>
      <c r="K123" s="19"/>
    </row>
    <row r="124" spans="1:13">
      <c r="A124" s="1" t="str">
        <f>'All Singles'!A115</f>
        <v>M13</v>
      </c>
      <c r="B124" s="1" t="str">
        <f>'All Singles'!B115</f>
        <v>B8 IV</v>
      </c>
      <c r="C124" s="1">
        <f>'All Singles'!D115</f>
        <v>342</v>
      </c>
      <c r="D124" s="4">
        <f>'2MASS Singles'!H61</f>
        <v>0.38786946971932679</v>
      </c>
      <c r="E124" s="4">
        <f>'2MASS Singles'!I61</f>
        <v>0.43286946971932672</v>
      </c>
      <c r="F124" s="4">
        <f>'2MASS Singles'!J61</f>
        <v>0.43886946971932694</v>
      </c>
      <c r="G124" s="1"/>
      <c r="I124" s="38">
        <v>9</v>
      </c>
      <c r="J124" s="19"/>
      <c r="K124" s="19"/>
    </row>
    <row r="125" spans="1:13">
      <c r="A125" s="55" t="str">
        <f>'All Singles'!A116</f>
        <v>SAO 250024</v>
      </c>
      <c r="B125" s="1"/>
      <c r="C125" s="1"/>
      <c r="D125" s="55">
        <v>0.01</v>
      </c>
      <c r="E125" s="55">
        <v>0.01</v>
      </c>
      <c r="F125" s="55">
        <v>0.01</v>
      </c>
      <c r="G125" s="1"/>
      <c r="I125" s="38"/>
      <c r="J125" s="19"/>
      <c r="K125" s="19"/>
    </row>
    <row r="126" spans="1:13">
      <c r="A126" s="1" t="str">
        <f>'All Singles'!A117</f>
        <v>M130</v>
      </c>
      <c r="B126" s="1" t="str">
        <f>'All Singles'!B117</f>
        <v>B8.5 IV</v>
      </c>
      <c r="C126" s="1">
        <f>'All Singles'!D117</f>
        <v>342</v>
      </c>
      <c r="D126" s="4">
        <f>'2MASS Singles'!H62</f>
        <v>-0.64613053028067302</v>
      </c>
      <c r="E126" s="4">
        <f>'2MASS Singles'!I62</f>
        <v>-0.57113053028067284</v>
      </c>
      <c r="F126" s="4">
        <f>'2MASS Singles'!J62</f>
        <v>-0.60613053028067299</v>
      </c>
      <c r="G126" s="1"/>
      <c r="I126" s="38">
        <v>10</v>
      </c>
      <c r="J126" s="19"/>
      <c r="K126" s="19"/>
    </row>
    <row r="127" spans="1:13">
      <c r="A127" s="55" t="str">
        <f>'All Singles'!A118</f>
        <v>HD 66066</v>
      </c>
      <c r="B127" s="1"/>
      <c r="C127" s="1"/>
      <c r="D127" s="55">
        <v>0.01</v>
      </c>
      <c r="E127" s="55">
        <v>0.01</v>
      </c>
      <c r="F127" s="55">
        <v>0.01</v>
      </c>
      <c r="G127" s="1"/>
      <c r="I127" s="38"/>
      <c r="J127" s="19"/>
      <c r="K127" s="19"/>
    </row>
    <row r="128" spans="1:13">
      <c r="A128" s="1" t="str">
        <f>'All Singles'!A119</f>
        <v>M132</v>
      </c>
      <c r="B128" s="1" t="str">
        <f>'All Singles'!B119</f>
        <v>B9 V</v>
      </c>
      <c r="C128" s="1">
        <f>'All Singles'!D119</f>
        <v>342</v>
      </c>
      <c r="D128" s="4">
        <f>'2MASS Singles'!H63</f>
        <v>0.6928694697193265</v>
      </c>
      <c r="E128" s="4">
        <f>'2MASS Singles'!I63</f>
        <v>0.67686946971932649</v>
      </c>
      <c r="F128" s="4">
        <f>'2MASS Singles'!J63</f>
        <v>0.69886946971932673</v>
      </c>
      <c r="G128" s="1"/>
      <c r="I128" s="38">
        <v>11</v>
      </c>
      <c r="J128" s="19"/>
      <c r="K128" s="19"/>
    </row>
    <row r="129" spans="1:11">
      <c r="A129" s="55" t="str">
        <f>'All Singles'!A120</f>
        <v>CD -60 1975</v>
      </c>
      <c r="B129" s="1"/>
      <c r="C129" s="1"/>
      <c r="D129" s="55">
        <v>0.01</v>
      </c>
      <c r="E129" s="55">
        <v>0.01</v>
      </c>
      <c r="F129" s="55">
        <v>0.01</v>
      </c>
      <c r="G129" s="1"/>
      <c r="I129" s="236"/>
      <c r="J129" s="19"/>
      <c r="K129" s="19"/>
    </row>
    <row r="130" spans="1:11">
      <c r="A130" s="1" t="str">
        <f>'All Singles'!A121</f>
        <v>M134</v>
      </c>
      <c r="B130" s="1" t="str">
        <f>'All Singles'!B121</f>
        <v>B3 V</v>
      </c>
      <c r="C130" s="1">
        <f>'All Singles'!D121</f>
        <v>342</v>
      </c>
      <c r="D130" s="4">
        <f>'2MASS Singles'!H64</f>
        <v>-2.1121305302806732</v>
      </c>
      <c r="E130" s="4">
        <f>'2MASS Singles'!I64</f>
        <v>-2.1751305302806729</v>
      </c>
      <c r="F130" s="4">
        <f>'2MASS Singles'!J64</f>
        <v>-2.3111305302806731</v>
      </c>
      <c r="G130" s="1"/>
      <c r="I130" s="38">
        <v>12</v>
      </c>
      <c r="J130" s="19"/>
      <c r="K130" s="19"/>
    </row>
    <row r="131" spans="1:11">
      <c r="A131" s="55" t="str">
        <f>'All Singles'!A122</f>
        <v>HD 66194</v>
      </c>
      <c r="B131" s="1"/>
      <c r="C131" s="1"/>
      <c r="D131" s="55">
        <v>0.01</v>
      </c>
      <c r="E131" s="55">
        <v>0.01</v>
      </c>
      <c r="F131" s="55">
        <v>0.01</v>
      </c>
      <c r="G131" s="1"/>
      <c r="I131" s="38"/>
      <c r="J131" s="19"/>
      <c r="K131" s="19"/>
    </row>
    <row r="132" spans="1:11">
      <c r="A132" s="1" t="str">
        <f>'All Singles'!A123</f>
        <v>M136</v>
      </c>
      <c r="B132" s="1" t="str">
        <f>'All Singles'!B123</f>
        <v>B7 III</v>
      </c>
      <c r="C132" s="1">
        <f>'All Singles'!D123</f>
        <v>342</v>
      </c>
      <c r="D132" s="4">
        <f>'2MASS Singles'!H65</f>
        <v>-1.3361305302806734</v>
      </c>
      <c r="E132" s="4">
        <f>'2MASS Singles'!I65</f>
        <v>-1.2911305302806735</v>
      </c>
      <c r="F132" s="4">
        <f>'2MASS Singles'!J65</f>
        <v>-1.3081305302806729</v>
      </c>
      <c r="G132" s="1"/>
      <c r="I132" s="38">
        <v>13</v>
      </c>
      <c r="J132" s="19"/>
      <c r="K132" s="19"/>
    </row>
    <row r="133" spans="1:11">
      <c r="A133" s="55" t="str">
        <f>'All Singles'!A124</f>
        <v>HD 66341</v>
      </c>
      <c r="B133" s="1"/>
      <c r="C133" s="1"/>
      <c r="D133" s="55">
        <v>0.01</v>
      </c>
      <c r="E133" s="55">
        <v>0.01</v>
      </c>
      <c r="F133" s="55">
        <v>0.01</v>
      </c>
      <c r="G133" s="1"/>
      <c r="I133" s="38"/>
      <c r="J133" s="19"/>
      <c r="K133" s="19"/>
    </row>
    <row r="134" spans="1:11">
      <c r="A134" s="1" t="str">
        <f>'All Singles'!A125</f>
        <v>M19</v>
      </c>
      <c r="B134" s="1" t="str">
        <f>'All Singles'!B125</f>
        <v>B9 V</v>
      </c>
      <c r="C134" s="1">
        <f>'All Singles'!D125</f>
        <v>342</v>
      </c>
      <c r="D134" s="4">
        <f>'2MASS Singles'!H66</f>
        <v>-2.9130530280673028E-2</v>
      </c>
      <c r="E134" s="4">
        <f>'2MASS Singles'!I66</f>
        <v>2.9869469719327135E-2</v>
      </c>
      <c r="F134" s="4">
        <f>'2MASS Singles'!J66</f>
        <v>-6.3130530280672836E-2</v>
      </c>
      <c r="G134" s="1"/>
      <c r="I134" s="38">
        <v>14</v>
      </c>
      <c r="J134" s="19"/>
      <c r="K134" s="19"/>
    </row>
    <row r="135" spans="1:11">
      <c r="A135" s="55" t="str">
        <f>'All Singles'!A126</f>
        <v>HD 66137</v>
      </c>
      <c r="B135" s="1"/>
      <c r="C135" s="1"/>
      <c r="D135" s="55">
        <v>0.01</v>
      </c>
      <c r="E135" s="55">
        <v>0.01</v>
      </c>
      <c r="F135" s="55">
        <v>0.01</v>
      </c>
      <c r="G135" s="1"/>
      <c r="I135" s="236"/>
      <c r="J135" s="19"/>
      <c r="K135" s="19"/>
    </row>
    <row r="136" spans="1:11">
      <c r="A136" s="25" t="str">
        <f>'All Singles'!A129</f>
        <v>M20</v>
      </c>
      <c r="B136" s="1" t="str">
        <f>'All Singles'!B129</f>
        <v>B9.5 IV</v>
      </c>
      <c r="C136" s="1">
        <f>'All Singles'!D129</f>
        <v>342</v>
      </c>
      <c r="D136" s="4">
        <f>'2MASS Singles'!H67</f>
        <v>0.68986946971932639</v>
      </c>
      <c r="E136" s="4">
        <f>'2MASS Singles'!I67</f>
        <v>0.62986946971932767</v>
      </c>
      <c r="F136" s="4">
        <f>'2MASS Singles'!J67</f>
        <v>0.57986946971932696</v>
      </c>
      <c r="G136" s="1" t="s">
        <v>845</v>
      </c>
      <c r="I136" s="38">
        <v>15</v>
      </c>
      <c r="J136" s="19"/>
      <c r="K136" s="19"/>
    </row>
    <row r="137" spans="1:11">
      <c r="A137" s="55" t="str">
        <f>'All Singles'!A130</f>
        <v>HD 66259</v>
      </c>
      <c r="B137" s="1"/>
      <c r="C137" s="1"/>
      <c r="D137" s="55">
        <v>7.0000000000000007E-2</v>
      </c>
      <c r="E137" s="55">
        <v>0.09</v>
      </c>
      <c r="F137" s="55">
        <v>0.1</v>
      </c>
      <c r="G137" s="1"/>
      <c r="I137" s="38"/>
      <c r="J137" s="19"/>
      <c r="K137" s="19"/>
    </row>
    <row r="138" spans="1:11">
      <c r="A138" s="1" t="str">
        <f>'All Singles'!A131</f>
        <v>M208</v>
      </c>
      <c r="B138" s="1" t="str">
        <f>'All Singles'!B131</f>
        <v>B9 IV</v>
      </c>
      <c r="C138" s="1">
        <f>'All Singles'!D131</f>
        <v>342</v>
      </c>
      <c r="D138" s="4">
        <f>'2MASS Singles'!H68</f>
        <v>0.56586946971932761</v>
      </c>
      <c r="E138" s="4">
        <f>'2MASS Singles'!I68</f>
        <v>0.6748694697193276</v>
      </c>
      <c r="F138" s="4">
        <f>'2MASS Singles'!J68</f>
        <v>0.55986946971932738</v>
      </c>
      <c r="G138" s="1"/>
      <c r="I138" s="38">
        <v>16</v>
      </c>
      <c r="J138" s="19"/>
      <c r="K138" s="19"/>
    </row>
    <row r="139" spans="1:11">
      <c r="A139" s="55" t="str">
        <f>'All Singles'!A132</f>
        <v>CPD -60 944</v>
      </c>
      <c r="B139" s="1"/>
      <c r="C139" s="1"/>
      <c r="D139" s="55">
        <v>0.01</v>
      </c>
      <c r="E139" s="55">
        <v>0.01</v>
      </c>
      <c r="F139" s="55">
        <v>0.01</v>
      </c>
      <c r="G139" s="1"/>
      <c r="I139" s="38"/>
      <c r="J139" s="19"/>
      <c r="K139" s="19"/>
    </row>
    <row r="140" spans="1:11">
      <c r="A140" s="1" t="str">
        <f>'All Singles'!A135</f>
        <v>M224</v>
      </c>
      <c r="B140" s="1" t="str">
        <f>'All Singles'!B135</f>
        <v>F1 V</v>
      </c>
      <c r="C140" s="1">
        <f>'All Singles'!D135</f>
        <v>342</v>
      </c>
      <c r="D140" s="4">
        <f>'2MASS Singles'!H69</f>
        <v>-2.6481305302806728</v>
      </c>
      <c r="E140" s="4">
        <f>'2MASS Singles'!I69</f>
        <v>-2.8111305302806731</v>
      </c>
      <c r="F140" s="4">
        <f>'2MASS Singles'!J69</f>
        <v>-2.9331305302806729</v>
      </c>
      <c r="G140" s="1"/>
      <c r="I140" s="38">
        <v>17</v>
      </c>
      <c r="J140" s="19"/>
      <c r="K140" s="19"/>
    </row>
    <row r="141" spans="1:11">
      <c r="A141" s="55" t="str">
        <f>'All Singles'!A136</f>
        <v>HD 64185</v>
      </c>
      <c r="B141" s="1"/>
      <c r="C141" s="1"/>
      <c r="D141" s="55">
        <v>0.01</v>
      </c>
      <c r="E141" s="55">
        <v>0.01</v>
      </c>
      <c r="F141" s="55">
        <v>0.01</v>
      </c>
      <c r="G141" s="1"/>
      <c r="I141" s="236"/>
      <c r="J141" s="19"/>
      <c r="K141" s="19"/>
    </row>
    <row r="142" spans="1:11">
      <c r="A142" s="1" t="str">
        <f>'All Singles'!A137</f>
        <v>M226</v>
      </c>
      <c r="B142" s="1" t="str">
        <f>'All Singles'!B137</f>
        <v>B8 V</v>
      </c>
      <c r="C142" s="1">
        <f>'All Singles'!D137</f>
        <v>342</v>
      </c>
      <c r="D142" s="4">
        <f>'2MASS Singles'!H70</f>
        <v>2.8694697193270002E-3</v>
      </c>
      <c r="E142" s="4">
        <f>'2MASS Singles'!I70</f>
        <v>4.5869469719327149E-2</v>
      </c>
      <c r="F142" s="4">
        <f>'2MASS Singles'!J70</f>
        <v>-1.1130530280673234E-2</v>
      </c>
      <c r="G142" s="1"/>
      <c r="I142" s="38">
        <v>18</v>
      </c>
      <c r="J142" s="19"/>
      <c r="K142" s="19"/>
    </row>
    <row r="143" spans="1:11">
      <c r="A143" s="55" t="str">
        <f>'All Singles'!A138</f>
        <v>HD 65094</v>
      </c>
      <c r="B143" s="1"/>
      <c r="C143" s="1"/>
      <c r="D143" s="55">
        <v>0.01</v>
      </c>
      <c r="E143" s="55">
        <v>0.01</v>
      </c>
      <c r="F143" s="55">
        <v>0.01</v>
      </c>
      <c r="G143" s="1"/>
      <c r="I143" s="38"/>
      <c r="J143" s="19"/>
      <c r="K143" s="19"/>
    </row>
    <row r="144" spans="1:11">
      <c r="A144" s="1" t="str">
        <f>'All Singles'!A139</f>
        <v>M23</v>
      </c>
      <c r="B144" s="1" t="str">
        <f>'All Singles'!B139</f>
        <v>B8.5 IV</v>
      </c>
      <c r="C144" s="1">
        <f>'All Singles'!D139</f>
        <v>342</v>
      </c>
      <c r="D144" s="4">
        <f>'2MASS Singles'!H71</f>
        <v>0.63686946971932734</v>
      </c>
      <c r="E144" s="4">
        <f>'2MASS Singles'!I71</f>
        <v>0.67786946971932771</v>
      </c>
      <c r="F144" s="4">
        <f>'2MASS Singles'!J71</f>
        <v>0.66386946971932659</v>
      </c>
      <c r="G144" s="1"/>
      <c r="I144" s="38">
        <v>19</v>
      </c>
      <c r="J144" s="19"/>
      <c r="K144" s="19"/>
    </row>
    <row r="145" spans="1:11">
      <c r="A145" s="55" t="str">
        <f>'All Singles'!A140</f>
        <v>HD 66409</v>
      </c>
      <c r="B145" s="1"/>
      <c r="C145" s="1"/>
      <c r="D145" s="55">
        <v>0.01</v>
      </c>
      <c r="E145" s="55">
        <v>0.01</v>
      </c>
      <c r="F145" s="55">
        <v>0.01</v>
      </c>
      <c r="G145" s="1"/>
      <c r="I145" s="38"/>
      <c r="J145" s="19"/>
      <c r="K145" s="19"/>
    </row>
    <row r="146" spans="1:11">
      <c r="A146" s="1" t="str">
        <f>'All Singles'!A143</f>
        <v>M29</v>
      </c>
      <c r="B146" s="1" t="str">
        <f>'All Singles'!B143</f>
        <v>A0 V</v>
      </c>
      <c r="C146" s="1">
        <f>'All Singles'!D143</f>
        <v>342</v>
      </c>
      <c r="D146" s="4">
        <f>'2MASS Singles'!H72</f>
        <v>0.48586946971932754</v>
      </c>
      <c r="E146" s="4">
        <f>'2MASS Singles'!I72</f>
        <v>0.46786946971932686</v>
      </c>
      <c r="F146" s="4">
        <f>'2MASS Singles'!J72</f>
        <v>0.45486946971932696</v>
      </c>
      <c r="G146" s="1"/>
      <c r="I146" s="38">
        <v>20</v>
      </c>
      <c r="J146" s="19"/>
      <c r="K146" s="19"/>
    </row>
    <row r="147" spans="1:11">
      <c r="A147" s="55" t="str">
        <f>'All Singles'!A144</f>
        <v>HD 66656</v>
      </c>
      <c r="B147" s="1"/>
      <c r="C147" s="1"/>
      <c r="D147" s="55">
        <v>0.01</v>
      </c>
      <c r="E147" s="55">
        <v>0.01</v>
      </c>
      <c r="F147" s="55">
        <v>0.01</v>
      </c>
      <c r="G147" s="1"/>
      <c r="I147" s="236"/>
      <c r="J147" s="19"/>
      <c r="K147" s="19"/>
    </row>
    <row r="148" spans="1:11">
      <c r="A148" s="1" t="str">
        <f>'All Singles'!A147</f>
        <v>M37</v>
      </c>
      <c r="B148" s="1" t="str">
        <f>'All Singles'!B147</f>
        <v>B8.5 V</v>
      </c>
      <c r="C148" s="1">
        <f>'All Singles'!D147</f>
        <v>342</v>
      </c>
      <c r="D148" s="4">
        <f>'2MASS Singles'!H73</f>
        <v>0.38186946971932656</v>
      </c>
      <c r="E148" s="4">
        <f>'2MASS Singles'!I73</f>
        <v>0.43286946971932672</v>
      </c>
      <c r="F148" s="4">
        <f>'2MASS Singles'!J73</f>
        <v>0.37486946971932689</v>
      </c>
      <c r="G148" s="1"/>
      <c r="I148" s="38">
        <v>21</v>
      </c>
      <c r="J148" s="19"/>
      <c r="K148" s="19"/>
    </row>
    <row r="149" spans="1:11">
      <c r="A149" s="55" t="str">
        <f>'All Singles'!A148</f>
        <v>CPD -60 985</v>
      </c>
      <c r="B149" s="1"/>
      <c r="C149" s="1"/>
      <c r="D149" s="55">
        <v>0.01</v>
      </c>
      <c r="E149" s="55">
        <v>0.01</v>
      </c>
      <c r="F149" s="55">
        <v>0.01</v>
      </c>
      <c r="G149" s="1"/>
      <c r="I149" s="38"/>
      <c r="J149" s="19"/>
      <c r="K149" s="19"/>
    </row>
    <row r="150" spans="1:11">
      <c r="A150" s="1" t="str">
        <f>'All Singles'!A155</f>
        <v>M5</v>
      </c>
      <c r="B150" s="1" t="str">
        <f>'All Singles'!B155</f>
        <v>B8.5 IV</v>
      </c>
      <c r="C150" s="1">
        <f>'All Singles'!D155</f>
        <v>342</v>
      </c>
      <c r="D150" s="4">
        <f>'2MASS Singles'!H74</f>
        <v>0.61786946971932721</v>
      </c>
      <c r="E150" s="4">
        <f>'2MASS Singles'!I74</f>
        <v>0.55986946971932738</v>
      </c>
      <c r="F150" s="4">
        <f>'2MASS Singles'!J74</f>
        <v>0.61786946971932721</v>
      </c>
      <c r="G150" s="1"/>
      <c r="I150" s="38">
        <v>22</v>
      </c>
      <c r="J150" s="19"/>
      <c r="K150" s="19"/>
    </row>
    <row r="151" spans="1:11">
      <c r="A151" s="55" t="str">
        <f>'All Singles'!A156</f>
        <v>CD -60 1929</v>
      </c>
      <c r="B151" s="1"/>
      <c r="C151" s="1"/>
      <c r="D151" s="55">
        <v>0.01</v>
      </c>
      <c r="E151" s="55">
        <v>0.01</v>
      </c>
      <c r="F151" s="55">
        <v>0.01</v>
      </c>
      <c r="G151" s="1"/>
      <c r="I151" s="38"/>
      <c r="J151" s="19"/>
      <c r="K151" s="19"/>
    </row>
    <row r="152" spans="1:11">
      <c r="A152" s="1" t="str">
        <f>'All Singles'!A157</f>
        <v>M83</v>
      </c>
      <c r="B152" s="1" t="str">
        <f>'All Singles'!B157</f>
        <v>B8.5 V</v>
      </c>
      <c r="C152" s="1">
        <f>'All Singles'!D157</f>
        <v>342</v>
      </c>
      <c r="D152" s="4">
        <f>'2MASS Singles'!H75</f>
        <v>0.54286946971932615</v>
      </c>
      <c r="E152" s="4">
        <f>'2MASS Singles'!I75</f>
        <v>0.53186946971932691</v>
      </c>
      <c r="F152" s="4">
        <f>'2MASS Singles'!J75</f>
        <v>0.55686946971932727</v>
      </c>
      <c r="G152" s="1"/>
      <c r="I152" s="38">
        <v>23</v>
      </c>
      <c r="J152" s="57"/>
      <c r="K152" s="19"/>
    </row>
    <row r="153" spans="1:11">
      <c r="A153" s="55" t="str">
        <f>'All Singles'!A158</f>
        <v>SAO 250042</v>
      </c>
      <c r="B153" s="1"/>
      <c r="C153" s="1"/>
      <c r="D153" s="55">
        <v>0.01</v>
      </c>
      <c r="E153" s="55">
        <v>0.01</v>
      </c>
      <c r="F153" s="55">
        <v>0.01</v>
      </c>
      <c r="G153" s="1"/>
      <c r="I153" s="236"/>
      <c r="J153" s="19"/>
      <c r="K153" s="19"/>
    </row>
    <row r="154" spans="1:11">
      <c r="A154" s="1" t="str">
        <f>'All Singles'!A163</f>
        <v>M91</v>
      </c>
      <c r="B154" s="1" t="str">
        <f>'All Singles'!B163</f>
        <v>B9 III</v>
      </c>
      <c r="C154" s="1">
        <f>'All Singles'!D163</f>
        <v>342</v>
      </c>
      <c r="D154" s="4">
        <f>'2MASS Singles'!H76</f>
        <v>0.65786946971932636</v>
      </c>
      <c r="E154" s="4">
        <f>'2MASS Singles'!I76</f>
        <v>0.69386946971932772</v>
      </c>
      <c r="F154" s="4">
        <f>'2MASS Singles'!J76</f>
        <v>0.69786946971932728</v>
      </c>
      <c r="G154" s="1"/>
      <c r="I154" s="38">
        <v>24</v>
      </c>
      <c r="J154" s="19"/>
      <c r="K154" s="19"/>
    </row>
    <row r="155" spans="1:11">
      <c r="A155" s="55" t="str">
        <f>'All Singles'!A164</f>
        <v>HD 65949</v>
      </c>
      <c r="B155" s="1"/>
      <c r="C155" s="1"/>
      <c r="D155" s="55">
        <v>0.01</v>
      </c>
      <c r="E155" s="55">
        <v>0.01</v>
      </c>
      <c r="F155" s="55">
        <v>0.01</v>
      </c>
      <c r="G155" s="1"/>
      <c r="I155" s="38"/>
      <c r="J155" s="19"/>
      <c r="K155" s="19"/>
    </row>
    <row r="156" spans="1:11">
      <c r="A156" s="62" t="s">
        <v>95</v>
      </c>
      <c r="B156" s="62" t="s">
        <v>95</v>
      </c>
      <c r="C156" s="62" t="s">
        <v>95</v>
      </c>
      <c r="D156" s="62" t="s">
        <v>95</v>
      </c>
      <c r="E156" s="62" t="s">
        <v>95</v>
      </c>
      <c r="F156" s="62" t="s">
        <v>95</v>
      </c>
      <c r="G156" s="62" t="s">
        <v>95</v>
      </c>
      <c r="H156" s="62" t="s">
        <v>95</v>
      </c>
      <c r="I156" s="57"/>
      <c r="J156" s="19"/>
      <c r="K156" s="19"/>
    </row>
    <row r="157" spans="1:11">
      <c r="A157" s="32" t="str">
        <f>'All Singles'!A105</f>
        <v>M115</v>
      </c>
      <c r="B157" s="1" t="str">
        <f>'All Singles'!B105</f>
        <v>A E</v>
      </c>
      <c r="C157" s="1">
        <f>'All Singles'!D105</f>
        <v>412</v>
      </c>
      <c r="D157" s="4">
        <f>'2MASS Singles'!H77</f>
        <v>0.62651391983432703</v>
      </c>
      <c r="E157" s="4">
        <f>'2MASS Singles'!I77</f>
        <v>0.71451391983432622</v>
      </c>
      <c r="F157" s="4">
        <f>'2MASS Singles'!J77</f>
        <v>0.67451391983432707</v>
      </c>
      <c r="G157" s="1" t="s">
        <v>842</v>
      </c>
      <c r="H157" s="1" t="s">
        <v>890</v>
      </c>
      <c r="I157" s="38">
        <v>1</v>
      </c>
      <c r="J157" s="19"/>
      <c r="K157" s="19"/>
    </row>
    <row r="158" spans="1:11">
      <c r="A158" s="55" t="str">
        <f>'All Singles'!A106</f>
        <v>HD 96430</v>
      </c>
      <c r="B158" s="1"/>
      <c r="C158" s="1"/>
      <c r="D158" s="55">
        <v>0.01</v>
      </c>
      <c r="E158" s="55">
        <v>0.01</v>
      </c>
      <c r="F158" s="55">
        <v>0.01</v>
      </c>
      <c r="G158" s="1"/>
      <c r="I158" s="38"/>
      <c r="J158" s="19"/>
      <c r="K158" s="19"/>
    </row>
    <row r="159" spans="1:11">
      <c r="A159" s="1" t="str">
        <f>'All Singles'!A127</f>
        <v>M199</v>
      </c>
      <c r="B159" s="1" t="str">
        <f>'All Singles'!B127</f>
        <v>A1 V</v>
      </c>
      <c r="C159" s="1">
        <f>'All Singles'!D127</f>
        <v>412</v>
      </c>
      <c r="D159" s="4">
        <f>'2MASS Singles'!H78</f>
        <v>-0.29148608016567312</v>
      </c>
      <c r="E159" s="4">
        <f>'2MASS Singles'!I78</f>
        <v>-0.28648608016567323</v>
      </c>
      <c r="F159" s="4">
        <f>'2MASS Singles'!J78</f>
        <v>-0.33748608016567339</v>
      </c>
      <c r="G159" s="1"/>
      <c r="I159" s="38">
        <v>2</v>
      </c>
      <c r="J159" s="19"/>
      <c r="K159" s="19"/>
    </row>
    <row r="160" spans="1:11">
      <c r="A160" s="55" t="str">
        <f>'All Singles'!A128</f>
        <v>HD 96489</v>
      </c>
      <c r="B160" s="1"/>
      <c r="C160" s="1"/>
      <c r="D160" s="55">
        <v>0.01</v>
      </c>
      <c r="E160" s="55">
        <v>0.01</v>
      </c>
      <c r="F160" s="55">
        <v>0.01</v>
      </c>
      <c r="G160" s="1"/>
      <c r="I160" s="236"/>
      <c r="J160" s="19"/>
      <c r="K160" s="19"/>
    </row>
    <row r="161" spans="1:11">
      <c r="A161" s="1" t="str">
        <f>'All Singles'!A133</f>
        <v>M215</v>
      </c>
      <c r="B161" s="1" t="str">
        <f>'All Singles'!B133</f>
        <v>B9.5 IV</v>
      </c>
      <c r="C161" s="1">
        <f>'All Singles'!D133</f>
        <v>412</v>
      </c>
      <c r="D161" s="4">
        <f>'2MASS Singles'!H79</f>
        <v>0.62651391983432703</v>
      </c>
      <c r="E161" s="4">
        <f>'2MASS Singles'!I79</f>
        <v>0.71451391983432622</v>
      </c>
      <c r="F161" s="4">
        <f>'2MASS Singles'!J79</f>
        <v>0.67451391983432707</v>
      </c>
      <c r="G161" s="1"/>
      <c r="I161" s="38">
        <v>3</v>
      </c>
      <c r="J161" s="19"/>
      <c r="K161" s="19"/>
    </row>
    <row r="162" spans="1:11">
      <c r="A162" s="55" t="str">
        <f>'All Singles'!A134</f>
        <v>HD 96430</v>
      </c>
      <c r="B162" s="1"/>
      <c r="C162" s="1"/>
      <c r="D162" s="55">
        <v>0.01</v>
      </c>
      <c r="E162" s="55">
        <v>0.01</v>
      </c>
      <c r="F162" s="55">
        <v>0.01</v>
      </c>
      <c r="G162" s="1"/>
      <c r="I162" s="38"/>
      <c r="J162" s="19"/>
      <c r="K162" s="19"/>
    </row>
    <row r="163" spans="1:11">
      <c r="A163" s="1" t="str">
        <f>'All Singles'!A145</f>
        <v>M337</v>
      </c>
      <c r="B163" s="1" t="str">
        <f>'All Singles'!B145</f>
        <v>A0 IV</v>
      </c>
      <c r="C163" s="1">
        <f>'All Singles'!D145</f>
        <v>412</v>
      </c>
      <c r="D163" s="4">
        <f>'2MASS Singles'!H80</f>
        <v>0.1335139198343267</v>
      </c>
      <c r="E163" s="4">
        <f>'2MASS Singles'!I80</f>
        <v>0.19251391983432597</v>
      </c>
      <c r="F163" s="4">
        <f>'2MASS Singles'!J80</f>
        <v>0.17951391983432607</v>
      </c>
      <c r="G163" s="1"/>
      <c r="I163" s="38">
        <v>4</v>
      </c>
      <c r="J163" s="19"/>
      <c r="K163" s="19"/>
    </row>
    <row r="164" spans="1:11">
      <c r="A164" s="55" t="str">
        <f>'All Singles'!A146</f>
        <v>HD 96668</v>
      </c>
      <c r="B164" s="1"/>
      <c r="C164" s="1"/>
      <c r="D164" s="55">
        <v>0.01</v>
      </c>
      <c r="E164" s="55">
        <v>0.01</v>
      </c>
      <c r="F164" s="55">
        <v>0.01</v>
      </c>
      <c r="G164" s="1"/>
      <c r="I164" s="38"/>
      <c r="J164" s="19"/>
      <c r="K164" s="19"/>
    </row>
    <row r="165" spans="1:11">
      <c r="A165" s="1" t="str">
        <f>'All Singles'!A149</f>
        <v>M40</v>
      </c>
      <c r="B165" s="1" t="str">
        <f>'All Singles'!B149</f>
        <v>A0 IV</v>
      </c>
      <c r="C165" s="1">
        <f>'All Singles'!D149</f>
        <v>412</v>
      </c>
      <c r="D165" s="4">
        <f>'2MASS Singles'!H81</f>
        <v>3.7513919834326614E-2</v>
      </c>
      <c r="E165" s="4">
        <f>'2MASS Singles'!I81</f>
        <v>9.4513919834326998E-2</v>
      </c>
      <c r="F165" s="4">
        <f>'2MASS Singles'!J81</f>
        <v>4.4513919834326288E-2</v>
      </c>
      <c r="G165" s="1"/>
      <c r="I165" s="38">
        <v>5</v>
      </c>
      <c r="J165" s="19"/>
      <c r="K165" s="19"/>
    </row>
    <row r="166" spans="1:11">
      <c r="A166" s="55" t="str">
        <f>'All Singles'!A150</f>
        <v>HD 96227</v>
      </c>
      <c r="B166" s="1"/>
      <c r="C166" s="1"/>
      <c r="D166" s="55">
        <v>0.01</v>
      </c>
      <c r="E166" s="55">
        <v>0.01</v>
      </c>
      <c r="F166" s="55">
        <v>0.01</v>
      </c>
      <c r="G166" s="1"/>
      <c r="I166" s="236"/>
      <c r="J166" s="19"/>
      <c r="K166" s="19"/>
    </row>
    <row r="167" spans="1:11">
      <c r="A167" s="1" t="str">
        <f>'All Singles'!A151</f>
        <v>M409</v>
      </c>
      <c r="B167" s="1" t="str">
        <f>'All Singles'!B151</f>
        <v>B8</v>
      </c>
      <c r="C167" s="1">
        <f>'All Singles'!D151</f>
        <v>412</v>
      </c>
      <c r="D167" s="4">
        <f>'2MASS Singles'!H82</f>
        <v>0.14051391983432637</v>
      </c>
      <c r="E167" s="4">
        <f>'2MASS Singles'!I82</f>
        <v>0.1935139198343272</v>
      </c>
      <c r="F167" s="4">
        <f>'2MASS Singles'!J82</f>
        <v>0.20951391983432721</v>
      </c>
      <c r="G167" s="1"/>
      <c r="I167" s="38">
        <v>6</v>
      </c>
      <c r="J167" s="19"/>
      <c r="K167" s="19"/>
    </row>
    <row r="168" spans="1:11">
      <c r="A168" s="55" t="str">
        <f>'All Singles'!A152</f>
        <v>HD 96226</v>
      </c>
      <c r="B168" s="1"/>
      <c r="C168" s="1"/>
      <c r="D168" s="55">
        <v>0.01</v>
      </c>
      <c r="E168" s="55">
        <v>0.01</v>
      </c>
      <c r="F168" s="55">
        <v>0.01</v>
      </c>
      <c r="G168" s="1"/>
      <c r="I168" s="38"/>
      <c r="J168" s="19"/>
      <c r="K168" s="19"/>
    </row>
    <row r="169" spans="1:11">
      <c r="A169" s="1" t="str">
        <f>'All Singles'!A153</f>
        <v>M49</v>
      </c>
      <c r="B169" s="1" t="str">
        <f>'All Singles'!B153</f>
        <v>A0 IV</v>
      </c>
      <c r="C169" s="1">
        <f>'All Singles'!D153</f>
        <v>412</v>
      </c>
      <c r="D169" s="4">
        <f>'2MASS Singles'!H83</f>
        <v>0.46451391983432622</v>
      </c>
      <c r="E169" s="4">
        <f>'2MASS Singles'!I83</f>
        <v>0.53151391983432639</v>
      </c>
      <c r="F169" s="4">
        <f>'2MASS Singles'!J83</f>
        <v>0.46851391983432578</v>
      </c>
      <c r="G169" s="1"/>
      <c r="I169" s="38">
        <v>7</v>
      </c>
      <c r="J169" s="19"/>
      <c r="K169" s="19"/>
    </row>
    <row r="170" spans="1:11">
      <c r="A170" s="55" t="str">
        <f>'All Singles'!A154</f>
        <v>HD 96305</v>
      </c>
      <c r="B170" s="1"/>
      <c r="C170" s="1"/>
      <c r="D170" s="55">
        <v>0.01</v>
      </c>
      <c r="E170" s="55">
        <v>0.01</v>
      </c>
      <c r="F170" s="55">
        <v>0.01</v>
      </c>
      <c r="G170" s="1"/>
      <c r="I170" s="38"/>
      <c r="J170" s="19"/>
      <c r="K170" s="19"/>
    </row>
    <row r="171" spans="1:11">
      <c r="A171" s="1" t="str">
        <f>'All Singles'!A161</f>
        <v>M89</v>
      </c>
      <c r="B171" s="1" t="str">
        <f>'All Singles'!B161</f>
        <v>A2IV D</v>
      </c>
      <c r="C171" s="1">
        <f>'All Singles'!D161</f>
        <v>412</v>
      </c>
      <c r="D171" s="4">
        <f>'2MASS Singles'!H84</f>
        <v>0.22251391983432711</v>
      </c>
      <c r="E171" s="4">
        <f>'2MASS Singles'!I84</f>
        <v>0.20051391983432687</v>
      </c>
      <c r="F171" s="4">
        <f>'2MASS Singles'!J84</f>
        <v>0.14851391983432727</v>
      </c>
      <c r="G171" s="1"/>
      <c r="I171" s="38">
        <v>8</v>
      </c>
      <c r="J171" s="19"/>
      <c r="K171" s="19"/>
    </row>
    <row r="172" spans="1:11">
      <c r="A172" s="55" t="str">
        <f>'All Singles'!A162</f>
        <v>CPD -58 3102</v>
      </c>
      <c r="B172" s="1"/>
      <c r="C172" s="1"/>
      <c r="D172" s="55">
        <v>0.01</v>
      </c>
      <c r="E172" s="55">
        <v>0.01</v>
      </c>
      <c r="F172" s="55">
        <v>0.01</v>
      </c>
      <c r="G172" s="1"/>
      <c r="I172" s="236"/>
      <c r="J172" s="19"/>
      <c r="K172" s="19"/>
    </row>
    <row r="173" spans="1:11">
      <c r="A173" s="25" t="str">
        <f>'All Singles'!A165</f>
        <v>M345</v>
      </c>
      <c r="B173" s="25" t="str">
        <f>'All Singles'!B165</f>
        <v>A0IV</v>
      </c>
      <c r="C173" s="25">
        <f>'All Singles'!$D$165</f>
        <v>412</v>
      </c>
      <c r="D173" s="4">
        <f>'2MASS Singles'!H85</f>
        <v>-0.8664860801656733</v>
      </c>
      <c r="E173" s="4">
        <f>'2MASS Singles'!I85</f>
        <v>-0.88748608016567321</v>
      </c>
      <c r="F173" s="4">
        <f>'2MASS Singles'!J85</f>
        <v>-0.87648608016567309</v>
      </c>
      <c r="G173" s="25" t="str">
        <f>'All Singles'!$G$165</f>
        <v>added from binary section</v>
      </c>
      <c r="H173" s="19"/>
      <c r="I173" s="38">
        <v>9</v>
      </c>
      <c r="J173" s="19"/>
      <c r="K173" s="19"/>
    </row>
    <row r="174" spans="1:11">
      <c r="A174" s="58" t="str">
        <f>'All Singles'!A166</f>
        <v>HD 96620</v>
      </c>
      <c r="B174" s="58"/>
      <c r="C174" s="58"/>
      <c r="D174" s="55">
        <v>0.01</v>
      </c>
      <c r="E174" s="55">
        <v>0.01</v>
      </c>
      <c r="F174" s="55">
        <v>0.01</v>
      </c>
      <c r="G174" s="19"/>
      <c r="H174" s="58"/>
      <c r="I174" s="38"/>
      <c r="J174" s="19"/>
      <c r="K174" s="19"/>
    </row>
    <row r="175" spans="1:11">
      <c r="A175" s="1" t="str">
        <f>'All Singles'!A228</f>
        <v>M361</v>
      </c>
      <c r="B175" s="1" t="str">
        <f>'All Singles'!B228</f>
        <v>A0 IV</v>
      </c>
      <c r="C175" s="1">
        <f>'All Singles'!D228</f>
        <v>412</v>
      </c>
      <c r="D175" s="4">
        <f>'2MASS Singles'!H86</f>
        <v>0.17051391983432573</v>
      </c>
      <c r="E175" s="4">
        <f>'2MASS Singles'!I86</f>
        <v>0.16051391983432595</v>
      </c>
      <c r="F175" s="4">
        <f>'2MASS Singles'!J86</f>
        <v>0.1205139198343268</v>
      </c>
      <c r="G175" s="1"/>
      <c r="I175" s="38">
        <v>10</v>
      </c>
      <c r="J175" s="19"/>
      <c r="K175" s="19"/>
    </row>
    <row r="176" spans="1:11">
      <c r="A176" s="55" t="str">
        <f>'All Singles'!A229</f>
        <v>HD 96653</v>
      </c>
      <c r="B176" s="1"/>
      <c r="C176" s="1"/>
      <c r="D176" s="55">
        <v>0.01</v>
      </c>
      <c r="E176" s="55">
        <v>0.01</v>
      </c>
      <c r="F176" s="55">
        <v>0.01</v>
      </c>
      <c r="G176" s="1"/>
      <c r="I176" s="38"/>
      <c r="J176" s="19"/>
      <c r="K176" s="19"/>
    </row>
    <row r="177" spans="1:11">
      <c r="A177" s="1" t="str">
        <f>'All Singles'!A230</f>
        <v>M420</v>
      </c>
      <c r="B177" s="1" t="str">
        <f>'All Singles'!B230</f>
        <v>A0 III</v>
      </c>
      <c r="C177" s="1">
        <f>'All Singles'!D230</f>
        <v>412</v>
      </c>
      <c r="D177" s="4">
        <f>'2MASS Singles'!H87</f>
        <v>-7.9486080165673378E-2</v>
      </c>
      <c r="E177" s="4">
        <f>'2MASS Singles'!I87</f>
        <v>-4.8486080165673684E-2</v>
      </c>
      <c r="F177" s="4">
        <f>'2MASS Singles'!J87</f>
        <v>-4.4486080165674124E-2</v>
      </c>
      <c r="G177" s="1"/>
      <c r="I177" s="38">
        <v>11</v>
      </c>
      <c r="J177" s="19"/>
      <c r="K177" s="19"/>
    </row>
    <row r="178" spans="1:11">
      <c r="A178" s="55" t="str">
        <f>'All Singles'!A231</f>
        <v>HD 96059</v>
      </c>
      <c r="B178" s="1"/>
      <c r="C178" s="1"/>
      <c r="D178" s="55">
        <v>0.01</v>
      </c>
      <c r="E178" s="55">
        <v>0.01</v>
      </c>
      <c r="F178" s="55">
        <v>0.01</v>
      </c>
      <c r="G178" s="1"/>
      <c r="I178" s="236"/>
      <c r="J178" s="19"/>
      <c r="K178" s="19"/>
    </row>
    <row r="179" spans="1:11">
      <c r="A179" s="1" t="str">
        <f>'All Singles'!A232</f>
        <v>M495</v>
      </c>
      <c r="B179" s="1" t="str">
        <f>'All Singles'!B232</f>
        <v>A0</v>
      </c>
      <c r="C179" s="1">
        <f>'All Singles'!D232</f>
        <v>412</v>
      </c>
      <c r="D179" s="4">
        <f>'2MASS Singles'!H88</f>
        <v>0.24751391983432569</v>
      </c>
      <c r="E179" s="4">
        <f>'2MASS Singles'!I88</f>
        <v>0.27651391983432738</v>
      </c>
      <c r="F179" s="4">
        <f>'2MASS Singles'!J88</f>
        <v>0.29951391983432707</v>
      </c>
      <c r="G179" s="1"/>
      <c r="I179" s="38">
        <v>12</v>
      </c>
      <c r="J179" s="19"/>
      <c r="K179" s="19"/>
    </row>
    <row r="180" spans="1:11">
      <c r="A180" s="55" t="str">
        <f>'All Singles'!A233</f>
        <v>HD 96755</v>
      </c>
      <c r="B180" s="1"/>
      <c r="C180" s="1"/>
      <c r="D180" s="55">
        <v>0.01</v>
      </c>
      <c r="E180" s="55">
        <v>0.01</v>
      </c>
      <c r="F180" s="55">
        <v>0.01</v>
      </c>
      <c r="G180" s="1"/>
      <c r="I180" s="38"/>
      <c r="J180" s="19"/>
      <c r="K180" s="19"/>
    </row>
    <row r="181" spans="1:11">
      <c r="A181" s="1" t="str">
        <f>'All Singles'!A234</f>
        <v>M586</v>
      </c>
      <c r="B181" s="1" t="str">
        <f>'All Singles'!B234</f>
        <v>A0 V</v>
      </c>
      <c r="C181" s="1">
        <f>'All Singles'!D234</f>
        <v>412</v>
      </c>
      <c r="D181" s="4">
        <f>'2MASS Singles'!H89</f>
        <v>0.18851391983432642</v>
      </c>
      <c r="E181" s="4">
        <f>'2MASS Singles'!I89</f>
        <v>0.19751391983432676</v>
      </c>
      <c r="F181" s="4">
        <f>'2MASS Singles'!J89</f>
        <v>9.8513919834326558E-2</v>
      </c>
      <c r="G181" s="1"/>
      <c r="I181" s="38">
        <v>13</v>
      </c>
      <c r="J181" s="57"/>
      <c r="K181" s="19"/>
    </row>
    <row r="182" spans="1:11">
      <c r="A182" s="55" t="str">
        <f>'All Singles'!A235</f>
        <v>HD 96058</v>
      </c>
      <c r="B182" s="1"/>
      <c r="C182" s="1"/>
      <c r="D182" s="55">
        <v>0.01</v>
      </c>
      <c r="E182" s="55">
        <v>0.01</v>
      </c>
      <c r="F182" s="55">
        <v>0.01</v>
      </c>
      <c r="G182" s="1"/>
      <c r="I182" s="38"/>
      <c r="J182" s="19"/>
      <c r="K182" s="19"/>
    </row>
    <row r="183" spans="1:11">
      <c r="A183" s="1" t="str">
        <f>'All Singles'!A236</f>
        <v>M623</v>
      </c>
      <c r="B183" s="1" t="str">
        <f>'All Singles'!B236</f>
        <v>F0 III</v>
      </c>
      <c r="C183" s="1">
        <f>'All Singles'!D236</f>
        <v>412</v>
      </c>
      <c r="D183" s="4">
        <f>'2MASS Singles'!H90</f>
        <v>-1.1974860801656737</v>
      </c>
      <c r="E183" s="4">
        <f>'2MASS Singles'!I90</f>
        <v>-1.3584860801656733</v>
      </c>
      <c r="F183" s="4">
        <f>'2MASS Singles'!J90</f>
        <v>-1.4804860801656732</v>
      </c>
      <c r="G183" s="1"/>
      <c r="I183" s="38">
        <v>14</v>
      </c>
      <c r="J183" s="19"/>
      <c r="K183" s="19"/>
    </row>
    <row r="184" spans="1:11">
      <c r="A184" s="55" t="str">
        <f>'All Singles'!A237</f>
        <v>HD 96898</v>
      </c>
      <c r="B184" s="1"/>
      <c r="C184" s="1"/>
      <c r="D184" s="55">
        <v>0.01</v>
      </c>
      <c r="E184" s="55">
        <v>0.01</v>
      </c>
      <c r="F184" s="55">
        <v>0.01</v>
      </c>
      <c r="G184" s="1"/>
      <c r="I184" s="236"/>
      <c r="J184" s="19"/>
      <c r="K184" s="19"/>
    </row>
    <row r="185" spans="1:11">
      <c r="A185" s="1" t="str">
        <f>'All Singles'!A238</f>
        <v>M633</v>
      </c>
      <c r="B185" s="1" t="str">
        <f>'All Singles'!B238</f>
        <v>B0 II</v>
      </c>
      <c r="C185" s="1">
        <f>'All Singles'!D238</f>
        <v>412</v>
      </c>
      <c r="D185" s="4">
        <f>'2MASS Singles'!H91</f>
        <v>0.19751391983432676</v>
      </c>
      <c r="E185" s="4">
        <f>'2MASS Singles'!I91</f>
        <v>0.1985139198343262</v>
      </c>
      <c r="F185" s="4">
        <f>'2MASS Singles'!J91</f>
        <v>0.21651391983432688</v>
      </c>
      <c r="G185" s="1"/>
      <c r="I185" s="38">
        <v>15</v>
      </c>
      <c r="J185" s="19"/>
      <c r="K185" s="19"/>
    </row>
    <row r="186" spans="1:11">
      <c r="A186" s="55" t="str">
        <f>'All Singles'!A239</f>
        <v>HD 96895</v>
      </c>
      <c r="B186" s="1"/>
      <c r="C186" s="1"/>
      <c r="D186" s="55">
        <v>0.01</v>
      </c>
      <c r="E186" s="55">
        <v>0.01</v>
      </c>
      <c r="F186" s="55">
        <v>0.01</v>
      </c>
      <c r="G186" s="1"/>
      <c r="I186" s="38"/>
      <c r="J186" s="19"/>
      <c r="K186" s="19"/>
    </row>
    <row r="187" spans="1:11">
      <c r="A187" s="62" t="s">
        <v>96</v>
      </c>
      <c r="B187" s="62" t="s">
        <v>96</v>
      </c>
      <c r="C187" s="62" t="s">
        <v>96</v>
      </c>
      <c r="D187" s="62" t="s">
        <v>96</v>
      </c>
      <c r="E187" s="62" t="s">
        <v>96</v>
      </c>
      <c r="F187" s="62" t="s">
        <v>96</v>
      </c>
      <c r="G187" s="62" t="s">
        <v>96</v>
      </c>
      <c r="H187" s="62" t="s">
        <v>96</v>
      </c>
      <c r="I187" s="19"/>
      <c r="J187" s="19"/>
      <c r="K187" s="19"/>
    </row>
    <row r="188" spans="1:11">
      <c r="A188" s="1" t="str">
        <f>'All Singles'!A29</f>
        <v>R40</v>
      </c>
      <c r="B188" s="1" t="str">
        <f>'All Singles'!B29</f>
        <v>B8 V</v>
      </c>
      <c r="C188" s="1">
        <f>'All Singles'!D29</f>
        <v>149</v>
      </c>
      <c r="D188" s="4">
        <f>'2MASS Singles'!H92</f>
        <v>0.56506865793863081</v>
      </c>
      <c r="E188" s="4">
        <f>'2MASS Singles'!I92</f>
        <v>0.64306865793863111</v>
      </c>
      <c r="F188" s="4">
        <f>'2MASS Singles'!J92</f>
        <v>0.60206865793863074</v>
      </c>
      <c r="G188" s="1"/>
      <c r="H188" s="1" t="s">
        <v>891</v>
      </c>
      <c r="I188" s="38">
        <v>1</v>
      </c>
      <c r="J188" s="19"/>
      <c r="K188" s="19"/>
    </row>
    <row r="189" spans="1:11">
      <c r="A189" s="55" t="str">
        <f>'All Singles'!A30</f>
        <v>HD 92536</v>
      </c>
      <c r="B189" s="1"/>
      <c r="C189" s="1"/>
      <c r="D189" s="55">
        <v>0.01</v>
      </c>
      <c r="E189" s="55">
        <v>0.01</v>
      </c>
      <c r="F189" s="55">
        <v>0.01</v>
      </c>
      <c r="G189" s="1"/>
      <c r="I189" s="38"/>
      <c r="J189" s="19"/>
      <c r="K189" s="19"/>
    </row>
    <row r="190" spans="1:11">
      <c r="A190" s="1" t="str">
        <f>'All Singles'!A31</f>
        <v>R47</v>
      </c>
      <c r="B190" s="1" t="str">
        <f>'All Singles'!B31</f>
        <v>B8 III</v>
      </c>
      <c r="C190" s="1">
        <f>'All Singles'!D31</f>
        <v>149</v>
      </c>
      <c r="D190" s="4">
        <f>'2MASS Singles'!H93</f>
        <v>-7.6931342061369534E-2</v>
      </c>
      <c r="E190" s="4">
        <f>'2MASS Singles'!I93</f>
        <v>1.0686579386307571E-3</v>
      </c>
      <c r="F190" s="4">
        <f>'2MASS Singles'!J93</f>
        <v>1.0068657938631098E-2</v>
      </c>
      <c r="G190" s="1"/>
      <c r="I190" s="38">
        <v>2</v>
      </c>
      <c r="J190" s="19"/>
      <c r="K190" s="19"/>
    </row>
    <row r="191" spans="1:11">
      <c r="A191" s="55" t="str">
        <f>'All Singles'!A32</f>
        <v>HD 92664</v>
      </c>
      <c r="B191" s="1"/>
      <c r="C191" s="1"/>
      <c r="D191" s="55">
        <v>0.01</v>
      </c>
      <c r="E191" s="55">
        <v>0.01</v>
      </c>
      <c r="F191" s="55">
        <v>0.01</v>
      </c>
      <c r="G191" s="1"/>
      <c r="I191" s="236"/>
      <c r="J191" s="19"/>
      <c r="K191" s="19"/>
    </row>
    <row r="192" spans="1:11">
      <c r="A192" s="1" t="str">
        <f>'All Singles'!A33</f>
        <v>R51</v>
      </c>
      <c r="B192" s="1" t="str">
        <f>'All Singles'!B33</f>
        <v>B9.5 V</v>
      </c>
      <c r="C192" s="1">
        <f>'All Singles'!D33</f>
        <v>149</v>
      </c>
      <c r="D192" s="4">
        <f>'2MASS Singles'!H94</f>
        <v>0.9240686579386308</v>
      </c>
      <c r="E192" s="4">
        <f>'2MASS Singles'!I94</f>
        <v>0.95806865793863061</v>
      </c>
      <c r="F192" s="4">
        <f>'2MASS Singles'!J94</f>
        <v>0.89706865793863066</v>
      </c>
      <c r="G192" s="1"/>
      <c r="I192" s="38">
        <v>3</v>
      </c>
      <c r="J192" s="19"/>
      <c r="K192" s="19"/>
    </row>
    <row r="193" spans="1:11">
      <c r="A193" s="55" t="str">
        <f>'All Singles'!A34</f>
        <v>HD 92715</v>
      </c>
      <c r="B193" s="1"/>
      <c r="C193" s="1"/>
      <c r="D193" s="55">
        <v>0.01</v>
      </c>
      <c r="E193" s="55">
        <v>0.01</v>
      </c>
      <c r="F193" s="55">
        <v>0.01</v>
      </c>
      <c r="G193" s="1"/>
      <c r="I193" s="38"/>
      <c r="J193" s="19"/>
      <c r="K193" s="19"/>
    </row>
    <row r="194" spans="1:11">
      <c r="A194" s="1" t="str">
        <f>'All Singles'!A35</f>
        <v>R65</v>
      </c>
      <c r="B194" s="1" t="str">
        <f>'All Singles'!B35</f>
        <v>B3 V</v>
      </c>
      <c r="C194" s="1">
        <f>'All Singles'!D35</f>
        <v>149</v>
      </c>
      <c r="D194" s="4">
        <f>'2MASS Singles'!H95</f>
        <v>-0.80993134206136919</v>
      </c>
      <c r="E194" s="4">
        <f>'2MASS Singles'!I95</f>
        <v>-0.75693134206136925</v>
      </c>
      <c r="F194" s="4">
        <f>'2MASS Singles'!J95</f>
        <v>-0.77193134206136893</v>
      </c>
      <c r="G194" s="1"/>
      <c r="I194" s="38">
        <v>4</v>
      </c>
      <c r="J194" s="19"/>
      <c r="K194" s="19"/>
    </row>
    <row r="195" spans="1:11">
      <c r="A195" s="55" t="str">
        <f>'All Singles'!A36</f>
        <v>HD 93194</v>
      </c>
      <c r="B195" s="1"/>
      <c r="C195" s="1"/>
      <c r="D195" s="55">
        <v>0.01</v>
      </c>
      <c r="E195" s="55">
        <v>0.01</v>
      </c>
      <c r="F195" s="55">
        <v>0.01</v>
      </c>
      <c r="G195" s="1"/>
      <c r="I195" s="38"/>
      <c r="J195" s="19"/>
      <c r="K195" s="19"/>
    </row>
    <row r="196" spans="1:11">
      <c r="A196" s="1" t="str">
        <f>'All Singles'!A37</f>
        <v>W12</v>
      </c>
      <c r="B196" s="1" t="str">
        <f>'All Singles'!B37</f>
        <v>B9 V</v>
      </c>
      <c r="C196" s="1">
        <f>'All Singles'!D37</f>
        <v>149</v>
      </c>
      <c r="D196" s="4">
        <f>'2MASS Singles'!H96</f>
        <v>0.91806865793863057</v>
      </c>
      <c r="E196" s="4">
        <f>'2MASS Singles'!I96</f>
        <v>0.94506865793863071</v>
      </c>
      <c r="F196" s="4">
        <f>'2MASS Singles'!J96</f>
        <v>0.92906865793863069</v>
      </c>
      <c r="G196" s="1"/>
      <c r="I196" s="38">
        <v>5</v>
      </c>
      <c r="J196" s="19"/>
      <c r="K196" s="19"/>
    </row>
    <row r="197" spans="1:11">
      <c r="A197" s="55" t="str">
        <f>'All Singles'!A38</f>
        <v>HD 92783</v>
      </c>
      <c r="B197" s="1"/>
      <c r="C197" s="1"/>
      <c r="D197" s="55">
        <v>0.01</v>
      </c>
      <c r="E197" s="55">
        <v>0.01</v>
      </c>
      <c r="F197" s="55">
        <v>0.01</v>
      </c>
      <c r="G197" s="1"/>
      <c r="I197" s="236"/>
      <c r="J197" s="19"/>
      <c r="K197" s="19"/>
    </row>
    <row r="198" spans="1:11">
      <c r="A198" s="1" t="str">
        <f>'All Singles'!A39</f>
        <v>W15</v>
      </c>
      <c r="B198" s="1" t="str">
        <f>'All Singles'!B39</f>
        <v>B3 V</v>
      </c>
      <c r="C198" s="1">
        <f>'All Singles'!D39</f>
        <v>149</v>
      </c>
      <c r="D198" s="4">
        <f>'2MASS Singles'!H97</f>
        <v>-0.79593134206136895</v>
      </c>
      <c r="E198" s="4">
        <f>'2MASS Singles'!I97</f>
        <v>-0.71993134206136933</v>
      </c>
      <c r="F198" s="4">
        <f>'2MASS Singles'!J97</f>
        <v>-0.73293134206136923</v>
      </c>
      <c r="G198" s="1"/>
      <c r="I198" s="38">
        <v>6</v>
      </c>
      <c r="J198" s="19"/>
      <c r="K198" s="19"/>
    </row>
    <row r="199" spans="1:11">
      <c r="A199" s="55" t="str">
        <f>'All Singles'!A40</f>
        <v>HD 92938</v>
      </c>
      <c r="B199" s="1"/>
      <c r="C199" s="1"/>
      <c r="D199" s="55">
        <v>0.01</v>
      </c>
      <c r="E199" s="55">
        <v>0.01</v>
      </c>
      <c r="F199" s="55">
        <v>0.01</v>
      </c>
      <c r="G199" s="1"/>
      <c r="I199" s="38"/>
      <c r="J199" s="19"/>
      <c r="K199" s="19"/>
    </row>
    <row r="200" spans="1:11">
      <c r="A200" s="1" t="str">
        <f>'All Singles'!A41</f>
        <v>W16</v>
      </c>
      <c r="B200" s="1" t="str">
        <f>'All Singles'!B41</f>
        <v>B9.5 V</v>
      </c>
      <c r="C200" s="1">
        <f>'All Singles'!D41</f>
        <v>149</v>
      </c>
      <c r="D200" s="4">
        <f>'2MASS Singles'!H98</f>
        <v>1.3520686579386307</v>
      </c>
      <c r="E200" s="4">
        <f>'2MASS Singles'!I98</f>
        <v>1.4170686579386311</v>
      </c>
      <c r="F200" s="4">
        <f>'2MASS Singles'!J98</f>
        <v>1.374068657938631</v>
      </c>
      <c r="G200" s="1"/>
      <c r="I200" s="38">
        <v>7</v>
      </c>
      <c r="J200" s="19"/>
      <c r="K200" s="19"/>
    </row>
    <row r="201" spans="1:11">
      <c r="A201" s="55" t="str">
        <f>'All Singles'!A42</f>
        <v>HD 92966</v>
      </c>
      <c r="B201" s="1"/>
      <c r="C201" s="1"/>
      <c r="D201" s="55">
        <v>0.01</v>
      </c>
      <c r="E201" s="55">
        <v>0.01</v>
      </c>
      <c r="F201" s="55">
        <v>0.01</v>
      </c>
      <c r="G201" s="1"/>
      <c r="I201" s="38"/>
      <c r="J201" s="19"/>
      <c r="K201" s="19"/>
    </row>
    <row r="202" spans="1:11">
      <c r="A202" s="1" t="str">
        <f>'All Singles'!A43</f>
        <v>W17</v>
      </c>
      <c r="B202" s="1" t="str">
        <f>'All Singles'!B43</f>
        <v>A0.5 V</v>
      </c>
      <c r="C202" s="1">
        <f>'All Singles'!D43</f>
        <v>149</v>
      </c>
      <c r="D202" s="4">
        <f>'2MASS Singles'!H99</f>
        <v>1.6280686579386305</v>
      </c>
      <c r="E202" s="4">
        <f>'2MASS Singles'!I99</f>
        <v>1.6690686579386309</v>
      </c>
      <c r="F202" s="4">
        <f>'2MASS Singles'!J99</f>
        <v>1.6010686579386304</v>
      </c>
      <c r="G202" s="1"/>
      <c r="I202" s="38">
        <v>8</v>
      </c>
      <c r="J202" s="19"/>
      <c r="K202" s="19"/>
    </row>
    <row r="203" spans="1:11">
      <c r="A203" s="55" t="str">
        <f>'All Singles'!A44</f>
        <v>HD 92989</v>
      </c>
      <c r="B203" s="1"/>
      <c r="C203" s="1"/>
      <c r="D203" s="55">
        <v>0.01</v>
      </c>
      <c r="E203" s="55">
        <v>0.01</v>
      </c>
      <c r="F203" s="55">
        <v>0.01</v>
      </c>
      <c r="G203" s="1"/>
      <c r="I203" s="236"/>
      <c r="J203" s="19"/>
      <c r="K203" s="19"/>
    </row>
    <row r="204" spans="1:11">
      <c r="A204" s="1" t="str">
        <f>'All Singles'!A46</f>
        <v>B10</v>
      </c>
      <c r="B204" s="1" t="str">
        <f>'All Singles'!B46</f>
        <v>B8 II</v>
      </c>
      <c r="C204" s="1">
        <f>'All Singles'!D46</f>
        <v>149</v>
      </c>
      <c r="D204" s="4">
        <f>'2MASS Singles'!H100</f>
        <v>2.7900686579386313</v>
      </c>
      <c r="E204" s="4">
        <f>'2MASS Singles'!I100</f>
        <v>2.7480686579386315</v>
      </c>
      <c r="F204" s="4">
        <f>'2MASS Singles'!J100</f>
        <v>2.7420686579386313</v>
      </c>
      <c r="G204" s="1"/>
      <c r="I204" s="38">
        <v>9</v>
      </c>
      <c r="J204" s="19"/>
      <c r="K204" s="19"/>
    </row>
    <row r="205" spans="1:11">
      <c r="A205" s="55" t="str">
        <f>'All Singles'!A47</f>
        <v>HD 91959</v>
      </c>
      <c r="B205" s="1"/>
      <c r="C205" s="1"/>
      <c r="D205" s="55">
        <v>0.01</v>
      </c>
      <c r="E205" s="55">
        <v>0.01</v>
      </c>
      <c r="F205" s="55">
        <v>0.01</v>
      </c>
      <c r="G205" s="1"/>
      <c r="I205" s="38"/>
      <c r="J205" s="19"/>
      <c r="K205" s="19"/>
    </row>
    <row r="206" spans="1:11">
      <c r="A206" s="1" t="str">
        <f>'All Singles'!A48</f>
        <v>B14</v>
      </c>
      <c r="B206" s="1" t="str">
        <f>'All Singles'!B48</f>
        <v>G8 III</v>
      </c>
      <c r="C206" s="1">
        <f>'All Singles'!D48</f>
        <v>149</v>
      </c>
      <c r="D206" s="4">
        <f>'2MASS Singles'!H101</f>
        <v>0.7600686579386311</v>
      </c>
      <c r="E206" s="4">
        <f>'2MASS Singles'!I101</f>
        <v>0.16306865793863068</v>
      </c>
      <c r="F206" s="4">
        <f>'2MASS Singles'!J101</f>
        <v>1.6068657938630437E-2</v>
      </c>
      <c r="G206" s="1"/>
      <c r="I206" s="38">
        <v>10</v>
      </c>
      <c r="J206" s="19"/>
      <c r="K206" s="19"/>
    </row>
    <row r="207" spans="1:11">
      <c r="A207" s="55" t="str">
        <f>'All Singles'!A49</f>
        <v>HD 92175</v>
      </c>
      <c r="B207" s="1"/>
      <c r="C207" s="1"/>
      <c r="D207" s="55">
        <v>0.01</v>
      </c>
      <c r="E207" s="55">
        <v>0.01</v>
      </c>
      <c r="F207" s="55">
        <v>0.01</v>
      </c>
      <c r="G207" s="1"/>
      <c r="I207" s="38"/>
      <c r="J207" s="19"/>
      <c r="K207" s="19"/>
    </row>
    <row r="208" spans="1:11">
      <c r="A208" s="1" t="str">
        <f>'All Singles'!A50</f>
        <v>B36</v>
      </c>
      <c r="B208" s="1" t="str">
        <f>'All Singles'!B50</f>
        <v>A1 IV</v>
      </c>
      <c r="C208" s="1">
        <f>'All Singles'!D50</f>
        <v>149</v>
      </c>
      <c r="D208" s="4">
        <f>'2MASS Singles'!H102</f>
        <v>2.5060686579386307</v>
      </c>
      <c r="E208" s="4">
        <f>'2MASS Singles'!I102</f>
        <v>2.3910686579386304</v>
      </c>
      <c r="F208" s="4">
        <f>'2MASS Singles'!J102</f>
        <v>2.2710686579386312</v>
      </c>
      <c r="G208" s="1"/>
      <c r="I208" s="38">
        <v>11</v>
      </c>
      <c r="J208" s="19"/>
      <c r="K208" s="19"/>
    </row>
    <row r="209" spans="1:11">
      <c r="A209" s="55" t="str">
        <f>'All Singles'!A51</f>
        <v>HD 93012</v>
      </c>
      <c r="B209" s="1"/>
      <c r="C209" s="1"/>
      <c r="D209" s="55">
        <v>0.01</v>
      </c>
      <c r="E209" s="55">
        <v>0.01</v>
      </c>
      <c r="F209" s="55">
        <v>0.01</v>
      </c>
      <c r="G209" s="1"/>
      <c r="I209" s="236"/>
      <c r="J209" s="19"/>
      <c r="K209" s="19"/>
    </row>
    <row r="210" spans="1:11">
      <c r="A210" s="1" t="str">
        <f>'All Singles'!A52</f>
        <v>B46</v>
      </c>
      <c r="B210" s="1" t="str">
        <f>'All Singles'!B52</f>
        <v>K4</v>
      </c>
      <c r="C210" s="1">
        <f>'All Singles'!D52</f>
        <v>149</v>
      </c>
      <c r="D210" s="4">
        <f>'2MASS Singles'!H103</f>
        <v>6.0068657938630921E-2</v>
      </c>
      <c r="E210" s="4">
        <f>'2MASS Singles'!I103</f>
        <v>-0.68393134206136885</v>
      </c>
      <c r="F210" s="4">
        <f>'2MASS Singles'!J103</f>
        <v>-0.94593134206136931</v>
      </c>
      <c r="G210" s="1"/>
      <c r="I210" s="38">
        <v>12</v>
      </c>
      <c r="J210" s="19"/>
      <c r="K210" s="19"/>
    </row>
    <row r="211" spans="1:11">
      <c r="A211" s="55" t="str">
        <f>'All Singles'!A53</f>
        <v>HD 93505</v>
      </c>
      <c r="B211" s="1"/>
      <c r="C211" s="1"/>
      <c r="D211" s="55">
        <v>0.01</v>
      </c>
      <c r="E211" s="55">
        <v>0.01</v>
      </c>
      <c r="F211" s="55">
        <v>0.01</v>
      </c>
      <c r="G211" s="1"/>
      <c r="I211" s="38"/>
      <c r="J211" s="19"/>
      <c r="K211" s="19"/>
    </row>
    <row r="212" spans="1:11">
      <c r="A212" s="1" t="str">
        <f>'All Singles'!A54</f>
        <v>B5</v>
      </c>
      <c r="B212" s="1" t="str">
        <f>'All Singles'!B54</f>
        <v>A1 V</v>
      </c>
      <c r="C212" s="1">
        <f>'All Singles'!D54</f>
        <v>149</v>
      </c>
      <c r="D212" s="4">
        <f>'2MASS Singles'!H104</f>
        <v>2.1170686579386304</v>
      </c>
      <c r="E212" s="4">
        <f>'2MASS Singles'!I104</f>
        <v>2.1310686579386307</v>
      </c>
      <c r="F212" s="4">
        <f>'2MASS Singles'!J104</f>
        <v>2.0410686579386308</v>
      </c>
      <c r="G212" s="1"/>
      <c r="I212" s="38">
        <v>13</v>
      </c>
      <c r="J212" s="19"/>
      <c r="K212" s="19"/>
    </row>
    <row r="213" spans="1:11">
      <c r="A213" s="55" t="str">
        <f>'All Singles'!A55</f>
        <v>HD 91839</v>
      </c>
      <c r="B213" s="1"/>
      <c r="C213" s="1"/>
      <c r="D213" s="55">
        <v>0.01</v>
      </c>
      <c r="E213" s="55">
        <v>0.01</v>
      </c>
      <c r="F213" s="55">
        <v>0.01</v>
      </c>
      <c r="G213" s="1"/>
      <c r="I213" s="38"/>
      <c r="J213" s="19"/>
      <c r="K213" s="19"/>
    </row>
    <row r="214" spans="1:11">
      <c r="A214" s="1" t="str">
        <f>'All Singles'!A70</f>
        <v>R7</v>
      </c>
      <c r="B214" s="32" t="str">
        <f>'All Singles'!B70</f>
        <v>???</v>
      </c>
      <c r="C214" s="1">
        <f>'All Singles'!D70</f>
        <v>149</v>
      </c>
      <c r="D214" s="4">
        <f>'2MASS Singles'!H105</f>
        <v>2.5780686579386316</v>
      </c>
      <c r="E214" s="4">
        <f>'2MASS Singles'!I105</f>
        <v>2.4010686579386302</v>
      </c>
      <c r="F214" s="4">
        <f>'2MASS Singles'!J105</f>
        <v>2.3460686579386305</v>
      </c>
      <c r="G214" s="1"/>
      <c r="I214" s="38">
        <v>14</v>
      </c>
      <c r="J214" s="19"/>
      <c r="K214" s="19"/>
    </row>
    <row r="215" spans="1:11">
      <c r="A215" s="55" t="str">
        <f>'All Singles'!A71</f>
        <v>GSC 08960-01942</v>
      </c>
      <c r="B215" s="1"/>
      <c r="C215" s="1"/>
      <c r="D215" s="55">
        <v>0.01</v>
      </c>
      <c r="E215" s="55">
        <v>0.01</v>
      </c>
      <c r="F215" s="55">
        <v>0.01</v>
      </c>
      <c r="G215" s="1"/>
      <c r="I215" s="236"/>
      <c r="J215" s="19"/>
      <c r="K215" s="19"/>
    </row>
    <row r="216" spans="1:11">
      <c r="A216" s="1" t="str">
        <f>'All Singles'!A72</f>
        <v>R79</v>
      </c>
      <c r="B216" s="1" t="str">
        <f>'All Singles'!B72</f>
        <v>F2 V</v>
      </c>
      <c r="C216" s="1">
        <f>'All Singles'!D72</f>
        <v>149</v>
      </c>
      <c r="D216" s="4">
        <f>'2MASS Singles'!H106</f>
        <v>2.4230686579386305</v>
      </c>
      <c r="E216" s="4">
        <f>'2MASS Singles'!I106</f>
        <v>2.19306865793863</v>
      </c>
      <c r="F216" s="4">
        <f>'2MASS Singles'!J106</f>
        <v>2.1230686579386306</v>
      </c>
      <c r="G216" s="1"/>
      <c r="I216" s="38">
        <v>15</v>
      </c>
      <c r="J216" s="19"/>
      <c r="K216" s="19"/>
    </row>
    <row r="217" spans="1:11">
      <c r="A217" s="55" t="str">
        <f>'All Singles'!A73</f>
        <v>HD 93405</v>
      </c>
      <c r="B217" s="1"/>
      <c r="C217" s="1"/>
      <c r="D217" s="55">
        <v>0.01</v>
      </c>
      <c r="E217" s="55">
        <v>0.01</v>
      </c>
      <c r="F217" s="55">
        <v>0.01</v>
      </c>
      <c r="G217" s="1"/>
      <c r="I217" s="38"/>
      <c r="J217" s="19"/>
      <c r="K217" s="19"/>
    </row>
    <row r="218" spans="1:11">
      <c r="A218" s="1" t="str">
        <f>'All Singles'!A74</f>
        <v>W28</v>
      </c>
      <c r="B218" s="1" t="str">
        <f>'All Singles'!B74</f>
        <v>F7 V</v>
      </c>
      <c r="C218" s="1">
        <f>'All Singles'!D74</f>
        <v>149</v>
      </c>
      <c r="D218" s="4">
        <f>'2MASS Singles'!H107</f>
        <v>1.5060686579386307</v>
      </c>
      <c r="E218" s="4">
        <f>'2MASS Singles'!I107</f>
        <v>1.2500686579386304</v>
      </c>
      <c r="F218" s="4">
        <f>'2MASS Singles'!J107</f>
        <v>1.1490686579386304</v>
      </c>
      <c r="G218" s="1"/>
      <c r="I218" s="38">
        <v>16</v>
      </c>
      <c r="J218" s="19"/>
      <c r="K218" s="19"/>
    </row>
    <row r="219" spans="1:11">
      <c r="A219" s="55" t="str">
        <f>'All Singles'!A75</f>
        <v>HD 93600</v>
      </c>
      <c r="B219" s="1"/>
      <c r="C219" s="1"/>
      <c r="D219" s="55">
        <v>0.01</v>
      </c>
      <c r="E219" s="55">
        <v>0.01</v>
      </c>
      <c r="F219" s="55">
        <v>0.01</v>
      </c>
      <c r="G219" s="1"/>
      <c r="I219" s="38"/>
      <c r="J219" s="19"/>
      <c r="K219" s="19"/>
    </row>
    <row r="220" spans="1:11">
      <c r="A220" s="1" t="str">
        <f>'All Singles'!A76</f>
        <v>W29</v>
      </c>
      <c r="B220" s="1" t="str">
        <f>'All Singles'!B76</f>
        <v>B4 V</v>
      </c>
      <c r="C220" s="1">
        <f>'All Singles'!D76</f>
        <v>149</v>
      </c>
      <c r="D220" s="4">
        <f>'2MASS Singles'!H108</f>
        <v>-0.67993134206136929</v>
      </c>
      <c r="E220" s="4">
        <f>'2MASS Singles'!I108</f>
        <v>-0.63093134206136892</v>
      </c>
      <c r="F220" s="4">
        <f>'2MASS Singles'!J108</f>
        <v>-0.62493134206136958</v>
      </c>
      <c r="G220" s="1"/>
      <c r="I220" s="38">
        <v>17</v>
      </c>
      <c r="J220" s="19"/>
      <c r="K220" s="19"/>
    </row>
    <row r="221" spans="1:11">
      <c r="A221" s="55" t="str">
        <f>'All Singles'!A77</f>
        <v>HD 93607</v>
      </c>
      <c r="B221" s="1"/>
      <c r="C221" s="1"/>
      <c r="D221" s="55">
        <v>0.01</v>
      </c>
      <c r="E221" s="55">
        <v>0.01</v>
      </c>
      <c r="F221" s="55">
        <v>0.01</v>
      </c>
      <c r="G221" s="1"/>
      <c r="I221" s="236"/>
      <c r="J221" s="19"/>
      <c r="K221" s="19"/>
    </row>
    <row r="222" spans="1:11">
      <c r="A222" s="1" t="str">
        <f>'All Singles'!A78</f>
        <v>W41</v>
      </c>
      <c r="B222" s="1" t="str">
        <f>'All Singles'!B78</f>
        <v>G5</v>
      </c>
      <c r="C222" s="1">
        <f>'All Singles'!D78</f>
        <v>149</v>
      </c>
      <c r="D222" s="4">
        <f>'2MASS Singles'!H109</f>
        <v>2.2050686579386305</v>
      </c>
      <c r="E222" s="4">
        <f>'2MASS Singles'!I109</f>
        <v>1.8620686579386305</v>
      </c>
      <c r="F222" s="4">
        <f>'2MASS Singles'!J109</f>
        <v>1.7740686579386304</v>
      </c>
      <c r="G222" s="1"/>
      <c r="I222" s="38">
        <v>18</v>
      </c>
      <c r="J222" s="19"/>
      <c r="K222" s="19"/>
    </row>
    <row r="223" spans="1:11">
      <c r="A223" s="55" t="str">
        <f>'All Singles'!A79</f>
        <v>HD 307842</v>
      </c>
      <c r="B223" s="1"/>
      <c r="C223" s="1"/>
      <c r="D223" s="55">
        <v>0.01</v>
      </c>
      <c r="E223" s="55">
        <v>0.01</v>
      </c>
      <c r="F223" s="55">
        <v>0.01</v>
      </c>
      <c r="G223" s="1"/>
      <c r="I223" s="38"/>
      <c r="J223" s="19"/>
      <c r="K223" s="19"/>
    </row>
    <row r="224" spans="1:11">
      <c r="A224" s="1" t="str">
        <f>'All Singles'!A80</f>
        <v>W5</v>
      </c>
      <c r="B224" s="1" t="str">
        <f>'All Singles'!B80</f>
        <v>A5 V</v>
      </c>
      <c r="C224" s="1">
        <f>'All Singles'!D80</f>
        <v>149</v>
      </c>
      <c r="D224" s="4">
        <f>'2MASS Singles'!H110</f>
        <v>1.9360686579386304</v>
      </c>
      <c r="E224" s="4">
        <f>'2MASS Singles'!I110</f>
        <v>1.9110686579386309</v>
      </c>
      <c r="F224" s="4">
        <f>'2MASS Singles'!J110</f>
        <v>1.8520686579386307</v>
      </c>
      <c r="G224" s="1"/>
      <c r="I224" s="38">
        <v>19</v>
      </c>
      <c r="J224" s="19"/>
      <c r="K224" s="19"/>
    </row>
    <row r="225" spans="1:11">
      <c r="A225" s="55" t="str">
        <f>'All Singles'!A81</f>
        <v>HD 92535</v>
      </c>
      <c r="B225" s="1"/>
      <c r="C225" s="1"/>
      <c r="D225" s="55">
        <v>0.01</v>
      </c>
      <c r="E225" s="55">
        <v>0.01</v>
      </c>
      <c r="F225" s="55">
        <v>0.01</v>
      </c>
      <c r="G225" s="1"/>
      <c r="I225" s="38"/>
      <c r="J225" s="19"/>
      <c r="K225" s="19"/>
    </row>
    <row r="226" spans="1:11">
      <c r="A226" s="1" t="str">
        <f>'All Singles'!A82</f>
        <v>W62</v>
      </c>
      <c r="B226" s="1" t="str">
        <f>'All Singles'!B82</f>
        <v>A3 IV</v>
      </c>
      <c r="C226" s="1">
        <f>'All Singles'!D82</f>
        <v>149</v>
      </c>
      <c r="D226" s="4">
        <f>'2MASS Singles'!H111</f>
        <v>2.0130686579386303</v>
      </c>
      <c r="E226" s="4">
        <f>'2MASS Singles'!I111</f>
        <v>1.9870686579386305</v>
      </c>
      <c r="F226" s="4">
        <f>'2MASS Singles'!J111</f>
        <v>1.930068657938631</v>
      </c>
      <c r="G226" s="1"/>
      <c r="I226" s="38">
        <v>20</v>
      </c>
      <c r="J226" s="19"/>
      <c r="K226" s="19"/>
    </row>
    <row r="227" spans="1:11">
      <c r="A227" s="55" t="str">
        <f>'All Singles'!A83</f>
        <v>HD 93874</v>
      </c>
      <c r="B227" s="1"/>
      <c r="C227" s="1"/>
      <c r="D227" s="55">
        <v>0.01</v>
      </c>
      <c r="E227" s="55">
        <v>0.01</v>
      </c>
      <c r="F227" s="55">
        <v>0.01</v>
      </c>
      <c r="G227" s="1"/>
      <c r="I227" s="236"/>
      <c r="J227" s="19"/>
      <c r="K227" s="19"/>
    </row>
    <row r="228" spans="1:11">
      <c r="A228" s="1" t="str">
        <f>'All Singles'!A84</f>
        <v>W63</v>
      </c>
      <c r="B228" s="1" t="str">
        <f>'All Singles'!B84</f>
        <v>F5 IV</v>
      </c>
      <c r="C228" s="1">
        <f>'All Singles'!D84</f>
        <v>149</v>
      </c>
      <c r="D228" s="4">
        <f>'2MASS Singles'!H112</f>
        <v>2.1540686579386303</v>
      </c>
      <c r="E228" s="4">
        <f>'2MASS Singles'!I112</f>
        <v>1.9330686579386311</v>
      </c>
      <c r="F228" s="4">
        <f>'2MASS Singles'!J112</f>
        <v>1.9130686579386307</v>
      </c>
      <c r="G228" s="1"/>
      <c r="I228" s="38">
        <v>21</v>
      </c>
      <c r="J228" s="19"/>
      <c r="K228" s="19"/>
    </row>
    <row r="229" spans="1:11">
      <c r="A229" s="55" t="str">
        <f>'All Singles'!A85</f>
        <v>HD 93892</v>
      </c>
      <c r="B229" s="1"/>
      <c r="C229" s="1"/>
      <c r="D229" s="55">
        <v>0.01</v>
      </c>
      <c r="E229" s="55">
        <v>0.01</v>
      </c>
      <c r="F229" s="55">
        <v>0.01</v>
      </c>
      <c r="G229" s="1"/>
      <c r="I229" s="38"/>
      <c r="J229" s="19"/>
      <c r="K229" s="19"/>
    </row>
    <row r="230" spans="1:11">
      <c r="A230" s="1" t="str">
        <f>'All Singles'!A86</f>
        <v>W7</v>
      </c>
      <c r="B230" s="1" t="str">
        <f>'All Singles'!B86</f>
        <v>A7</v>
      </c>
      <c r="C230" s="1">
        <f>'All Singles'!D86</f>
        <v>149</v>
      </c>
      <c r="D230" s="4">
        <f>'2MASS Singles'!H113</f>
        <v>1.8970686579386307</v>
      </c>
      <c r="E230" s="4">
        <f>'2MASS Singles'!I113</f>
        <v>1.7180686579386304</v>
      </c>
      <c r="F230" s="4">
        <f>'2MASS Singles'!J113</f>
        <v>1.680068657938631</v>
      </c>
      <c r="G230" s="1"/>
      <c r="I230" s="38">
        <v>22</v>
      </c>
      <c r="J230" s="19"/>
      <c r="K230" s="19"/>
    </row>
    <row r="231" spans="1:11">
      <c r="A231" s="55" t="str">
        <f>'All Singles'!A87</f>
        <v>HD 92568</v>
      </c>
      <c r="B231" s="1"/>
      <c r="C231" s="1"/>
      <c r="D231" s="55">
        <v>0.01</v>
      </c>
      <c r="E231" s="55">
        <v>0.01</v>
      </c>
      <c r="F231" s="55">
        <v>0.01</v>
      </c>
      <c r="G231" s="1"/>
      <c r="I231" s="38"/>
      <c r="J231" s="19"/>
      <c r="K231" s="19"/>
    </row>
    <row r="232" spans="1:11">
      <c r="A232" s="1" t="str">
        <f>'All Singles'!A90</f>
        <v>R41</v>
      </c>
      <c r="B232" s="1" t="str">
        <f>'All Singles'!B90</f>
        <v>F6 V</v>
      </c>
      <c r="C232" s="1">
        <f>'All Singles'!D90</f>
        <v>149</v>
      </c>
      <c r="D232" s="28">
        <f>'2MASS Singles'!H114</f>
        <v>2.624068657938631</v>
      </c>
      <c r="E232" s="28">
        <f>'2MASS Singles'!I114</f>
        <v>2.4750686579386301</v>
      </c>
      <c r="F232" s="28">
        <f>'2MASS Singles'!J114</f>
        <v>2.3800686579386312</v>
      </c>
      <c r="G232" s="1"/>
      <c r="I232" s="38">
        <v>23</v>
      </c>
      <c r="J232" s="19"/>
      <c r="K232" s="19"/>
    </row>
    <row r="233" spans="1:11">
      <c r="A233" s="55" t="str">
        <f>'All Singles'!A91</f>
        <v>HD 92570</v>
      </c>
      <c r="B233" s="1"/>
      <c r="C233" s="1"/>
      <c r="D233" s="58">
        <v>0.01</v>
      </c>
      <c r="E233" s="58">
        <v>0.01</v>
      </c>
      <c r="F233" s="58">
        <v>0.01</v>
      </c>
      <c r="G233" s="1"/>
      <c r="I233" s="236"/>
      <c r="J233" s="19"/>
      <c r="K233" s="19"/>
    </row>
    <row r="234" spans="1:11">
      <c r="D234" s="1"/>
      <c r="E234" s="1"/>
      <c r="I234" s="19"/>
    </row>
    <row r="235" spans="1:11">
      <c r="D235" s="1"/>
      <c r="E235" s="1"/>
      <c r="I235" s="19"/>
    </row>
    <row r="236" spans="1:11">
      <c r="I236" s="19"/>
    </row>
    <row r="237" spans="1:11">
      <c r="I237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T14"/>
  <sheetViews>
    <sheetView workbookViewId="0">
      <selection activeCell="G22" sqref="G22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6" customWidth="1"/>
    <col min="6" max="6" width="6.83203125" customWidth="1"/>
    <col min="7" max="7" width="5.6640625" customWidth="1"/>
    <col min="8" max="8" width="10.83203125" customWidth="1"/>
    <col min="9" max="9" width="9.6640625" customWidth="1"/>
    <col min="10" max="10" width="10.6640625" customWidth="1"/>
    <col min="11" max="11" width="8.1640625" customWidth="1"/>
    <col min="12" max="12" width="17.33203125" customWidth="1"/>
    <col min="13" max="13" width="13.1640625" customWidth="1"/>
    <col min="15" max="15" width="12.5" customWidth="1"/>
    <col min="16" max="16" width="11.1640625" customWidth="1"/>
    <col min="17" max="17" width="13.6640625" customWidth="1"/>
    <col min="18" max="18" width="12.33203125" customWidth="1"/>
    <col min="19" max="19" width="1.33203125" customWidth="1"/>
    <col min="20" max="20" width="47.83203125" customWidth="1"/>
    <col min="21" max="21" width="4.83203125" customWidth="1"/>
  </cols>
  <sheetData>
    <row r="1" spans="1:20">
      <c r="A1" s="87" t="s">
        <v>90</v>
      </c>
      <c r="B1" s="88" t="s">
        <v>142</v>
      </c>
      <c r="C1" s="88" t="s">
        <v>141</v>
      </c>
      <c r="D1" s="88" t="s">
        <v>126</v>
      </c>
      <c r="E1" s="88" t="s">
        <v>128</v>
      </c>
      <c r="F1" s="88" t="s">
        <v>129</v>
      </c>
      <c r="G1" s="89" t="s">
        <v>130</v>
      </c>
      <c r="H1" s="87" t="s">
        <v>142</v>
      </c>
      <c r="I1" s="88" t="s">
        <v>127</v>
      </c>
      <c r="J1" s="88" t="s">
        <v>141</v>
      </c>
      <c r="K1" s="88" t="s">
        <v>126</v>
      </c>
      <c r="L1" s="89" t="s">
        <v>844</v>
      </c>
      <c r="M1" s="87" t="s">
        <v>132</v>
      </c>
      <c r="N1" s="88" t="s">
        <v>131</v>
      </c>
      <c r="O1" s="88" t="s">
        <v>133</v>
      </c>
      <c r="P1" s="88" t="s">
        <v>134</v>
      </c>
      <c r="Q1" s="88" t="s">
        <v>135</v>
      </c>
      <c r="R1" s="89" t="s">
        <v>136</v>
      </c>
      <c r="S1" s="15"/>
      <c r="T1" s="24" t="s">
        <v>138</v>
      </c>
    </row>
    <row r="2" spans="1:20">
      <c r="A2" s="110" t="s">
        <v>91</v>
      </c>
      <c r="B2" s="91">
        <v>175</v>
      </c>
      <c r="C2" s="91">
        <v>45</v>
      </c>
      <c r="D2" s="91">
        <v>8.0000000000000002E-3</v>
      </c>
      <c r="E2" s="111">
        <v>0.9</v>
      </c>
      <c r="F2" s="91">
        <v>-143.9</v>
      </c>
      <c r="G2" s="112">
        <v>-17.5</v>
      </c>
      <c r="H2" s="90">
        <f>(E2^2+F2^2+G2^2)^0.5</f>
        <v>144.96299527810538</v>
      </c>
      <c r="I2" s="91">
        <v>7.88</v>
      </c>
      <c r="J2" s="92">
        <f>10^I2/10^6</f>
        <v>75.857757502918602</v>
      </c>
      <c r="K2" s="92">
        <v>0.01</v>
      </c>
      <c r="L2" s="93">
        <v>50</v>
      </c>
      <c r="M2" s="90">
        <f>H2-B2</f>
        <v>-30.037004721894618</v>
      </c>
      <c r="N2" s="101">
        <f>ABS(M2/B2)*100</f>
        <v>17.164002698225499</v>
      </c>
      <c r="O2" s="92">
        <f>J2-C2</f>
        <v>30.857757502918602</v>
      </c>
      <c r="P2" s="92">
        <f>ABS(O2/J2)*100</f>
        <v>40.678446764961855</v>
      </c>
      <c r="Q2" s="92">
        <f>K2-D2</f>
        <v>2E-3</v>
      </c>
      <c r="R2" s="102">
        <f>ABS(Q2/K2)*100</f>
        <v>20</v>
      </c>
      <c r="S2" s="15"/>
      <c r="T2" s="1" t="s">
        <v>139</v>
      </c>
    </row>
    <row r="3" spans="1:20">
      <c r="A3" s="110"/>
      <c r="B3" s="91"/>
      <c r="C3" s="91"/>
      <c r="D3" s="91"/>
      <c r="E3" s="111"/>
      <c r="F3" s="91"/>
      <c r="G3" s="112"/>
      <c r="H3" s="94">
        <v>2.5</v>
      </c>
      <c r="I3" s="91"/>
      <c r="J3" s="92"/>
      <c r="K3" s="92"/>
      <c r="L3" s="95">
        <v>5</v>
      </c>
      <c r="M3" s="90"/>
      <c r="N3" s="101"/>
      <c r="O3" s="92"/>
      <c r="P3" s="92"/>
      <c r="Q3" s="92"/>
      <c r="R3" s="102"/>
      <c r="S3" s="15"/>
      <c r="T3" s="1"/>
    </row>
    <row r="4" spans="1:20">
      <c r="A4" s="110" t="s">
        <v>92</v>
      </c>
      <c r="B4" s="91">
        <v>300</v>
      </c>
      <c r="C4" s="91">
        <v>300</v>
      </c>
      <c r="D4" s="91">
        <v>0.10299999999999999</v>
      </c>
      <c r="E4" s="111">
        <v>268.7</v>
      </c>
      <c r="F4" s="91">
        <v>-19.600000000000001</v>
      </c>
      <c r="G4" s="112">
        <v>-21</v>
      </c>
      <c r="H4" s="90">
        <f>(E4^2+F4^2+G4^2)^0.5</f>
        <v>270.23110479735675</v>
      </c>
      <c r="I4" s="91">
        <v>8.2200000000000006</v>
      </c>
      <c r="J4" s="92">
        <f>10^I4/10^6</f>
        <v>165.95869074375659</v>
      </c>
      <c r="K4" s="92">
        <v>0.06</v>
      </c>
      <c r="L4" s="93">
        <v>220</v>
      </c>
      <c r="M4" s="90">
        <f>H4-B4</f>
        <v>-29.76889520264325</v>
      </c>
      <c r="N4" s="101">
        <f>ABS(M4/B4)*100</f>
        <v>9.9229650675477501</v>
      </c>
      <c r="O4" s="92">
        <f>J4-C4</f>
        <v>-134.04130925624341</v>
      </c>
      <c r="P4" s="92">
        <f>ABS(O4/J4)*100</f>
        <v>80.767875822306749</v>
      </c>
      <c r="Q4" s="92">
        <f>K4-D4</f>
        <v>-4.2999999999999997E-2</v>
      </c>
      <c r="R4" s="102">
        <f>ABS(Q4/K4)*100</f>
        <v>71.666666666666671</v>
      </c>
      <c r="S4" s="15"/>
      <c r="T4" s="1" t="s">
        <v>140</v>
      </c>
    </row>
    <row r="5" spans="1:20">
      <c r="A5" s="110"/>
      <c r="B5" s="91"/>
      <c r="C5" s="91"/>
      <c r="D5" s="91"/>
      <c r="E5" s="111"/>
      <c r="F5" s="91"/>
      <c r="G5" s="112"/>
      <c r="H5" s="94">
        <v>10</v>
      </c>
      <c r="I5" s="91">
        <v>0.06</v>
      </c>
      <c r="J5" s="92"/>
      <c r="K5" s="92"/>
      <c r="L5" s="95">
        <v>50</v>
      </c>
      <c r="M5" s="90"/>
      <c r="N5" s="101"/>
      <c r="O5" s="92"/>
      <c r="P5" s="92"/>
      <c r="Q5" s="92"/>
      <c r="R5" s="102"/>
      <c r="S5" s="15"/>
      <c r="T5" s="1"/>
    </row>
    <row r="6" spans="1:20">
      <c r="A6" s="110" t="s">
        <v>93</v>
      </c>
      <c r="B6" s="91">
        <v>300</v>
      </c>
      <c r="C6" s="91">
        <v>45</v>
      </c>
      <c r="D6" s="91">
        <v>5.5E-2</v>
      </c>
      <c r="E6" s="111">
        <v>-54.8</v>
      </c>
      <c r="F6" s="91">
        <v>-173.4</v>
      </c>
      <c r="G6" s="112">
        <v>-24.6</v>
      </c>
      <c r="H6" s="90">
        <f>(E6^2+F6^2+G6^2)^0.5</f>
        <v>183.50956378347152</v>
      </c>
      <c r="I6" s="91">
        <v>7.76</v>
      </c>
      <c r="J6" s="92">
        <f>10^I6/10^6</f>
        <v>57.543993733715723</v>
      </c>
      <c r="K6" s="96">
        <v>0</v>
      </c>
      <c r="L6" s="93">
        <v>54</v>
      </c>
      <c r="M6" s="90">
        <f>H6-B6</f>
        <v>-116.49043621652848</v>
      </c>
      <c r="N6" s="101">
        <f>ABS(M6/B6)*100</f>
        <v>38.830145405509491</v>
      </c>
      <c r="O6" s="92">
        <f>J6-C6</f>
        <v>12.543993733715723</v>
      </c>
      <c r="P6" s="92">
        <f>ABS(O6/J6)*100</f>
        <v>21.798962706278143</v>
      </c>
      <c r="Q6" s="92">
        <f>K6-D6</f>
        <v>-5.5E-2</v>
      </c>
      <c r="R6" s="102" t="s">
        <v>51</v>
      </c>
      <c r="S6" s="15"/>
      <c r="T6" s="1" t="s">
        <v>137</v>
      </c>
    </row>
    <row r="7" spans="1:20">
      <c r="A7" s="110"/>
      <c r="B7" s="91"/>
      <c r="C7" s="91"/>
      <c r="D7" s="91"/>
      <c r="E7" s="111"/>
      <c r="F7" s="91"/>
      <c r="G7" s="112"/>
      <c r="H7" s="94">
        <v>3.7</v>
      </c>
      <c r="I7" s="91"/>
      <c r="J7" s="92"/>
      <c r="K7" s="92"/>
      <c r="L7" s="95">
        <v>8</v>
      </c>
      <c r="M7" s="90"/>
      <c r="N7" s="101"/>
      <c r="O7" s="92"/>
      <c r="P7" s="92"/>
      <c r="Q7" s="92"/>
      <c r="R7" s="102"/>
      <c r="S7" s="15"/>
      <c r="T7" s="1"/>
    </row>
    <row r="8" spans="1:20">
      <c r="A8" s="110" t="s">
        <v>94</v>
      </c>
      <c r="B8" s="91">
        <v>410</v>
      </c>
      <c r="C8" s="91">
        <v>110</v>
      </c>
      <c r="D8" s="91">
        <v>0.10100000000000001</v>
      </c>
      <c r="E8" s="111">
        <v>21.5</v>
      </c>
      <c r="F8" s="91">
        <v>-328.7</v>
      </c>
      <c r="G8" s="112">
        <v>-93.7</v>
      </c>
      <c r="H8" s="90">
        <f>(E8^2+F8^2+G8^2)^0.5</f>
        <v>342.46989648726787</v>
      </c>
      <c r="I8" s="91">
        <v>8.08</v>
      </c>
      <c r="J8" s="92">
        <f>10^I8/10^6</f>
        <v>120.2264434617414</v>
      </c>
      <c r="K8" s="92">
        <v>0.12</v>
      </c>
      <c r="L8" s="97">
        <v>120</v>
      </c>
      <c r="M8" s="90">
        <f>H8-B8</f>
        <v>-67.530103512732126</v>
      </c>
      <c r="N8" s="101">
        <f>ABS(M8/B8)*100</f>
        <v>16.470756954324909</v>
      </c>
      <c r="O8" s="92">
        <f>J8-C8</f>
        <v>10.226443461741397</v>
      </c>
      <c r="P8" s="92">
        <f>ABS(O8/J8)*100</f>
        <v>8.5059851787062701</v>
      </c>
      <c r="Q8" s="92">
        <f>K8-D8</f>
        <v>1.8999999999999989E-2</v>
      </c>
      <c r="R8" s="102">
        <f>ABS(Q8/K8)*100</f>
        <v>15.833333333333325</v>
      </c>
      <c r="S8" s="15"/>
      <c r="T8" s="1" t="s">
        <v>143</v>
      </c>
    </row>
    <row r="9" spans="1:20">
      <c r="A9" s="110"/>
      <c r="B9" s="91"/>
      <c r="C9" s="91"/>
      <c r="D9" s="91"/>
      <c r="E9" s="111"/>
      <c r="F9" s="91"/>
      <c r="G9" s="112"/>
      <c r="H9" s="94">
        <v>11</v>
      </c>
      <c r="I9" s="91"/>
      <c r="J9" s="92"/>
      <c r="K9" s="92"/>
      <c r="L9" s="95">
        <v>25</v>
      </c>
      <c r="M9" s="90"/>
      <c r="N9" s="101"/>
      <c r="O9" s="92"/>
      <c r="P9" s="92"/>
      <c r="Q9" s="92"/>
      <c r="R9" s="102"/>
      <c r="S9" s="15"/>
      <c r="T9" s="1"/>
    </row>
    <row r="10" spans="1:20">
      <c r="A10" s="110" t="s">
        <v>95</v>
      </c>
      <c r="B10" s="91">
        <v>490</v>
      </c>
      <c r="C10" s="91">
        <v>310</v>
      </c>
      <c r="D10" s="91">
        <v>3.6999999999999998E-2</v>
      </c>
      <c r="E10" s="111">
        <v>137.9</v>
      </c>
      <c r="F10" s="91">
        <v>-387.6</v>
      </c>
      <c r="G10" s="112">
        <v>10.199999999999999</v>
      </c>
      <c r="H10" s="90">
        <f>(E10^2+F10^2+G10^2)^0.5</f>
        <v>411.52668200251611</v>
      </c>
      <c r="I10" s="91">
        <v>8.4499999999999993</v>
      </c>
      <c r="J10" s="92">
        <f>10^I10/10^6</f>
        <v>281.83829312644565</v>
      </c>
      <c r="K10" s="92">
        <v>0.02</v>
      </c>
      <c r="L10" s="93">
        <v>300</v>
      </c>
      <c r="M10" s="90">
        <f>H10-B10</f>
        <v>-78.473317997483889</v>
      </c>
      <c r="N10" s="101">
        <f>ABS(M10/B10)*100</f>
        <v>16.014962856629364</v>
      </c>
      <c r="O10" s="92">
        <f>J10-C10</f>
        <v>-28.161706873554351</v>
      </c>
      <c r="P10" s="92">
        <f>ABS(O10/J10)*100</f>
        <v>9.992150662408287</v>
      </c>
      <c r="Q10" s="92">
        <f>K10-D10</f>
        <v>-1.6999999999999998E-2</v>
      </c>
      <c r="R10" s="102">
        <f>ABS(Q10/K10)*100</f>
        <v>84.999999999999986</v>
      </c>
      <c r="S10" s="15"/>
      <c r="T10" s="1"/>
    </row>
    <row r="11" spans="1:20">
      <c r="A11" s="110"/>
      <c r="B11" s="91"/>
      <c r="C11" s="91"/>
      <c r="D11" s="91"/>
      <c r="E11" s="111"/>
      <c r="F11" s="91"/>
      <c r="G11" s="112"/>
      <c r="H11" s="94">
        <v>41</v>
      </c>
      <c r="I11" s="91"/>
      <c r="J11" s="92"/>
      <c r="K11" s="92"/>
      <c r="L11" s="95">
        <v>100</v>
      </c>
      <c r="M11" s="90"/>
      <c r="N11" s="101"/>
      <c r="O11" s="92"/>
      <c r="P11" s="92"/>
      <c r="Q11" s="92"/>
      <c r="R11" s="102"/>
      <c r="S11" s="15"/>
      <c r="T11" s="1"/>
    </row>
    <row r="12" spans="1:20">
      <c r="A12" s="110" t="s">
        <v>96</v>
      </c>
      <c r="B12" s="91">
        <v>160</v>
      </c>
      <c r="C12" s="91">
        <v>30</v>
      </c>
      <c r="D12" s="91">
        <v>2.4E-2</v>
      </c>
      <c r="E12" s="111">
        <v>49.2</v>
      </c>
      <c r="F12" s="91">
        <v>-139.6</v>
      </c>
      <c r="G12" s="112">
        <v>-13</v>
      </c>
      <c r="H12" s="90">
        <f t="shared" ref="H12" si="0">(E12^2+F12^2+G12^2)^0.5</f>
        <v>148.58600203249296</v>
      </c>
      <c r="I12" s="91">
        <v>7.83</v>
      </c>
      <c r="J12" s="92">
        <f t="shared" ref="J12" si="1">10^I12/10^6</f>
        <v>67.608297539198404</v>
      </c>
      <c r="K12" s="92">
        <v>0.03</v>
      </c>
      <c r="L12" s="93">
        <v>36</v>
      </c>
      <c r="M12" s="90">
        <f>H12-B12</f>
        <v>-11.413997967507044</v>
      </c>
      <c r="N12" s="101">
        <f>ABS(M12/B12)*100</f>
        <v>7.1337487296919022</v>
      </c>
      <c r="O12" s="92">
        <f>J12-C12</f>
        <v>37.608297539198404</v>
      </c>
      <c r="P12" s="92">
        <f>ABS(O12/J12)*100</f>
        <v>55.626748354953925</v>
      </c>
      <c r="Q12" s="92">
        <f>K12-D12</f>
        <v>5.9999999999999984E-3</v>
      </c>
      <c r="R12" s="102">
        <f>ABS(Q12/K12)*100</f>
        <v>19.999999999999996</v>
      </c>
      <c r="S12" s="15"/>
      <c r="T12" s="1"/>
    </row>
    <row r="13" spans="1:20">
      <c r="A13" s="103"/>
      <c r="B13" s="99"/>
      <c r="C13" s="99"/>
      <c r="D13" s="99"/>
      <c r="E13" s="99"/>
      <c r="F13" s="99"/>
      <c r="G13" s="104"/>
      <c r="H13" s="98">
        <v>2</v>
      </c>
      <c r="I13" s="99"/>
      <c r="J13" s="99"/>
      <c r="K13" s="99"/>
      <c r="L13" s="100">
        <v>4</v>
      </c>
      <c r="M13" s="103"/>
      <c r="N13" s="99"/>
      <c r="O13" s="99"/>
      <c r="P13" s="99"/>
      <c r="Q13" s="99"/>
      <c r="R13" s="104"/>
      <c r="S13" s="15"/>
    </row>
    <row r="14" spans="1:20">
      <c r="S14" s="15"/>
      <c r="T14" s="1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G24"/>
  <sheetViews>
    <sheetView tabSelected="1" workbookViewId="0">
      <selection activeCell="B3" sqref="B3"/>
    </sheetView>
  </sheetViews>
  <sheetFormatPr baseColWidth="10" defaultRowHeight="15" x14ac:dyDescent="0"/>
  <cols>
    <col min="1" max="1" width="22" style="1" customWidth="1"/>
    <col min="2" max="2" width="11" style="1" customWidth="1"/>
    <col min="3" max="3" width="9.33203125" style="1" customWidth="1"/>
    <col min="4" max="5" width="10.83203125" style="1"/>
    <col min="6" max="6" width="78" style="1" customWidth="1"/>
    <col min="7" max="16384" width="10.83203125" style="1"/>
  </cols>
  <sheetData>
    <row r="1" spans="1:7">
      <c r="A1" s="24" t="s">
        <v>892</v>
      </c>
      <c r="B1" s="24" t="s">
        <v>912</v>
      </c>
      <c r="C1" s="24" t="s">
        <v>913</v>
      </c>
      <c r="D1" s="24" t="str">
        <f>'Cluster Information'!H1</f>
        <v>Dist. (par):</v>
      </c>
      <c r="E1" s="24" t="str">
        <f>'Cluster Information'!J1</f>
        <v>Age (Myr):</v>
      </c>
      <c r="F1" s="24" t="s">
        <v>64</v>
      </c>
    </row>
    <row r="2" spans="1:7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57"/>
    </row>
    <row r="3" spans="1:7">
      <c r="A3" s="1" t="s">
        <v>893</v>
      </c>
      <c r="B3" s="181">
        <f>FACT(27)/(FACT(7)*FACT(27-7)) * (0.5)^27</f>
        <v>6.6163390874862671E-3</v>
      </c>
      <c r="C3" s="181"/>
      <c r="D3" s="56">
        <f>'Cluster Information'!H2</f>
        <v>144.96299527810538</v>
      </c>
      <c r="E3" s="56">
        <f>'Cluster Information'!L2</f>
        <v>50</v>
      </c>
      <c r="F3" s="1" t="s">
        <v>650</v>
      </c>
      <c r="G3" s="25"/>
    </row>
    <row r="4" spans="1:7">
      <c r="A4" s="1" t="s">
        <v>894</v>
      </c>
      <c r="D4" s="50">
        <f>'Cluster Information'!H3</f>
        <v>2.5</v>
      </c>
      <c r="E4" s="83">
        <f>'Cluster Information'!L3</f>
        <v>5</v>
      </c>
      <c r="F4" s="1" t="s">
        <v>651</v>
      </c>
      <c r="G4" s="25"/>
    </row>
    <row r="5" spans="1:7">
      <c r="A5" s="237" t="s">
        <v>92</v>
      </c>
      <c r="B5" s="237" t="s">
        <v>92</v>
      </c>
      <c r="C5" s="237" t="s">
        <v>92</v>
      </c>
      <c r="D5" s="237" t="s">
        <v>92</v>
      </c>
      <c r="E5" s="237" t="s">
        <v>92</v>
      </c>
      <c r="F5" s="237" t="s">
        <v>92</v>
      </c>
      <c r="G5" s="57"/>
    </row>
    <row r="6" spans="1:7">
      <c r="A6" s="1" t="s">
        <v>906</v>
      </c>
      <c r="B6" s="181">
        <f>FACT(6)/(FACT(2)*FACT(6-2)) * (0.5)^6</f>
        <v>0.234375</v>
      </c>
      <c r="C6" s="181"/>
      <c r="D6" s="56">
        <f>'Cluster Information'!H4</f>
        <v>270.23110479735675</v>
      </c>
      <c r="E6" s="56">
        <f>'Cluster Information'!L4</f>
        <v>220</v>
      </c>
      <c r="F6" s="1" t="s">
        <v>652</v>
      </c>
      <c r="G6" s="25"/>
    </row>
    <row r="7" spans="1:7">
      <c r="A7" s="1" t="s">
        <v>910</v>
      </c>
      <c r="D7" s="50">
        <f>'Cluster Information'!H5</f>
        <v>10</v>
      </c>
      <c r="E7" s="83">
        <f>'Cluster Information'!L5</f>
        <v>50</v>
      </c>
      <c r="G7" s="25"/>
    </row>
    <row r="8" spans="1:7">
      <c r="A8" s="237" t="s">
        <v>93</v>
      </c>
      <c r="B8" s="237" t="s">
        <v>93</v>
      </c>
      <c r="C8" s="237" t="s">
        <v>93</v>
      </c>
      <c r="D8" s="237" t="s">
        <v>93</v>
      </c>
      <c r="E8" s="237" t="s">
        <v>93</v>
      </c>
      <c r="F8" s="237" t="s">
        <v>93</v>
      </c>
      <c r="G8" s="57"/>
    </row>
    <row r="9" spans="1:7">
      <c r="A9" s="1" t="s">
        <v>908</v>
      </c>
      <c r="B9" s="181">
        <f>FACT(38)/(FACT(10)*FACT(38-10)) * (0.5)^38</f>
        <v>1.7197953857248651E-3</v>
      </c>
      <c r="D9" s="56">
        <f>'Cluster Information'!H6</f>
        <v>183.50956378347152</v>
      </c>
      <c r="E9" s="56">
        <f>'Cluster Information'!L6</f>
        <v>54</v>
      </c>
      <c r="F9" s="1" t="s">
        <v>653</v>
      </c>
      <c r="G9" s="25"/>
    </row>
    <row r="10" spans="1:7">
      <c r="A10" s="1" t="s">
        <v>895</v>
      </c>
      <c r="D10" s="50">
        <f>'Cluster Information'!H7</f>
        <v>3.7</v>
      </c>
      <c r="E10" s="83">
        <f>'Cluster Information'!L7</f>
        <v>8</v>
      </c>
      <c r="G10" s="25"/>
    </row>
    <row r="11" spans="1:7">
      <c r="A11" s="237" t="s">
        <v>94</v>
      </c>
      <c r="B11" s="237" t="s">
        <v>94</v>
      </c>
      <c r="C11" s="237" t="s">
        <v>94</v>
      </c>
      <c r="D11" s="237" t="s">
        <v>94</v>
      </c>
      <c r="E11" s="237" t="s">
        <v>94</v>
      </c>
      <c r="F11" s="237" t="s">
        <v>94</v>
      </c>
      <c r="G11" s="57"/>
    </row>
    <row r="12" spans="1:7">
      <c r="A12" s="1" t="s">
        <v>896</v>
      </c>
      <c r="B12" s="181">
        <f>FACT(24)/(FACT(0)*FACT(24-0)) * (0.5)^24</f>
        <v>5.9604644775390625E-8</v>
      </c>
      <c r="D12" s="56">
        <f>'Cluster Information'!H8</f>
        <v>342.46989648726787</v>
      </c>
      <c r="E12" s="56">
        <f>'Cluster Information'!L8</f>
        <v>120</v>
      </c>
      <c r="F12" s="1" t="s">
        <v>654</v>
      </c>
      <c r="G12" s="25"/>
    </row>
    <row r="13" spans="1:7">
      <c r="A13" s="1" t="s">
        <v>897</v>
      </c>
      <c r="D13" s="50">
        <f>'Cluster Information'!H9</f>
        <v>11</v>
      </c>
      <c r="E13" s="83">
        <f>'Cluster Information'!L9</f>
        <v>25</v>
      </c>
      <c r="F13" s="1" t="s">
        <v>655</v>
      </c>
      <c r="G13" s="25"/>
    </row>
    <row r="14" spans="1:7">
      <c r="A14" s="237" t="s">
        <v>95</v>
      </c>
      <c r="B14" s="237" t="s">
        <v>95</v>
      </c>
      <c r="C14" s="237" t="s">
        <v>95</v>
      </c>
      <c r="D14" s="237" t="s">
        <v>95</v>
      </c>
      <c r="E14" s="237" t="s">
        <v>95</v>
      </c>
      <c r="F14" s="237" t="s">
        <v>95</v>
      </c>
      <c r="G14" s="57"/>
    </row>
    <row r="15" spans="1:7">
      <c r="A15" s="1" t="s">
        <v>909</v>
      </c>
      <c r="B15" s="181">
        <f>FACT(22)/(FACT(1)*FACT(22-1)) * (0.5)^22</f>
        <v>5.245208740234375E-6</v>
      </c>
      <c r="D15" s="56">
        <f>'Cluster Information'!H10</f>
        <v>411.52668200251611</v>
      </c>
      <c r="E15" s="56">
        <f>'Cluster Information'!L10</f>
        <v>300</v>
      </c>
      <c r="F15" s="1" t="s">
        <v>656</v>
      </c>
      <c r="G15" s="25"/>
    </row>
    <row r="16" spans="1:7">
      <c r="A16" s="1" t="s">
        <v>911</v>
      </c>
      <c r="D16" s="50">
        <f>'Cluster Information'!H11</f>
        <v>41</v>
      </c>
      <c r="E16" s="83">
        <f>'Cluster Information'!L11</f>
        <v>100</v>
      </c>
      <c r="G16" s="25"/>
    </row>
    <row r="17" spans="1:7">
      <c r="A17" s="237" t="s">
        <v>96</v>
      </c>
      <c r="B17" s="237" t="s">
        <v>96</v>
      </c>
      <c r="C17" s="237" t="s">
        <v>96</v>
      </c>
      <c r="D17" s="237" t="s">
        <v>96</v>
      </c>
      <c r="E17" s="237" t="s">
        <v>96</v>
      </c>
      <c r="F17" s="237" t="s">
        <v>96</v>
      </c>
      <c r="G17" s="57"/>
    </row>
    <row r="18" spans="1:7">
      <c r="A18" s="1" t="s">
        <v>901</v>
      </c>
      <c r="B18" s="181">
        <f>FACT(38)/(FACT(10)*FACT(38-10)) * (0.5)^38</f>
        <v>1.7197953857248651E-3</v>
      </c>
      <c r="D18" s="56">
        <f>'Cluster Information'!H12</f>
        <v>148.58600203249296</v>
      </c>
      <c r="E18" s="56">
        <f>'Cluster Information'!L12</f>
        <v>36</v>
      </c>
    </row>
    <row r="19" spans="1:7">
      <c r="A19" s="1" t="s">
        <v>895</v>
      </c>
      <c r="D19" s="50">
        <f>'Cluster Information'!H13</f>
        <v>2</v>
      </c>
      <c r="E19" s="83">
        <f>'Cluster Information'!L13</f>
        <v>4</v>
      </c>
    </row>
    <row r="20" spans="1:7">
      <c r="F20" s="24" t="s">
        <v>669</v>
      </c>
    </row>
    <row r="21" spans="1:7">
      <c r="F21" s="32" t="s">
        <v>666</v>
      </c>
    </row>
    <row r="22" spans="1:7">
      <c r="F22" s="1" t="s">
        <v>665</v>
      </c>
    </row>
    <row r="23" spans="1:7">
      <c r="F23" s="1" t="s">
        <v>667</v>
      </c>
    </row>
    <row r="24" spans="1:7">
      <c r="F24" s="1" t="s">
        <v>668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116"/>
  <sheetViews>
    <sheetView workbookViewId="0">
      <selection activeCell="E41" sqref="E41"/>
    </sheetView>
  </sheetViews>
  <sheetFormatPr baseColWidth="10" defaultRowHeight="15" x14ac:dyDescent="0"/>
  <cols>
    <col min="1" max="1" width="12.1640625" style="1" customWidth="1"/>
    <col min="2" max="2" width="13" style="1" customWidth="1"/>
    <col min="3" max="3" width="10.83203125" style="1"/>
    <col min="4" max="4" width="16.1640625" style="1" customWidth="1"/>
    <col min="5" max="5" width="16.33203125" style="1" customWidth="1"/>
    <col min="6" max="6" width="16.5" style="1" customWidth="1"/>
    <col min="7" max="7" width="60.83203125" style="1" customWidth="1"/>
    <col min="8" max="12" width="10.83203125" style="1"/>
    <col min="13" max="13" width="18.1640625" style="1" customWidth="1"/>
    <col min="14" max="14" width="32" style="1" customWidth="1"/>
    <col min="15" max="16384" width="10.83203125" style="1"/>
  </cols>
  <sheetData>
    <row r="1" spans="1:7">
      <c r="A1" s="24" t="s">
        <v>42</v>
      </c>
      <c r="B1" s="24" t="s">
        <v>163</v>
      </c>
      <c r="C1" s="41" t="s">
        <v>496</v>
      </c>
      <c r="D1" s="41" t="s">
        <v>857</v>
      </c>
      <c r="E1" s="41" t="s">
        <v>856</v>
      </c>
      <c r="F1" s="41" t="s">
        <v>204</v>
      </c>
      <c r="G1" s="24" t="s">
        <v>64</v>
      </c>
    </row>
    <row r="2" spans="1:7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</row>
    <row r="3" spans="1:7">
      <c r="A3" s="1" t="str">
        <f>'Binary Summary'!A9</f>
        <v>Hogg13</v>
      </c>
      <c r="B3" s="1" t="str">
        <f>'Binary Summary'!B9</f>
        <v>B8V</v>
      </c>
      <c r="C3" s="1">
        <f>'Binary Summary'!C9</f>
        <v>145</v>
      </c>
      <c r="D3" s="4" t="s">
        <v>855</v>
      </c>
      <c r="E3" s="4"/>
      <c r="F3" s="4"/>
    </row>
    <row r="4" spans="1:7">
      <c r="A4" s="1" t="str">
        <f>'Binary Summary'!A15</f>
        <v>Hogg5</v>
      </c>
      <c r="B4" s="1" t="str">
        <f>'Binary Summary'!B15</f>
        <v>F5V</v>
      </c>
      <c r="C4" s="1">
        <f>'Binary Summary'!C15</f>
        <v>145</v>
      </c>
      <c r="D4" s="4" t="s">
        <v>855</v>
      </c>
      <c r="E4" s="4"/>
      <c r="F4" s="4"/>
      <c r="G4" s="25"/>
    </row>
    <row r="5" spans="1:7">
      <c r="A5" s="62" t="s">
        <v>92</v>
      </c>
      <c r="B5" s="62" t="s">
        <v>92</v>
      </c>
      <c r="C5" s="62" t="s">
        <v>92</v>
      </c>
      <c r="D5" s="62" t="s">
        <v>92</v>
      </c>
      <c r="E5" s="62" t="s">
        <v>92</v>
      </c>
      <c r="F5" s="62" t="s">
        <v>92</v>
      </c>
      <c r="G5" s="62" t="s">
        <v>92</v>
      </c>
    </row>
    <row r="6" spans="1:7">
      <c r="A6" s="1" t="str">
        <f>'Binary Summary'!A18</f>
        <v>M56 a</v>
      </c>
      <c r="B6" s="63" t="str">
        <f>'Binary Summary'!B18</f>
        <v>B8V</v>
      </c>
      <c r="C6" s="1">
        <f>'Binary Summary'!C18</f>
        <v>270</v>
      </c>
      <c r="D6" s="4" t="s">
        <v>855</v>
      </c>
      <c r="E6" s="4" t="s">
        <v>855</v>
      </c>
      <c r="F6" s="4"/>
      <c r="G6" s="25"/>
    </row>
    <row r="7" spans="1:7">
      <c r="A7" s="1" t="str">
        <f>'Binary Summary'!A22</f>
        <v>M42</v>
      </c>
      <c r="B7" s="63" t="str">
        <f>'Binary Summary'!B22</f>
        <v>B9.5V</v>
      </c>
      <c r="C7" s="1">
        <f>'Binary Summary'!C22</f>
        <v>270</v>
      </c>
      <c r="D7" s="4"/>
      <c r="E7" s="4" t="s">
        <v>855</v>
      </c>
      <c r="F7" s="4"/>
    </row>
    <row r="8" spans="1:7">
      <c r="A8" s="1" t="str">
        <f>'Binary Summary'!A26</f>
        <v>M86 b</v>
      </c>
      <c r="B8" s="63" t="str">
        <f>'Binary Summary'!B26</f>
        <v>B9V</v>
      </c>
      <c r="C8" s="1">
        <f>'Binary Summary'!C26</f>
        <v>270</v>
      </c>
      <c r="D8" s="4"/>
      <c r="E8" s="4" t="s">
        <v>855</v>
      </c>
      <c r="F8" s="4"/>
    </row>
    <row r="9" spans="1:7">
      <c r="A9" s="62" t="s">
        <v>93</v>
      </c>
      <c r="B9" s="62" t="s">
        <v>93</v>
      </c>
      <c r="C9" s="62" t="s">
        <v>93</v>
      </c>
      <c r="D9" s="62" t="s">
        <v>93</v>
      </c>
      <c r="E9" s="62" t="s">
        <v>93</v>
      </c>
      <c r="F9" s="62" t="s">
        <v>93</v>
      </c>
      <c r="G9" s="62" t="s">
        <v>93</v>
      </c>
    </row>
    <row r="10" spans="1:7">
      <c r="A10" s="1" t="str">
        <f>'Binary Summary'!A29</f>
        <v>M141</v>
      </c>
      <c r="B10" s="1" t="str">
        <f>'Binary Summary'!B29</f>
        <v>B9III-IV</v>
      </c>
      <c r="C10" s="1">
        <f>'Binary Summary'!C29</f>
        <v>184</v>
      </c>
      <c r="D10" s="4"/>
      <c r="E10" s="4" t="s">
        <v>855</v>
      </c>
      <c r="F10" s="4"/>
    </row>
    <row r="11" spans="1:7">
      <c r="A11" s="25" t="str">
        <f>'Binary Summary'!A33</f>
        <v>M141-2 b</v>
      </c>
      <c r="B11" s="1" t="str">
        <f>'Binary Summary'!B33</f>
        <v>B9III-IV</v>
      </c>
      <c r="C11" s="25">
        <f>'Binary Summary'!C33</f>
        <v>184</v>
      </c>
      <c r="D11" s="28"/>
      <c r="E11" s="28" t="s">
        <v>855</v>
      </c>
      <c r="F11" s="28"/>
      <c r="G11" s="25"/>
    </row>
    <row r="12" spans="1:7">
      <c r="A12" s="25" t="str">
        <f>'Binary Summary'!A35</f>
        <v>M162</v>
      </c>
      <c r="B12" s="1" t="str">
        <f>'Binary Summary'!B35</f>
        <v>B9</v>
      </c>
      <c r="C12" s="25">
        <f>'Binary Summary'!C35</f>
        <v>184</v>
      </c>
      <c r="D12" s="28"/>
      <c r="E12" s="28" t="s">
        <v>855</v>
      </c>
      <c r="F12" s="28"/>
      <c r="G12" s="25"/>
    </row>
    <row r="13" spans="1:7">
      <c r="A13" s="25" t="str">
        <f>'Binary Summary'!A37</f>
        <v>M182</v>
      </c>
      <c r="B13" s="1" t="str">
        <f>'Binary Summary'!B37</f>
        <v>B5V n</v>
      </c>
      <c r="C13" s="25">
        <f>'Binary Summary'!C37</f>
        <v>184</v>
      </c>
      <c r="D13" s="28"/>
      <c r="E13" s="28"/>
      <c r="F13" s="28" t="s">
        <v>855</v>
      </c>
      <c r="G13" s="25"/>
    </row>
    <row r="14" spans="1:7">
      <c r="A14" s="25" t="str">
        <f>'Binary Summary'!A39</f>
        <v>M188</v>
      </c>
      <c r="B14" s="1" t="str">
        <f>'Binary Summary'!B39</f>
        <v>B9V</v>
      </c>
      <c r="C14" s="25">
        <f>'Binary Summary'!C39</f>
        <v>184</v>
      </c>
      <c r="D14" s="28"/>
      <c r="E14" s="28" t="s">
        <v>855</v>
      </c>
      <c r="F14" s="28"/>
      <c r="G14" s="25"/>
    </row>
    <row r="15" spans="1:7">
      <c r="A15" s="25" t="str">
        <f>'Binary Summary'!A41</f>
        <v>M197 b</v>
      </c>
      <c r="B15" s="1" t="str">
        <f>'Binary Summary'!B41</f>
        <v>F2IV-V</v>
      </c>
      <c r="C15" s="25">
        <f>'Binary Summary'!C41</f>
        <v>184</v>
      </c>
      <c r="D15" s="28"/>
      <c r="E15" s="28" t="s">
        <v>855</v>
      </c>
      <c r="F15" s="28"/>
      <c r="G15" s="25"/>
    </row>
    <row r="16" spans="1:7">
      <c r="A16" s="25" t="str">
        <f>'Binary Summary'!A45</f>
        <v>M268</v>
      </c>
      <c r="B16" s="1" t="str">
        <f>'Binary Summary'!B45</f>
        <v>B8V</v>
      </c>
      <c r="C16" s="25">
        <f>'Binary Summary'!C45</f>
        <v>184</v>
      </c>
      <c r="D16" s="28" t="s">
        <v>855</v>
      </c>
      <c r="E16" s="28"/>
      <c r="F16" s="28"/>
      <c r="G16" s="25"/>
    </row>
    <row r="17" spans="1:9">
      <c r="A17" s="25" t="str">
        <f>'Binary Summary'!A47</f>
        <v>M284</v>
      </c>
      <c r="B17" s="1" t="str">
        <f>'Binary Summary'!B47</f>
        <v>B9V n</v>
      </c>
      <c r="C17" s="25">
        <f>'Binary Summary'!C47</f>
        <v>184</v>
      </c>
      <c r="D17" s="28" t="s">
        <v>855</v>
      </c>
      <c r="E17" s="28"/>
      <c r="F17" s="28" t="s">
        <v>855</v>
      </c>
      <c r="G17" s="25"/>
    </row>
    <row r="18" spans="1:9">
      <c r="A18" s="25" t="str">
        <f>'Binary Summary'!A49</f>
        <v>M291</v>
      </c>
      <c r="B18" s="1" t="str">
        <f>'Binary Summary'!B49</f>
        <v>B8-B9V</v>
      </c>
      <c r="C18" s="25">
        <f>'Binary Summary'!C49</f>
        <v>184</v>
      </c>
      <c r="D18" s="28" t="s">
        <v>855</v>
      </c>
      <c r="E18" s="28"/>
      <c r="F18" s="28"/>
      <c r="G18" s="25"/>
    </row>
    <row r="19" spans="1:9">
      <c r="A19" s="25" t="str">
        <f>'Binary Summary'!A51</f>
        <v>M47 a</v>
      </c>
      <c r="B19" s="1" t="str">
        <f>'Binary Summary'!B51</f>
        <v>A3V</v>
      </c>
      <c r="C19" s="25">
        <f>'Binary Summary'!C51</f>
        <v>184</v>
      </c>
      <c r="D19" s="28"/>
      <c r="E19" s="28" t="s">
        <v>855</v>
      </c>
      <c r="F19" s="28"/>
      <c r="G19" s="25"/>
    </row>
    <row r="20" spans="1:9">
      <c r="A20" s="62" t="s">
        <v>94</v>
      </c>
      <c r="B20" s="62" t="s">
        <v>94</v>
      </c>
      <c r="C20" s="62" t="s">
        <v>94</v>
      </c>
      <c r="D20" s="62" t="s">
        <v>94</v>
      </c>
      <c r="E20" s="62" t="s">
        <v>94</v>
      </c>
      <c r="F20" s="62" t="s">
        <v>94</v>
      </c>
      <c r="G20" s="62" t="s">
        <v>94</v>
      </c>
    </row>
    <row r="21" spans="1:9">
      <c r="A21" s="1" t="s">
        <v>51</v>
      </c>
      <c r="B21" s="1" t="s">
        <v>51</v>
      </c>
      <c r="C21" s="1" t="s">
        <v>51</v>
      </c>
      <c r="D21" s="1" t="s">
        <v>51</v>
      </c>
      <c r="E21" s="1" t="s">
        <v>51</v>
      </c>
      <c r="G21" s="1" t="s">
        <v>51</v>
      </c>
      <c r="I21" s="28"/>
    </row>
    <row r="22" spans="1:9">
      <c r="A22" s="62" t="s">
        <v>95</v>
      </c>
      <c r="B22" s="62" t="s">
        <v>95</v>
      </c>
      <c r="C22" s="62" t="s">
        <v>95</v>
      </c>
      <c r="D22" s="62" t="s">
        <v>95</v>
      </c>
      <c r="E22" s="62" t="s">
        <v>95</v>
      </c>
      <c r="F22" s="62" t="s">
        <v>95</v>
      </c>
      <c r="G22" s="62" t="s">
        <v>95</v>
      </c>
      <c r="I22" s="4"/>
    </row>
    <row r="23" spans="1:9">
      <c r="A23" s="1" t="str">
        <f>'Binary Summary'!A60</f>
        <v>M278</v>
      </c>
      <c r="B23" s="1" t="str">
        <f>'Binary Summary'!B60</f>
        <v>A0</v>
      </c>
      <c r="C23" s="1">
        <f>'Binary Summary'!C60</f>
        <v>412</v>
      </c>
      <c r="D23" s="4"/>
      <c r="E23" s="4" t="s">
        <v>855</v>
      </c>
      <c r="F23" s="4"/>
      <c r="I23" s="28"/>
    </row>
    <row r="24" spans="1:9">
      <c r="A24" s="1" t="str">
        <f>'Binary Summary'!A62</f>
        <v>M50</v>
      </c>
      <c r="B24" s="1" t="str">
        <f>'Binary Summary'!B62</f>
        <v>A0</v>
      </c>
      <c r="C24" s="1">
        <f>'Binary Summary'!C62</f>
        <v>412</v>
      </c>
      <c r="D24" s="4" t="s">
        <v>855</v>
      </c>
      <c r="E24" s="4" t="s">
        <v>855</v>
      </c>
      <c r="F24" s="4"/>
      <c r="I24" s="4"/>
    </row>
    <row r="25" spans="1:9">
      <c r="A25" s="1" t="str">
        <f>'Binary Summary'!A64</f>
        <v>M317 a</v>
      </c>
      <c r="B25" s="1" t="str">
        <f>'Binary Summary'!B64</f>
        <v>B9.5V</v>
      </c>
      <c r="C25" s="1">
        <f>'Binary Summary'!C64</f>
        <v>412</v>
      </c>
      <c r="D25" s="4"/>
      <c r="E25" s="4" t="s">
        <v>855</v>
      </c>
      <c r="F25" s="4"/>
      <c r="I25" s="4"/>
    </row>
    <row r="26" spans="1:9">
      <c r="A26" s="1" t="str">
        <f>'Binary Summary'!A66</f>
        <v>M317 b</v>
      </c>
      <c r="B26" s="1" t="str">
        <f>'Binary Summary'!B66</f>
        <v>B9.5V</v>
      </c>
      <c r="C26" s="1">
        <f>'Binary Summary'!C66</f>
        <v>412</v>
      </c>
      <c r="D26" s="4"/>
      <c r="E26" s="4" t="s">
        <v>855</v>
      </c>
      <c r="F26" s="4"/>
      <c r="I26" s="4"/>
    </row>
    <row r="27" spans="1:9">
      <c r="A27" s="25" t="str">
        <f>'Binary Summary'!A68</f>
        <v>M409</v>
      </c>
      <c r="B27" s="25" t="str">
        <f>'Binary Summary'!B68</f>
        <v>B8 E</v>
      </c>
      <c r="C27" s="25">
        <f>'Binary Summary'!C68</f>
        <v>412</v>
      </c>
      <c r="D27" s="28"/>
      <c r="E27" s="28" t="s">
        <v>855</v>
      </c>
      <c r="F27" s="28"/>
      <c r="G27" s="25"/>
      <c r="I27" s="28"/>
    </row>
    <row r="28" spans="1:9">
      <c r="A28" s="25" t="str">
        <f>'Binary Summary'!A70</f>
        <v>M49 a</v>
      </c>
      <c r="B28" s="25" t="str">
        <f>'Binary Summary'!B70</f>
        <v>A0/A1IV/V D</v>
      </c>
      <c r="C28" s="25">
        <f>'Binary Summary'!C70</f>
        <v>412</v>
      </c>
      <c r="D28" s="28"/>
      <c r="E28" s="28" t="s">
        <v>855</v>
      </c>
      <c r="F28" s="28"/>
      <c r="G28" s="25"/>
      <c r="I28" s="4"/>
    </row>
    <row r="29" spans="1:9">
      <c r="A29" s="25" t="str">
        <f>'Binary Summary'!A72</f>
        <v>M49 b</v>
      </c>
      <c r="B29" s="25" t="str">
        <f>'Binary Summary'!B72</f>
        <v>A0/A1IV/V D</v>
      </c>
      <c r="C29" s="25">
        <f>'Binary Summary'!C72</f>
        <v>412</v>
      </c>
      <c r="D29" s="28"/>
      <c r="E29" s="28" t="s">
        <v>855</v>
      </c>
      <c r="F29" s="28"/>
      <c r="G29" s="25"/>
    </row>
    <row r="30" spans="1:9">
      <c r="A30" s="25" t="str">
        <f>'Binary Summary'!A74</f>
        <v>M665</v>
      </c>
      <c r="B30" s="25" t="str">
        <f>'Binary Summary'!B74</f>
        <v>A2IV</v>
      </c>
      <c r="C30" s="25">
        <f>'Binary Summary'!C74</f>
        <v>412</v>
      </c>
      <c r="D30" s="28"/>
      <c r="E30" s="28" t="s">
        <v>855</v>
      </c>
      <c r="F30" s="28"/>
      <c r="G30" s="25"/>
    </row>
    <row r="31" spans="1:9">
      <c r="A31" s="62" t="s">
        <v>96</v>
      </c>
      <c r="B31" s="62" t="s">
        <v>96</v>
      </c>
      <c r="C31" s="62" t="s">
        <v>96</v>
      </c>
      <c r="D31" s="62" t="s">
        <v>96</v>
      </c>
      <c r="E31" s="62" t="s">
        <v>96</v>
      </c>
      <c r="F31" s="62" t="s">
        <v>96</v>
      </c>
      <c r="G31" s="62" t="s">
        <v>96</v>
      </c>
    </row>
    <row r="32" spans="1:9">
      <c r="A32" s="67" t="str">
        <f>'Binary Summary'!A77</f>
        <v>R110</v>
      </c>
      <c r="B32" s="67" t="str">
        <f>'Binary Summary'!B77</f>
        <v>B9.5V</v>
      </c>
      <c r="C32" s="67">
        <f>'Binary Summary'!C77</f>
        <v>149</v>
      </c>
      <c r="D32" s="67" t="s">
        <v>855</v>
      </c>
      <c r="E32" s="67"/>
      <c r="F32" s="67"/>
      <c r="G32" s="67"/>
    </row>
    <row r="33" spans="1:7">
      <c r="A33" s="1" t="str">
        <f>'Binary Summary'!A83</f>
        <v>R84 b</v>
      </c>
      <c r="B33" s="1" t="str">
        <f>'Binary Summary'!B83</f>
        <v>B6V</v>
      </c>
      <c r="C33" s="1">
        <f>'Binary Summary'!C83</f>
        <v>149</v>
      </c>
      <c r="D33" s="4" t="s">
        <v>855</v>
      </c>
    </row>
    <row r="34" spans="1:7">
      <c r="A34" s="1" t="str">
        <f>'Binary Summary'!A89</f>
        <v>R90</v>
      </c>
      <c r="B34" s="1" t="str">
        <f>'Binary Summary'!B89</f>
        <v>A0V n</v>
      </c>
      <c r="C34" s="1">
        <f>'Binary Summary'!C89</f>
        <v>149</v>
      </c>
      <c r="D34" s="4"/>
      <c r="E34" s="4" t="s">
        <v>855</v>
      </c>
      <c r="F34" s="4"/>
    </row>
    <row r="35" spans="1:7">
      <c r="A35" s="1" t="str">
        <f>'Binary Summary'!A97</f>
        <v>R97</v>
      </c>
      <c r="B35" s="1" t="str">
        <f>'Binary Summary'!B97</f>
        <v>A0V C</v>
      </c>
      <c r="C35" s="1">
        <f>'Binary Summary'!C97</f>
        <v>149</v>
      </c>
      <c r="D35" s="4"/>
      <c r="E35" s="4" t="s">
        <v>855</v>
      </c>
      <c r="F35" s="4"/>
    </row>
    <row r="36" spans="1:7">
      <c r="A36" s="1" t="str">
        <f>'Binary Summary'!A99</f>
        <v>W17</v>
      </c>
      <c r="B36" s="1" t="str">
        <f>'Binary Summary'!B99</f>
        <v>A0V C</v>
      </c>
      <c r="C36" s="1">
        <f>'Binary Summary'!C99</f>
        <v>149</v>
      </c>
      <c r="D36" s="4"/>
      <c r="E36" s="4" t="s">
        <v>855</v>
      </c>
      <c r="F36" s="4"/>
    </row>
    <row r="37" spans="1:7">
      <c r="A37" s="1" t="str">
        <f>'Binary Summary'!A101</f>
        <v>B62</v>
      </c>
      <c r="B37" s="1" t="str">
        <f>'Binary Summary'!B101</f>
        <v>K1III</v>
      </c>
      <c r="C37" s="1">
        <f>'Binary Summary'!C101</f>
        <v>149</v>
      </c>
      <c r="D37" s="4" t="s">
        <v>855</v>
      </c>
      <c r="E37" s="4"/>
      <c r="F37" s="4"/>
      <c r="G37" s="1" t="s">
        <v>858</v>
      </c>
    </row>
    <row r="38" spans="1:7">
      <c r="A38" s="1" t="str">
        <f>'Binary Summary'!A103</f>
        <v>W24 / R81 a</v>
      </c>
      <c r="B38" s="1" t="str">
        <f>'Binary Summary'!B103</f>
        <v>A2V</v>
      </c>
      <c r="C38" s="1">
        <f>'Binary Summary'!C103</f>
        <v>149</v>
      </c>
      <c r="E38" s="4" t="s">
        <v>855</v>
      </c>
      <c r="F38" s="4"/>
    </row>
    <row r="39" spans="1:7">
      <c r="A39" s="1" t="str">
        <f>'Binary Summary'!A105</f>
        <v>W24 / R81 b</v>
      </c>
      <c r="B39" s="1" t="str">
        <f>'Binary Summary'!B105</f>
        <v>A2V</v>
      </c>
      <c r="C39" s="1">
        <f>'Binary Summary'!C105</f>
        <v>149</v>
      </c>
      <c r="E39" s="4" t="s">
        <v>855</v>
      </c>
      <c r="F39" s="4"/>
    </row>
    <row r="40" spans="1:7">
      <c r="A40" s="1" t="str">
        <f>'Binary Summary'!A109</f>
        <v>W25 a</v>
      </c>
      <c r="B40" s="1" t="str">
        <f>'Binary Summary'!B109</f>
        <v>A1V</v>
      </c>
      <c r="C40" s="1">
        <f>'Binary Summary'!C109</f>
        <v>149</v>
      </c>
      <c r="E40" s="4" t="s">
        <v>855</v>
      </c>
      <c r="F40" s="4"/>
    </row>
    <row r="41" spans="1:7">
      <c r="A41" s="1" t="str">
        <f>'Binary Summary'!A111</f>
        <v>W25 b</v>
      </c>
      <c r="B41" s="1" t="str">
        <f>'Binary Summary'!B111</f>
        <v>A1V</v>
      </c>
      <c r="C41" s="1">
        <f>'Binary Summary'!C111</f>
        <v>149</v>
      </c>
      <c r="E41" s="4" t="s">
        <v>855</v>
      </c>
      <c r="F41" s="4"/>
    </row>
    <row r="42" spans="1:7">
      <c r="A42" s="1" t="str">
        <f>'Binary Summary'!A113</f>
        <v>W25 c</v>
      </c>
      <c r="B42" s="1" t="str">
        <f>'Binary Summary'!B113</f>
        <v>A1V</v>
      </c>
      <c r="C42" s="1">
        <f>'Binary Summary'!C113</f>
        <v>149</v>
      </c>
      <c r="E42" s="4" t="s">
        <v>855</v>
      </c>
      <c r="F42" s="4"/>
    </row>
    <row r="43" spans="1:7">
      <c r="A43" s="1" t="str">
        <f>'Binary Summary'!A115</f>
        <v>B1</v>
      </c>
      <c r="B43" s="1" t="str">
        <f>'Binary Summary'!B115</f>
        <v>B6V</v>
      </c>
      <c r="C43" s="1">
        <f>'Binary Summary'!C115</f>
        <v>149</v>
      </c>
      <c r="E43" s="4" t="s">
        <v>855</v>
      </c>
      <c r="F43" s="4"/>
    </row>
    <row r="48" spans="1:7">
      <c r="D48" s="4"/>
      <c r="E48" s="4"/>
      <c r="F48" s="4"/>
    </row>
    <row r="49" spans="1:7">
      <c r="A49" s="55"/>
      <c r="D49" s="4"/>
      <c r="E49" s="4"/>
      <c r="F49" s="4"/>
    </row>
    <row r="50" spans="1:7">
      <c r="D50" s="4"/>
      <c r="E50" s="4"/>
      <c r="F50" s="4"/>
    </row>
    <row r="51" spans="1:7">
      <c r="A51" s="55"/>
      <c r="D51" s="4"/>
      <c r="E51" s="4"/>
      <c r="F51" s="4"/>
    </row>
    <row r="52" spans="1:7">
      <c r="D52" s="4"/>
      <c r="E52" s="4"/>
      <c r="F52" s="4"/>
    </row>
    <row r="53" spans="1:7">
      <c r="A53" s="55"/>
      <c r="D53" s="4"/>
      <c r="E53" s="4"/>
      <c r="F53" s="4"/>
    </row>
    <row r="54" spans="1:7">
      <c r="D54" s="4"/>
      <c r="E54" s="4"/>
      <c r="F54" s="4"/>
    </row>
    <row r="55" spans="1:7">
      <c r="A55" s="55"/>
      <c r="D55" s="4"/>
      <c r="E55" s="4"/>
      <c r="F55" s="4"/>
    </row>
    <row r="56" spans="1:7">
      <c r="D56" s="4"/>
      <c r="E56" s="4"/>
      <c r="F56" s="4"/>
    </row>
    <row r="57" spans="1:7">
      <c r="A57" s="55"/>
      <c r="D57" s="4"/>
      <c r="E57" s="4"/>
      <c r="F57" s="4"/>
    </row>
    <row r="58" spans="1:7">
      <c r="D58" s="4"/>
      <c r="E58" s="4"/>
      <c r="F58" s="4"/>
      <c r="G58" s="4"/>
    </row>
    <row r="59" spans="1:7">
      <c r="A59" s="55"/>
      <c r="D59" s="4"/>
      <c r="E59" s="4"/>
      <c r="F59" s="4"/>
      <c r="G59" s="4"/>
    </row>
    <row r="60" spans="1:7">
      <c r="D60" s="4"/>
      <c r="E60" s="4"/>
      <c r="F60" s="4"/>
      <c r="G60" s="4"/>
    </row>
    <row r="61" spans="1:7">
      <c r="A61" s="55"/>
      <c r="B61" s="25"/>
      <c r="C61" s="25"/>
      <c r="D61" s="28"/>
      <c r="E61" s="28"/>
      <c r="F61" s="28"/>
      <c r="G61" s="28"/>
    </row>
    <row r="62" spans="1:7">
      <c r="B62" s="25"/>
      <c r="C62" s="25"/>
      <c r="D62" s="28"/>
      <c r="E62" s="28"/>
      <c r="F62" s="28"/>
      <c r="G62" s="28"/>
    </row>
    <row r="63" spans="1:7">
      <c r="A63" s="55"/>
      <c r="B63" s="25"/>
      <c r="C63" s="25"/>
      <c r="D63" s="28"/>
      <c r="E63" s="28"/>
      <c r="F63" s="28"/>
      <c r="G63" s="28"/>
    </row>
    <row r="64" spans="1:7">
      <c r="B64" s="25"/>
      <c r="C64" s="25"/>
      <c r="D64" s="28"/>
      <c r="E64" s="28"/>
      <c r="F64" s="28"/>
      <c r="G64" s="28"/>
    </row>
    <row r="65" spans="1:7">
      <c r="A65" s="55"/>
      <c r="B65" s="25"/>
      <c r="C65" s="25"/>
      <c r="D65" s="28"/>
      <c r="E65" s="28"/>
      <c r="F65" s="28"/>
      <c r="G65" s="28"/>
    </row>
    <row r="66" spans="1:7">
      <c r="B66" s="25"/>
      <c r="C66" s="25"/>
      <c r="D66" s="28"/>
      <c r="E66" s="28"/>
      <c r="F66" s="28"/>
      <c r="G66" s="28"/>
    </row>
    <row r="67" spans="1:7">
      <c r="A67" s="55"/>
      <c r="B67" s="25"/>
      <c r="C67" s="25"/>
      <c r="D67" s="28"/>
      <c r="E67" s="28"/>
      <c r="F67" s="28"/>
      <c r="G67" s="28"/>
    </row>
    <row r="68" spans="1:7">
      <c r="B68" s="25"/>
      <c r="C68" s="25"/>
      <c r="D68" s="28"/>
      <c r="E68" s="28"/>
      <c r="F68" s="28"/>
      <c r="G68" s="28"/>
    </row>
    <row r="69" spans="1:7">
      <c r="A69" s="55"/>
      <c r="B69" s="25"/>
      <c r="C69" s="25"/>
      <c r="D69" s="28"/>
      <c r="E69" s="28"/>
      <c r="F69" s="28"/>
      <c r="G69" s="28"/>
    </row>
    <row r="70" spans="1:7">
      <c r="B70" s="25"/>
      <c r="C70" s="25"/>
      <c r="D70" s="28"/>
      <c r="E70" s="28"/>
      <c r="F70" s="28"/>
      <c r="G70" s="28"/>
    </row>
    <row r="71" spans="1:7">
      <c r="A71" s="55"/>
      <c r="B71" s="25"/>
      <c r="C71" s="25"/>
      <c r="D71" s="28"/>
      <c r="E71" s="28"/>
      <c r="F71" s="28"/>
      <c r="G71" s="28"/>
    </row>
    <row r="72" spans="1:7">
      <c r="B72" s="25"/>
      <c r="C72" s="25"/>
      <c r="D72" s="28"/>
      <c r="E72" s="28"/>
      <c r="F72" s="28"/>
      <c r="G72" s="28"/>
    </row>
    <row r="73" spans="1:7">
      <c r="A73" s="55"/>
      <c r="B73" s="25"/>
      <c r="C73" s="25"/>
      <c r="D73" s="28"/>
      <c r="E73" s="28"/>
      <c r="F73" s="28"/>
      <c r="G73" s="28"/>
    </row>
    <row r="74" spans="1:7">
      <c r="B74" s="25"/>
      <c r="C74" s="25"/>
      <c r="D74" s="28"/>
      <c r="E74" s="28"/>
      <c r="F74" s="28"/>
      <c r="G74" s="28"/>
    </row>
    <row r="75" spans="1:7">
      <c r="A75" s="55"/>
      <c r="B75" s="25"/>
      <c r="C75" s="25"/>
      <c r="D75" s="28"/>
      <c r="E75" s="28"/>
      <c r="F75" s="28"/>
      <c r="G75" s="28"/>
    </row>
    <row r="85" spans="1:15">
      <c r="H85" s="48"/>
    </row>
    <row r="86" spans="1:15">
      <c r="H86" s="4"/>
      <c r="I86" s="48"/>
      <c r="J86" s="48"/>
      <c r="K86" s="51"/>
      <c r="L86" s="48"/>
    </row>
    <row r="87" spans="1:15">
      <c r="H87" s="48"/>
      <c r="I87" s="4"/>
      <c r="J87" s="4"/>
      <c r="K87" s="4"/>
      <c r="L87" s="4"/>
    </row>
    <row r="88" spans="1:15">
      <c r="B88" s="25"/>
      <c r="C88" s="25"/>
      <c r="D88" s="28"/>
      <c r="E88" s="28"/>
      <c r="F88" s="28"/>
      <c r="G88" s="28"/>
      <c r="H88" s="28"/>
      <c r="I88" s="48"/>
      <c r="J88" s="48"/>
      <c r="K88" s="48"/>
      <c r="L88" s="48"/>
    </row>
    <row r="89" spans="1:15">
      <c r="A89" s="55"/>
      <c r="B89" s="25"/>
      <c r="C89" s="25"/>
      <c r="D89" s="28"/>
      <c r="E89" s="28"/>
      <c r="F89" s="28"/>
      <c r="G89" s="28"/>
      <c r="H89" s="49"/>
      <c r="I89" s="28"/>
      <c r="J89" s="28"/>
      <c r="K89" s="28"/>
      <c r="L89" s="28"/>
      <c r="M89" s="25"/>
      <c r="N89" s="25"/>
      <c r="O89" s="25"/>
    </row>
    <row r="90" spans="1:15">
      <c r="B90" s="25"/>
      <c r="C90" s="25"/>
      <c r="D90" s="28"/>
      <c r="E90" s="28"/>
      <c r="F90" s="28"/>
      <c r="G90" s="28"/>
      <c r="H90" s="28"/>
      <c r="I90" s="49"/>
      <c r="J90" s="49"/>
      <c r="K90" s="49"/>
      <c r="L90" s="49"/>
      <c r="M90" s="25"/>
      <c r="N90" s="25"/>
      <c r="O90" s="25"/>
    </row>
    <row r="91" spans="1:15">
      <c r="A91" s="55"/>
      <c r="B91" s="25"/>
      <c r="C91" s="25"/>
      <c r="D91" s="28"/>
      <c r="E91" s="28"/>
      <c r="F91" s="28"/>
      <c r="G91" s="28"/>
      <c r="H91" s="49"/>
      <c r="I91" s="28"/>
      <c r="J91" s="28"/>
      <c r="K91" s="28"/>
      <c r="L91" s="28"/>
      <c r="M91" s="25"/>
      <c r="N91" s="25"/>
      <c r="O91" s="25"/>
    </row>
    <row r="92" spans="1:15">
      <c r="B92" s="25"/>
      <c r="C92" s="25"/>
      <c r="D92" s="28"/>
      <c r="E92" s="28"/>
      <c r="F92" s="28"/>
      <c r="G92" s="28"/>
      <c r="H92" s="28"/>
      <c r="I92" s="49"/>
      <c r="J92" s="49"/>
      <c r="K92" s="49"/>
      <c r="L92" s="49"/>
      <c r="M92" s="25"/>
      <c r="N92" s="25"/>
      <c r="O92" s="25"/>
    </row>
    <row r="93" spans="1:15">
      <c r="A93" s="55"/>
      <c r="B93" s="25"/>
      <c r="C93" s="25"/>
      <c r="D93" s="28"/>
      <c r="E93" s="28"/>
      <c r="F93" s="28"/>
      <c r="G93" s="28"/>
      <c r="H93" s="49"/>
      <c r="I93" s="28"/>
      <c r="J93" s="28"/>
      <c r="K93" s="28"/>
      <c r="L93" s="28"/>
      <c r="M93" s="25"/>
      <c r="N93" s="25"/>
      <c r="O93" s="25"/>
    </row>
    <row r="94" spans="1:15">
      <c r="B94" s="25"/>
      <c r="C94" s="25"/>
      <c r="D94" s="28"/>
      <c r="E94" s="28"/>
      <c r="F94" s="28"/>
      <c r="G94" s="28"/>
      <c r="H94" s="28"/>
      <c r="I94" s="49"/>
      <c r="J94" s="49"/>
      <c r="K94" s="49"/>
      <c r="L94" s="49"/>
      <c r="M94" s="25"/>
      <c r="N94" s="25"/>
      <c r="O94" s="25"/>
    </row>
    <row r="95" spans="1:15">
      <c r="A95" s="55"/>
      <c r="B95" s="25"/>
      <c r="C95" s="25"/>
      <c r="D95" s="25"/>
      <c r="E95" s="25"/>
      <c r="F95" s="25"/>
      <c r="G95" s="25"/>
      <c r="H95" s="49"/>
      <c r="I95" s="28"/>
      <c r="J95" s="28"/>
      <c r="K95" s="72"/>
      <c r="L95" s="28"/>
      <c r="M95" s="25"/>
      <c r="N95" s="25"/>
      <c r="O95" s="25"/>
    </row>
    <row r="96" spans="1:15">
      <c r="B96" s="25"/>
      <c r="C96" s="25"/>
      <c r="D96" s="25"/>
      <c r="E96" s="25"/>
      <c r="F96" s="25"/>
      <c r="G96" s="25"/>
      <c r="H96" s="28"/>
      <c r="I96" s="49"/>
      <c r="J96" s="49"/>
      <c r="K96" s="53"/>
      <c r="L96" s="49"/>
      <c r="M96" s="25"/>
      <c r="N96" s="25"/>
      <c r="O96" s="25"/>
    </row>
    <row r="97" spans="2:15">
      <c r="B97" s="25"/>
      <c r="C97" s="25"/>
      <c r="D97" s="25"/>
      <c r="E97" s="25"/>
      <c r="F97" s="25"/>
      <c r="G97" s="25"/>
      <c r="H97" s="49"/>
      <c r="I97" s="28"/>
      <c r="J97" s="28"/>
      <c r="K97" s="28"/>
      <c r="L97" s="28"/>
      <c r="M97" s="25"/>
      <c r="N97" s="25"/>
      <c r="O97" s="25"/>
    </row>
    <row r="98" spans="2:15">
      <c r="B98" s="25"/>
      <c r="C98" s="25"/>
      <c r="D98" s="25"/>
      <c r="E98" s="25"/>
      <c r="F98" s="25"/>
      <c r="G98" s="25"/>
      <c r="H98" s="28"/>
      <c r="I98" s="49"/>
      <c r="J98" s="49"/>
      <c r="K98" s="49"/>
      <c r="L98" s="49"/>
      <c r="M98" s="25"/>
      <c r="N98" s="25"/>
      <c r="O98" s="25"/>
    </row>
    <row r="99" spans="2:15">
      <c r="B99" s="25"/>
      <c r="C99" s="25"/>
      <c r="D99" s="25"/>
      <c r="E99" s="25"/>
      <c r="F99" s="25"/>
      <c r="G99" s="25"/>
      <c r="H99" s="49"/>
      <c r="I99" s="28"/>
      <c r="J99" s="28"/>
      <c r="K99" s="28"/>
      <c r="L99" s="28"/>
      <c r="M99" s="25"/>
      <c r="N99" s="25"/>
      <c r="O99" s="25"/>
    </row>
    <row r="100" spans="2:15">
      <c r="B100" s="25"/>
      <c r="C100" s="25"/>
      <c r="D100" s="25"/>
      <c r="E100" s="25"/>
      <c r="F100" s="25"/>
      <c r="G100" s="25"/>
      <c r="H100" s="28"/>
      <c r="I100" s="49"/>
      <c r="J100" s="49"/>
      <c r="K100" s="49"/>
      <c r="L100" s="49"/>
      <c r="M100" s="25"/>
      <c r="N100" s="25"/>
      <c r="O100" s="25"/>
    </row>
    <row r="101" spans="2:15">
      <c r="H101" s="49"/>
      <c r="I101" s="28"/>
      <c r="J101" s="28"/>
      <c r="K101" s="28"/>
      <c r="L101" s="28"/>
      <c r="M101" s="25"/>
      <c r="N101" s="25"/>
      <c r="O101" s="25"/>
    </row>
    <row r="102" spans="2:15">
      <c r="H102" s="28"/>
      <c r="I102" s="49"/>
      <c r="J102" s="49"/>
      <c r="K102" s="49"/>
      <c r="L102" s="49"/>
      <c r="M102" s="25"/>
      <c r="N102" s="25"/>
      <c r="O102" s="25"/>
    </row>
    <row r="103" spans="2:15">
      <c r="H103" s="49"/>
      <c r="I103" s="28"/>
      <c r="J103" s="28"/>
      <c r="K103" s="28"/>
      <c r="L103" s="28"/>
      <c r="M103" s="25"/>
      <c r="N103" s="25"/>
      <c r="O103" s="25"/>
    </row>
    <row r="104" spans="2:15">
      <c r="H104" s="28"/>
      <c r="I104" s="49"/>
      <c r="J104" s="49"/>
      <c r="K104" s="49"/>
      <c r="L104" s="49"/>
      <c r="M104" s="25"/>
      <c r="N104" s="25"/>
      <c r="O104" s="25"/>
    </row>
    <row r="105" spans="2:15">
      <c r="H105" s="49"/>
      <c r="I105" s="28"/>
      <c r="J105" s="28"/>
      <c r="K105" s="28"/>
      <c r="L105" s="28"/>
      <c r="M105" s="25"/>
      <c r="N105" s="25"/>
      <c r="O105" s="25"/>
    </row>
    <row r="106" spans="2:15">
      <c r="H106" s="28"/>
      <c r="I106" s="49"/>
      <c r="J106" s="49"/>
      <c r="K106" s="49"/>
      <c r="L106" s="49"/>
      <c r="M106" s="25"/>
      <c r="N106" s="25"/>
      <c r="O106" s="25"/>
    </row>
    <row r="107" spans="2:15">
      <c r="H107" s="49"/>
      <c r="I107" s="28"/>
      <c r="J107" s="28"/>
      <c r="K107" s="28"/>
      <c r="L107" s="28"/>
      <c r="M107" s="25"/>
      <c r="N107" s="25"/>
      <c r="O107" s="25"/>
    </row>
    <row r="108" spans="2:15">
      <c r="H108" s="28"/>
      <c r="I108" s="49"/>
      <c r="J108" s="49"/>
      <c r="K108" s="49"/>
      <c r="L108" s="49"/>
      <c r="M108" s="25"/>
      <c r="N108" s="25"/>
      <c r="O108" s="25"/>
    </row>
    <row r="109" spans="2:15">
      <c r="H109" s="49"/>
      <c r="I109" s="28"/>
      <c r="J109" s="28"/>
      <c r="K109" s="28"/>
      <c r="L109" s="28"/>
      <c r="M109" s="25"/>
      <c r="N109" s="25"/>
      <c r="O109" s="25"/>
    </row>
    <row r="110" spans="2:15">
      <c r="H110" s="25"/>
      <c r="I110" s="49"/>
      <c r="J110" s="49"/>
      <c r="K110" s="49"/>
      <c r="L110" s="49"/>
      <c r="M110" s="25"/>
      <c r="N110" s="25"/>
      <c r="O110" s="25"/>
    </row>
    <row r="111" spans="2:15">
      <c r="H111" s="25"/>
      <c r="I111" s="25"/>
      <c r="J111" s="25"/>
      <c r="K111" s="25"/>
      <c r="L111" s="25"/>
      <c r="M111" s="25"/>
      <c r="N111" s="25"/>
      <c r="O111" s="25"/>
    </row>
    <row r="112" spans="2:15">
      <c r="H112" s="25"/>
      <c r="I112" s="25"/>
      <c r="J112" s="25"/>
      <c r="K112" s="25"/>
      <c r="L112" s="25"/>
      <c r="M112" s="25"/>
      <c r="N112" s="25"/>
      <c r="O112" s="25"/>
    </row>
    <row r="113" spans="8:15">
      <c r="H113" s="25"/>
      <c r="I113" s="25"/>
      <c r="J113" s="25"/>
      <c r="K113" s="25"/>
      <c r="L113" s="25"/>
      <c r="M113" s="25"/>
      <c r="N113" s="25"/>
      <c r="O113" s="25"/>
    </row>
    <row r="114" spans="8:15">
      <c r="H114" s="25"/>
      <c r="I114" s="25"/>
      <c r="J114" s="25"/>
      <c r="K114" s="25"/>
      <c r="L114" s="25"/>
      <c r="M114" s="25"/>
      <c r="N114" s="25"/>
      <c r="O114" s="25"/>
    </row>
    <row r="115" spans="8:15">
      <c r="H115" s="25"/>
      <c r="I115" s="25"/>
      <c r="J115" s="25"/>
      <c r="K115" s="25"/>
      <c r="L115" s="25"/>
      <c r="M115" s="25"/>
      <c r="N115" s="25"/>
      <c r="O115" s="25"/>
    </row>
    <row r="116" spans="8:15">
      <c r="I116" s="25"/>
      <c r="J116" s="25"/>
      <c r="K116" s="25"/>
      <c r="L116" s="25"/>
      <c r="M116" s="25"/>
      <c r="N116" s="25"/>
      <c r="O116" s="25"/>
    </row>
  </sheetData>
  <sortState ref="A1:F30">
    <sortCondition ref="E1:E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Y116"/>
  <sheetViews>
    <sheetView workbookViewId="0">
      <selection activeCell="T84" sqref="T84"/>
    </sheetView>
  </sheetViews>
  <sheetFormatPr baseColWidth="10" defaultRowHeight="15" x14ac:dyDescent="0"/>
  <cols>
    <col min="1" max="1" width="15.33203125" style="1" customWidth="1"/>
    <col min="2" max="2" width="11.6640625" style="1" customWidth="1"/>
    <col min="3" max="13" width="10.83203125" style="1"/>
    <col min="14" max="14" width="12.5" style="1" customWidth="1"/>
    <col min="15" max="15" width="13" style="1" customWidth="1"/>
    <col min="16" max="16" width="13.1640625" style="1" customWidth="1"/>
    <col min="17" max="17" width="10.33203125" style="1" customWidth="1"/>
    <col min="18" max="20" width="12.5" style="1" customWidth="1"/>
    <col min="21" max="21" width="12.33203125" style="1" customWidth="1"/>
    <col min="22" max="22" width="12.83203125" style="1" customWidth="1"/>
    <col min="23" max="23" width="42" style="1" customWidth="1"/>
    <col min="24" max="24" width="53.6640625" style="1" customWidth="1"/>
    <col min="25" max="16384" width="10.83203125" style="1"/>
  </cols>
  <sheetData>
    <row r="1" spans="1:25">
      <c r="A1" s="80" t="s">
        <v>42</v>
      </c>
      <c r="B1" s="80" t="s">
        <v>163</v>
      </c>
      <c r="C1" s="80" t="s">
        <v>496</v>
      </c>
      <c r="D1" s="41" t="s">
        <v>216</v>
      </c>
      <c r="E1" s="41" t="s">
        <v>217</v>
      </c>
      <c r="F1" s="41" t="s">
        <v>218</v>
      </c>
      <c r="G1" s="75" t="s">
        <v>830</v>
      </c>
      <c r="H1" s="75" t="s">
        <v>831</v>
      </c>
      <c r="I1" s="75" t="s">
        <v>832</v>
      </c>
      <c r="J1" s="75" t="s">
        <v>898</v>
      </c>
      <c r="K1" s="75" t="s">
        <v>859</v>
      </c>
      <c r="L1" s="75" t="s">
        <v>860</v>
      </c>
      <c r="M1" s="75" t="s">
        <v>861</v>
      </c>
      <c r="N1" s="75" t="s">
        <v>907</v>
      </c>
      <c r="O1" s="80" t="s">
        <v>165</v>
      </c>
      <c r="P1" s="80" t="s">
        <v>905</v>
      </c>
      <c r="Q1" s="80" t="s">
        <v>164</v>
      </c>
      <c r="R1" s="41" t="s">
        <v>857</v>
      </c>
      <c r="S1" s="41" t="s">
        <v>862</v>
      </c>
      <c r="T1" s="41" t="s">
        <v>880</v>
      </c>
      <c r="U1" s="41" t="s">
        <v>881</v>
      </c>
      <c r="V1" s="41" t="s">
        <v>882</v>
      </c>
      <c r="W1" s="80" t="s">
        <v>64</v>
      </c>
      <c r="X1" s="80" t="s">
        <v>123</v>
      </c>
    </row>
    <row r="2" spans="1:25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  <c r="O2" s="62" t="s">
        <v>91</v>
      </c>
      <c r="P2" s="62" t="s">
        <v>91</v>
      </c>
      <c r="Q2" s="62" t="s">
        <v>91</v>
      </c>
      <c r="R2" s="62" t="s">
        <v>91</v>
      </c>
      <c r="S2" s="62" t="s">
        <v>91</v>
      </c>
      <c r="T2" s="62" t="s">
        <v>91</v>
      </c>
      <c r="U2" s="62" t="s">
        <v>91</v>
      </c>
      <c r="V2" s="62" t="s">
        <v>91</v>
      </c>
      <c r="W2" s="62" t="s">
        <v>91</v>
      </c>
      <c r="X2" s="62" t="s">
        <v>91</v>
      </c>
      <c r="Y2" s="57"/>
    </row>
    <row r="3" spans="1:25">
      <c r="A3" s="1" t="str">
        <f>'Binary Summary'!A3</f>
        <v>HD73340</v>
      </c>
      <c r="B3" s="1" t="str">
        <f>'Binary Summary'!B3</f>
        <v>B8p</v>
      </c>
      <c r="C3" s="1">
        <f>'Binary Summary'!C3</f>
        <v>145</v>
      </c>
      <c r="D3" s="4">
        <f>'Binary Summary'!G3</f>
        <v>2.0300000000000029</v>
      </c>
      <c r="E3" s="4">
        <f>'Binary Summary'!H3</f>
        <v>1.9439999999999982</v>
      </c>
      <c r="F3" s="4">
        <f>'Binary Summary'!I3</f>
        <v>2.0654999999999841</v>
      </c>
      <c r="G3" s="4">
        <f>'Isochrone Binaries '!H2</f>
        <v>3.9969999999999999</v>
      </c>
      <c r="H3" s="4">
        <f>'Isochrone Binaries '!I2</f>
        <v>4.0510000000000002</v>
      </c>
      <c r="I3" s="4">
        <f>'Isochrone Binaries '!J2</f>
        <v>4.1760000000000002</v>
      </c>
      <c r="J3" s="4">
        <f>'Isochrone Binaries '!L2</f>
        <v>4.073093067155992</v>
      </c>
      <c r="K3" s="4">
        <f>G4/G3</f>
        <v>0.41681260945709281</v>
      </c>
      <c r="L3" s="4">
        <f t="shared" ref="L3:M3" si="0">H4/H3</f>
        <v>0.40755369044680323</v>
      </c>
      <c r="M3" s="4">
        <f t="shared" si="0"/>
        <v>0.36805555555555552</v>
      </c>
      <c r="N3" s="4">
        <f>J4/J3</f>
        <v>0.3980158766690261</v>
      </c>
      <c r="O3" s="54">
        <f>'Binary Summary'!J3</f>
        <v>0.57160817307811362</v>
      </c>
      <c r="P3" s="4">
        <f>PI()/180 * O3/3600 * C3 * 206264.806</f>
        <v>82.883184997035983</v>
      </c>
      <c r="Q3" s="4">
        <f>'Binary Summary'!K3</f>
        <v>220.95558371663049</v>
      </c>
      <c r="T3" s="54">
        <v>0.99987678713499994</v>
      </c>
      <c r="U3" s="54">
        <v>0.99984401005599999</v>
      </c>
      <c r="V3" s="54">
        <v>0.99967185163600003</v>
      </c>
    </row>
    <row r="4" spans="1:25">
      <c r="A4" s="55" t="str">
        <f>'Binary Summary'!A4</f>
        <v>HD 73340</v>
      </c>
      <c r="D4" s="48">
        <f>'Binary Summary'!G4</f>
        <v>3.0066592756745815E-2</v>
      </c>
      <c r="E4" s="48">
        <f>'Binary Summary'!H4</f>
        <v>3.0066592756745815E-2</v>
      </c>
      <c r="F4" s="48">
        <f>'Binary Summary'!I4</f>
        <v>3.0149626863362672E-2</v>
      </c>
      <c r="G4" s="4">
        <f>'Isochrone Binaries '!H3</f>
        <v>1.6659999999999999</v>
      </c>
      <c r="H4" s="4">
        <f>'Isochrone Binaries '!I3</f>
        <v>1.651</v>
      </c>
      <c r="I4" s="4">
        <f>'Isochrone Binaries '!J3</f>
        <v>1.5369999999999999</v>
      </c>
      <c r="J4" s="4">
        <f>'Isochrone Binaries '!L3</f>
        <v>1.6211557078786245</v>
      </c>
      <c r="K4" s="4"/>
      <c r="L4" s="4"/>
      <c r="M4" s="4"/>
      <c r="N4" s="4"/>
      <c r="O4" s="51">
        <f>'Binary Summary'!J4</f>
        <v>3.4296490384686817E-3</v>
      </c>
      <c r="P4" s="48">
        <f>PI()/180 * O4/3600 * C3 * 206264.806</f>
        <v>0.49729910998221594</v>
      </c>
      <c r="Q4" s="48">
        <f>'Binary Summary'!K4</f>
        <v>0.5</v>
      </c>
      <c r="T4" s="284"/>
      <c r="U4" s="284"/>
      <c r="V4" s="284"/>
    </row>
    <row r="5" spans="1:25">
      <c r="A5" s="1" t="str">
        <f>'Binary Summary'!A5</f>
        <v>HD73503</v>
      </c>
      <c r="B5" s="1" t="str">
        <f>'Binary Summary'!B5</f>
        <v>A0V</v>
      </c>
      <c r="C5" s="1">
        <f>'Binary Summary'!C5</f>
        <v>145</v>
      </c>
      <c r="D5" s="4">
        <f>'Binary Summary'!G5</f>
        <v>2.2960000000000154</v>
      </c>
      <c r="E5" s="4">
        <f>'Binary Summary'!H5</f>
        <v>2.0140000000000011</v>
      </c>
      <c r="F5" s="4">
        <f>'Binary Summary'!I5</f>
        <v>1.9844999999999953</v>
      </c>
      <c r="G5" s="4">
        <f>'Isochrone Binaries '!H4</f>
        <v>1.57</v>
      </c>
      <c r="H5" s="4">
        <f>'Isochrone Binaries '!I4</f>
        <v>1.4890000000000001</v>
      </c>
      <c r="I5" s="4">
        <f>'Isochrone Binaries '!J4</f>
        <v>1.49</v>
      </c>
      <c r="J5" s="4">
        <f>'Isochrone Binaries '!L4</f>
        <v>1.5197332683560754</v>
      </c>
      <c r="K5" s="4">
        <f>G6/G5</f>
        <v>0.52484076433121019</v>
      </c>
      <c r="L5" s="4">
        <f t="shared" ref="L5" si="1">H6/H5</f>
        <v>0.51175285426460704</v>
      </c>
      <c r="M5" s="4">
        <f t="shared" ref="M5:N5" si="2">I6/I5</f>
        <v>0.50671140939597314</v>
      </c>
      <c r="N5" s="4">
        <f t="shared" si="2"/>
        <v>0.50642711202776414</v>
      </c>
      <c r="O5" s="54">
        <f>'Binary Summary'!J5</f>
        <v>1.2028845830368915</v>
      </c>
      <c r="P5" s="4">
        <f>PI()/180 * O5/3600 * C5 * 206264.806</f>
        <v>174.41826433140369</v>
      </c>
      <c r="Q5" s="4">
        <f>'Binary Summary'!K5</f>
        <v>134.34707643263948</v>
      </c>
      <c r="T5" s="54">
        <v>0.998693829915</v>
      </c>
      <c r="U5" s="54">
        <v>0.99852071424900002</v>
      </c>
      <c r="V5" s="54">
        <v>0.99826639072300005</v>
      </c>
    </row>
    <row r="6" spans="1:25">
      <c r="A6" s="55" t="str">
        <f>'Binary Summary'!A6</f>
        <v>HD 73503</v>
      </c>
      <c r="D6" s="48">
        <f>'Binary Summary'!G6</f>
        <v>3.0066592756745815E-2</v>
      </c>
      <c r="E6" s="48">
        <f>'Binary Summary'!H6</f>
        <v>3.0066592756745815E-2</v>
      </c>
      <c r="F6" s="48">
        <f>'Binary Summary'!I6</f>
        <v>3.0066592756745815E-2</v>
      </c>
      <c r="G6" s="4">
        <f>'Isochrone Binaries '!H5</f>
        <v>0.82399999999999995</v>
      </c>
      <c r="H6" s="4">
        <f>'Isochrone Binaries '!I5</f>
        <v>0.76200000000000001</v>
      </c>
      <c r="I6" s="4">
        <f>'Isochrone Binaries '!J5</f>
        <v>0.755</v>
      </c>
      <c r="J6" s="4">
        <f>'Isochrone Binaries '!L5</f>
        <v>0.7696341301460824</v>
      </c>
      <c r="K6" s="4"/>
      <c r="L6" s="4"/>
      <c r="M6" s="4"/>
      <c r="N6" s="4"/>
      <c r="O6" s="51">
        <f>'Binary Summary'!J6</f>
        <v>7.2173074982213488E-3</v>
      </c>
      <c r="P6" s="48">
        <f>PI()/180 * O6/3600 * C5 * 206264.806</f>
        <v>1.0465095859884221</v>
      </c>
      <c r="Q6" s="48">
        <f>'Binary Summary'!K6</f>
        <v>0.5</v>
      </c>
      <c r="T6" s="284"/>
      <c r="U6" s="284"/>
      <c r="V6" s="284"/>
    </row>
    <row r="7" spans="1:25">
      <c r="A7" s="1" t="str">
        <f>'Binary Summary'!A7</f>
        <v>HD73722</v>
      </c>
      <c r="B7" s="1" t="str">
        <f>'Binary Summary'!B7</f>
        <v>F5V</v>
      </c>
      <c r="C7" s="1">
        <f>'Binary Summary'!C7</f>
        <v>145</v>
      </c>
      <c r="D7" s="4">
        <f>'Binary Summary'!G7</f>
        <v>0.38649999999999807</v>
      </c>
      <c r="E7" s="4">
        <f>'Binary Summary'!H7</f>
        <v>0.37149999999999928</v>
      </c>
      <c r="F7" s="4">
        <f>'Binary Summary'!I7</f>
        <v>0.34849999999999959</v>
      </c>
      <c r="G7" s="4">
        <f>'Isochrone Binaries '!H6</f>
        <v>1.6719999999999999</v>
      </c>
      <c r="H7" s="4">
        <f>'Isochrone Binaries '!I6</f>
        <v>1.732</v>
      </c>
      <c r="I7" s="4">
        <f>'Isochrone Binaries '!J6</f>
        <v>1.74</v>
      </c>
      <c r="J7" s="4">
        <f>'Isochrone Binaries '!L6</f>
        <v>1.7146666666666668</v>
      </c>
      <c r="K7" s="4">
        <f t="shared" ref="K7" si="3">G8/G7</f>
        <v>0.88157894736842113</v>
      </c>
      <c r="L7" s="4">
        <f t="shared" ref="L7" si="4">H8/H7</f>
        <v>0.86085450346420334</v>
      </c>
      <c r="M7" s="4">
        <f t="shared" ref="M7:N7" si="5">I8/I7</f>
        <v>0.86609195402298844</v>
      </c>
      <c r="N7" s="4">
        <f t="shared" si="5"/>
        <v>0.86738709550786797</v>
      </c>
      <c r="O7" s="54">
        <f>'Binary Summary'!J7</f>
        <v>0.40373915751857581</v>
      </c>
      <c r="P7" s="4">
        <f>PI()/180 * O7/3600 * C7 * 206264.806</f>
        <v>58.542177770062487</v>
      </c>
      <c r="Q7" s="4">
        <f>'Binary Summary'!K7</f>
        <v>167.89833985404863</v>
      </c>
      <c r="T7" s="54">
        <v>0.99987678713499994</v>
      </c>
      <c r="U7" s="54">
        <v>0.99974472134699999</v>
      </c>
      <c r="V7" s="54">
        <v>0.99967185163600003</v>
      </c>
    </row>
    <row r="8" spans="1:25">
      <c r="A8" s="55" t="str">
        <f>'Binary Summary'!A8</f>
        <v>HD 73722</v>
      </c>
      <c r="D8" s="48">
        <f>'Binary Summary'!G8</f>
        <v>3.0016662039607268E-2</v>
      </c>
      <c r="E8" s="48">
        <f>'Binary Summary'!H8</f>
        <v>3.0016662039607268E-2</v>
      </c>
      <c r="F8" s="48">
        <f>'Binary Summary'!I8</f>
        <v>3.0016662039607268E-2</v>
      </c>
      <c r="G8" s="4">
        <f>'Isochrone Binaries '!H7</f>
        <v>1.474</v>
      </c>
      <c r="H8" s="4">
        <f>'Isochrone Binaries '!I7</f>
        <v>1.4910000000000001</v>
      </c>
      <c r="I8" s="4">
        <f>'Isochrone Binaries '!J7</f>
        <v>1.5069999999999999</v>
      </c>
      <c r="J8" s="4">
        <f>'Isochrone Binaries '!L7</f>
        <v>1.4872797397641577</v>
      </c>
      <c r="K8" s="4"/>
      <c r="L8" s="4"/>
      <c r="M8" s="4"/>
      <c r="N8" s="4"/>
      <c r="O8" s="51">
        <f>'Binary Summary'!J8</f>
        <v>2.422434945111455E-3</v>
      </c>
      <c r="P8" s="48">
        <f>PI()/180 * O8/3600 * C7 * 206264.806</f>
        <v>0.35125306662037498</v>
      </c>
      <c r="Q8" s="48">
        <f>'Binary Summary'!K8</f>
        <v>0.5</v>
      </c>
      <c r="T8" s="284"/>
      <c r="U8" s="284"/>
      <c r="V8" s="284"/>
    </row>
    <row r="9" spans="1:25">
      <c r="A9" s="1" t="str">
        <f>'Binary Summary'!A9</f>
        <v>Hogg13</v>
      </c>
      <c r="B9" s="1" t="str">
        <f>'Binary Summary'!B9</f>
        <v>B8V</v>
      </c>
      <c r="C9" s="1">
        <f>'Binary Summary'!C9</f>
        <v>145</v>
      </c>
      <c r="D9" s="4">
        <f>'Binary Summary'!G9</f>
        <v>5.2104573297366663</v>
      </c>
      <c r="E9" s="4">
        <f>'Binary Summary'!H9</f>
        <v>4.1559933459100007</v>
      </c>
      <c r="F9" s="4">
        <f>'Binary Summary'!I9</f>
        <v>4.0895852165033331</v>
      </c>
      <c r="G9" s="4">
        <f>'Isochrone Binaries '!H8</f>
        <v>3.1880000000000002</v>
      </c>
      <c r="H9" s="4">
        <f>'Isochrone Binaries '!I8</f>
        <v>3.2170000000000001</v>
      </c>
      <c r="I9" s="4">
        <f>'Isochrone Binaries '!J8</f>
        <v>3.246</v>
      </c>
      <c r="J9" s="4">
        <f>'Isochrone Binaries '!L8</f>
        <v>3.2154109604149097</v>
      </c>
      <c r="K9" s="4">
        <f t="shared" ref="K9" si="6">G10/G9</f>
        <v>0.18036386449184438</v>
      </c>
      <c r="L9" s="4">
        <f t="shared" ref="L9" si="7">H10/H9</f>
        <v>0.2064034815045073</v>
      </c>
      <c r="M9" s="4">
        <f t="shared" ref="M9:N9" si="8">I10/I9</f>
        <v>0.19839802834257547</v>
      </c>
      <c r="N9" s="4">
        <f t="shared" si="8"/>
        <v>0.19268310196246724</v>
      </c>
      <c r="O9" s="54">
        <f>'Binary Summary'!J9</f>
        <v>1.109016142345</v>
      </c>
      <c r="P9" s="4">
        <f>PI()/180 * O9/3600 * C9 * 206264.806</f>
        <v>160.80734044738475</v>
      </c>
      <c r="Q9" s="4">
        <f>'Binary Summary'!K9</f>
        <v>205.09290339699999</v>
      </c>
      <c r="T9" s="54">
        <v>0.99692807331199995</v>
      </c>
      <c r="U9" s="54">
        <v>0.99778949223199997</v>
      </c>
      <c r="V9" s="54">
        <v>0.99743437210899999</v>
      </c>
    </row>
    <row r="10" spans="1:25">
      <c r="A10" s="55" t="str">
        <f>'Binary Summary'!A10</f>
        <v>HD 73952</v>
      </c>
      <c r="D10" s="48">
        <f>'Binary Summary'!G10</f>
        <v>5.3973147124894309E-2</v>
      </c>
      <c r="E10" s="48">
        <f>'Binary Summary'!H10</f>
        <v>4.3324333674661195E-2</v>
      </c>
      <c r="F10" s="48">
        <f>'Binary Summary'!I10</f>
        <v>5.5672843163638158E-2</v>
      </c>
      <c r="G10" s="180">
        <f>'Isochrone Binaries '!H9</f>
        <v>0.57499999999999996</v>
      </c>
      <c r="H10" s="4">
        <f>'Isochrone Binaries '!I9</f>
        <v>0.66400000000000003</v>
      </c>
      <c r="I10" s="4">
        <f>'Isochrone Binaries '!J9</f>
        <v>0.64400000000000002</v>
      </c>
      <c r="J10" s="4">
        <f>'Isochrone Binaries '!L9</f>
        <v>0.61955535793686078</v>
      </c>
      <c r="K10" s="4"/>
      <c r="L10" s="4"/>
      <c r="M10" s="4"/>
      <c r="N10" s="4"/>
      <c r="O10" s="51">
        <f>'Binary Summary'!J10</f>
        <v>6.6540968540700005E-3</v>
      </c>
      <c r="P10" s="48">
        <f>PI()/180 * O10/3600 * C9 * 206264.806</f>
        <v>0.96484404268430835</v>
      </c>
      <c r="Q10" s="48">
        <f>'Binary Summary'!K10</f>
        <v>0.5</v>
      </c>
      <c r="T10" s="284"/>
      <c r="U10" s="284"/>
      <c r="V10" s="284"/>
    </row>
    <row r="11" spans="1:25">
      <c r="A11" s="1" t="str">
        <f>'Binary Summary'!A11</f>
        <v>PSPC13</v>
      </c>
      <c r="B11" s="1" t="str">
        <f>'Binary Summary'!B11</f>
        <v>A0IVp</v>
      </c>
      <c r="C11" s="1">
        <f>'Binary Summary'!C11</f>
        <v>145</v>
      </c>
      <c r="D11" s="4">
        <f>'Binary Summary'!G11</f>
        <v>1.9700000000000024</v>
      </c>
      <c r="E11" s="4">
        <f>'Binary Summary'!H11</f>
        <v>1.8050000000000033</v>
      </c>
      <c r="F11" s="4">
        <f>'Binary Summary'!I11</f>
        <v>1.8005000000000022</v>
      </c>
      <c r="G11" s="4">
        <f>'Isochrone Binaries '!H10</f>
        <v>2.5139999999999998</v>
      </c>
      <c r="H11" s="4">
        <f>'Isochrone Binaries '!I10</f>
        <v>2.5030000000000001</v>
      </c>
      <c r="I11" s="4">
        <f>'Isochrone Binaries '!J10</f>
        <v>2.6190000000000002</v>
      </c>
      <c r="J11" s="4">
        <f>'Isochrone Binaries '!L10</f>
        <v>2.5396399732685424</v>
      </c>
      <c r="K11" s="4">
        <f t="shared" ref="K11" si="9">G12/G11</f>
        <v>0.47573587907716786</v>
      </c>
      <c r="L11" s="4">
        <f t="shared" ref="L11" si="10">H12/H11</f>
        <v>0.45185777067518973</v>
      </c>
      <c r="M11" s="4">
        <f t="shared" ref="M11:N11" si="11">I12/I11</f>
        <v>0.4379534173348606</v>
      </c>
      <c r="N11" s="4">
        <f t="shared" si="11"/>
        <v>0.45955055238129516</v>
      </c>
      <c r="O11" s="54">
        <f>'Binary Summary'!J11</f>
        <v>0.57335679368763881</v>
      </c>
      <c r="P11" s="4">
        <f>PI()/180 * O11/3600 * C11 * 206264.806</f>
        <v>83.136734985113407</v>
      </c>
      <c r="Q11" s="4">
        <f>'Binary Summary'!K11</f>
        <v>352.70535172623102</v>
      </c>
      <c r="T11" s="54">
        <v>0.99968264681300001</v>
      </c>
      <c r="U11" s="54">
        <v>0.99936385265399996</v>
      </c>
      <c r="V11" s="54">
        <v>0.99949239888700003</v>
      </c>
    </row>
    <row r="12" spans="1:25">
      <c r="A12" s="55" t="str">
        <f>'Binary Summary'!A12</f>
        <v>HD 74169</v>
      </c>
      <c r="D12" s="48">
        <f>'Binary Summary'!G12</f>
        <v>3.0066592756745815E-2</v>
      </c>
      <c r="E12" s="48">
        <f>'Binary Summary'!H12</f>
        <v>3.0066592756745815E-2</v>
      </c>
      <c r="F12" s="48">
        <f>'Binary Summary'!I12</f>
        <v>3.0066592756745815E-2</v>
      </c>
      <c r="G12" s="4">
        <f>'Isochrone Binaries '!H11</f>
        <v>1.196</v>
      </c>
      <c r="H12" s="4">
        <f>'Isochrone Binaries '!I11</f>
        <v>1.131</v>
      </c>
      <c r="I12" s="4">
        <f>'Isochrone Binaries '!J11</f>
        <v>1.147</v>
      </c>
      <c r="J12" s="4">
        <f>'Isochrone Binaries '!L11</f>
        <v>1.1670929525651763</v>
      </c>
      <c r="K12" s="4"/>
      <c r="L12" s="4"/>
      <c r="M12" s="4"/>
      <c r="N12" s="4"/>
      <c r="O12" s="51">
        <f>'Binary Summary'!J12</f>
        <v>3.4401407621258329E-3</v>
      </c>
      <c r="P12" s="48">
        <f t="shared" ref="P12" si="12">PI()/180 * O12/3600 * C11 * 206264.806</f>
        <v>0.49882040991068044</v>
      </c>
      <c r="Q12" s="48">
        <f>'Binary Summary'!K12</f>
        <v>0.5</v>
      </c>
      <c r="T12" s="284"/>
      <c r="U12" s="284"/>
      <c r="V12" s="284"/>
    </row>
    <row r="13" spans="1:25">
      <c r="A13" s="1" t="str">
        <f>'Binary Summary'!A13</f>
        <v>PSPC46</v>
      </c>
      <c r="B13" s="1" t="str">
        <f>'Binary Summary'!B13</f>
        <v>B8s</v>
      </c>
      <c r="C13" s="1">
        <f>'Binary Summary'!C13</f>
        <v>145</v>
      </c>
      <c r="D13" s="4">
        <f>'Binary Summary'!G13</f>
        <v>1.4444999999999988</v>
      </c>
      <c r="E13" s="4">
        <f>'Binary Summary'!H13</f>
        <v>1.4705000000000057</v>
      </c>
      <c r="F13" s="4">
        <f>'Binary Summary'!I13</f>
        <v>1.4785000000000021</v>
      </c>
      <c r="G13" s="4">
        <f>'Isochrone Binaries '!H12</f>
        <v>4.399</v>
      </c>
      <c r="H13" s="4">
        <f>'Isochrone Binaries '!I12</f>
        <v>4.3849999999999998</v>
      </c>
      <c r="I13" s="4">
        <f>'Isochrone Binaries '!J12</f>
        <v>4.5199999999999996</v>
      </c>
      <c r="J13" s="4">
        <f>'Isochrone Binaries '!L12</f>
        <v>4.435448708936689</v>
      </c>
      <c r="K13" s="4">
        <f t="shared" ref="K13" si="13">G14/G13</f>
        <v>0.57672198226869742</v>
      </c>
      <c r="L13" s="4">
        <f t="shared" ref="L13" si="14">H14/H13</f>
        <v>0.5655644241733182</v>
      </c>
      <c r="M13" s="4">
        <f t="shared" ref="M13:N13" si="15">I14/I13</f>
        <v>0.55088495575221252</v>
      </c>
      <c r="N13" s="4">
        <f t="shared" si="15"/>
        <v>0.56391693673436216</v>
      </c>
      <c r="O13" s="54">
        <f>'Binary Summary'!J13</f>
        <v>0.57152964787734195</v>
      </c>
      <c r="P13" s="4">
        <f>PI()/180 * O13/3600 * C13 * 206264.806</f>
        <v>82.87179884293775</v>
      </c>
      <c r="Q13" s="4">
        <f>'Binary Summary'!K13</f>
        <v>158.91550380481891</v>
      </c>
      <c r="T13" s="72">
        <v>0.99995564933299996</v>
      </c>
      <c r="U13" s="54">
        <v>0.99990397364500005</v>
      </c>
      <c r="V13" s="54">
        <v>0.99986907478499998</v>
      </c>
    </row>
    <row r="14" spans="1:25">
      <c r="A14" s="55" t="str">
        <f>'Binary Summary'!A14</f>
        <v>HD 74535</v>
      </c>
      <c r="D14" s="48">
        <f>'Binary Summary'!G14</f>
        <v>3.0016662039607268E-2</v>
      </c>
      <c r="E14" s="48">
        <f>'Binary Summary'!H14</f>
        <v>3.0016662039607268E-2</v>
      </c>
      <c r="F14" s="48">
        <f>'Binary Summary'!I14</f>
        <v>3.0066592756745815E-2</v>
      </c>
      <c r="G14" s="4">
        <f>'Isochrone Binaries '!H13</f>
        <v>2.5369999999999999</v>
      </c>
      <c r="H14" s="4">
        <f>'Isochrone Binaries '!I13</f>
        <v>2.48</v>
      </c>
      <c r="I14" s="4">
        <f>'Isochrone Binaries '!J13</f>
        <v>2.4900000000000002</v>
      </c>
      <c r="J14" s="4">
        <f>'Isochrone Binaries '!L13</f>
        <v>2.5012246489859593</v>
      </c>
      <c r="K14" s="4"/>
      <c r="L14" s="4"/>
      <c r="M14" s="4"/>
      <c r="N14" s="4"/>
      <c r="O14" s="51">
        <f>'Binary Summary'!J14</f>
        <v>3.429177887264052E-3</v>
      </c>
      <c r="P14" s="48">
        <f t="shared" ref="P14" si="16">PI()/180 * O14/3600 * C13 * 206264.806</f>
        <v>0.49723079305762652</v>
      </c>
      <c r="Q14" s="48">
        <f>'Binary Summary'!K14</f>
        <v>0.5</v>
      </c>
      <c r="T14" s="284"/>
      <c r="U14" s="284"/>
      <c r="V14" s="284"/>
    </row>
    <row r="15" spans="1:25">
      <c r="A15" s="1" t="str">
        <f>'Binary Summary'!A15</f>
        <v>Hogg5</v>
      </c>
      <c r="B15" s="1" t="str">
        <f>'Binary Summary'!B15</f>
        <v>F5V</v>
      </c>
      <c r="C15" s="1">
        <f>'Binary Summary'!C15</f>
        <v>145</v>
      </c>
      <c r="D15" s="4">
        <f>'Binary Summary'!G15</f>
        <v>4</v>
      </c>
      <c r="E15" s="4">
        <f>'Binary Summary'!H15</f>
        <v>3.4000000000000004</v>
      </c>
      <c r="F15" s="4">
        <f>'Binary Summary'!I15</f>
        <v>3.23</v>
      </c>
      <c r="G15" s="4">
        <f>'Isochrone Binaries '!H14</f>
        <v>1.343</v>
      </c>
      <c r="H15" s="4">
        <f>'Isochrone Binaries '!I14</f>
        <v>1.3140000000000001</v>
      </c>
      <c r="I15" s="4">
        <f>'Isochrone Binaries '!J14</f>
        <v>1.361</v>
      </c>
      <c r="J15" s="4">
        <f>'Isochrone Binaries '!L14</f>
        <v>1.3328831878414107</v>
      </c>
      <c r="K15" s="180">
        <f t="shared" ref="K15" si="17">G16/G15</f>
        <v>0.25614296351451971</v>
      </c>
      <c r="L15" s="4">
        <f t="shared" ref="L15" si="18">H16/H15</f>
        <v>0.30060882800608829</v>
      </c>
      <c r="M15" s="4">
        <f t="shared" ref="M15:N15" si="19">I16/I15</f>
        <v>0.28728875826598094</v>
      </c>
      <c r="N15" s="4">
        <f t="shared" si="19"/>
        <v>0.28858367418008501</v>
      </c>
      <c r="O15" s="54">
        <f>'Binary Summary'!J15</f>
        <v>0.399158497655</v>
      </c>
      <c r="P15" s="4">
        <f>PI()/180 * O15/3600 * C15 * 206264.806</f>
        <v>57.877982090639669</v>
      </c>
      <c r="Q15" s="4">
        <f>'Binary Summary'!K15</f>
        <v>18.434948822900001</v>
      </c>
      <c r="T15" s="54">
        <v>0.99308127647400002</v>
      </c>
      <c r="U15" s="54">
        <v>0.99507985451699998</v>
      </c>
      <c r="V15" s="54">
        <v>0.99440656781299996</v>
      </c>
    </row>
    <row r="16" spans="1:25">
      <c r="A16" s="55" t="str">
        <f>'Binary Summary'!A16</f>
        <v>SAO 236200</v>
      </c>
      <c r="D16" s="48">
        <f>'Binary Summary'!G16</f>
        <v>0.25</v>
      </c>
      <c r="E16" s="48">
        <f>'Binary Summary'!H16</f>
        <v>0.15811388300841897</v>
      </c>
      <c r="F16" s="48">
        <f>'Binary Summary'!I16</f>
        <v>0.13</v>
      </c>
      <c r="G16" s="180">
        <f>'Isochrone Binaries '!H15</f>
        <v>0.34399999999999997</v>
      </c>
      <c r="H16" s="4">
        <f>'Isochrone Binaries '!I15</f>
        <v>0.39500000000000002</v>
      </c>
      <c r="I16" s="4">
        <f>'Isochrone Binaries '!J15</f>
        <v>0.39100000000000001</v>
      </c>
      <c r="J16" s="4">
        <f>'Isochrone Binaries '!L15</f>
        <v>0.38464832760013873</v>
      </c>
      <c r="K16" s="4"/>
      <c r="L16" s="4"/>
      <c r="M16" s="4"/>
      <c r="N16" s="4"/>
      <c r="O16" s="51">
        <f>'Binary Summary'!J16</f>
        <v>2.3949509859300003E-3</v>
      </c>
      <c r="P16" s="48">
        <f t="shared" ref="P16" si="20">PI()/180 * O16/3600 * C15 * 206264.806</f>
        <v>0.34726789254383811</v>
      </c>
      <c r="Q16" s="48">
        <f>'Binary Summary'!K16</f>
        <v>0.5</v>
      </c>
      <c r="T16" s="284"/>
      <c r="U16" s="284"/>
      <c r="V16" s="284"/>
    </row>
    <row r="17" spans="1:24">
      <c r="A17" s="62" t="s">
        <v>92</v>
      </c>
      <c r="B17" s="62" t="s">
        <v>92</v>
      </c>
      <c r="C17" s="62" t="s">
        <v>92</v>
      </c>
      <c r="D17" s="62" t="s">
        <v>92</v>
      </c>
      <c r="E17" s="62" t="s">
        <v>92</v>
      </c>
      <c r="F17" s="62" t="s">
        <v>92</v>
      </c>
      <c r="G17" s="62" t="s">
        <v>92</v>
      </c>
      <c r="H17" s="62" t="s">
        <v>92</v>
      </c>
      <c r="I17" s="62" t="s">
        <v>92</v>
      </c>
      <c r="J17" s="62" t="s">
        <v>92</v>
      </c>
      <c r="K17" s="62" t="s">
        <v>92</v>
      </c>
      <c r="L17" s="62" t="s">
        <v>92</v>
      </c>
      <c r="M17" s="62" t="s">
        <v>92</v>
      </c>
      <c r="N17" s="62" t="s">
        <v>92</v>
      </c>
      <c r="O17" s="62" t="s">
        <v>92</v>
      </c>
      <c r="P17" s="62" t="s">
        <v>92</v>
      </c>
      <c r="Q17" s="62" t="s">
        <v>92</v>
      </c>
      <c r="R17" s="62" t="s">
        <v>92</v>
      </c>
      <c r="S17" s="62" t="s">
        <v>92</v>
      </c>
      <c r="T17" s="62" t="s">
        <v>92</v>
      </c>
      <c r="U17" s="62" t="s">
        <v>92</v>
      </c>
      <c r="V17" s="62" t="s">
        <v>92</v>
      </c>
      <c r="W17" s="62" t="s">
        <v>92</v>
      </c>
      <c r="X17" s="62" t="s">
        <v>92</v>
      </c>
    </row>
    <row r="18" spans="1:24">
      <c r="A18" s="249" t="str">
        <f>'Binary Summary'!A18</f>
        <v>M56 a</v>
      </c>
      <c r="B18" s="250" t="str">
        <f>'Binary Summary'!B18</f>
        <v>B8V</v>
      </c>
      <c r="C18" s="250">
        <f>'Binary Summary'!C18</f>
        <v>270</v>
      </c>
      <c r="D18" s="251">
        <f>'Binary Summary'!G18</f>
        <v>5.9657505532749999</v>
      </c>
      <c r="E18" s="251">
        <f>'Binary Summary'!H18</f>
        <v>6.0633282185199997</v>
      </c>
      <c r="F18" s="251">
        <f>'Binary Summary'!I18</f>
        <v>6.2175714953250001</v>
      </c>
      <c r="G18" s="251">
        <f>'Isochrone Binaries '!H16</f>
        <v>4.1950000000000003</v>
      </c>
      <c r="H18" s="251">
        <f>'Isochrone Binaries '!I16</f>
        <v>4.3310000000000004</v>
      </c>
      <c r="I18" s="251">
        <f>'Isochrone Binaries '!J16</f>
        <v>4.5620000000000003</v>
      </c>
      <c r="J18" s="251">
        <f>'Isochrone Binaries '!L16</f>
        <v>4.3042113394157795</v>
      </c>
      <c r="K18" s="251">
        <f>G19/G18</f>
        <v>0.18951132300357568</v>
      </c>
      <c r="L18" s="251">
        <f t="shared" ref="L18" si="21">H19/H18</f>
        <v>0.15285153544216115</v>
      </c>
      <c r="M18" s="251">
        <f t="shared" ref="M18:N18" si="22">I19/I18</f>
        <v>0.132617273125822</v>
      </c>
      <c r="N18" s="251">
        <f t="shared" si="22"/>
        <v>0.14718143465650232</v>
      </c>
      <c r="O18" s="255">
        <f>'Binary Summary'!J18</f>
        <v>2.8551119122230824</v>
      </c>
      <c r="P18" s="251">
        <f>PI()/180 * O18/3600 * C18 * 206264.806</f>
        <v>770.88021537675104</v>
      </c>
      <c r="Q18" s="251">
        <f>'Binary Summary'!K18</f>
        <v>152.77032046661162</v>
      </c>
      <c r="R18" s="250"/>
      <c r="S18" s="250"/>
      <c r="T18" s="288">
        <v>0.94722860581500001</v>
      </c>
      <c r="U18" s="229">
        <v>0.89497240252599997</v>
      </c>
      <c r="V18" s="230">
        <v>0.87363996218899997</v>
      </c>
    </row>
    <row r="19" spans="1:24">
      <c r="A19" s="252" t="str">
        <f>'Binary Summary'!A19</f>
        <v>HD 162586</v>
      </c>
      <c r="B19" s="253"/>
      <c r="C19" s="253"/>
      <c r="D19" s="254" t="str">
        <f>'Binary Summary'!G19</f>
        <v>???</v>
      </c>
      <c r="E19" s="254">
        <f>'Binary Summary'!H19</f>
        <v>5.0009999000199958E-2</v>
      </c>
      <c r="F19" s="254">
        <f>'Binary Summary'!I19</f>
        <v>5.0009999000199958E-2</v>
      </c>
      <c r="G19" s="243">
        <f>'Isochrone Binaries '!H17</f>
        <v>0.79500000000000004</v>
      </c>
      <c r="H19" s="256">
        <f>'Isochrone Binaries '!I17</f>
        <v>0.66200000000000003</v>
      </c>
      <c r="I19" s="256">
        <f>'Isochrone Binaries '!J17</f>
        <v>0.60499999999999998</v>
      </c>
      <c r="J19" s="256">
        <f>'Isochrone Binaries '!L17</f>
        <v>0.63349999999999995</v>
      </c>
      <c r="K19" s="256"/>
      <c r="L19" s="256"/>
      <c r="M19" s="256"/>
      <c r="N19" s="256"/>
      <c r="O19" s="257">
        <f>'Binary Summary'!J19</f>
        <v>1.7130671473338493E-2</v>
      </c>
      <c r="P19" s="254">
        <f>PI()/180 * O19/3600 * C18 * 206264.806</f>
        <v>4.6252812922605058</v>
      </c>
      <c r="Q19" s="254">
        <f>'Binary Summary'!K19</f>
        <v>0.5</v>
      </c>
      <c r="R19" s="253"/>
      <c r="S19" s="253"/>
      <c r="T19" s="289"/>
      <c r="U19" s="289"/>
      <c r="V19" s="290"/>
    </row>
    <row r="20" spans="1:24">
      <c r="A20" s="1" t="str">
        <f>'Binary Summary'!A20</f>
        <v>M56 b</v>
      </c>
      <c r="B20" s="1" t="str">
        <f>'Binary Summary'!B20</f>
        <v>B8V</v>
      </c>
      <c r="C20" s="1">
        <f>'Binary Summary'!C20</f>
        <v>270</v>
      </c>
      <c r="D20" s="180">
        <f>'Binary Summary'!G20</f>
        <v>0.15</v>
      </c>
      <c r="E20" s="4">
        <f>'Binary Summary'!H20</f>
        <v>0.25</v>
      </c>
      <c r="F20" s="4">
        <f>'Binary Summary'!I20</f>
        <v>0.3</v>
      </c>
      <c r="G20" s="4">
        <f>'Isochrone Binaries '!H18</f>
        <v>4.1950000000000003</v>
      </c>
      <c r="H20" s="4">
        <f>'Isochrone Binaries '!I18</f>
        <v>4.3310000000000004</v>
      </c>
      <c r="I20" s="4">
        <f>'Isochrone Binaries '!J18</f>
        <v>4.5620000000000003</v>
      </c>
      <c r="J20" s="4">
        <f>'Isochrone Binaries '!L18</f>
        <v>4.3042113394157795</v>
      </c>
      <c r="K20" s="180">
        <f>G21/G20</f>
        <v>0.93897497020262211</v>
      </c>
      <c r="L20" s="4">
        <f t="shared" ref="L20" si="23">H21/H20</f>
        <v>0.89101824059108747</v>
      </c>
      <c r="M20" s="4">
        <f t="shared" ref="M20:N20" si="24">I21/I20</f>
        <v>0.85028496273564225</v>
      </c>
      <c r="N20" s="4">
        <f t="shared" si="24"/>
        <v>0.90158978110821608</v>
      </c>
      <c r="O20" s="54">
        <f>'Binary Summary'!J20</f>
        <v>0.29675365499999995</v>
      </c>
      <c r="P20" s="4">
        <f t="shared" ref="P20" si="25">PI()/180 * O20/3600 * C20 * 206264.806</f>
        <v>80.123486754015516</v>
      </c>
      <c r="Q20" s="4">
        <f>'Binary Summary'!K20</f>
        <v>250.086195</v>
      </c>
      <c r="T20" s="54">
        <v>0.99996530517000004</v>
      </c>
      <c r="U20" s="54">
        <v>0.99988417734299995</v>
      </c>
      <c r="V20" s="54">
        <v>0.99979798623899996</v>
      </c>
    </row>
    <row r="21" spans="1:24">
      <c r="A21" s="55" t="str">
        <f>'Binary Summary'!A21</f>
        <v>HD 162586</v>
      </c>
      <c r="D21" s="48">
        <f>'Binary Summary'!G21</f>
        <v>0.15</v>
      </c>
      <c r="E21" s="48">
        <f>'Binary Summary'!H21</f>
        <v>0.1</v>
      </c>
      <c r="F21" s="48">
        <f>'Binary Summary'!I21</f>
        <v>0.1</v>
      </c>
      <c r="G21" s="4">
        <f>'Isochrone Binaries '!H19</f>
        <v>3.9390000000000001</v>
      </c>
      <c r="H21" s="4">
        <f>'Isochrone Binaries '!I19</f>
        <v>3.859</v>
      </c>
      <c r="I21" s="4">
        <f>'Isochrone Binaries '!J19</f>
        <v>3.879</v>
      </c>
      <c r="J21" s="4">
        <f>'Isochrone Binaries '!L19</f>
        <v>3.8806329593473743</v>
      </c>
      <c r="K21" s="4"/>
      <c r="L21" s="4"/>
      <c r="M21" s="4"/>
      <c r="N21" s="4"/>
      <c r="O21" s="51">
        <f>'Binary Summary'!J21</f>
        <v>2.6398821639920297E-3</v>
      </c>
      <c r="P21" s="48">
        <f t="shared" ref="P21" si="26">PI()/180 * O21/3600 * C20 * 206264.806</f>
        <v>0.7127681834239824</v>
      </c>
      <c r="Q21" s="48">
        <f>'Binary Summary'!K21</f>
        <v>0.60059088235640279</v>
      </c>
      <c r="T21" s="284"/>
      <c r="U21" s="284"/>
      <c r="V21" s="284"/>
    </row>
    <row r="22" spans="1:24">
      <c r="A22" s="249" t="str">
        <f>'Binary Summary'!A22</f>
        <v>M42</v>
      </c>
      <c r="B22" s="250" t="str">
        <f>'Binary Summary'!B22</f>
        <v>B9.5V</v>
      </c>
      <c r="C22" s="250">
        <f>'Binary Summary'!C22</f>
        <v>270</v>
      </c>
      <c r="D22" s="251">
        <f>'Binary Summary'!G22</f>
        <v>6.8624860812999993</v>
      </c>
      <c r="E22" s="251">
        <f>'Binary Summary'!H22</f>
        <v>6.0003637630433326</v>
      </c>
      <c r="F22" s="251">
        <f>'Binary Summary'!I22</f>
        <v>5.7838220210300006</v>
      </c>
      <c r="G22" s="251">
        <f>'Isochrone Binaries '!H20</f>
        <v>3.8410000000000002</v>
      </c>
      <c r="H22" s="251">
        <f>'Isochrone Binaries '!I20</f>
        <v>3.8959999999999999</v>
      </c>
      <c r="I22" s="251">
        <f>'Isochrone Binaries '!J20</f>
        <v>3.9340000000000002</v>
      </c>
      <c r="J22" s="251">
        <f>'Isochrone Binaries '!L20</f>
        <v>3.8822936496019733</v>
      </c>
      <c r="K22" s="251">
        <f t="shared" ref="K22" si="27">G23/G22</f>
        <v>0.15282478521218432</v>
      </c>
      <c r="L22" s="251">
        <f t="shared" ref="L22" si="28">H23/H22</f>
        <v>0.1614476386036961</v>
      </c>
      <c r="M22" s="251">
        <f t="shared" ref="M22:N22" si="29">I23/I22</f>
        <v>0.16319267920691408</v>
      </c>
      <c r="N22" s="251">
        <f t="shared" si="29"/>
        <v>0.16242534680004836</v>
      </c>
      <c r="O22" s="255">
        <f>'Binary Summary'!J22</f>
        <v>2.1690783180122222</v>
      </c>
      <c r="P22" s="251">
        <f t="shared" ref="P22" si="30">PI()/180 * O22/3600 * C22 * 206264.806</f>
        <v>585.65114516171502</v>
      </c>
      <c r="Q22" s="251">
        <f>'Binary Summary'!K22</f>
        <v>153.48839916644445</v>
      </c>
      <c r="R22" s="250"/>
      <c r="S22" s="250"/>
      <c r="T22" s="229">
        <v>0.88399385936899999</v>
      </c>
      <c r="U22" s="229">
        <v>0.89497240252599997</v>
      </c>
      <c r="V22" s="230">
        <v>0.87363996218899997</v>
      </c>
    </row>
    <row r="23" spans="1:24">
      <c r="A23" s="252" t="str">
        <f>'Binary Summary'!A23</f>
        <v>HD 162515</v>
      </c>
      <c r="B23" s="253"/>
      <c r="C23" s="253"/>
      <c r="D23" s="254">
        <f>'Binary Summary'!G23</f>
        <v>0.12482430360570866</v>
      </c>
      <c r="E23" s="254">
        <f>'Binary Summary'!H23</f>
        <v>4.782956720888476E-2</v>
      </c>
      <c r="F23" s="254">
        <f>'Binary Summary'!I23</f>
        <v>4.09552736138434E-2</v>
      </c>
      <c r="G23" s="256">
        <f>'Isochrone Binaries '!H21</f>
        <v>0.58699999999999997</v>
      </c>
      <c r="H23" s="256">
        <f>'Isochrone Binaries '!I21</f>
        <v>0.629</v>
      </c>
      <c r="I23" s="256">
        <f>'Isochrone Binaries '!J21</f>
        <v>0.64200000000000002</v>
      </c>
      <c r="J23" s="256">
        <f>'Isochrone Binaries '!L21</f>
        <v>0.63058289241622589</v>
      </c>
      <c r="K23" s="256"/>
      <c r="L23" s="256"/>
      <c r="M23" s="256"/>
      <c r="N23" s="256"/>
      <c r="O23" s="257">
        <f>'Binary Summary'!J23</f>
        <v>1.3014469908073333E-2</v>
      </c>
      <c r="P23" s="254">
        <f t="shared" ref="P23" si="31">PI()/180 * O23/3600 * C22 * 206264.806</f>
        <v>3.5139068709702901</v>
      </c>
      <c r="Q23" s="254">
        <f>'Binary Summary'!K23</f>
        <v>0.5</v>
      </c>
      <c r="R23" s="253"/>
      <c r="S23" s="253"/>
      <c r="T23" s="289"/>
      <c r="U23" s="289"/>
      <c r="V23" s="290"/>
    </row>
    <row r="24" spans="1:24">
      <c r="A24" s="1" t="str">
        <f>'Binary Summary'!A24</f>
        <v>M86 a</v>
      </c>
      <c r="B24" s="1" t="str">
        <f>'Binary Summary'!B24</f>
        <v>B9V</v>
      </c>
      <c r="C24" s="1">
        <f>'Binary Summary'!C24</f>
        <v>270</v>
      </c>
      <c r="D24" s="4">
        <f>'Binary Summary'!G24</f>
        <v>1.7</v>
      </c>
      <c r="E24" s="4">
        <f>'Binary Summary'!H24</f>
        <v>1.5</v>
      </c>
      <c r="F24" s="4">
        <f>'Binary Summary'!I24</f>
        <v>1.6</v>
      </c>
      <c r="G24" s="4">
        <f>'Isochrone Binaries '!H22</f>
        <v>5.1449999999999996</v>
      </c>
      <c r="H24" s="4">
        <f>'Isochrone Binaries '!I22</f>
        <v>5.2809999999999997</v>
      </c>
      <c r="I24" s="4">
        <f>'Isochrone Binaries '!J22</f>
        <v>5.5339999999999998</v>
      </c>
      <c r="J24" s="4">
        <f>'Isochrone Binaries '!L22</f>
        <v>5.3331751173049522</v>
      </c>
      <c r="K24" s="4">
        <f t="shared" ref="K24" si="32">G25/G24</f>
        <v>0.59475218658892137</v>
      </c>
      <c r="L24" s="4">
        <f t="shared" ref="L24" si="33">H25/H24</f>
        <v>0.60424162090513156</v>
      </c>
      <c r="M24" s="4">
        <f t="shared" ref="M24:N24" si="34">I25/I24</f>
        <v>0.57354535598120704</v>
      </c>
      <c r="N24" s="4">
        <f t="shared" si="34"/>
        <v>0.59411642797995223</v>
      </c>
      <c r="O24" s="54">
        <f>'Binary Summary'!J24</f>
        <v>0.22769999999999999</v>
      </c>
      <c r="P24" s="4">
        <f t="shared" ref="P24" si="35">PI()/180 * O24/3600 * C24 * 206264.806</f>
        <v>61.478999926350809</v>
      </c>
      <c r="Q24" s="4">
        <f>'Binary Summary'!K24</f>
        <v>96.5</v>
      </c>
      <c r="T24" s="54">
        <v>0.99978144266699998</v>
      </c>
      <c r="U24" s="54">
        <v>0.999595479728</v>
      </c>
      <c r="V24" s="54">
        <v>0.99918632300599997</v>
      </c>
    </row>
    <row r="25" spans="1:24">
      <c r="A25" s="55" t="str">
        <f>'Binary Summary'!A25</f>
        <v>HD 162724</v>
      </c>
      <c r="D25" s="48">
        <f>'Binary Summary'!G25</f>
        <v>0.20615528128088306</v>
      </c>
      <c r="E25" s="48">
        <f>'Binary Summary'!H25</f>
        <v>0.1118033988749895</v>
      </c>
      <c r="F25" s="48">
        <f>'Binary Summary'!I25</f>
        <v>0.1118033988749895</v>
      </c>
      <c r="G25" s="4">
        <f>'Isochrone Binaries '!H23</f>
        <v>3.06</v>
      </c>
      <c r="H25" s="4">
        <f>'Isochrone Binaries '!I23</f>
        <v>3.1909999999999998</v>
      </c>
      <c r="I25" s="4">
        <f>'Isochrone Binaries '!J23</f>
        <v>3.1739999999999999</v>
      </c>
      <c r="J25" s="4">
        <f>'Isochrone Binaries '!L23</f>
        <v>3.1685269504847811</v>
      </c>
      <c r="K25" s="4"/>
      <c r="L25" s="4"/>
      <c r="M25" s="4"/>
      <c r="N25" s="4"/>
      <c r="O25" s="51">
        <f>'Binary Summary'!J25</f>
        <v>3.465E-2</v>
      </c>
      <c r="P25" s="48">
        <f t="shared" ref="P25" si="36">PI()/180 * O25/3600 * C24 * 206264.806</f>
        <v>9.3554999887925145</v>
      </c>
      <c r="Q25" s="48">
        <f>'Binary Summary'!K25</f>
        <v>0.53851648071345048</v>
      </c>
      <c r="T25" s="284"/>
      <c r="U25" s="284"/>
      <c r="V25" s="284"/>
    </row>
    <row r="26" spans="1:24">
      <c r="A26" s="249" t="str">
        <f>'Binary Summary'!A26</f>
        <v>M86 b</v>
      </c>
      <c r="B26" s="250" t="str">
        <f>'Binary Summary'!B26</f>
        <v>B9V</v>
      </c>
      <c r="C26" s="250">
        <f>'Binary Summary'!C26</f>
        <v>270</v>
      </c>
      <c r="D26" s="251">
        <f>'Binary Summary'!G26</f>
        <v>8.1017041618950003</v>
      </c>
      <c r="E26" s="251">
        <f>'Binary Summary'!H26</f>
        <v>7.5104437275549998</v>
      </c>
      <c r="F26" s="251">
        <f>'Binary Summary'!I26</f>
        <v>7.3370258902050001</v>
      </c>
      <c r="G26" s="251">
        <f>'Isochrone Binaries '!H24</f>
        <v>5.1449999999999996</v>
      </c>
      <c r="H26" s="251">
        <f>'Isochrone Binaries '!I24</f>
        <v>5.2809999999999997</v>
      </c>
      <c r="I26" s="251">
        <f>'Isochrone Binaries '!J24</f>
        <v>5.5339999999999998</v>
      </c>
      <c r="J26" s="251">
        <f>'Isochrone Binaries '!L24</f>
        <v>5.3331751173049522</v>
      </c>
      <c r="K26" s="251">
        <f t="shared" ref="K26" si="37">G27/G26</f>
        <v>9.1739552964042764E-2</v>
      </c>
      <c r="L26" s="251">
        <f t="shared" ref="L26" si="38">H27/H26</f>
        <v>8.9187653853436855E-2</v>
      </c>
      <c r="M26" s="251">
        <f t="shared" ref="M26:N26" si="39">I27/I26</f>
        <v>8.3483917600289129E-2</v>
      </c>
      <c r="N26" s="251">
        <f t="shared" si="39"/>
        <v>8.791603118891135E-2</v>
      </c>
      <c r="O26" s="255">
        <f>'Binary Summary'!J26</f>
        <v>3.5418935813466668</v>
      </c>
      <c r="P26" s="251">
        <f t="shared" ref="P26" si="40">PI()/180 * O26/3600 * C26 * 206264.806</f>
        <v>956.31126581798037</v>
      </c>
      <c r="Q26" s="251">
        <f>'Binary Summary'!K26</f>
        <v>113.85656817716669</v>
      </c>
      <c r="R26" s="250"/>
      <c r="S26" s="250"/>
      <c r="T26" s="229">
        <v>0.83260482399500002</v>
      </c>
      <c r="U26" s="229">
        <v>0.791184737237</v>
      </c>
      <c r="V26" s="230">
        <v>0.75233804358400003</v>
      </c>
    </row>
    <row r="27" spans="1:24">
      <c r="A27" s="252" t="str">
        <f>'Binary Summary'!A27</f>
        <v>HD 162724</v>
      </c>
      <c r="B27" s="253"/>
      <c r="C27" s="253"/>
      <c r="D27" s="254">
        <f>'Binary Summary'!G27</f>
        <v>5.8002155132374181E-2</v>
      </c>
      <c r="E27" s="254">
        <f>'Binary Summary'!H27</f>
        <v>5.2945726928620034E-2</v>
      </c>
      <c r="F27" s="254">
        <f>'Binary Summary'!I27</f>
        <v>6.3247529596024532E-2</v>
      </c>
      <c r="G27" s="256">
        <f>'Isochrone Binaries '!H25</f>
        <v>0.47199999999999998</v>
      </c>
      <c r="H27" s="256">
        <f>'Isochrone Binaries '!I25</f>
        <v>0.47099999999999997</v>
      </c>
      <c r="I27" s="256">
        <f>'Isochrone Binaries '!J25</f>
        <v>0.46200000000000002</v>
      </c>
      <c r="J27" s="256">
        <f>'Isochrone Binaries '!L25</f>
        <v>0.4688715899489081</v>
      </c>
      <c r="K27" s="256"/>
      <c r="L27" s="256"/>
      <c r="M27" s="256"/>
      <c r="N27" s="256"/>
      <c r="O27" s="257">
        <f>'Binary Summary'!J27</f>
        <v>2.125136148808E-2</v>
      </c>
      <c r="P27" s="254">
        <f t="shared" ref="P27" si="41">PI()/180 * O27/3600 * C26 * 206264.806</f>
        <v>5.7378675949078826</v>
      </c>
      <c r="Q27" s="254">
        <f>'Binary Summary'!K27</f>
        <v>0.5</v>
      </c>
      <c r="R27" s="253"/>
      <c r="S27" s="253"/>
      <c r="T27" s="289"/>
      <c r="U27" s="289"/>
      <c r="V27" s="290"/>
    </row>
    <row r="28" spans="1:24">
      <c r="A28" s="62" t="s">
        <v>93</v>
      </c>
      <c r="B28" s="62" t="s">
        <v>93</v>
      </c>
      <c r="C28" s="62" t="s">
        <v>93</v>
      </c>
      <c r="D28" s="62" t="s">
        <v>93</v>
      </c>
      <c r="E28" s="62" t="s">
        <v>93</v>
      </c>
      <c r="F28" s="62" t="s">
        <v>93</v>
      </c>
      <c r="G28" s="62" t="s">
        <v>93</v>
      </c>
      <c r="H28" s="62" t="s">
        <v>93</v>
      </c>
      <c r="I28" s="62" t="s">
        <v>93</v>
      </c>
      <c r="J28" s="62" t="s">
        <v>93</v>
      </c>
      <c r="K28" s="62" t="s">
        <v>93</v>
      </c>
      <c r="L28" s="62" t="s">
        <v>93</v>
      </c>
      <c r="M28" s="62" t="s">
        <v>93</v>
      </c>
      <c r="N28" s="62" t="s">
        <v>93</v>
      </c>
      <c r="O28" s="62" t="s">
        <v>93</v>
      </c>
      <c r="P28" s="62" t="s">
        <v>93</v>
      </c>
      <c r="Q28" s="62" t="s">
        <v>93</v>
      </c>
      <c r="R28" s="62" t="s">
        <v>93</v>
      </c>
      <c r="S28" s="62" t="s">
        <v>93</v>
      </c>
      <c r="T28" s="62" t="s">
        <v>93</v>
      </c>
      <c r="U28" s="62" t="s">
        <v>93</v>
      </c>
      <c r="V28" s="62" t="s">
        <v>93</v>
      </c>
      <c r="W28" s="62" t="s">
        <v>93</v>
      </c>
      <c r="X28" s="62" t="s">
        <v>93</v>
      </c>
    </row>
    <row r="29" spans="1:24">
      <c r="A29" s="1" t="str">
        <f>'Binary Summary'!A29</f>
        <v>M141</v>
      </c>
      <c r="B29" s="1" t="str">
        <f>'Binary Summary'!B29</f>
        <v>B9III-IV</v>
      </c>
      <c r="C29" s="1">
        <f>'Binary Summary'!C29</f>
        <v>184</v>
      </c>
      <c r="D29" s="4">
        <f>'Binary Summary'!G29</f>
        <v>6.4460000000000024</v>
      </c>
      <c r="E29" s="4">
        <f>'Binary Summary'!H29</f>
        <v>5.8685000000000009</v>
      </c>
      <c r="F29" s="4">
        <f>'Binary Summary'!I29</f>
        <v>5.8819999999999997</v>
      </c>
      <c r="G29" s="4">
        <f>'Isochrone Binaries '!H26</f>
        <v>1.5489999999999999</v>
      </c>
      <c r="H29" s="4">
        <f>'Isochrone Binaries '!I26</f>
        <v>1.4430000000000001</v>
      </c>
      <c r="I29" s="4">
        <f>'Isochrone Binaries '!J26</f>
        <v>1.44</v>
      </c>
      <c r="J29" s="4">
        <f>'Isochrone Binaries '!L26</f>
        <v>1.4893514180024658</v>
      </c>
      <c r="K29" s="4">
        <f t="shared" ref="K29" si="42">G30/G29</f>
        <v>5.7456423499031635E-2</v>
      </c>
      <c r="L29" s="4">
        <f t="shared" ref="L29" si="43">H30/H29</f>
        <v>6.0291060291060287E-2</v>
      </c>
      <c r="M29" s="4">
        <f t="shared" ref="M29:N43" si="44">I30/I29</f>
        <v>4.6527777777777779E-2</v>
      </c>
      <c r="N29" s="4">
        <f t="shared" si="44"/>
        <v>5.3776954543458898E-2</v>
      </c>
      <c r="O29" s="54">
        <f>'Binary Summary'!J29</f>
        <v>3.112098383038687</v>
      </c>
      <c r="P29" s="4">
        <f t="shared" ref="P29:P53" si="45">PI()/180 * O29/3600 * C29 * 206264.806</f>
        <v>572.62610179313697</v>
      </c>
      <c r="Q29" s="4">
        <f>'Binary Summary'!K29</f>
        <v>102.65373413133342</v>
      </c>
      <c r="T29" s="54">
        <v>0.96143629022099997</v>
      </c>
      <c r="U29" s="54">
        <v>0.96162919475200004</v>
      </c>
      <c r="V29" s="54">
        <v>0.95735788444600001</v>
      </c>
    </row>
    <row r="30" spans="1:24">
      <c r="A30" s="55" t="str">
        <f>'Binary Summary'!A30</f>
        <v>HD 61310</v>
      </c>
      <c r="D30" s="48">
        <f>'Binary Summary'!G30</f>
        <v>4.4254943226717643E-2</v>
      </c>
      <c r="E30" s="48">
        <f>'Binary Summary'!H30</f>
        <v>3.7583240945932246E-2</v>
      </c>
      <c r="F30" s="48">
        <f>'Binary Summary'!I30</f>
        <v>4.0773766075750256E-2</v>
      </c>
      <c r="G30" s="4">
        <f>'Isochrone Binaries '!H27</f>
        <v>8.8999999999999996E-2</v>
      </c>
      <c r="H30" s="4">
        <f>'Isochrone Binaries '!I27</f>
        <v>8.6999999999999994E-2</v>
      </c>
      <c r="I30" s="4">
        <f>'Isochrone Binaries '!J27</f>
        <v>6.7000000000000004E-2</v>
      </c>
      <c r="J30" s="4">
        <f>'Isochrone Binaries '!L27</f>
        <v>8.0092783505154655E-2</v>
      </c>
      <c r="K30" s="4"/>
      <c r="L30" s="4"/>
      <c r="M30" s="4"/>
      <c r="N30" s="4"/>
      <c r="O30" s="51">
        <f>'Binary Summary'!J30</f>
        <v>1.8672590298232122E-2</v>
      </c>
      <c r="P30" s="48">
        <f t="shared" ref="P30:P54" si="46">PI()/180 * O30/3600 * C29 * 206264.806</f>
        <v>3.4357566107588218</v>
      </c>
      <c r="Q30" s="48">
        <f>'Binary Summary'!K30</f>
        <v>0.5</v>
      </c>
      <c r="T30" s="284"/>
      <c r="U30" s="284"/>
      <c r="V30" s="284"/>
    </row>
    <row r="31" spans="1:24">
      <c r="A31" s="1" t="str">
        <f>'Binary Summary'!A31</f>
        <v>M141-2 a</v>
      </c>
      <c r="B31" s="1" t="str">
        <f>'Binary Summary'!B31</f>
        <v>B9III-IV</v>
      </c>
      <c r="C31" s="1">
        <f>'Binary Summary'!C31</f>
        <v>184</v>
      </c>
      <c r="D31" s="4">
        <f>'Binary Summary'!G31</f>
        <v>3.5</v>
      </c>
      <c r="E31" s="4">
        <f>'Binary Summary'!H31</f>
        <v>3.09</v>
      </c>
      <c r="F31" s="4">
        <f>'Binary Summary'!I31</f>
        <v>2.74</v>
      </c>
      <c r="G31" s="4">
        <f>'Isochrone Binaries '!H28</f>
        <v>4.5250000000000004</v>
      </c>
      <c r="H31" s="4">
        <f>'Isochrone Binaries '!I28</f>
        <v>4.6310000000000002</v>
      </c>
      <c r="I31" s="4">
        <f>'Isochrone Binaries '!J28</f>
        <v>4.8339999999999996</v>
      </c>
      <c r="J31" s="4">
        <f>'Isochrone Binaries '!L28</f>
        <v>4.6689544825696938</v>
      </c>
      <c r="K31" s="4">
        <f t="shared" ref="K31" si="47">G32/G31</f>
        <v>0.26607734806629829</v>
      </c>
      <c r="L31" s="4">
        <f t="shared" ref="L31" si="48">H32/H31</f>
        <v>0.26732887065428634</v>
      </c>
      <c r="M31" s="4">
        <f t="shared" ref="M31" si="49">I32/I31</f>
        <v>0.29230450972279687</v>
      </c>
      <c r="N31" s="4">
        <f t="shared" si="44"/>
        <v>0.26955589876504715</v>
      </c>
      <c r="O31" s="54">
        <f>'Binary Summary'!J31</f>
        <v>0.35639999999999999</v>
      </c>
      <c r="P31" s="4">
        <f t="shared" si="45"/>
        <v>65.57759992144085</v>
      </c>
      <c r="Q31" s="4">
        <f>'Binary Summary'!K31</f>
        <v>153.9</v>
      </c>
      <c r="T31" s="54">
        <v>0.99954802510499996</v>
      </c>
      <c r="U31" s="54">
        <v>0.99948637720300004</v>
      </c>
      <c r="V31" s="54">
        <v>0.99959409415199996</v>
      </c>
    </row>
    <row r="32" spans="1:24">
      <c r="A32" s="55" t="str">
        <f>'Binary Summary'!A32</f>
        <v>HR 6660</v>
      </c>
      <c r="D32" s="48" t="str">
        <f>'Binary Summary'!G32</f>
        <v>???</v>
      </c>
      <c r="E32" s="48">
        <f>'Binary Summary'!H32</f>
        <v>0.1118033988749895</v>
      </c>
      <c r="F32" s="48">
        <f>'Binary Summary'!I32</f>
        <v>0.1118033988749895</v>
      </c>
      <c r="G32" s="4">
        <f>'Isochrone Binaries '!H29</f>
        <v>1.204</v>
      </c>
      <c r="H32" s="4">
        <f>'Isochrone Binaries '!I29</f>
        <v>1.238</v>
      </c>
      <c r="I32" s="4">
        <f>'Isochrone Binaries '!J29</f>
        <v>1.413</v>
      </c>
      <c r="J32" s="4">
        <f>'Isochrone Binaries '!L29</f>
        <v>1.2585442218421694</v>
      </c>
      <c r="K32" s="4"/>
      <c r="L32" s="4"/>
      <c r="M32" s="4"/>
      <c r="N32" s="4"/>
      <c r="O32" s="51">
        <f>'Binary Summary'!J32</f>
        <v>2.1384E-2</v>
      </c>
      <c r="P32" s="48">
        <f t="shared" si="46"/>
        <v>3.9346559952864526</v>
      </c>
      <c r="Q32" s="48">
        <f>'Binary Summary'!K32</f>
        <v>0.21375000000000002</v>
      </c>
      <c r="T32" s="284"/>
      <c r="U32" s="284"/>
      <c r="V32" s="284"/>
    </row>
    <row r="33" spans="1:22">
      <c r="A33" s="1" t="str">
        <f>'Binary Summary'!A33</f>
        <v>M141-2 b</v>
      </c>
      <c r="B33" s="1" t="str">
        <f>'Binary Summary'!B33</f>
        <v>B9III-IV</v>
      </c>
      <c r="C33" s="1">
        <f>'Binary Summary'!C33</f>
        <v>184</v>
      </c>
      <c r="D33" s="4">
        <f>'Binary Summary'!G33</f>
        <v>7.9</v>
      </c>
      <c r="E33" s="4">
        <f>'Binary Summary'!H33</f>
        <v>7.39</v>
      </c>
      <c r="F33" s="4">
        <f>'Binary Summary'!I33</f>
        <v>7.05</v>
      </c>
      <c r="G33" s="4">
        <f>'Isochrone Binaries '!H30</f>
        <v>4.5250000000000004</v>
      </c>
      <c r="H33" s="4">
        <f>'Isochrone Binaries '!I30</f>
        <v>4.6310000000000002</v>
      </c>
      <c r="I33" s="4">
        <f>'Isochrone Binaries '!J30</f>
        <v>4.8339999999999996</v>
      </c>
      <c r="J33" s="4">
        <f>'Isochrone Binaries '!L30</f>
        <v>4.6689544825696938</v>
      </c>
      <c r="K33" s="4">
        <f t="shared" ref="K33" si="50">G34/G33</f>
        <v>4.2430939226519332E-2</v>
      </c>
      <c r="L33" s="4">
        <f t="shared" ref="L33" si="51">H34/H33</f>
        <v>3.9948175340099326E-2</v>
      </c>
      <c r="M33" s="4">
        <f t="shared" ref="M33" si="52">I34/I33</f>
        <v>3.9718659495242038E-2</v>
      </c>
      <c r="N33" s="4">
        <f t="shared" si="44"/>
        <v>4.0403513995588232E-2</v>
      </c>
      <c r="O33" s="54">
        <f>'Binary Summary'!J33</f>
        <v>2.0027699999999999</v>
      </c>
      <c r="P33" s="4">
        <f t="shared" si="45"/>
        <v>368.50967955854128</v>
      </c>
      <c r="Q33" s="4">
        <f>'Binary Summary'!K33</f>
        <v>232.32</v>
      </c>
      <c r="T33" s="54">
        <v>0.98143298797199996</v>
      </c>
      <c r="U33" s="54">
        <v>0.98148953095699998</v>
      </c>
      <c r="V33" s="54">
        <v>0.98599045987599998</v>
      </c>
    </row>
    <row r="34" spans="1:22">
      <c r="A34" s="55" t="str">
        <f>'Binary Summary'!A34</f>
        <v>HR 6660</v>
      </c>
      <c r="D34" s="48">
        <f>'Binary Summary'!G34</f>
        <v>0.20615528128088306</v>
      </c>
      <c r="E34" s="48">
        <f>'Binary Summary'!H34</f>
        <v>0.1118033988749895</v>
      </c>
      <c r="F34" s="48">
        <f>'Binary Summary'!I34</f>
        <v>0.1118033988749895</v>
      </c>
      <c r="G34" s="4">
        <f>'Isochrone Binaries '!H31</f>
        <v>0.192</v>
      </c>
      <c r="H34" s="4">
        <f>'Isochrone Binaries '!I31</f>
        <v>0.185</v>
      </c>
      <c r="I34" s="4">
        <f>'Isochrone Binaries '!J31</f>
        <v>0.192</v>
      </c>
      <c r="J34" s="4">
        <f>'Isochrone Binaries '!L31</f>
        <v>0.18864216778126905</v>
      </c>
      <c r="K34" s="4"/>
      <c r="L34" s="4"/>
      <c r="M34" s="4"/>
      <c r="N34" s="4"/>
      <c r="O34" s="51">
        <f>'Binary Summary'!J34</f>
        <v>1.201662E-2</v>
      </c>
      <c r="P34" s="48">
        <f t="shared" si="46"/>
        <v>2.2110580773512476</v>
      </c>
      <c r="Q34" s="48">
        <f>'Binary Summary'!K34</f>
        <v>0.5</v>
      </c>
      <c r="T34" s="284"/>
      <c r="U34" s="284"/>
      <c r="V34" s="284"/>
    </row>
    <row r="35" spans="1:22">
      <c r="A35" s="1" t="str">
        <f>'Binary Summary'!A35</f>
        <v>M162</v>
      </c>
      <c r="B35" s="1" t="str">
        <f>'Binary Summary'!B35</f>
        <v>B9</v>
      </c>
      <c r="C35" s="1">
        <f>'Binary Summary'!C35</f>
        <v>184</v>
      </c>
      <c r="D35" s="4">
        <f>'Binary Summary'!G35</f>
        <v>7.0450000000000044</v>
      </c>
      <c r="E35" s="4">
        <f>'Binary Summary'!H35</f>
        <v>6.166999999999998</v>
      </c>
      <c r="F35" s="4">
        <f>'Binary Summary'!I35</f>
        <v>6.0405000000000015</v>
      </c>
      <c r="G35" s="4">
        <f>'Isochrone Binaries '!H32</f>
        <v>1.6479999999999999</v>
      </c>
      <c r="H35" s="4">
        <f>'Isochrone Binaries '!I32</f>
        <v>1.5349999999999999</v>
      </c>
      <c r="I35" s="4">
        <f>'Isochrone Binaries '!J32</f>
        <v>1.498</v>
      </c>
      <c r="J35" s="4">
        <f>'Isochrone Binaries '!L32</f>
        <v>1.5648413950937503</v>
      </c>
      <c r="K35" s="4">
        <f t="shared" ref="K35" si="53">G36/G35</f>
        <v>4.12621359223301E-2</v>
      </c>
      <c r="L35" s="4">
        <f t="shared" ref="L35" si="54">H36/H35</f>
        <v>5.2117263843648211E-2</v>
      </c>
      <c r="M35" s="4">
        <f t="shared" ref="M35" si="55">I36/I35</f>
        <v>4.2723631508678236E-2</v>
      </c>
      <c r="N35" s="4">
        <f t="shared" si="44"/>
        <v>4.4583085954212731E-2</v>
      </c>
      <c r="O35" s="54">
        <f>'Binary Summary'!J35</f>
        <v>3.7917447485087865</v>
      </c>
      <c r="P35" s="4">
        <f t="shared" si="45"/>
        <v>697.68103288982491</v>
      </c>
      <c r="Q35" s="4">
        <f>'Binary Summary'!K35</f>
        <v>5.7140275052130676</v>
      </c>
      <c r="T35" s="291">
        <v>0.946062598373</v>
      </c>
      <c r="U35" s="54">
        <v>0.96162919475200004</v>
      </c>
      <c r="V35" s="54">
        <v>0.95735788444600001</v>
      </c>
    </row>
    <row r="36" spans="1:22">
      <c r="A36" s="55" t="str">
        <f>'Binary Summary'!A36</f>
        <v>HD 61622</v>
      </c>
      <c r="D36" s="48">
        <f>'Binary Summary'!G36</f>
        <v>4.8283019789569927E-2</v>
      </c>
      <c r="E36" s="48">
        <f>'Binary Summary'!H36</f>
        <v>4.0755367744629636E-2</v>
      </c>
      <c r="F36" s="48">
        <f>'Binary Summary'!I36</f>
        <v>4.1967249135486606E-2</v>
      </c>
      <c r="G36" s="4">
        <f>'Isochrone Binaries '!H33</f>
        <v>6.8000000000000005E-2</v>
      </c>
      <c r="H36" s="4">
        <f>'Isochrone Binaries '!I33</f>
        <v>0.08</v>
      </c>
      <c r="I36" s="4">
        <f>'Isochrone Binaries '!J33</f>
        <v>6.4000000000000001E-2</v>
      </c>
      <c r="J36" s="4">
        <f>'Isochrone Binaries '!L33</f>
        <v>6.9765458422174839E-2</v>
      </c>
      <c r="K36" s="4"/>
      <c r="L36" s="4"/>
      <c r="M36" s="4"/>
      <c r="N36" s="4"/>
      <c r="O36" s="51">
        <f>'Binary Summary'!J36</f>
        <v>2.2750468491052719E-2</v>
      </c>
      <c r="P36" s="48">
        <f t="shared" si="46"/>
        <v>4.18608619733895</v>
      </c>
      <c r="Q36" s="48">
        <f>'Binary Summary'!K36</f>
        <v>0.5</v>
      </c>
      <c r="T36" s="284"/>
      <c r="U36" s="284"/>
      <c r="V36" s="284"/>
    </row>
    <row r="37" spans="1:22">
      <c r="A37" s="1" t="str">
        <f>'Binary Summary'!A37</f>
        <v>M182</v>
      </c>
      <c r="B37" s="1" t="str">
        <f>'Binary Summary'!B37</f>
        <v>B5V n</v>
      </c>
      <c r="C37" s="1">
        <f>'Binary Summary'!C37</f>
        <v>184</v>
      </c>
      <c r="D37" s="4">
        <f>'Binary Summary'!G37</f>
        <v>2.2524999999999906</v>
      </c>
      <c r="E37" s="4">
        <f>'Binary Summary'!H37</f>
        <v>2.1419999999999995</v>
      </c>
      <c r="F37" s="4">
        <f>'Binary Summary'!I37</f>
        <v>2.0500000000000123</v>
      </c>
      <c r="G37" s="4">
        <f>'Isochrone Binaries '!H34</f>
        <v>4.8460000000000001</v>
      </c>
      <c r="H37" s="4">
        <f>'Isochrone Binaries '!I34</f>
        <v>4.8109999999999999</v>
      </c>
      <c r="I37" s="4">
        <f>'Isochrone Binaries '!J34</f>
        <v>4.9649999999999999</v>
      </c>
      <c r="J37" s="4">
        <f>'Isochrone Binaries '!L34</f>
        <v>4.8762121835796179</v>
      </c>
      <c r="K37" s="4">
        <f t="shared" ref="K37" si="56">G38/G37</f>
        <v>0.404250928600908</v>
      </c>
      <c r="L37" s="4">
        <f t="shared" ref="L37" si="57">H38/H37</f>
        <v>0.40823113697775931</v>
      </c>
      <c r="M37" s="4">
        <f t="shared" ref="M37" si="58">I38/I37</f>
        <v>0.4535750251762336</v>
      </c>
      <c r="N37" s="4">
        <f t="shared" si="44"/>
        <v>0.40431182155568512</v>
      </c>
      <c r="O37" s="54">
        <f>'Binary Summary'!J37</f>
        <v>1.2764508589239245</v>
      </c>
      <c r="P37" s="4">
        <f t="shared" si="45"/>
        <v>234.86695776064164</v>
      </c>
      <c r="Q37" s="4">
        <f>'Binary Summary'!K37</f>
        <v>149.48896647743859</v>
      </c>
      <c r="T37" s="54">
        <v>0.99988681769499999</v>
      </c>
      <c r="U37" s="54">
        <v>0.99977873038800003</v>
      </c>
      <c r="V37" s="54">
        <v>0.99972248895000004</v>
      </c>
    </row>
    <row r="38" spans="1:22">
      <c r="A38" s="55" t="str">
        <f>'Binary Summary'!A38</f>
        <v>HD 61878</v>
      </c>
      <c r="D38" s="48">
        <f>'Binary Summary'!G38</f>
        <v>3.0033314835362413E-2</v>
      </c>
      <c r="E38" s="48">
        <f>'Binary Summary'!H38</f>
        <v>3.0033314835362413E-2</v>
      </c>
      <c r="F38" s="48">
        <f>'Binary Summary'!I38</f>
        <v>3.0033314835362413E-2</v>
      </c>
      <c r="G38" s="4">
        <f>'Isochrone Binaries '!H35</f>
        <v>1.9590000000000001</v>
      </c>
      <c r="H38" s="4">
        <f>'Isochrone Binaries '!I35</f>
        <v>1.964</v>
      </c>
      <c r="I38" s="4">
        <f>'Isochrone Binaries '!J35</f>
        <v>2.2519999999999998</v>
      </c>
      <c r="J38" s="4">
        <f>'Isochrone Binaries '!L35</f>
        <v>1.9715102302351002</v>
      </c>
      <c r="K38" s="4"/>
      <c r="L38" s="4"/>
      <c r="M38" s="4"/>
      <c r="N38" s="4"/>
      <c r="O38" s="51">
        <f>'Binary Summary'!J38</f>
        <v>7.6587051535435468E-3</v>
      </c>
      <c r="P38" s="48">
        <f t="shared" si="46"/>
        <v>1.4092017465638498</v>
      </c>
      <c r="Q38" s="48">
        <f>'Binary Summary'!K38</f>
        <v>0.5</v>
      </c>
      <c r="T38" s="284"/>
      <c r="U38" s="284"/>
      <c r="V38" s="284"/>
    </row>
    <row r="39" spans="1:22">
      <c r="A39" s="1" t="str">
        <f>'Binary Summary'!A39</f>
        <v>M188</v>
      </c>
      <c r="B39" s="1" t="str">
        <f>'Binary Summary'!B39</f>
        <v>B9V</v>
      </c>
      <c r="C39" s="1">
        <f>'Binary Summary'!C39</f>
        <v>184</v>
      </c>
      <c r="D39" s="4">
        <f>'Binary Summary'!G39</f>
        <v>5.4839999999999982</v>
      </c>
      <c r="E39" s="4">
        <f>'Binary Summary'!H39</f>
        <v>4.8999999999999986</v>
      </c>
      <c r="F39" s="4">
        <f>'Binary Summary'!I39</f>
        <v>4.7834999999999983</v>
      </c>
      <c r="G39" s="4">
        <f>'Isochrone Binaries '!H36</f>
        <v>1.7549999999999999</v>
      </c>
      <c r="H39" s="4">
        <f>'Isochrone Binaries '!I36</f>
        <v>1.6659999999999999</v>
      </c>
      <c r="I39" s="4">
        <f>'Isochrone Binaries '!J36</f>
        <v>1.675</v>
      </c>
      <c r="J39" s="4">
        <f>'Isochrone Binaries '!L36</f>
        <v>1.7071559676660337</v>
      </c>
      <c r="K39" s="4">
        <f t="shared" ref="K39" si="59">G40/G39</f>
        <v>0.12421652421652422</v>
      </c>
      <c r="L39" s="4">
        <f t="shared" ref="L39" si="60">H40/H39</f>
        <v>0.12364945978391356</v>
      </c>
      <c r="M39" s="4">
        <f t="shared" ref="M39" si="61">I40/I39</f>
        <v>0.10865671641791044</v>
      </c>
      <c r="N39" s="4">
        <f t="shared" si="44"/>
        <v>0.11633849246796639</v>
      </c>
      <c r="O39" s="54">
        <f>'Binary Summary'!J39</f>
        <v>4.3968029661754429</v>
      </c>
      <c r="P39" s="4">
        <f t="shared" si="45"/>
        <v>809.01174480712018</v>
      </c>
      <c r="Q39" s="4">
        <f>'Binary Summary'!K39</f>
        <v>249.95740885176127</v>
      </c>
      <c r="T39" s="54">
        <v>0.98740790010799995</v>
      </c>
      <c r="U39" s="54">
        <v>0.98744839008399998</v>
      </c>
      <c r="V39" s="54">
        <v>0.98599045987599998</v>
      </c>
    </row>
    <row r="40" spans="1:22">
      <c r="A40" s="55" t="str">
        <f>'Binary Summary'!A40</f>
        <v>HD 61924</v>
      </c>
      <c r="D40" s="48">
        <f>'Binary Summary'!G40</f>
        <v>3.1941352507368889E-2</v>
      </c>
      <c r="E40" s="48">
        <f>'Binary Summary'!H40</f>
        <v>3.1084562084739104E-2</v>
      </c>
      <c r="F40" s="48">
        <f>'Binary Summary'!I40</f>
        <v>3.1176914536239792E-2</v>
      </c>
      <c r="G40" s="4">
        <f>'Isochrone Binaries '!H37</f>
        <v>0.218</v>
      </c>
      <c r="H40" s="4">
        <f>'Isochrone Binaries '!I37</f>
        <v>0.20599999999999999</v>
      </c>
      <c r="I40" s="4">
        <f>'Isochrone Binaries '!J37</f>
        <v>0.182</v>
      </c>
      <c r="J40" s="4">
        <f>'Isochrone Binaries '!L37</f>
        <v>0.19860795168595874</v>
      </c>
      <c r="K40" s="4"/>
      <c r="L40" s="4"/>
      <c r="M40" s="4"/>
      <c r="N40" s="4"/>
      <c r="O40" s="51">
        <f>'Binary Summary'!J40</f>
        <v>2.6380817797052657E-2</v>
      </c>
      <c r="P40" s="48">
        <f t="shared" si="46"/>
        <v>4.8540704688427212</v>
      </c>
      <c r="Q40" s="48">
        <f>'Binary Summary'!K40</f>
        <v>0.5</v>
      </c>
      <c r="T40" s="284"/>
      <c r="U40" s="284"/>
      <c r="V40" s="284"/>
    </row>
    <row r="41" spans="1:22">
      <c r="A41" s="1" t="str">
        <f>'Binary Summary'!A41</f>
        <v>M197 b</v>
      </c>
      <c r="B41" s="1" t="str">
        <f>'Binary Summary'!B41</f>
        <v>F2IV-V</v>
      </c>
      <c r="C41" s="1">
        <f>'Binary Summary'!C41</f>
        <v>184</v>
      </c>
      <c r="D41" s="4">
        <f>'Binary Summary'!G41</f>
        <v>7.42</v>
      </c>
      <c r="E41" s="4">
        <f>'Binary Summary'!H41</f>
        <v>6.96</v>
      </c>
      <c r="F41" s="4">
        <f>'Binary Summary'!I41</f>
        <v>6.6734964522600002</v>
      </c>
      <c r="G41" s="4">
        <f>'Isochrone Binaries '!H38</f>
        <v>2.3109999999999999</v>
      </c>
      <c r="H41" s="4">
        <f>'Isochrone Binaries '!I38</f>
        <v>2.4630000000000001</v>
      </c>
      <c r="I41" s="4">
        <f>'Isochrone Binaries '!J38</f>
        <v>2.573</v>
      </c>
      <c r="J41" s="4">
        <f>'Isochrone Binaries '!L38</f>
        <v>2.4471197698375677</v>
      </c>
      <c r="K41" s="4">
        <f t="shared" ref="K41" si="62">G42/G41</f>
        <v>3.5049762007788837E-2</v>
      </c>
      <c r="L41" s="4">
        <f t="shared" ref="L41" si="63">H42/H41</f>
        <v>3.329273244011368E-2</v>
      </c>
      <c r="M41" s="4">
        <f t="shared" ref="M41" si="64">I42/I41</f>
        <v>3.1480761756704237E-2</v>
      </c>
      <c r="N41" s="4">
        <f t="shared" si="44"/>
        <v>3.3221578065625493E-2</v>
      </c>
      <c r="O41" s="54">
        <f>'Binary Summary'!J41</f>
        <v>4.005580542901285</v>
      </c>
      <c r="P41" s="4">
        <f t="shared" si="45"/>
        <v>737.02681901091012</v>
      </c>
      <c r="Q41" s="4">
        <f>'Binary Summary'!K41</f>
        <v>4.0318458218829392</v>
      </c>
      <c r="T41" s="54">
        <v>0.96143629022099997</v>
      </c>
      <c r="U41" s="54">
        <v>0.96162919475200004</v>
      </c>
      <c r="V41" s="54">
        <v>0.97001931921899998</v>
      </c>
    </row>
    <row r="42" spans="1:22">
      <c r="A42" s="55" t="str">
        <f>'Binary Summary'!A42</f>
        <v>HD 62152</v>
      </c>
      <c r="D42" s="48">
        <f>'Binary Summary'!G42</f>
        <v>0.10005123687391375</v>
      </c>
      <c r="E42" s="48">
        <f>'Binary Summary'!H42</f>
        <v>5.6375970058172853E-2</v>
      </c>
      <c r="F42" s="48">
        <f>'Binary Summary'!I42</f>
        <v>4.8283019789569927E-2</v>
      </c>
      <c r="G42" s="4">
        <f>'Isochrone Binaries '!H39</f>
        <v>8.1000000000000003E-2</v>
      </c>
      <c r="H42" s="4">
        <f>'Isochrone Binaries '!I39</f>
        <v>8.2000000000000003E-2</v>
      </c>
      <c r="I42" s="4">
        <f>'Isochrone Binaries '!J39</f>
        <v>8.1000000000000003E-2</v>
      </c>
      <c r="J42" s="4">
        <f>'Isochrone Binaries '!L39</f>
        <v>8.1297180469594249E-2</v>
      </c>
      <c r="K42" s="4"/>
      <c r="L42" s="4"/>
      <c r="M42" s="4"/>
      <c r="N42" s="4"/>
      <c r="O42" s="51">
        <f>'Binary Summary'!J42</f>
        <v>2.4033483257407711E-2</v>
      </c>
      <c r="P42" s="48">
        <f t="shared" si="46"/>
        <v>4.4221609140654605</v>
      </c>
      <c r="Q42" s="48">
        <f>'Binary Summary'!K42</f>
        <v>0.5</v>
      </c>
      <c r="T42" s="284"/>
      <c r="U42" s="284"/>
      <c r="V42" s="284"/>
    </row>
    <row r="43" spans="1:22">
      <c r="A43" s="1" t="str">
        <f>'Binary Summary'!A43</f>
        <v>M218</v>
      </c>
      <c r="B43" s="1" t="str">
        <f>'Binary Summary'!B43</f>
        <v>B9V</v>
      </c>
      <c r="C43" s="1">
        <f>'Binary Summary'!C43</f>
        <v>184</v>
      </c>
      <c r="D43" s="4">
        <f>'Binary Summary'!G43</f>
        <v>4.879999999999999</v>
      </c>
      <c r="E43" s="4">
        <f>'Binary Summary'!H43</f>
        <v>4.1690000000000014</v>
      </c>
      <c r="F43" s="4">
        <f>'Binary Summary'!I43</f>
        <v>3.9894999999999996</v>
      </c>
      <c r="G43" s="4">
        <f>'Isochrone Binaries '!H40</f>
        <v>2.9079999999999999</v>
      </c>
      <c r="H43" s="4">
        <f>'Isochrone Binaries '!I40</f>
        <v>2.8929999999999998</v>
      </c>
      <c r="I43" s="4">
        <f>'Isochrone Binaries '!J40</f>
        <v>2.9750000000000001</v>
      </c>
      <c r="J43" s="4">
        <f>'Isochrone Binaries '!L40</f>
        <v>2.9228495252809346</v>
      </c>
      <c r="K43" s="4">
        <f t="shared" ref="K43" si="65">G44/G43</f>
        <v>0.20392022008253094</v>
      </c>
      <c r="L43" s="4">
        <f t="shared" ref="L43" si="66">H44/H43</f>
        <v>0.20428620808848946</v>
      </c>
      <c r="M43" s="4">
        <f t="shared" ref="M43" si="67">I44/I43</f>
        <v>0.20504201680672268</v>
      </c>
      <c r="N43" s="4">
        <f t="shared" si="44"/>
        <v>0.2044014108578471</v>
      </c>
      <c r="O43" s="54">
        <f>'Binary Summary'!J43</f>
        <v>3.2336666271065182</v>
      </c>
      <c r="P43" s="4">
        <f t="shared" si="45"/>
        <v>594.99465867482149</v>
      </c>
      <c r="Q43" s="4">
        <f>'Binary Summary'!K43</f>
        <v>267.04800692931866</v>
      </c>
      <c r="T43" s="54">
        <v>0.99604555683399998</v>
      </c>
      <c r="U43" s="54">
        <v>0.99594868520000002</v>
      </c>
      <c r="V43" s="54">
        <v>0.99689417686500004</v>
      </c>
    </row>
    <row r="44" spans="1:22">
      <c r="A44" s="55" t="str">
        <f>'Binary Summary'!A44</f>
        <v>HD 62503</v>
      </c>
      <c r="D44" s="48">
        <f>'Binary Summary'!G44</f>
        <v>3.1084562084739104E-2</v>
      </c>
      <c r="E44" s="48">
        <f>'Binary Summary'!H44</f>
        <v>3.0528675044947495E-2</v>
      </c>
      <c r="F44" s="48">
        <f>'Binary Summary'!I44</f>
        <v>3.1575306807693888E-2</v>
      </c>
      <c r="G44" s="4">
        <f>'Isochrone Binaries '!H41</f>
        <v>0.59299999999999997</v>
      </c>
      <c r="H44" s="4">
        <f>'Isochrone Binaries '!I41</f>
        <v>0.59099999999999997</v>
      </c>
      <c r="I44" s="4">
        <f>'Isochrone Binaries '!J41</f>
        <v>0.61</v>
      </c>
      <c r="J44" s="4">
        <f>'Isochrone Binaries '!L41</f>
        <v>0.59743456669261163</v>
      </c>
      <c r="K44" s="4"/>
      <c r="L44" s="4"/>
      <c r="M44" s="4"/>
      <c r="N44" s="4"/>
      <c r="O44" s="51">
        <f>'Binary Summary'!J44</f>
        <v>1.9401999762639111E-2</v>
      </c>
      <c r="P44" s="48">
        <f t="shared" si="46"/>
        <v>3.5699679520489291</v>
      </c>
      <c r="Q44" s="48">
        <f>'Binary Summary'!K44</f>
        <v>0.5</v>
      </c>
      <c r="T44" s="284"/>
      <c r="U44" s="284"/>
      <c r="V44" s="284"/>
    </row>
    <row r="45" spans="1:22">
      <c r="A45" s="1" t="str">
        <f>'Binary Summary'!A45</f>
        <v>M268</v>
      </c>
      <c r="B45" s="1" t="str">
        <f>'Binary Summary'!B45</f>
        <v>B8V</v>
      </c>
      <c r="C45" s="1">
        <f>'Binary Summary'!C45</f>
        <v>184</v>
      </c>
      <c r="D45" s="4">
        <f>'Binary Summary'!G45</f>
        <v>2.8</v>
      </c>
      <c r="E45" s="4">
        <f>'Binary Summary'!H45</f>
        <v>2.7</v>
      </c>
      <c r="F45" s="4">
        <f>'Binary Summary'!I45</f>
        <v>2.5499999999999998</v>
      </c>
      <c r="G45" s="4">
        <f>'Isochrone Binaries '!H42</f>
        <v>2.6949999999999998</v>
      </c>
      <c r="H45" s="4">
        <f>'Isochrone Binaries '!I42</f>
        <v>2.6589999999999998</v>
      </c>
      <c r="I45" s="4">
        <f>'Isochrone Binaries '!J42</f>
        <v>2.7360000000000002</v>
      </c>
      <c r="J45" s="4">
        <f>'Isochrone Binaries '!L42</f>
        <v>2.6958801787472542</v>
      </c>
      <c r="K45" s="4">
        <f t="shared" ref="K45" si="68">G46/G45</f>
        <v>0.37996289424860857</v>
      </c>
      <c r="L45" s="4">
        <f t="shared" ref="L45" si="69">H46/H45</f>
        <v>0.3403535163595337</v>
      </c>
      <c r="M45" s="4">
        <f t="shared" ref="M45:N45" si="70">I46/I45</f>
        <v>0.34649122807017541</v>
      </c>
      <c r="N45" s="4">
        <f t="shared" si="70"/>
        <v>0.35890857310541258</v>
      </c>
      <c r="O45" s="54">
        <f>'Binary Summary'!J45</f>
        <v>0.47754605250000004</v>
      </c>
      <c r="P45" s="4">
        <f t="shared" si="45"/>
        <v>87.868473554737363</v>
      </c>
      <c r="Q45" s="4">
        <f>'Binary Summary'!K45</f>
        <v>64.61</v>
      </c>
      <c r="T45" s="54">
        <v>0.99954802510499996</v>
      </c>
      <c r="U45" s="54">
        <v>0.99919817289799995</v>
      </c>
      <c r="V45" s="54">
        <v>0.99904682273000001</v>
      </c>
    </row>
    <row r="46" spans="1:22">
      <c r="A46" s="55" t="str">
        <f>'Binary Summary'!A46</f>
        <v>HD 63251</v>
      </c>
      <c r="D46" s="48">
        <f>'Binary Summary'!G46</f>
        <v>0.1044030650891055</v>
      </c>
      <c r="E46" s="48">
        <f>'Binary Summary'!H46</f>
        <v>0.1044030650891055</v>
      </c>
      <c r="F46" s="48">
        <f>'Binary Summary'!I46</f>
        <v>5.8309518948453008E-2</v>
      </c>
      <c r="G46" s="180">
        <f>'Isochrone Binaries '!H43</f>
        <v>1.024</v>
      </c>
      <c r="H46" s="4">
        <f>'Isochrone Binaries '!I43</f>
        <v>0.90500000000000003</v>
      </c>
      <c r="I46" s="4">
        <f>'Isochrone Binaries '!J43</f>
        <v>0.94799999999999995</v>
      </c>
      <c r="J46" s="4">
        <f>'Isochrone Binaries '!L43</f>
        <v>0.96757450821734159</v>
      </c>
      <c r="K46" s="4"/>
      <c r="L46" s="4"/>
      <c r="M46" s="4"/>
      <c r="N46" s="4"/>
      <c r="O46" s="51">
        <f>'Binary Summary'!J46</f>
        <v>3.4558719791763916E-3</v>
      </c>
      <c r="P46" s="48">
        <f t="shared" si="46"/>
        <v>0.63588044340669858</v>
      </c>
      <c r="Q46" s="48">
        <f>'Binary Summary'!K46</f>
        <v>0.52365374226950467</v>
      </c>
      <c r="T46" s="284"/>
      <c r="U46" s="284"/>
      <c r="V46" s="284"/>
    </row>
    <row r="47" spans="1:22">
      <c r="A47" s="1" t="str">
        <f>'Binary Summary'!A47</f>
        <v>M284</v>
      </c>
      <c r="B47" s="1" t="str">
        <f>'Binary Summary'!B47</f>
        <v>B9V n</v>
      </c>
      <c r="C47" s="1">
        <f>'Binary Summary'!C47</f>
        <v>184</v>
      </c>
      <c r="D47" s="4">
        <f>'Binary Summary'!G47</f>
        <v>4.9000000000000004</v>
      </c>
      <c r="E47" s="4">
        <f>'Binary Summary'!H47</f>
        <v>4.45</v>
      </c>
      <c r="F47" s="4">
        <f>'Binary Summary'!I47</f>
        <v>4.2</v>
      </c>
      <c r="G47" s="4">
        <f>'Isochrone Binaries '!H44</f>
        <v>2.2370000000000001</v>
      </c>
      <c r="H47" s="4">
        <f>'Isochrone Binaries '!I44</f>
        <v>2.1269999999999998</v>
      </c>
      <c r="I47" s="4">
        <f>'Isochrone Binaries '!J44</f>
        <v>2.29</v>
      </c>
      <c r="J47" s="4">
        <f>'Isochrone Binaries '!L44</f>
        <v>2.2540282805534884</v>
      </c>
      <c r="K47" s="180">
        <f t="shared" ref="K47" si="71">G48/G47</f>
        <v>0.18506928922664281</v>
      </c>
      <c r="L47" s="180">
        <f t="shared" ref="L47" si="72">H48/H47</f>
        <v>0.17254348848142925</v>
      </c>
      <c r="M47" s="180">
        <f t="shared" ref="M47:N49" si="73">I48/I47</f>
        <v>0.16069868995633188</v>
      </c>
      <c r="N47" s="180">
        <f t="shared" si="73"/>
        <v>0.1634725428638463</v>
      </c>
      <c r="O47" s="54">
        <f>'Binary Summary'!J47</f>
        <v>0.6938557245852861</v>
      </c>
      <c r="P47" s="4">
        <f t="shared" si="45"/>
        <v>127.66945317075013</v>
      </c>
      <c r="Q47" s="4">
        <f>'Binary Summary'!K47</f>
        <v>45.334450470494232</v>
      </c>
      <c r="T47" s="54">
        <v>0.99887281530399996</v>
      </c>
      <c r="U47" s="54">
        <v>0.99727938411299999</v>
      </c>
      <c r="V47" s="54">
        <v>0.99544287808200005</v>
      </c>
    </row>
    <row r="48" spans="1:22">
      <c r="A48" s="55" t="str">
        <f>'Binary Summary'!A48</f>
        <v>HD 63488</v>
      </c>
      <c r="D48" s="48">
        <f>'Binary Summary'!G48</f>
        <v>0.25</v>
      </c>
      <c r="E48" s="48">
        <f>'Binary Summary'!H48</f>
        <v>0.05</v>
      </c>
      <c r="F48" s="48">
        <f>'Binary Summary'!I48</f>
        <v>0.05</v>
      </c>
      <c r="G48" s="180">
        <f>'Isochrone Binaries '!H45</f>
        <v>0.41399999999999998</v>
      </c>
      <c r="H48" s="180">
        <f>'Isochrone Binaries '!I45</f>
        <v>0.36699999999999999</v>
      </c>
      <c r="I48" s="180">
        <f>'Isochrone Binaries '!J45</f>
        <v>0.36799999999999999</v>
      </c>
      <c r="J48" s="4">
        <f>'Isochrone Binaries '!L45</f>
        <v>0.36847173470910188</v>
      </c>
      <c r="K48" s="4"/>
      <c r="L48" s="4"/>
      <c r="M48" s="4"/>
      <c r="N48" s="4"/>
      <c r="O48" s="51">
        <f>'Binary Summary'!J48</f>
        <v>4.1631343475117171E-3</v>
      </c>
      <c r="P48" s="48">
        <f t="shared" si="46"/>
        <v>0.76601671902450086</v>
      </c>
      <c r="Q48" s="48">
        <f>'Binary Summary'!K48</f>
        <v>0.5</v>
      </c>
      <c r="T48" s="284"/>
      <c r="U48" s="284"/>
      <c r="V48" s="284"/>
    </row>
    <row r="49" spans="1:25">
      <c r="A49" s="1" t="str">
        <f>'Binary Summary'!A49</f>
        <v>M291</v>
      </c>
      <c r="B49" s="1" t="str">
        <f>'Binary Summary'!B49</f>
        <v>B8-B9V</v>
      </c>
      <c r="C49" s="1">
        <f>'Binary Summary'!C49</f>
        <v>184</v>
      </c>
      <c r="D49" s="4">
        <f>'Binary Summary'!G49</f>
        <v>0.56850000000000556</v>
      </c>
      <c r="E49" s="4">
        <f>'Binary Summary'!H49</f>
        <v>0.58000000000000185</v>
      </c>
      <c r="F49" s="4">
        <f>'Binary Summary'!I49</f>
        <v>0.55650000000000333</v>
      </c>
      <c r="G49" s="4">
        <f>'Isochrone Binaries '!H46</f>
        <v>1.913</v>
      </c>
      <c r="H49" s="4">
        <f>'Isochrone Binaries '!I46</f>
        <v>1.661</v>
      </c>
      <c r="I49" s="4">
        <f>'Isochrone Binaries '!J46</f>
        <v>1.702</v>
      </c>
      <c r="J49" s="4">
        <f>'Isochrone Binaries '!L46</f>
        <v>1.6851046104928458</v>
      </c>
      <c r="K49" s="4">
        <f t="shared" ref="K49" si="74">G50/G49</f>
        <v>0.80554103502352326</v>
      </c>
      <c r="L49" s="4">
        <f t="shared" ref="L49" si="75">H50/H49</f>
        <v>0.77423239012642986</v>
      </c>
      <c r="M49" s="4">
        <f t="shared" ref="M49" si="76">I50/I49</f>
        <v>0.77085781433607525</v>
      </c>
      <c r="N49" s="4">
        <f t="shared" si="73"/>
        <v>0.76768495003443848</v>
      </c>
      <c r="O49" s="54">
        <f>'Binary Summary'!J49</f>
        <v>2.1484625236558927</v>
      </c>
      <c r="P49" s="4">
        <f t="shared" si="45"/>
        <v>395.31710387911141</v>
      </c>
      <c r="Q49" s="4">
        <f>'Binary Summary'!K49</f>
        <v>207.05814035598809</v>
      </c>
      <c r="T49" s="54">
        <v>0.99981633937900005</v>
      </c>
      <c r="U49" s="54">
        <v>0.99948637720300004</v>
      </c>
      <c r="V49" s="54">
        <v>0.99959409415199996</v>
      </c>
    </row>
    <row r="50" spans="1:25">
      <c r="A50" s="55" t="str">
        <f>'Binary Summary'!A50</f>
        <v>HD 63602</v>
      </c>
      <c r="D50" s="48">
        <f>'Binary Summary'!G50</f>
        <v>3.0008332176247314E-2</v>
      </c>
      <c r="E50" s="48">
        <f>'Binary Summary'!H50</f>
        <v>3.0008332176247314E-2</v>
      </c>
      <c r="F50" s="48">
        <f>'Binary Summary'!I50</f>
        <v>3.0008332176247314E-2</v>
      </c>
      <c r="G50" s="180">
        <f>'Isochrone Binaries '!H47</f>
        <v>1.5409999999999999</v>
      </c>
      <c r="H50" s="4">
        <f>'Isochrone Binaries '!I47</f>
        <v>1.286</v>
      </c>
      <c r="I50" s="4">
        <f>'Isochrone Binaries '!J47</f>
        <v>1.3120000000000001</v>
      </c>
      <c r="J50" s="4">
        <f>'Isochrone Binaries '!L47</f>
        <v>1.2936294487090023</v>
      </c>
      <c r="K50" s="4"/>
      <c r="L50" s="4"/>
      <c r="M50" s="4"/>
      <c r="N50" s="4"/>
      <c r="O50" s="51">
        <f>'Binary Summary'!J50</f>
        <v>1.2890775141935356E-2</v>
      </c>
      <c r="P50" s="48">
        <f t="shared" si="46"/>
        <v>2.3719026232746683</v>
      </c>
      <c r="Q50" s="48">
        <f>'Binary Summary'!K50</f>
        <v>0.5</v>
      </c>
      <c r="T50" s="284"/>
      <c r="U50" s="284"/>
      <c r="V50" s="284"/>
    </row>
    <row r="51" spans="1:25">
      <c r="A51" s="249" t="str">
        <f>'Binary Summary'!A51</f>
        <v>M47 a</v>
      </c>
      <c r="B51" s="250" t="str">
        <f>'Binary Summary'!B51</f>
        <v>A3V</v>
      </c>
      <c r="C51" s="250">
        <f>'Binary Summary'!C51</f>
        <v>184</v>
      </c>
      <c r="D51" s="251">
        <f>'Binary Summary'!G51</f>
        <v>8.5318827414266636</v>
      </c>
      <c r="E51" s="251">
        <f>'Binary Summary'!H51</f>
        <v>7.519275222194147</v>
      </c>
      <c r="F51" s="251">
        <f>'Binary Summary'!I51</f>
        <v>7.3851493040454637</v>
      </c>
      <c r="G51" s="251">
        <f>'Isochrone Binaries '!H48</f>
        <v>2.34</v>
      </c>
      <c r="H51" s="251">
        <f>'Isochrone Binaries '!I48</f>
        <v>2.411</v>
      </c>
      <c r="I51" s="251">
        <f>'Isochrone Binaries '!J48</f>
        <v>2.4900000000000002</v>
      </c>
      <c r="J51" s="251">
        <f>'Isochrone Binaries '!L48</f>
        <v>2.4127765077291539</v>
      </c>
      <c r="K51" s="251">
        <f t="shared" ref="K51" si="77">G52/G51</f>
        <v>1.7948717948717951E-2</v>
      </c>
      <c r="L51" s="251">
        <f t="shared" ref="L51" si="78">H52/H51</f>
        <v>2.3226876814599753E-2</v>
      </c>
      <c r="M51" s="251">
        <f t="shared" ref="M51:N51" si="79">I52/I51</f>
        <v>1.9277108433734938E-2</v>
      </c>
      <c r="N51" s="251">
        <f t="shared" si="79"/>
        <v>1.9651482014373115E-2</v>
      </c>
      <c r="O51" s="255">
        <f>'Binary Summary'!J51</f>
        <v>3.4854848631810413</v>
      </c>
      <c r="P51" s="251">
        <f t="shared" si="45"/>
        <v>641.32921405702677</v>
      </c>
      <c r="Q51" s="251">
        <f>'Binary Summary'!K51</f>
        <v>29.981530513172224</v>
      </c>
      <c r="R51" s="250"/>
      <c r="S51" s="250"/>
      <c r="T51" s="288">
        <v>0.92478586480799996</v>
      </c>
      <c r="U51" s="288">
        <v>0.94582249225799997</v>
      </c>
      <c r="V51" s="292">
        <v>0.93869179196899999</v>
      </c>
    </row>
    <row r="52" spans="1:25">
      <c r="A52" s="252" t="str">
        <f>'Binary Summary'!A52</f>
        <v>HD 62974</v>
      </c>
      <c r="B52" s="253"/>
      <c r="C52" s="253"/>
      <c r="D52" s="254">
        <f>'Binary Summary'!G52</f>
        <v>5.0019996001599204E-2</v>
      </c>
      <c r="E52" s="254">
        <f>'Binary Summary'!H52</f>
        <v>5.0019996001599204E-2</v>
      </c>
      <c r="F52" s="254">
        <f>'Binary Summary'!I52</f>
        <v>5.0019996001599204E-2</v>
      </c>
      <c r="G52" s="256">
        <f>'Isochrone Binaries '!H49</f>
        <v>4.2000000000000003E-2</v>
      </c>
      <c r="H52" s="256">
        <f>'Isochrone Binaries '!I49</f>
        <v>5.6000000000000001E-2</v>
      </c>
      <c r="I52" s="256">
        <f>'Isochrone Binaries '!J49</f>
        <v>4.8000000000000001E-2</v>
      </c>
      <c r="J52" s="256">
        <f>'Isochrone Binaries '!L49</f>
        <v>4.7414634146341443E-2</v>
      </c>
      <c r="K52" s="256"/>
      <c r="L52" s="256"/>
      <c r="M52" s="256"/>
      <c r="N52" s="256"/>
      <c r="O52" s="257">
        <f>'Binary Summary'!J52</f>
        <v>2.091290917908625E-2</v>
      </c>
      <c r="P52" s="254">
        <f t="shared" si="46"/>
        <v>3.8479752843421622</v>
      </c>
      <c r="Q52" s="254">
        <f>'Binary Summary'!K52</f>
        <v>0.5</v>
      </c>
      <c r="R52" s="253"/>
      <c r="S52" s="253"/>
      <c r="T52" s="289"/>
      <c r="U52" s="289"/>
      <c r="V52" s="290"/>
    </row>
    <row r="53" spans="1:25">
      <c r="A53" s="1" t="str">
        <f>'Binary Summary'!A53</f>
        <v>M47 b</v>
      </c>
      <c r="B53" s="1" t="str">
        <f>'Binary Summary'!B53</f>
        <v>A3V</v>
      </c>
      <c r="C53" s="1">
        <f>'Binary Summary'!C53</f>
        <v>184</v>
      </c>
      <c r="D53" s="4">
        <f>'Binary Summary'!G53</f>
        <v>1.892404878284264</v>
      </c>
      <c r="E53" s="4">
        <f>'Binary Summary'!H53</f>
        <v>1.6195437047215933</v>
      </c>
      <c r="F53" s="4">
        <f>'Binary Summary'!I53</f>
        <v>1.4836495489151122</v>
      </c>
      <c r="G53" s="4">
        <f>'Isochrone Binaries '!H50</f>
        <v>2.34</v>
      </c>
      <c r="H53" s="4">
        <f>'Isochrone Binaries '!I50</f>
        <v>2.411</v>
      </c>
      <c r="I53" s="4">
        <f>'Isochrone Binaries '!J50</f>
        <v>2.4900000000000002</v>
      </c>
      <c r="J53" s="4">
        <f>'Isochrone Binaries '!L50</f>
        <v>2.4127765077291539</v>
      </c>
      <c r="K53" s="4">
        <f t="shared" ref="K53" si="80">G54/G53</f>
        <v>0.49743589743589745</v>
      </c>
      <c r="L53" s="4">
        <f t="shared" ref="L53" si="81">H54/H53</f>
        <v>0.48237245956034841</v>
      </c>
      <c r="M53" s="4">
        <f t="shared" ref="M53:N53" si="82">I54/I53</f>
        <v>0.48594377510040154</v>
      </c>
      <c r="N53" s="4">
        <f t="shared" si="82"/>
        <v>0.48961815464557779</v>
      </c>
      <c r="O53" s="54">
        <f>'Binary Summary'!J53</f>
        <v>0.75185599499999989</v>
      </c>
      <c r="P53" s="4">
        <f t="shared" si="45"/>
        <v>138.34150291427281</v>
      </c>
      <c r="Q53" s="4">
        <f>'Binary Summary'!K53</f>
        <v>46.294130000000024</v>
      </c>
      <c r="T53" s="54">
        <v>0.99954802510499996</v>
      </c>
      <c r="U53" s="54">
        <v>0.99948637720300004</v>
      </c>
      <c r="V53" s="54">
        <v>0.99938409072000001</v>
      </c>
    </row>
    <row r="54" spans="1:25">
      <c r="A54" s="55" t="str">
        <f>'Binary Summary'!A54</f>
        <v>HD 62974</v>
      </c>
      <c r="D54" s="48">
        <f>'Binary Summary'!G54</f>
        <v>5.5162098789451011E-2</v>
      </c>
      <c r="E54" s="48">
        <f>'Binary Summary'!H54</f>
        <v>5.0849919230578938E-2</v>
      </c>
      <c r="F54" s="48">
        <f>'Binary Summary'!I54</f>
        <v>5.0267143517829467E-2</v>
      </c>
      <c r="G54" s="4">
        <f>'Isochrone Binaries '!H51</f>
        <v>1.1639999999999999</v>
      </c>
      <c r="H54" s="4">
        <f>'Isochrone Binaries '!I51</f>
        <v>1.163</v>
      </c>
      <c r="I54" s="4">
        <f>'Isochrone Binaries '!J51</f>
        <v>1.21</v>
      </c>
      <c r="J54" s="4">
        <f>'Isochrone Binaries '!L51</f>
        <v>1.1813391812865499</v>
      </c>
      <c r="K54" s="4"/>
      <c r="L54" s="4"/>
      <c r="M54" s="4"/>
      <c r="N54" s="4"/>
      <c r="O54" s="51">
        <f>'Binary Summary'!J54</f>
        <v>4.6323463834134024E-3</v>
      </c>
      <c r="P54" s="48">
        <f t="shared" si="46"/>
        <v>0.85235173352698534</v>
      </c>
      <c r="Q54" s="48">
        <f>'Binary Summary'!K54</f>
        <v>0.50274804808174056</v>
      </c>
      <c r="T54" s="284"/>
      <c r="U54" s="284"/>
      <c r="V54" s="284"/>
    </row>
    <row r="55" spans="1:25">
      <c r="A55" s="62" t="s">
        <v>94</v>
      </c>
      <c r="B55" s="62" t="s">
        <v>94</v>
      </c>
      <c r="C55" s="62" t="s">
        <v>94</v>
      </c>
      <c r="D55" s="62" t="s">
        <v>94</v>
      </c>
      <c r="E55" s="62" t="s">
        <v>94</v>
      </c>
      <c r="F55" s="62" t="s">
        <v>94</v>
      </c>
      <c r="G55" s="62" t="s">
        <v>94</v>
      </c>
      <c r="H55" s="62" t="s">
        <v>94</v>
      </c>
      <c r="I55" s="62" t="s">
        <v>94</v>
      </c>
      <c r="J55" s="62" t="s">
        <v>94</v>
      </c>
      <c r="K55" s="62" t="s">
        <v>94</v>
      </c>
      <c r="L55" s="62" t="s">
        <v>94</v>
      </c>
      <c r="M55" s="62" t="s">
        <v>94</v>
      </c>
      <c r="N55" s="62" t="s">
        <v>94</v>
      </c>
      <c r="O55" s="62" t="s">
        <v>94</v>
      </c>
      <c r="P55" s="62" t="s">
        <v>94</v>
      </c>
      <c r="Q55" s="62" t="s">
        <v>94</v>
      </c>
      <c r="R55" s="62" t="s">
        <v>94</v>
      </c>
      <c r="S55" s="62" t="s">
        <v>94</v>
      </c>
      <c r="T55" s="62" t="s">
        <v>94</v>
      </c>
      <c r="U55" s="62" t="s">
        <v>94</v>
      </c>
      <c r="V55" s="62" t="s">
        <v>94</v>
      </c>
      <c r="W55" s="62" t="s">
        <v>94</v>
      </c>
      <c r="X55" s="62" t="s">
        <v>94</v>
      </c>
      <c r="Y55" s="57"/>
    </row>
    <row r="56" spans="1:25">
      <c r="A56" s="67" t="s">
        <v>51</v>
      </c>
      <c r="B56" s="67" t="s">
        <v>51</v>
      </c>
      <c r="C56" s="67" t="s">
        <v>51</v>
      </c>
      <c r="D56" s="67" t="s">
        <v>51</v>
      </c>
      <c r="E56" s="67" t="s">
        <v>51</v>
      </c>
      <c r="F56" s="67" t="s">
        <v>51</v>
      </c>
      <c r="G56" s="67" t="s">
        <v>51</v>
      </c>
      <c r="H56" s="67" t="s">
        <v>51</v>
      </c>
      <c r="I56" s="67" t="s">
        <v>51</v>
      </c>
      <c r="J56" s="67" t="s">
        <v>51</v>
      </c>
      <c r="K56" s="67" t="s">
        <v>51</v>
      </c>
      <c r="L56" s="67" t="s">
        <v>51</v>
      </c>
      <c r="M56" s="67" t="s">
        <v>51</v>
      </c>
      <c r="N56" s="67" t="s">
        <v>51</v>
      </c>
      <c r="O56" s="67" t="s">
        <v>51</v>
      </c>
      <c r="P56" s="67" t="s">
        <v>51</v>
      </c>
      <c r="Q56" s="67" t="s">
        <v>51</v>
      </c>
      <c r="R56" s="67" t="s">
        <v>51</v>
      </c>
      <c r="S56" s="67" t="s">
        <v>51</v>
      </c>
      <c r="T56" s="67" t="s">
        <v>51</v>
      </c>
      <c r="U56" s="67" t="s">
        <v>51</v>
      </c>
      <c r="V56" s="67" t="s">
        <v>51</v>
      </c>
      <c r="W56" s="67" t="s">
        <v>51</v>
      </c>
      <c r="X56" s="67" t="s">
        <v>51</v>
      </c>
      <c r="Y56" s="67"/>
    </row>
    <row r="57" spans="1:25">
      <c r="A57" s="62" t="s">
        <v>95</v>
      </c>
      <c r="B57" s="62" t="s">
        <v>95</v>
      </c>
      <c r="C57" s="62" t="s">
        <v>95</v>
      </c>
      <c r="D57" s="62" t="s">
        <v>95</v>
      </c>
      <c r="E57" s="62" t="s">
        <v>95</v>
      </c>
      <c r="F57" s="62" t="s">
        <v>95</v>
      </c>
      <c r="G57" s="62" t="s">
        <v>95</v>
      </c>
      <c r="H57" s="62" t="s">
        <v>95</v>
      </c>
      <c r="I57" s="62" t="s">
        <v>95</v>
      </c>
      <c r="J57" s="62" t="s">
        <v>95</v>
      </c>
      <c r="K57" s="62" t="s">
        <v>95</v>
      </c>
      <c r="L57" s="62" t="s">
        <v>95</v>
      </c>
      <c r="M57" s="62" t="s">
        <v>95</v>
      </c>
      <c r="N57" s="62" t="s">
        <v>95</v>
      </c>
      <c r="O57" s="62" t="s">
        <v>95</v>
      </c>
      <c r="P57" s="62" t="s">
        <v>95</v>
      </c>
      <c r="Q57" s="62" t="s">
        <v>95</v>
      </c>
      <c r="R57" s="62" t="s">
        <v>95</v>
      </c>
      <c r="S57" s="62" t="s">
        <v>95</v>
      </c>
      <c r="T57" s="62" t="s">
        <v>95</v>
      </c>
      <c r="U57" s="62" t="s">
        <v>95</v>
      </c>
      <c r="V57" s="62" t="s">
        <v>95</v>
      </c>
      <c r="W57" s="62" t="s">
        <v>95</v>
      </c>
      <c r="X57" s="62" t="s">
        <v>95</v>
      </c>
    </row>
    <row r="58" spans="1:25">
      <c r="A58" s="1" t="str">
        <f>'Binary Summary'!A58</f>
        <v>M155</v>
      </c>
      <c r="B58" s="1" t="str">
        <f>'Binary Summary'!B58</f>
        <v>A0IV</v>
      </c>
      <c r="C58" s="1">
        <f>'Binary Summary'!C58</f>
        <v>412</v>
      </c>
      <c r="D58" s="4">
        <f>'Binary Summary'!G58</f>
        <v>0.7634870026660785</v>
      </c>
      <c r="E58" s="4">
        <f>'Binary Summary'!H58</f>
        <v>0.65900874430839451</v>
      </c>
      <c r="F58" s="4">
        <f>'Binary Summary'!I58</f>
        <v>0.65900874430839451</v>
      </c>
      <c r="G58" s="4">
        <f>'Isochrone Binaries '!H52</f>
        <v>2.93</v>
      </c>
      <c r="H58" s="4">
        <f>'Isochrone Binaries '!I52</f>
        <v>2.9249999999999998</v>
      </c>
      <c r="I58" s="4">
        <f>'Isochrone Binaries '!J52</f>
        <v>2.92</v>
      </c>
      <c r="J58" s="4">
        <f>'Isochrone Binaries '!L52</f>
        <v>2.924884428223844</v>
      </c>
      <c r="K58" s="4">
        <f t="shared" ref="K58" si="83">G59/G58</f>
        <v>0.87064846416382258</v>
      </c>
      <c r="L58" s="4">
        <f t="shared" ref="L58" si="84">H59/H58</f>
        <v>0.89025641025641034</v>
      </c>
      <c r="M58" s="4">
        <f t="shared" ref="M58:N58" si="85">I59/I58</f>
        <v>0.89178082191780828</v>
      </c>
      <c r="N58" s="4">
        <f t="shared" si="85"/>
        <v>0.88897563143550073</v>
      </c>
      <c r="O58" s="54">
        <f>'Binary Summary'!J58</f>
        <v>0.45971392499999997</v>
      </c>
      <c r="P58" s="4">
        <f t="shared" ref="P58:P74" si="86">PI()/180 * O58/3600 * C58 * 206264.806</f>
        <v>189.40213687310438</v>
      </c>
      <c r="Q58" s="4">
        <f>'Binary Summary'!K58</f>
        <v>6.9779549999999801</v>
      </c>
      <c r="T58" s="54">
        <v>0.99943162767500004</v>
      </c>
      <c r="U58" s="54">
        <v>0.99870424152299997</v>
      </c>
      <c r="V58" s="54">
        <v>0.99828274432999997</v>
      </c>
    </row>
    <row r="59" spans="1:25">
      <c r="A59" s="55" t="str">
        <f>'Binary Summary'!A59</f>
        <v>HD 96213</v>
      </c>
      <c r="D59" s="48">
        <f>'Binary Summary'!G59</f>
        <v>0.19510070659606951</v>
      </c>
      <c r="E59" s="48">
        <f>'Binary Summary'!H59</f>
        <v>0.10218156109871963</v>
      </c>
      <c r="F59" s="48">
        <f>'Binary Summary'!I59</f>
        <v>7.1101034752365899E-2</v>
      </c>
      <c r="G59" s="4">
        <f>'Isochrone Binaries '!H53</f>
        <v>2.5510000000000002</v>
      </c>
      <c r="H59" s="4">
        <f>'Isochrone Binaries '!I53</f>
        <v>2.6040000000000001</v>
      </c>
      <c r="I59" s="4">
        <f>'Isochrone Binaries '!J53</f>
        <v>2.6040000000000001</v>
      </c>
      <c r="J59" s="4">
        <f>'Isochrone Binaries '!L53</f>
        <v>2.6001509814561552</v>
      </c>
      <c r="K59" s="4"/>
      <c r="L59" s="4"/>
      <c r="M59" s="4"/>
      <c r="N59" s="4"/>
      <c r="O59" s="51">
        <f>'Binary Summary'!J59</f>
        <v>4.7837580449322011E-3</v>
      </c>
      <c r="P59" s="48">
        <f t="shared" ref="P59:P75" si="87">PI()/180 * O59/3600 * C58 * 206264.806</f>
        <v>1.9709083121510034</v>
      </c>
      <c r="Q59" s="48">
        <f>'Binary Summary'!K59</f>
        <v>0.66335017659819584</v>
      </c>
      <c r="T59" s="284"/>
      <c r="U59" s="284"/>
      <c r="V59" s="284"/>
    </row>
    <row r="60" spans="1:25">
      <c r="A60" s="249" t="str">
        <f>'Binary Summary'!A60</f>
        <v>M278</v>
      </c>
      <c r="B60" s="250" t="str">
        <f>'Binary Summary'!B60</f>
        <v>A0</v>
      </c>
      <c r="C60" s="250">
        <f>'Binary Summary'!C60</f>
        <v>412</v>
      </c>
      <c r="D60" s="251">
        <f>'Binary Summary'!G60</f>
        <v>5.7925000000000004</v>
      </c>
      <c r="E60" s="251">
        <f>'Binary Summary'!H60</f>
        <v>5.142000000000003</v>
      </c>
      <c r="F60" s="251">
        <f>'Binary Summary'!I60</f>
        <v>4.9629999999999992</v>
      </c>
      <c r="G60" s="251">
        <f>'Isochrone Binaries '!H54</f>
        <v>2.9769999999999999</v>
      </c>
      <c r="H60" s="251">
        <f>'Isochrone Binaries '!I54</f>
        <v>2.9620000000000002</v>
      </c>
      <c r="I60" s="251">
        <f>'Isochrone Binaries '!J54</f>
        <v>2.98</v>
      </c>
      <c r="J60" s="251">
        <f>'Isochrone Binaries '!L54</f>
        <v>2.9730000000000003</v>
      </c>
      <c r="K60" s="251">
        <f t="shared" ref="K60" si="88">G61/G60</f>
        <v>0.21565334229089689</v>
      </c>
      <c r="L60" s="251">
        <f t="shared" ref="L60" si="89">H61/H60</f>
        <v>0.21370695476029708</v>
      </c>
      <c r="M60" s="251">
        <f t="shared" ref="M60:N72" si="90">I61/I60</f>
        <v>0.21812080536912754</v>
      </c>
      <c r="N60" s="251">
        <f t="shared" si="90"/>
        <v>0.21565430764996027</v>
      </c>
      <c r="O60" s="255">
        <f>'Binary Summary'!J60</f>
        <v>3.8137083133195055</v>
      </c>
      <c r="P60" s="251">
        <f t="shared" si="86"/>
        <v>1571.2478232053493</v>
      </c>
      <c r="Q60" s="251">
        <f>'Binary Summary'!K60</f>
        <v>130.37474193196957</v>
      </c>
      <c r="R60" s="250"/>
      <c r="S60" s="250"/>
      <c r="T60" s="255">
        <v>0.95257070962699997</v>
      </c>
      <c r="U60" s="288">
        <v>0.948539697761</v>
      </c>
      <c r="V60" s="292">
        <v>0.94015559416399996</v>
      </c>
    </row>
    <row r="61" spans="1:25">
      <c r="A61" s="252" t="str">
        <f>'Binary Summary'!A61</f>
        <v>HD 96137</v>
      </c>
      <c r="B61" s="253"/>
      <c r="C61" s="253"/>
      <c r="D61" s="254">
        <f>'Binary Summary'!G61</f>
        <v>3.1819805153394637E-2</v>
      </c>
      <c r="E61" s="254">
        <f>'Binary Summary'!H61</f>
        <v>3.1276988346066827E-2</v>
      </c>
      <c r="F61" s="254">
        <f>'Binary Summary'!I61</f>
        <v>3.0907118921051181E-2</v>
      </c>
      <c r="G61" s="256">
        <f>'Isochrone Binaries '!H55</f>
        <v>0.64200000000000002</v>
      </c>
      <c r="H61" s="256">
        <f>'Isochrone Binaries '!I55</f>
        <v>0.63300000000000001</v>
      </c>
      <c r="I61" s="256">
        <f>'Isochrone Binaries '!J55</f>
        <v>0.65</v>
      </c>
      <c r="J61" s="256">
        <f>'Isochrone Binaries '!L55</f>
        <v>0.64114025664333196</v>
      </c>
      <c r="K61" s="256"/>
      <c r="L61" s="256"/>
      <c r="M61" s="256"/>
      <c r="N61" s="256"/>
      <c r="O61" s="257">
        <f>'Binary Summary'!J61</f>
        <v>2.2882249879917035E-2</v>
      </c>
      <c r="P61" s="254">
        <f t="shared" si="87"/>
        <v>9.4274869392320966</v>
      </c>
      <c r="Q61" s="254">
        <f>'Binary Summary'!K61</f>
        <v>0.5</v>
      </c>
      <c r="R61" s="253"/>
      <c r="S61" s="253"/>
      <c r="T61" s="289"/>
      <c r="U61" s="289"/>
      <c r="V61" s="290"/>
    </row>
    <row r="62" spans="1:25">
      <c r="A62" s="249" t="str">
        <f>'Binary Summary'!A62</f>
        <v>M50</v>
      </c>
      <c r="B62" s="250" t="str">
        <f>'Binary Summary'!B62</f>
        <v>A0</v>
      </c>
      <c r="C62" s="250">
        <f>'Binary Summary'!C62</f>
        <v>412</v>
      </c>
      <c r="D62" s="251">
        <f>'Binary Summary'!G62</f>
        <v>7.3706973795750006</v>
      </c>
      <c r="E62" s="251">
        <f>'Binary Summary'!H62</f>
        <v>6.7569662201750003</v>
      </c>
      <c r="F62" s="251">
        <f>'Binary Summary'!I62</f>
        <v>6.5493159618950001</v>
      </c>
      <c r="G62" s="251">
        <f>'Isochrone Binaries '!H56</f>
        <v>2.9369999999999998</v>
      </c>
      <c r="H62" s="251">
        <f>'Isochrone Binaries '!I56</f>
        <v>2.9060000000000001</v>
      </c>
      <c r="I62" s="251">
        <f>'Isochrone Binaries '!J56</f>
        <v>2.9849999999999999</v>
      </c>
      <c r="J62" s="251">
        <f>'Isochrone Binaries '!L56</f>
        <v>2.9409432739059969</v>
      </c>
      <c r="K62" s="251">
        <f t="shared" ref="K62" si="91">G63/G62</f>
        <v>0.12257405515832483</v>
      </c>
      <c r="L62" s="251">
        <f t="shared" ref="L62" si="92">H63/H62</f>
        <v>0.12078458362009634</v>
      </c>
      <c r="M62" s="251">
        <f t="shared" ref="M62" si="93">I63/I62</f>
        <v>0.12160804020100503</v>
      </c>
      <c r="N62" s="251">
        <f t="shared" si="90"/>
        <v>0.12229799538960689</v>
      </c>
      <c r="O62" s="255">
        <f>'Binary Summary'!J62</f>
        <v>4.7068491750333328</v>
      </c>
      <c r="P62" s="251">
        <f t="shared" si="86"/>
        <v>1939.2218577906287</v>
      </c>
      <c r="Q62" s="251">
        <f>'Binary Summary'!K62</f>
        <v>203.08927642950002</v>
      </c>
      <c r="R62" s="258"/>
      <c r="S62" s="258"/>
      <c r="T62" s="229">
        <v>0.67203252954000003</v>
      </c>
      <c r="U62" s="229">
        <v>0.68463815129299999</v>
      </c>
      <c r="V62" s="230">
        <v>0.78123242986300001</v>
      </c>
    </row>
    <row r="63" spans="1:25">
      <c r="A63" s="252" t="str">
        <f>'Binary Summary'!A63</f>
        <v>HD 96246</v>
      </c>
      <c r="B63" s="253"/>
      <c r="C63" s="253"/>
      <c r="D63" s="254">
        <f>'Binary Summary'!G63</f>
        <v>0.1044030650891055</v>
      </c>
      <c r="E63" s="254">
        <f>'Binary Summary'!H63</f>
        <v>0.11111129788140219</v>
      </c>
      <c r="F63" s="254">
        <f>'Binary Summary'!I63</f>
        <v>7.6927876563393588E-2</v>
      </c>
      <c r="G63" s="256">
        <f>'Isochrone Binaries '!H57</f>
        <v>0.36</v>
      </c>
      <c r="H63" s="256">
        <f>'Isochrone Binaries '!I57</f>
        <v>0.35099999999999998</v>
      </c>
      <c r="I63" s="267">
        <f>'Isochrone Binaries '!J57</f>
        <v>0.36299999999999999</v>
      </c>
      <c r="J63" s="256">
        <f>'Isochrone Binaries '!L57</f>
        <v>0.35967146695325103</v>
      </c>
      <c r="K63" s="256"/>
      <c r="L63" s="256"/>
      <c r="M63" s="256"/>
      <c r="N63" s="256"/>
      <c r="O63" s="257">
        <f>'Binary Summary'!J63</f>
        <v>2.8241095050199998E-2</v>
      </c>
      <c r="P63" s="254">
        <f t="shared" si="87"/>
        <v>11.635331146743775</v>
      </c>
      <c r="Q63" s="254">
        <f>'Binary Summary'!K63</f>
        <v>0.5</v>
      </c>
      <c r="R63" s="253"/>
      <c r="S63" s="253"/>
      <c r="T63" s="289"/>
      <c r="U63" s="289"/>
      <c r="V63" s="290"/>
    </row>
    <row r="64" spans="1:25">
      <c r="A64" s="249" t="str">
        <f>'Binary Summary'!A64</f>
        <v>M317 a</v>
      </c>
      <c r="B64" s="250" t="str">
        <f>'Binary Summary'!B64</f>
        <v>B9.5V</v>
      </c>
      <c r="C64" s="250">
        <f>'Binary Summary'!C64</f>
        <v>412</v>
      </c>
      <c r="D64" s="251" t="str">
        <f>'Binary Summary'!G64</f>
        <v>-</v>
      </c>
      <c r="E64" s="251" t="str">
        <f>'Binary Summary'!H64</f>
        <v>-</v>
      </c>
      <c r="F64" s="251">
        <f>'Binary Summary'!I64</f>
        <v>6.5259999999999998</v>
      </c>
      <c r="G64" s="251">
        <f>'Isochrone Binaries '!H58</f>
        <v>2.831</v>
      </c>
      <c r="H64" s="251">
        <f>'Isochrone Binaries '!I58</f>
        <v>2.8119999999999998</v>
      </c>
      <c r="I64" s="251">
        <f>'Isochrone Binaries '!J58</f>
        <v>2.8359999999999999</v>
      </c>
      <c r="J64" s="251">
        <f>'Isochrone Binaries '!L58</f>
        <v>2.8266765346103613</v>
      </c>
      <c r="K64" s="251" t="s">
        <v>51</v>
      </c>
      <c r="L64" s="251" t="s">
        <v>51</v>
      </c>
      <c r="M64" s="251">
        <f t="shared" ref="M64" si="94">I65/I64</f>
        <v>0.10966149506346969</v>
      </c>
      <c r="N64" s="251">
        <f t="shared" si="90"/>
        <v>0.11002320081270611</v>
      </c>
      <c r="O64" s="255">
        <f>'Binary Summary'!J64</f>
        <v>3.185413776312946</v>
      </c>
      <c r="P64" s="251">
        <f t="shared" si="86"/>
        <v>1312.3904742687466</v>
      </c>
      <c r="Q64" s="251">
        <f>'Binary Summary'!K64</f>
        <v>185.61057544178556</v>
      </c>
      <c r="R64" s="250"/>
      <c r="S64" s="250"/>
      <c r="T64" s="255" t="s">
        <v>51</v>
      </c>
      <c r="U64" s="255" t="s">
        <v>51</v>
      </c>
      <c r="V64" s="230">
        <v>0.83766470234400003</v>
      </c>
    </row>
    <row r="65" spans="1:24">
      <c r="A65" s="252" t="str">
        <f>'Binary Summary'!A65</f>
        <v>HD 96473</v>
      </c>
      <c r="B65" s="253"/>
      <c r="C65" s="253"/>
      <c r="D65" s="256"/>
      <c r="E65" s="256"/>
      <c r="F65" s="254">
        <f>'Binary Summary'!I65</f>
        <v>3.2522381668103263E-2</v>
      </c>
      <c r="G65" s="256"/>
      <c r="H65" s="256"/>
      <c r="I65" s="256">
        <f>'Isochrone Binaries '!J59</f>
        <v>0.311</v>
      </c>
      <c r="J65" s="256">
        <f>'Isochrone Binaries '!L59</f>
        <v>0.311</v>
      </c>
      <c r="K65" s="256"/>
      <c r="L65" s="256"/>
      <c r="M65" s="256"/>
      <c r="N65" s="256"/>
      <c r="O65" s="257">
        <f>'Binary Summary'!J65</f>
        <v>1.9112482657877676E-2</v>
      </c>
      <c r="P65" s="254">
        <f t="shared" si="87"/>
        <v>7.8743428456124782</v>
      </c>
      <c r="Q65" s="254">
        <f>'Binary Summary'!K65</f>
        <v>0.5</v>
      </c>
      <c r="R65" s="253"/>
      <c r="S65" s="253"/>
      <c r="T65" s="289"/>
      <c r="U65" s="289"/>
      <c r="V65" s="290"/>
    </row>
    <row r="66" spans="1:24">
      <c r="A66" s="249" t="str">
        <f>'Binary Summary'!A66</f>
        <v>M317 b</v>
      </c>
      <c r="B66" s="250" t="str">
        <f>'Binary Summary'!B66</f>
        <v>B9.5V</v>
      </c>
      <c r="C66" s="250">
        <f>'Binary Summary'!C66</f>
        <v>412</v>
      </c>
      <c r="D66" s="251" t="str">
        <f>'Binary Summary'!G66</f>
        <v>-</v>
      </c>
      <c r="E66" s="251" t="str">
        <f>'Binary Summary'!H66</f>
        <v>-</v>
      </c>
      <c r="F66" s="251">
        <f>'Binary Summary'!I66</f>
        <v>7.8030000000000008</v>
      </c>
      <c r="G66" s="251">
        <f>'Isochrone Binaries '!H60</f>
        <v>2.831</v>
      </c>
      <c r="H66" s="251">
        <f>'Isochrone Binaries '!I60</f>
        <v>2.8119999999999998</v>
      </c>
      <c r="I66" s="251">
        <f>'Isochrone Binaries '!J60</f>
        <v>2.8359999999999999</v>
      </c>
      <c r="J66" s="251">
        <f>'Isochrone Binaries '!L60</f>
        <v>2.8266765346103613</v>
      </c>
      <c r="K66" s="251" t="s">
        <v>51</v>
      </c>
      <c r="L66" s="251" t="s">
        <v>51</v>
      </c>
      <c r="M66" s="251">
        <f t="shared" ref="M66" si="95">I67/I66</f>
        <v>5.500705218617772E-2</v>
      </c>
      <c r="N66" s="251">
        <f t="shared" si="90"/>
        <v>5.5188486581293099E-2</v>
      </c>
      <c r="O66" s="255">
        <f>'Binary Summary'!J66</f>
        <v>3.5872937270329137</v>
      </c>
      <c r="P66" s="251">
        <f t="shared" si="86"/>
        <v>1477.9650137670221</v>
      </c>
      <c r="Q66" s="251">
        <f>'Binary Summary'!K66</f>
        <v>200.98754951042156</v>
      </c>
      <c r="R66" s="250"/>
      <c r="S66" s="250"/>
      <c r="T66" s="255" t="s">
        <v>51</v>
      </c>
      <c r="U66" s="255" t="s">
        <v>51</v>
      </c>
      <c r="V66" s="230">
        <v>0.745185017013</v>
      </c>
    </row>
    <row r="67" spans="1:24">
      <c r="A67" s="252" t="str">
        <f>'Binary Summary'!A67</f>
        <v>HD 96473</v>
      </c>
      <c r="B67" s="253"/>
      <c r="C67" s="253"/>
      <c r="D67" s="256"/>
      <c r="E67" s="256"/>
      <c r="F67" s="254">
        <f>'Binary Summary'!I67</f>
        <v>4.2778124357333511E-2</v>
      </c>
      <c r="G67" s="256"/>
      <c r="H67" s="256"/>
      <c r="I67" s="256">
        <f>'Isochrone Binaries '!J61</f>
        <v>0.156</v>
      </c>
      <c r="J67" s="256">
        <f>'Isochrone Binaries '!L61</f>
        <v>0.156</v>
      </c>
      <c r="K67" s="256"/>
      <c r="L67" s="256"/>
      <c r="M67" s="256"/>
      <c r="N67" s="256"/>
      <c r="O67" s="257">
        <f>'Binary Summary'!J67</f>
        <v>2.1523762362197482E-2</v>
      </c>
      <c r="P67" s="254">
        <f t="shared" si="87"/>
        <v>8.8677900826021325</v>
      </c>
      <c r="Q67" s="254">
        <f>'Binary Summary'!K67</f>
        <v>0.5</v>
      </c>
      <c r="R67" s="253"/>
      <c r="S67" s="253"/>
      <c r="T67" s="289"/>
      <c r="U67" s="289"/>
      <c r="V67" s="290"/>
    </row>
    <row r="68" spans="1:24">
      <c r="A68" s="249" t="str">
        <f>'Binary Summary'!A68</f>
        <v>M409</v>
      </c>
      <c r="B68" s="250" t="str">
        <f>'Binary Summary'!B68</f>
        <v>B8 E</v>
      </c>
      <c r="C68" s="250">
        <f>'Binary Summary'!C68</f>
        <v>412</v>
      </c>
      <c r="D68" s="251" t="str">
        <f>'Binary Summary'!G68</f>
        <v>-</v>
      </c>
      <c r="E68" s="251" t="str">
        <f>'Binary Summary'!H68</f>
        <v>-</v>
      </c>
      <c r="F68" s="251">
        <f>'Binary Summary'!I68</f>
        <v>5.4326913184154897</v>
      </c>
      <c r="G68" s="251">
        <f>'Isochrone Binaries '!H62</f>
        <v>2.9350000000000001</v>
      </c>
      <c r="H68" s="251">
        <f>'Isochrone Binaries '!I62</f>
        <v>2.9140000000000001</v>
      </c>
      <c r="I68" s="251">
        <f>'Isochrone Binaries '!J62</f>
        <v>2.907</v>
      </c>
      <c r="J68" s="251">
        <f>'Isochrone Binaries '!L62</f>
        <v>2.9180059502084905</v>
      </c>
      <c r="K68" s="251" t="s">
        <v>51</v>
      </c>
      <c r="L68" s="251" t="s">
        <v>51</v>
      </c>
      <c r="M68" s="251">
        <f t="shared" ref="M68" si="96">I69/I68</f>
        <v>0.18128654970760236</v>
      </c>
      <c r="N68" s="251">
        <f t="shared" si="90"/>
        <v>0.18060278457017748</v>
      </c>
      <c r="O68" s="255">
        <f>'Binary Summary'!J68</f>
        <v>0.98900329486649996</v>
      </c>
      <c r="P68" s="251">
        <f t="shared" si="86"/>
        <v>407.4693569968673</v>
      </c>
      <c r="Q68" s="251">
        <f>'Binary Summary'!K68</f>
        <v>274.65151203749997</v>
      </c>
      <c r="R68" s="250"/>
      <c r="S68" s="250"/>
      <c r="T68" s="255" t="s">
        <v>51</v>
      </c>
      <c r="U68" s="255" t="s">
        <v>51</v>
      </c>
      <c r="V68" s="292">
        <v>0.91455116539299997</v>
      </c>
    </row>
    <row r="69" spans="1:24">
      <c r="A69" s="252" t="str">
        <f>'Binary Summary'!A69</f>
        <v>HD 96226</v>
      </c>
      <c r="B69" s="253"/>
      <c r="C69" s="253"/>
      <c r="D69" s="256"/>
      <c r="E69" s="256"/>
      <c r="F69" s="254">
        <f>'Binary Summary'!I69</f>
        <v>0.14430589362478768</v>
      </c>
      <c r="G69" s="256"/>
      <c r="H69" s="256"/>
      <c r="I69" s="256">
        <f>'Isochrone Binaries '!J63</f>
        <v>0.52700000000000002</v>
      </c>
      <c r="J69" s="256">
        <f>'Isochrone Binaries '!L63</f>
        <v>0.52700000000000002</v>
      </c>
      <c r="K69" s="256"/>
      <c r="L69" s="256"/>
      <c r="M69" s="256"/>
      <c r="N69" s="256"/>
      <c r="O69" s="257">
        <f>'Binary Summary'!J69</f>
        <v>5.9340197691990001E-3</v>
      </c>
      <c r="P69" s="254">
        <f t="shared" si="87"/>
        <v>2.444816141981204</v>
      </c>
      <c r="Q69" s="254">
        <f>'Binary Summary'!K69</f>
        <v>0.5</v>
      </c>
      <c r="R69" s="253"/>
      <c r="S69" s="253"/>
      <c r="T69" s="289"/>
      <c r="U69" s="289"/>
      <c r="V69" s="290"/>
    </row>
    <row r="70" spans="1:24">
      <c r="A70" s="249" t="str">
        <f>'Binary Summary'!A70</f>
        <v>M49 a</v>
      </c>
      <c r="B70" s="250" t="str">
        <f>'Binary Summary'!B70</f>
        <v>A0/A1IV/V D</v>
      </c>
      <c r="C70" s="250">
        <f>'Binary Summary'!C70</f>
        <v>412</v>
      </c>
      <c r="D70" s="251" t="str">
        <f>'Binary Summary'!G70</f>
        <v>-</v>
      </c>
      <c r="E70" s="251" t="str">
        <f>'Binary Summary'!H70</f>
        <v>-</v>
      </c>
      <c r="F70" s="251">
        <f>'Binary Summary'!I70</f>
        <v>6.0344655105099996</v>
      </c>
      <c r="G70" s="251">
        <f>'Isochrone Binaries '!H64</f>
        <v>2.7829999999999999</v>
      </c>
      <c r="H70" s="251">
        <f>'Isochrone Binaries '!I64</f>
        <v>2.7570000000000001</v>
      </c>
      <c r="I70" s="251">
        <f>'Isochrone Binaries '!J64</f>
        <v>2.79</v>
      </c>
      <c r="J70" s="251">
        <f>'Isochrone Binaries '!L64</f>
        <v>2.7769937555753783</v>
      </c>
      <c r="K70" s="251" t="s">
        <v>51</v>
      </c>
      <c r="L70" s="251" t="s">
        <v>51</v>
      </c>
      <c r="M70" s="251">
        <f t="shared" ref="M70" si="97">I71/I70</f>
        <v>0.13620071684587814</v>
      </c>
      <c r="N70" s="251">
        <f t="shared" si="90"/>
        <v>0.13683862242652614</v>
      </c>
      <c r="O70" s="255">
        <f>'Binary Summary'!J70</f>
        <v>4.6200677048149998</v>
      </c>
      <c r="P70" s="251">
        <f t="shared" si="86"/>
        <v>1903.4678921035077</v>
      </c>
      <c r="Q70" s="251">
        <f>'Binary Summary'!K70</f>
        <v>20.938009119</v>
      </c>
      <c r="R70" s="250"/>
      <c r="S70" s="250"/>
      <c r="T70" s="255" t="s">
        <v>51</v>
      </c>
      <c r="U70" s="255" t="s">
        <v>51</v>
      </c>
      <c r="V70" s="230">
        <v>0.83766470234400003</v>
      </c>
    </row>
    <row r="71" spans="1:24">
      <c r="A71" s="252" t="str">
        <f>'Binary Summary'!A71</f>
        <v>HD 96305</v>
      </c>
      <c r="B71" s="253"/>
      <c r="C71" s="253"/>
      <c r="D71" s="256"/>
      <c r="E71" s="256"/>
      <c r="F71" s="254">
        <f>'Binary Summary'!I71</f>
        <v>3.5331905039857725E-2</v>
      </c>
      <c r="G71" s="256"/>
      <c r="H71" s="256"/>
      <c r="I71" s="256">
        <f>'Isochrone Binaries '!J65</f>
        <v>0.38</v>
      </c>
      <c r="J71" s="256">
        <f>'Isochrone Binaries '!L65</f>
        <v>0.38</v>
      </c>
      <c r="K71" s="256"/>
      <c r="L71" s="256"/>
      <c r="M71" s="256"/>
      <c r="N71" s="256"/>
      <c r="O71" s="257">
        <f>'Binary Summary'!J71</f>
        <v>2.772040622889E-2</v>
      </c>
      <c r="P71" s="254">
        <f t="shared" si="87"/>
        <v>11.420807352621043</v>
      </c>
      <c r="Q71" s="254">
        <f>'Binary Summary'!K71</f>
        <v>0.5</v>
      </c>
      <c r="R71" s="253"/>
      <c r="S71" s="253"/>
      <c r="T71" s="289"/>
      <c r="U71" s="289"/>
      <c r="V71" s="290"/>
    </row>
    <row r="72" spans="1:24">
      <c r="A72" s="249" t="str">
        <f>'Binary Summary'!A72</f>
        <v>M49 b</v>
      </c>
      <c r="B72" s="250" t="str">
        <f>'Binary Summary'!B72</f>
        <v>A0/A1IV/V D</v>
      </c>
      <c r="C72" s="250">
        <f>'Binary Summary'!C72</f>
        <v>412</v>
      </c>
      <c r="D72" s="251" t="str">
        <f>'Binary Summary'!G72</f>
        <v>-</v>
      </c>
      <c r="E72" s="251" t="str">
        <f>'Binary Summary'!H72</f>
        <v>-</v>
      </c>
      <c r="F72" s="251">
        <f>'Binary Summary'!I72</f>
        <v>7.9113200304250002</v>
      </c>
      <c r="G72" s="251">
        <f>'Isochrone Binaries '!H66</f>
        <v>2.7829999999999999</v>
      </c>
      <c r="H72" s="251">
        <f>'Isochrone Binaries '!I66</f>
        <v>2.7570000000000001</v>
      </c>
      <c r="I72" s="251">
        <f>'Isochrone Binaries '!J66</f>
        <v>2.79</v>
      </c>
      <c r="J72" s="251">
        <f>'Isochrone Binaries '!L66</f>
        <v>2.7769937555753783</v>
      </c>
      <c r="K72" s="251" t="s">
        <v>51</v>
      </c>
      <c r="L72" s="251" t="s">
        <v>51</v>
      </c>
      <c r="M72" s="251">
        <f t="shared" ref="M72" si="98">I73/I72</f>
        <v>5.0537634408602143E-2</v>
      </c>
      <c r="N72" s="251">
        <f t="shared" si="90"/>
        <v>5.0774330953000484E-2</v>
      </c>
      <c r="O72" s="255">
        <f>'Binary Summary'!J72</f>
        <v>2.735295995215</v>
      </c>
      <c r="P72" s="251">
        <f t="shared" si="86"/>
        <v>1126.9419486785521</v>
      </c>
      <c r="Q72" s="251">
        <f>'Binary Summary'!K72</f>
        <v>137.16797976699999</v>
      </c>
      <c r="R72" s="250"/>
      <c r="S72" s="250"/>
      <c r="T72" s="255" t="s">
        <v>51</v>
      </c>
      <c r="U72" s="255" t="s">
        <v>51</v>
      </c>
      <c r="V72" s="230">
        <v>0.745185017013</v>
      </c>
    </row>
    <row r="73" spans="1:24">
      <c r="A73" s="252" t="str">
        <f>'Binary Summary'!A73</f>
        <v>HD 96305</v>
      </c>
      <c r="B73" s="253"/>
      <c r="C73" s="253"/>
      <c r="D73" s="256"/>
      <c r="E73" s="256"/>
      <c r="F73" s="254">
        <f>'Binary Summary'!I73</f>
        <v>0.13490836961071853</v>
      </c>
      <c r="G73" s="256"/>
      <c r="H73" s="256"/>
      <c r="I73" s="256">
        <f>'Isochrone Binaries '!J67</f>
        <v>0.14099999999999999</v>
      </c>
      <c r="J73" s="256">
        <f>'Isochrone Binaries '!L67</f>
        <v>0.14099999999999999</v>
      </c>
      <c r="K73" s="256"/>
      <c r="L73" s="256"/>
      <c r="M73" s="256"/>
      <c r="N73" s="256"/>
      <c r="O73" s="257">
        <f>'Binary Summary'!J73</f>
        <v>1.641177597129E-2</v>
      </c>
      <c r="P73" s="254">
        <f t="shared" si="87"/>
        <v>6.7616516920713119</v>
      </c>
      <c r="Q73" s="254">
        <f>'Binary Summary'!K73</f>
        <v>0.5</v>
      </c>
      <c r="R73" s="253"/>
      <c r="S73" s="253"/>
      <c r="T73" s="289"/>
      <c r="U73" s="289"/>
      <c r="V73" s="290"/>
    </row>
    <row r="74" spans="1:24">
      <c r="A74" s="249" t="str">
        <f>'Binary Summary'!A74</f>
        <v>M665</v>
      </c>
      <c r="B74" s="250" t="str">
        <f>'Binary Summary'!B74</f>
        <v>A2IV</v>
      </c>
      <c r="C74" s="250">
        <f>'Binary Summary'!C74</f>
        <v>412</v>
      </c>
      <c r="D74" s="251">
        <f>'Binary Summary'!G74</f>
        <v>5.8354999999999979</v>
      </c>
      <c r="E74" s="251">
        <f>'Binary Summary'!H74</f>
        <v>5.6439999999999966</v>
      </c>
      <c r="F74" s="251">
        <f>'Binary Summary'!I74</f>
        <v>5.6759999999999984</v>
      </c>
      <c r="G74" s="251">
        <f>'Isochrone Binaries '!H68</f>
        <v>3.3119999999999998</v>
      </c>
      <c r="H74" s="251">
        <f>'Isochrone Binaries '!I68</f>
        <v>3.3519999999999999</v>
      </c>
      <c r="I74" s="251">
        <f>'Isochrone Binaries '!J68</f>
        <v>3.407</v>
      </c>
      <c r="J74" s="251">
        <f>'Isochrone Binaries '!L68</f>
        <v>3.347295877513309</v>
      </c>
      <c r="K74" s="251">
        <f t="shared" ref="K74" si="99">G75/G74</f>
        <v>0.2195048309178744</v>
      </c>
      <c r="L74" s="251">
        <f t="shared" ref="L74" si="100">H75/H74</f>
        <v>0.19272076372315036</v>
      </c>
      <c r="M74" s="251">
        <f t="shared" ref="M74:N74" si="101">I75/I74</f>
        <v>0.1810977399471676</v>
      </c>
      <c r="N74" s="251">
        <f t="shared" si="101"/>
        <v>0.20155419871718705</v>
      </c>
      <c r="O74" s="255">
        <f>'Binary Summary'!J74</f>
        <v>2.5909844766860215</v>
      </c>
      <c r="P74" s="251">
        <f t="shared" si="86"/>
        <v>1067.485603115839</v>
      </c>
      <c r="Q74" s="251">
        <f>'Binary Summary'!K74</f>
        <v>300.11715893275459</v>
      </c>
      <c r="R74" s="250"/>
      <c r="S74" s="250"/>
      <c r="T74" s="255">
        <v>0.96791792829400003</v>
      </c>
      <c r="U74" s="288">
        <v>0.948539697761</v>
      </c>
      <c r="V74" s="292">
        <v>0.94015559416399996</v>
      </c>
    </row>
    <row r="75" spans="1:24">
      <c r="A75" s="252" t="str">
        <f>'Binary Summary'!A75</f>
        <v>HD 97000</v>
      </c>
      <c r="B75" s="253"/>
      <c r="C75" s="253"/>
      <c r="D75" s="254">
        <f>'Binary Summary'!G75</f>
        <v>3.2729955698106286E-2</v>
      </c>
      <c r="E75" s="254">
        <f>'Binary Summary'!H75</f>
        <v>3.3166247903554019E-2</v>
      </c>
      <c r="F75" s="254">
        <f>'Binary Summary'!I75</f>
        <v>3.4124771061503113E-2</v>
      </c>
      <c r="G75" s="256">
        <f>'Isochrone Binaries '!H69</f>
        <v>0.72699999999999998</v>
      </c>
      <c r="H75" s="256">
        <f>'Isochrone Binaries '!I69</f>
        <v>0.64600000000000002</v>
      </c>
      <c r="I75" s="256">
        <f>'Isochrone Binaries '!J69</f>
        <v>0.61699999999999999</v>
      </c>
      <c r="J75" s="256">
        <f>'Isochrone Binaries '!L69</f>
        <v>0.67466153846153853</v>
      </c>
      <c r="K75" s="256"/>
      <c r="L75" s="256"/>
      <c r="M75" s="256"/>
      <c r="N75" s="256"/>
      <c r="O75" s="257">
        <f>'Binary Summary'!J75</f>
        <v>1.5545906860116129E-2</v>
      </c>
      <c r="P75" s="254">
        <f t="shared" si="87"/>
        <v>6.4049136186950344</v>
      </c>
      <c r="Q75" s="254">
        <f>'Binary Summary'!K75</f>
        <v>0.5</v>
      </c>
      <c r="R75" s="253"/>
      <c r="S75" s="253"/>
      <c r="T75" s="289"/>
      <c r="U75" s="289"/>
      <c r="V75" s="290"/>
    </row>
    <row r="76" spans="1:24">
      <c r="A76" s="62" t="s">
        <v>96</v>
      </c>
      <c r="B76" s="62" t="s">
        <v>96</v>
      </c>
      <c r="C76" s="62" t="s">
        <v>96</v>
      </c>
      <c r="D76" s="62" t="s">
        <v>96</v>
      </c>
      <c r="E76" s="62" t="s">
        <v>96</v>
      </c>
      <c r="F76" s="62" t="s">
        <v>96</v>
      </c>
      <c r="G76" s="62" t="s">
        <v>96</v>
      </c>
      <c r="H76" s="62" t="s">
        <v>96</v>
      </c>
      <c r="I76" s="62" t="s">
        <v>96</v>
      </c>
      <c r="J76" s="62" t="s">
        <v>96</v>
      </c>
      <c r="K76" s="62" t="s">
        <v>96</v>
      </c>
      <c r="L76" s="62" t="s">
        <v>96</v>
      </c>
      <c r="M76" s="62" t="s">
        <v>96</v>
      </c>
      <c r="N76" s="62" t="s">
        <v>96</v>
      </c>
      <c r="O76" s="62" t="s">
        <v>96</v>
      </c>
      <c r="P76" s="62" t="s">
        <v>96</v>
      </c>
      <c r="Q76" s="62" t="s">
        <v>96</v>
      </c>
      <c r="R76" s="62" t="s">
        <v>96</v>
      </c>
      <c r="S76" s="62" t="s">
        <v>96</v>
      </c>
      <c r="T76" s="62" t="s">
        <v>96</v>
      </c>
      <c r="U76" s="62" t="s">
        <v>96</v>
      </c>
      <c r="V76" s="62" t="s">
        <v>96</v>
      </c>
      <c r="W76" s="62" t="s">
        <v>96</v>
      </c>
      <c r="X76" s="62" t="s">
        <v>96</v>
      </c>
    </row>
    <row r="77" spans="1:24">
      <c r="A77" s="1" t="str">
        <f>'Binary Summary'!A77</f>
        <v>R110</v>
      </c>
      <c r="B77" s="1" t="str">
        <f>'Binary Summary'!B77</f>
        <v>B9.5V</v>
      </c>
      <c r="C77" s="1">
        <f>'Binary Summary'!C77</f>
        <v>149</v>
      </c>
      <c r="D77" s="4">
        <f>'Binary Summary'!G77</f>
        <v>1.25</v>
      </c>
      <c r="E77" s="4">
        <f>'Binary Summary'!H77</f>
        <v>1.35</v>
      </c>
      <c r="F77" s="4">
        <f>'Binary Summary'!I77</f>
        <v>1.05</v>
      </c>
      <c r="G77" s="4">
        <f>'Isochrone Binaries '!H70</f>
        <v>3.5720000000000001</v>
      </c>
      <c r="H77" s="4">
        <f>'Isochrone Binaries '!I70</f>
        <v>3.621</v>
      </c>
      <c r="I77" s="4">
        <f>'Isochrone Binaries '!J70</f>
        <v>3.835</v>
      </c>
      <c r="J77" s="4">
        <f>'Isochrone Binaries '!L70</f>
        <v>3.6569447262080303</v>
      </c>
      <c r="K77" s="180">
        <f t="shared" ref="K77" si="102">G78/G77</f>
        <v>0.57586786114221722</v>
      </c>
      <c r="L77" s="180">
        <f t="shared" ref="L77" si="103">H78/H77</f>
        <v>0.52333609500138079</v>
      </c>
      <c r="M77" s="180">
        <f t="shared" ref="M77:N79" si="104">I78/I77</f>
        <v>0.63780964797913953</v>
      </c>
      <c r="N77" s="180">
        <f t="shared" si="104"/>
        <v>0.64132321911151335</v>
      </c>
      <c r="O77" s="54">
        <f>'Binary Summary'!J77</f>
        <v>0.15354597500000003</v>
      </c>
      <c r="P77" s="4">
        <f t="shared" ref="P77:P115" si="105">PI()/180 * O77/3600 * C77 * 206264.806</f>
        <v>22.878350247592728</v>
      </c>
      <c r="Q77" s="4">
        <f>'Binary Summary'!K77</f>
        <v>300.91838055555559</v>
      </c>
      <c r="T77" s="54">
        <v>0.99992691878399997</v>
      </c>
      <c r="U77" s="54">
        <v>0.99970977499000002</v>
      </c>
      <c r="V77" s="54">
        <v>0.99975147672599995</v>
      </c>
    </row>
    <row r="78" spans="1:24">
      <c r="A78" s="55" t="str">
        <f>'Binary Summary'!A78</f>
        <v>HD 93738</v>
      </c>
      <c r="D78" s="48" t="str">
        <f>'Binary Summary'!G78</f>
        <v>???</v>
      </c>
      <c r="E78" s="48">
        <f>'Binary Summary'!H78</f>
        <v>0.15</v>
      </c>
      <c r="F78" s="48">
        <f>'Binary Summary'!I78</f>
        <v>0.1</v>
      </c>
      <c r="G78" s="4">
        <f>'Isochrone Binaries '!H71</f>
        <v>2.0569999999999999</v>
      </c>
      <c r="H78" s="180">
        <f>'Isochrone Binaries '!I71</f>
        <v>1.895</v>
      </c>
      <c r="I78" s="4">
        <f>'Isochrone Binaries '!J71</f>
        <v>2.4460000000000002</v>
      </c>
      <c r="J78" s="4">
        <f>'Isochrone Binaries '!L71</f>
        <v>2.3452835639246059</v>
      </c>
      <c r="K78" s="4"/>
      <c r="L78" s="4"/>
      <c r="M78" s="4"/>
      <c r="N78" s="4"/>
      <c r="O78" s="51">
        <f>'Binary Summary'!J78</f>
        <v>8.4732730534508444E-3</v>
      </c>
      <c r="P78" s="48">
        <f t="shared" ref="P78:P116" si="106">PI()/180 * O78/3600 * C77 * 206264.806</f>
        <v>1.262517683451734</v>
      </c>
      <c r="Q78" s="48">
        <f>'Binary Summary'!K78</f>
        <v>2.7317430040700641</v>
      </c>
      <c r="T78" s="284"/>
      <c r="U78" s="284"/>
      <c r="V78" s="284"/>
    </row>
    <row r="79" spans="1:24">
      <c r="A79" s="1" t="str">
        <f>'Binary Summary'!A79</f>
        <v>R22b</v>
      </c>
      <c r="B79" s="1" t="str">
        <f>'Binary Summary'!B79</f>
        <v>F0</v>
      </c>
      <c r="C79" s="1">
        <f>'Binary Summary'!C79</f>
        <v>149</v>
      </c>
      <c r="D79" s="4">
        <f>'Binary Summary'!G79</f>
        <v>1.4634999999999989</v>
      </c>
      <c r="E79" s="4">
        <f>'Binary Summary'!H79</f>
        <v>1.3639999999999981</v>
      </c>
      <c r="F79" s="4">
        <f>'Binary Summary'!I79</f>
        <v>1.3429999999999982</v>
      </c>
      <c r="G79" s="4">
        <f>'Isochrone Binaries '!H72</f>
        <v>2.02</v>
      </c>
      <c r="H79" s="4">
        <f>'Isochrone Binaries '!I72</f>
        <v>2.105</v>
      </c>
      <c r="I79" s="4">
        <f>'Isochrone Binaries '!J72</f>
        <v>2.3109999999999999</v>
      </c>
      <c r="J79" s="4">
        <f>'Isochrone Binaries '!L72</f>
        <v>2.2011986126562402</v>
      </c>
      <c r="K79" s="4">
        <f t="shared" ref="K79" si="107">G80/G79</f>
        <v>0.60990099009900989</v>
      </c>
      <c r="L79" s="4">
        <f t="shared" ref="L79" si="108">H80/H79</f>
        <v>0.56437054631828976</v>
      </c>
      <c r="M79" s="4">
        <f t="shared" ref="M79" si="109">I80/I79</f>
        <v>0.51968844655993085</v>
      </c>
      <c r="N79" s="4">
        <f t="shared" si="104"/>
        <v>0.5508784586853247</v>
      </c>
      <c r="O79" s="54">
        <f>'Binary Summary'!J79</f>
        <v>2.896157275171265</v>
      </c>
      <c r="P79" s="4">
        <f t="shared" si="105"/>
        <v>431.52743348356717</v>
      </c>
      <c r="Q79" s="4">
        <f>'Binary Summary'!K79</f>
        <v>230.0698203483272</v>
      </c>
      <c r="T79" s="54">
        <v>0.999421701424</v>
      </c>
      <c r="U79" s="54">
        <v>0.99921258997999995</v>
      </c>
      <c r="V79" s="54">
        <v>0.998985958462</v>
      </c>
    </row>
    <row r="80" spans="1:24">
      <c r="A80" s="55" t="str">
        <f>'Binary Summary'!A80</f>
        <v>HD 307860</v>
      </c>
      <c r="D80" s="48">
        <f>'Binary Summary'!G80</f>
        <v>3.0016662039607268E-2</v>
      </c>
      <c r="E80" s="48">
        <f>'Binary Summary'!H80</f>
        <v>3.0016662039607268E-2</v>
      </c>
      <c r="F80" s="48">
        <f>'Binary Summary'!I80</f>
        <v>3.0016662039607268E-2</v>
      </c>
      <c r="G80" s="4">
        <f>'Isochrone Binaries '!H73</f>
        <v>1.232</v>
      </c>
      <c r="H80" s="4">
        <f>'Isochrone Binaries '!I73</f>
        <v>1.1879999999999999</v>
      </c>
      <c r="I80" s="4">
        <f>'Isochrone Binaries '!J73</f>
        <v>1.2010000000000001</v>
      </c>
      <c r="J80" s="4">
        <f>'Isochrone Binaries '!L73</f>
        <v>1.2125928990003447</v>
      </c>
      <c r="K80" s="4"/>
      <c r="L80" s="4"/>
      <c r="M80" s="4"/>
      <c r="N80" s="4"/>
      <c r="O80" s="51">
        <f>'Binary Summary'!J80</f>
        <v>1.7376943651027592E-2</v>
      </c>
      <c r="P80" s="48">
        <f t="shared" si="106"/>
        <v>2.5891646009014035</v>
      </c>
      <c r="Q80" s="48">
        <f>'Binary Summary'!K80</f>
        <v>0.5</v>
      </c>
      <c r="T80" s="284"/>
      <c r="U80" s="284"/>
      <c r="V80" s="284"/>
    </row>
    <row r="81" spans="1:23">
      <c r="A81" s="1" t="str">
        <f>'Binary Summary'!A81</f>
        <v>R84 a</v>
      </c>
      <c r="B81" s="1" t="str">
        <f>'Binary Summary'!B81</f>
        <v>B6V</v>
      </c>
      <c r="C81" s="1">
        <f>'Binary Summary'!C81</f>
        <v>149</v>
      </c>
      <c r="D81" s="4">
        <f>'Binary Summary'!G81</f>
        <v>3.1005000000000003</v>
      </c>
      <c r="E81" s="4">
        <f>'Binary Summary'!H81</f>
        <v>3.0185000000000137</v>
      </c>
      <c r="F81" s="4">
        <f>'Binary Summary'!I81</f>
        <v>3.0675000000000185</v>
      </c>
      <c r="G81" s="4">
        <f>'Isochrone Binaries '!H74</f>
        <v>4.9850000000000003</v>
      </c>
      <c r="H81" s="4">
        <f>'Isochrone Binaries '!I74</f>
        <v>5.0510000000000002</v>
      </c>
      <c r="I81" s="4">
        <f>'Isochrone Binaries '!J74</f>
        <v>5.2240000000000002</v>
      </c>
      <c r="J81" s="4">
        <f>'Isochrone Binaries '!L74</f>
        <v>5.083143536481753</v>
      </c>
      <c r="K81" s="4">
        <f t="shared" ref="K81" si="110">G82/G81</f>
        <v>0.28766298896690068</v>
      </c>
      <c r="L81" s="4">
        <f t="shared" ref="L81" si="111">H82/H81</f>
        <v>0.26133438922985547</v>
      </c>
      <c r="M81" s="4">
        <f t="shared" ref="M81:N81" si="112">I82/I81</f>
        <v>0.24693721286370596</v>
      </c>
      <c r="N81" s="4">
        <f t="shared" si="112"/>
        <v>0.26177260789429063</v>
      </c>
      <c r="O81" s="54">
        <f>'Binary Summary'!J81</f>
        <v>1.105231210812925</v>
      </c>
      <c r="P81" s="4">
        <f t="shared" si="105"/>
        <v>164.67945021384693</v>
      </c>
      <c r="Q81" s="4">
        <f>'Binary Summary'!K81</f>
        <v>309.29731899795195</v>
      </c>
      <c r="T81" s="54">
        <v>0.99965463486899997</v>
      </c>
      <c r="U81" s="54">
        <v>0.99921258997999995</v>
      </c>
      <c r="V81" s="54">
        <v>0.998985958462</v>
      </c>
    </row>
    <row r="82" spans="1:23">
      <c r="A82" s="55" t="str">
        <f>'Binary Summary'!A82</f>
        <v>HD 93540</v>
      </c>
      <c r="D82" s="48">
        <f>'Binary Summary'!G82</f>
        <v>3.605551275463989E-2</v>
      </c>
      <c r="E82" s="48">
        <f>'Binary Summary'!H82</f>
        <v>3.0066592756745815E-2</v>
      </c>
      <c r="F82" s="48">
        <f>'Binary Summary'!I82</f>
        <v>3.0149626863362672E-2</v>
      </c>
      <c r="G82" s="4">
        <f>'Isochrone Binaries '!H75</f>
        <v>1.4339999999999999</v>
      </c>
      <c r="H82" s="4">
        <f>'Isochrone Binaries '!I75</f>
        <v>1.32</v>
      </c>
      <c r="I82" s="4">
        <f>'Isochrone Binaries '!J75</f>
        <v>1.29</v>
      </c>
      <c r="J82" s="4">
        <f>'Isochrone Binaries '!L75</f>
        <v>1.3306277398458357</v>
      </c>
      <c r="K82" s="4"/>
      <c r="L82" s="4"/>
      <c r="M82" s="4"/>
      <c r="N82" s="4"/>
      <c r="O82" s="51">
        <f>'Binary Summary'!J82</f>
        <v>6.6313872648775503E-3</v>
      </c>
      <c r="P82" s="48">
        <f t="shared" si="106"/>
        <v>0.98807670128308167</v>
      </c>
      <c r="Q82" s="48">
        <f>'Binary Summary'!K82</f>
        <v>0.5</v>
      </c>
      <c r="T82" s="284"/>
      <c r="U82" s="284"/>
      <c r="V82" s="284"/>
    </row>
    <row r="83" spans="1:23">
      <c r="A83" s="249" t="str">
        <f>'Binary Summary'!A83</f>
        <v>R84 b</v>
      </c>
      <c r="B83" s="250" t="str">
        <f>'Binary Summary'!B83</f>
        <v>B6V</v>
      </c>
      <c r="C83" s="250">
        <f>'Binary Summary'!C83</f>
        <v>149</v>
      </c>
      <c r="D83" s="251">
        <f>'Binary Summary'!G83</f>
        <v>5.2732301200750005</v>
      </c>
      <c r="E83" s="251">
        <f>'Binary Summary'!H83</f>
        <v>4.2623139336399998</v>
      </c>
      <c r="F83" s="251">
        <f>'Binary Summary'!I83</f>
        <v>3.9845127808049998</v>
      </c>
      <c r="G83" s="251">
        <f>'Isochrone Binaries '!H76</f>
        <v>4.9850000000000003</v>
      </c>
      <c r="H83" s="251">
        <f>'Isochrone Binaries '!I76</f>
        <v>5.0510000000000002</v>
      </c>
      <c r="I83" s="251">
        <f>'Isochrone Binaries '!J76</f>
        <v>5.2240000000000002</v>
      </c>
      <c r="J83" s="251">
        <f>'Isochrone Binaries '!L76</f>
        <v>5.083143536481753</v>
      </c>
      <c r="K83" s="251">
        <f t="shared" ref="K83" si="113">G84/G83</f>
        <v>0.16028084252758273</v>
      </c>
      <c r="L83" s="251">
        <f t="shared" ref="L83" si="114">H84/H83</f>
        <v>0.17640071273015245</v>
      </c>
      <c r="M83" s="251">
        <f t="shared" ref="M83:N83" si="115">I84/I83</f>
        <v>0.1881699846860643</v>
      </c>
      <c r="N83" s="251">
        <f t="shared" si="115"/>
        <v>0.16765929304790772</v>
      </c>
      <c r="O83" s="255">
        <f>'Binary Summary'!J83</f>
        <v>3.5691505362416667</v>
      </c>
      <c r="P83" s="251">
        <f t="shared" si="105"/>
        <v>531.80342926293076</v>
      </c>
      <c r="Q83" s="251">
        <f>'Binary Summary'!K83</f>
        <v>92.666816414383334</v>
      </c>
      <c r="R83" s="248" t="s">
        <v>855</v>
      </c>
      <c r="S83" s="250"/>
      <c r="T83" s="255">
        <v>0.99754436775800004</v>
      </c>
      <c r="U83" s="255">
        <v>0.99806205463999997</v>
      </c>
      <c r="V83" s="293">
        <v>0.99842407901300001</v>
      </c>
      <c r="W83" s="1" t="s">
        <v>899</v>
      </c>
    </row>
    <row r="84" spans="1:23">
      <c r="A84" s="252" t="str">
        <f>'Binary Summary'!A84</f>
        <v>HD 93540</v>
      </c>
      <c r="B84" s="253"/>
      <c r="C84" s="253"/>
      <c r="D84" s="254">
        <f>'Binary Summary'!G84</f>
        <v>6.205329930681603E-2</v>
      </c>
      <c r="E84" s="254">
        <f>'Binary Summary'!H84</f>
        <v>3.5045153615921136E-2</v>
      </c>
      <c r="F84" s="254">
        <f>'Binary Summary'!I84</f>
        <v>3.3651995439068827E-2</v>
      </c>
      <c r="G84" s="243">
        <f>'Isochrone Binaries '!H77</f>
        <v>0.79900000000000004</v>
      </c>
      <c r="H84" s="243">
        <f>'Isochrone Binaries '!I77</f>
        <v>0.89100000000000001</v>
      </c>
      <c r="I84" s="243">
        <f>'Isochrone Binaries '!J77</f>
        <v>0.98299999999999998</v>
      </c>
      <c r="J84" s="256">
        <f>'Isochrone Binaries '!L77</f>
        <v>0.85223625178757223</v>
      </c>
      <c r="K84" s="256"/>
      <c r="L84" s="256"/>
      <c r="M84" s="256"/>
      <c r="N84" s="256"/>
      <c r="O84" s="257">
        <f>'Binary Summary'!J84</f>
        <v>2.1414903217450001E-2</v>
      </c>
      <c r="P84" s="254">
        <f t="shared" si="106"/>
        <v>3.1908205755775847</v>
      </c>
      <c r="Q84" s="254">
        <f>'Binary Summary'!K84</f>
        <v>0.5</v>
      </c>
      <c r="R84" s="253"/>
      <c r="S84" s="253"/>
      <c r="T84" s="289"/>
      <c r="U84" s="289"/>
      <c r="V84" s="290"/>
    </row>
    <row r="85" spans="1:23">
      <c r="A85" s="1" t="str">
        <f>'Binary Summary'!A85</f>
        <v>R86</v>
      </c>
      <c r="B85" s="1" t="str">
        <f>'Binary Summary'!B85</f>
        <v>B7IV</v>
      </c>
      <c r="C85" s="1">
        <f>'Binary Summary'!C85</f>
        <v>149</v>
      </c>
      <c r="D85" s="4">
        <f>'Binary Summary'!G85</f>
        <v>2.6709999999999994</v>
      </c>
      <c r="E85" s="4">
        <f>'Binary Summary'!H85</f>
        <v>2.5779999999999967</v>
      </c>
      <c r="F85" s="4">
        <f>'Binary Summary'!I85</f>
        <v>2.5579999999999963</v>
      </c>
      <c r="G85" s="4">
        <f>'Isochrone Binaries '!H78</f>
        <v>5.1529999999999996</v>
      </c>
      <c r="H85" s="4">
        <f>'Isochrone Binaries '!I78</f>
        <v>5.2770000000000001</v>
      </c>
      <c r="I85" s="4">
        <f>'Isochrone Binaries '!J78</f>
        <v>5.4640000000000004</v>
      </c>
      <c r="J85" s="4">
        <f>'Isochrone Binaries '!L78</f>
        <v>5.2958600389231281</v>
      </c>
      <c r="K85" s="4">
        <f t="shared" ref="K85" si="116">G86/G85</f>
        <v>0.33106928003104991</v>
      </c>
      <c r="L85" s="4">
        <f t="shared" ref="L85" si="117">H86/H85</f>
        <v>0.32689027856736785</v>
      </c>
      <c r="M85" s="4">
        <f t="shared" ref="M85:N85" si="118">I86/I85</f>
        <v>0.31680087847730598</v>
      </c>
      <c r="N85" s="4">
        <f t="shared" si="118"/>
        <v>0.32482822155387142</v>
      </c>
      <c r="O85" s="54">
        <f>'Binary Summary'!J85</f>
        <v>0.74484088114639457</v>
      </c>
      <c r="P85" s="4">
        <f t="shared" si="105"/>
        <v>110.98129115786197</v>
      </c>
      <c r="Q85" s="4">
        <f>'Binary Summary'!K85</f>
        <v>189.6</v>
      </c>
      <c r="T85" s="54">
        <v>0.99979869484200001</v>
      </c>
      <c r="U85" s="54">
        <v>0.99970977499000002</v>
      </c>
      <c r="V85" s="54">
        <v>0.99958226807499995</v>
      </c>
    </row>
    <row r="86" spans="1:23">
      <c r="A86" s="55" t="str">
        <f>'Binary Summary'!A86</f>
        <v>HD 93549</v>
      </c>
      <c r="D86" s="48">
        <f>'Binary Summary'!G86</f>
        <v>3.0066592756745815E-2</v>
      </c>
      <c r="E86" s="48">
        <f>'Binary Summary'!H86</f>
        <v>3.0066592756745815E-2</v>
      </c>
      <c r="F86" s="48">
        <f>'Binary Summary'!I86</f>
        <v>3.0066592756745815E-2</v>
      </c>
      <c r="G86" s="4">
        <f>'Isochrone Binaries '!H79</f>
        <v>1.706</v>
      </c>
      <c r="H86" s="4">
        <f>'Isochrone Binaries '!I79</f>
        <v>1.7250000000000001</v>
      </c>
      <c r="I86" s="4">
        <f>'Isochrone Binaries '!J79</f>
        <v>1.7310000000000001</v>
      </c>
      <c r="J86" s="4">
        <f>'Isochrone Binaries '!L79</f>
        <v>1.720244798041616</v>
      </c>
      <c r="K86" s="4"/>
      <c r="L86" s="4"/>
      <c r="M86" s="4"/>
      <c r="N86" s="4"/>
      <c r="O86" s="51">
        <f>'Binary Summary'!J86</f>
        <v>4.4690452868783679E-3</v>
      </c>
      <c r="P86" s="48">
        <f t="shared" si="106"/>
        <v>0.66588774694717201</v>
      </c>
      <c r="Q86" s="48">
        <f>'Binary Summary'!K86</f>
        <v>0.5</v>
      </c>
      <c r="T86" s="284"/>
      <c r="U86" s="284"/>
      <c r="V86" s="284"/>
    </row>
    <row r="87" spans="1:23">
      <c r="A87" s="1" t="str">
        <f>'Binary Summary'!A87</f>
        <v>R36</v>
      </c>
      <c r="B87" s="1" t="str">
        <f>'Binary Summary'!B87</f>
        <v>A1IV</v>
      </c>
      <c r="C87" s="1">
        <f>'Binary Summary'!C87</f>
        <v>149</v>
      </c>
      <c r="D87" s="4">
        <f>'Binary Summary'!G87</f>
        <v>0.87349999999999905</v>
      </c>
      <c r="E87" s="4">
        <f>'Binary Summary'!H87</f>
        <v>0.74299999999999766</v>
      </c>
      <c r="F87" s="4">
        <f>'Binary Summary'!I87</f>
        <v>0.72300000000000075</v>
      </c>
      <c r="G87" s="4">
        <f>'Isochrone Binaries '!H80</f>
        <v>2.9870000000000001</v>
      </c>
      <c r="H87" s="4">
        <f>'Isochrone Binaries '!I80</f>
        <v>3.0059999999999998</v>
      </c>
      <c r="I87" s="4">
        <f>'Isochrone Binaries '!J80</f>
        <v>3.14</v>
      </c>
      <c r="J87" s="4">
        <f>'Isochrone Binaries '!L80</f>
        <v>3.037206119954408</v>
      </c>
      <c r="K87" s="4">
        <f t="shared" ref="K87" si="119">G88/G87</f>
        <v>0.65517241379310343</v>
      </c>
      <c r="L87" s="4">
        <f t="shared" ref="L87" si="120">H88/H87</f>
        <v>0.69594145043246847</v>
      </c>
      <c r="M87" s="4">
        <f t="shared" ref="M87:N87" si="121">I88/I87</f>
        <v>0.74522292993630568</v>
      </c>
      <c r="N87" s="4">
        <f t="shared" si="121"/>
        <v>0.69577724646580097</v>
      </c>
      <c r="O87" s="54">
        <f>'Binary Summary'!J87</f>
        <v>2.0494356610400613</v>
      </c>
      <c r="P87" s="4">
        <f t="shared" si="105"/>
        <v>305.36591312915391</v>
      </c>
      <c r="Q87" s="4">
        <f>'Binary Summary'!K87</f>
        <v>19.464085108451002</v>
      </c>
      <c r="T87" s="54">
        <v>0.99987762645199996</v>
      </c>
      <c r="U87" s="54">
        <v>0.99970977499000002</v>
      </c>
      <c r="V87" s="54">
        <v>0.99958226807499995</v>
      </c>
    </row>
    <row r="88" spans="1:23">
      <c r="A88" s="55" t="str">
        <f>'Binary Summary'!A88</f>
        <v>HD 92467</v>
      </c>
      <c r="D88" s="48">
        <f>'Binary Summary'!G88</f>
        <v>3.0016662039607268E-2</v>
      </c>
      <c r="E88" s="48">
        <f>'Binary Summary'!H88</f>
        <v>3.0016662039607268E-2</v>
      </c>
      <c r="F88" s="48">
        <f>'Binary Summary'!I88</f>
        <v>3.0016662039607268E-2</v>
      </c>
      <c r="G88" s="4">
        <f>'Isochrone Binaries '!H81</f>
        <v>1.9570000000000001</v>
      </c>
      <c r="H88" s="4">
        <f>'Isochrone Binaries '!I81</f>
        <v>2.0920000000000001</v>
      </c>
      <c r="I88" s="4">
        <f>'Isochrone Binaries '!J81</f>
        <v>2.34</v>
      </c>
      <c r="J88" s="4">
        <f>'Isochrone Binaries '!L81</f>
        <v>2.1132189110909572</v>
      </c>
      <c r="K88" s="4"/>
      <c r="L88" s="4"/>
      <c r="M88" s="4"/>
      <c r="N88" s="4"/>
      <c r="O88" s="51">
        <f>'Binary Summary'!J88</f>
        <v>1.2296613966240369E-2</v>
      </c>
      <c r="P88" s="48">
        <f t="shared" si="106"/>
        <v>1.8321954787749235</v>
      </c>
      <c r="Q88" s="48">
        <f>'Binary Summary'!K88</f>
        <v>0.5</v>
      </c>
      <c r="T88" s="284"/>
      <c r="U88" s="284"/>
      <c r="V88" s="284"/>
    </row>
    <row r="89" spans="1:23">
      <c r="A89" s="249" t="str">
        <f>'Binary Summary'!A89</f>
        <v>R90</v>
      </c>
      <c r="B89" s="250" t="str">
        <f>'Binary Summary'!B89</f>
        <v>A0V n</v>
      </c>
      <c r="C89" s="250">
        <f>'Binary Summary'!C89</f>
        <v>149</v>
      </c>
      <c r="D89" s="251">
        <f>'Binary Summary'!G89</f>
        <v>7.1234999999999991</v>
      </c>
      <c r="E89" s="251">
        <f>'Binary Summary'!H89</f>
        <v>6.7410000000000005</v>
      </c>
      <c r="F89" s="251">
        <f>'Binary Summary'!I89</f>
        <v>6.6850000000000005</v>
      </c>
      <c r="G89" s="251">
        <f>'Isochrone Binaries '!H82</f>
        <v>2.2810000000000001</v>
      </c>
      <c r="H89" s="251">
        <f>'Isochrone Binaries '!I82</f>
        <v>2.2450000000000001</v>
      </c>
      <c r="I89" s="251">
        <f>'Isochrone Binaries '!J82</f>
        <v>2.38</v>
      </c>
      <c r="J89" s="251">
        <f>'Isochrone Binaries '!L82</f>
        <v>2.3284822446502851</v>
      </c>
      <c r="K89" s="251">
        <f t="shared" ref="K89" si="122">G90/G89</f>
        <v>3.7264357737834285E-2</v>
      </c>
      <c r="L89" s="251">
        <f t="shared" ref="L89" si="123">H90/H89</f>
        <v>3.2962138084632511E-2</v>
      </c>
      <c r="M89" s="251">
        <f t="shared" ref="M89:N89" si="124">I90/I89</f>
        <v>2.5630252100840335E-2</v>
      </c>
      <c r="N89" s="251">
        <f t="shared" si="124"/>
        <v>3.081081009196154E-2</v>
      </c>
      <c r="O89" s="255">
        <f>'Binary Summary'!J89</f>
        <v>3.9026246767887423</v>
      </c>
      <c r="P89" s="251">
        <f t="shared" si="105"/>
        <v>581.49107614492141</v>
      </c>
      <c r="Q89" s="251">
        <f>'Binary Summary'!K89</f>
        <v>12.787338361015387</v>
      </c>
      <c r="R89" s="250"/>
      <c r="S89" s="250"/>
      <c r="T89" s="288">
        <v>0.93464181553400005</v>
      </c>
      <c r="U89" s="288">
        <v>0.93378804281500005</v>
      </c>
      <c r="V89" s="292">
        <v>0.92704659702400005</v>
      </c>
    </row>
    <row r="90" spans="1:23">
      <c r="A90" s="252" t="str">
        <f>'Binary Summary'!A90</f>
        <v>HD 93648</v>
      </c>
      <c r="B90" s="253"/>
      <c r="C90" s="253"/>
      <c r="D90" s="254">
        <f>'Binary Summary'!G90</f>
        <v>3.9051248379533277E-2</v>
      </c>
      <c r="E90" s="254">
        <f>'Binary Summary'!H90</f>
        <v>3.5510561809129405E-2</v>
      </c>
      <c r="F90" s="254">
        <f>'Binary Summary'!I90</f>
        <v>3.9698866482558416E-2</v>
      </c>
      <c r="G90" s="256">
        <f>'Isochrone Binaries '!H83</f>
        <v>8.5000000000000006E-2</v>
      </c>
      <c r="H90" s="256">
        <f>'Isochrone Binaries '!I83</f>
        <v>7.3999999999999996E-2</v>
      </c>
      <c r="I90" s="256">
        <f>'Isochrone Binaries '!J83</f>
        <v>6.0999999999999999E-2</v>
      </c>
      <c r="J90" s="256">
        <f>'Isochrone Binaries '!L83</f>
        <v>7.174242424242426E-2</v>
      </c>
      <c r="K90" s="256"/>
      <c r="L90" s="256"/>
      <c r="M90" s="256"/>
      <c r="N90" s="256"/>
      <c r="O90" s="257">
        <f>'Binary Summary'!J90</f>
        <v>2.3415748060732454E-2</v>
      </c>
      <c r="P90" s="254">
        <f t="shared" si="106"/>
        <v>3.4889464568695283</v>
      </c>
      <c r="Q90" s="254">
        <f>'Binary Summary'!K90</f>
        <v>0.5</v>
      </c>
      <c r="R90" s="253"/>
      <c r="S90" s="253"/>
      <c r="T90" s="289"/>
      <c r="U90" s="289"/>
      <c r="V90" s="290"/>
    </row>
    <row r="91" spans="1:23">
      <c r="A91" s="1" t="str">
        <f>'Binary Summary'!A91</f>
        <v>W14</v>
      </c>
      <c r="B91" s="1" t="str">
        <f>'Binary Summary'!B91</f>
        <v>A3IV</v>
      </c>
      <c r="C91" s="1">
        <f>'Binary Summary'!C91</f>
        <v>149</v>
      </c>
      <c r="D91" s="4">
        <f>'Binary Summary'!G91</f>
        <v>5.3999999999999382E-2</v>
      </c>
      <c r="E91" s="4">
        <f>'Binary Summary'!H91</f>
        <v>2.9000000000000803E-2</v>
      </c>
      <c r="F91" s="4">
        <f>'Binary Summary'!I91</f>
        <v>2.6000000000002466E-2</v>
      </c>
      <c r="G91" s="4">
        <f>'Isochrone Binaries '!H84</f>
        <v>2.9649999999999999</v>
      </c>
      <c r="H91" s="4">
        <f>'Isochrone Binaries '!I84</f>
        <v>3.036</v>
      </c>
      <c r="I91" s="4">
        <f>'Isochrone Binaries '!J84</f>
        <v>3.1850000000000001</v>
      </c>
      <c r="J91" s="4">
        <f>'Isochrone Binaries '!L84</f>
        <v>3.0485770505806498</v>
      </c>
      <c r="K91" s="4">
        <f t="shared" ref="K91" si="125">G92/G91</f>
        <v>0.98043844856661055</v>
      </c>
      <c r="L91" s="4">
        <f t="shared" ref="L91" si="126">H92/H91</f>
        <v>0.98913043478260876</v>
      </c>
      <c r="M91" s="4">
        <f t="shared" ref="M91:N93" si="127">I92/I91</f>
        <v>0.98932496075353216</v>
      </c>
      <c r="N91" s="4">
        <f t="shared" si="127"/>
        <v>0.98619084461353068</v>
      </c>
      <c r="O91" s="54">
        <f>'Binary Summary'!J91</f>
        <v>0.52969083983528298</v>
      </c>
      <c r="P91" s="4">
        <f t="shared" si="105"/>
        <v>78.923935040909683</v>
      </c>
      <c r="Q91" s="4">
        <f>'Binary Summary'!K91</f>
        <v>72.79333652951108</v>
      </c>
      <c r="T91" s="54">
        <v>0.99995932206000004</v>
      </c>
      <c r="U91" s="54">
        <v>0.99989692945399999</v>
      </c>
      <c r="V91" s="54">
        <v>0.99985211948599995</v>
      </c>
    </row>
    <row r="92" spans="1:23">
      <c r="A92" s="55" t="str">
        <f>'Binary Summary'!A92</f>
        <v>HD 92896</v>
      </c>
      <c r="D92" s="48">
        <f>'Binary Summary'!G92</f>
        <v>3.0016662039607268E-2</v>
      </c>
      <c r="E92" s="48">
        <f>'Binary Summary'!H92</f>
        <v>3.0016662039607268E-2</v>
      </c>
      <c r="F92" s="48">
        <f>'Binary Summary'!I92</f>
        <v>3.0016662039607268E-2</v>
      </c>
      <c r="G92" s="4">
        <f>'Isochrone Binaries '!H85</f>
        <v>2.907</v>
      </c>
      <c r="H92" s="4">
        <f>'Isochrone Binaries '!I85</f>
        <v>3.0030000000000001</v>
      </c>
      <c r="I92" s="4">
        <f>'Isochrone Binaries '!J85</f>
        <v>3.1509999999999998</v>
      </c>
      <c r="J92" s="4">
        <f>'Isochrone Binaries '!L85</f>
        <v>3.0064787763815572</v>
      </c>
      <c r="K92" s="4"/>
      <c r="L92" s="4"/>
      <c r="M92" s="4"/>
      <c r="N92" s="4"/>
      <c r="O92" s="51">
        <f>'Binary Summary'!J92</f>
        <v>3.1781450390116978E-3</v>
      </c>
      <c r="P92" s="48">
        <f t="shared" si="106"/>
        <v>0.47354361024545816</v>
      </c>
      <c r="Q92" s="48">
        <f>'Binary Summary'!K92</f>
        <v>0.5</v>
      </c>
      <c r="T92" s="284"/>
      <c r="U92" s="284"/>
      <c r="V92" s="284"/>
    </row>
    <row r="93" spans="1:23">
      <c r="A93" s="1" t="str">
        <f>'Binary Summary'!A93</f>
        <v>W3</v>
      </c>
      <c r="B93" s="1" t="str">
        <f>'Binary Summary'!B93</f>
        <v>A0V</v>
      </c>
      <c r="C93" s="1">
        <f>'Binary Summary'!C93</f>
        <v>149</v>
      </c>
      <c r="D93" s="4">
        <f>'Binary Summary'!G93</f>
        <v>4.7864999999999993</v>
      </c>
      <c r="E93" s="4">
        <f>'Binary Summary'!H93</f>
        <v>4.1664999999999983</v>
      </c>
      <c r="F93" s="4">
        <f>'Binary Summary'!I93</f>
        <v>3.9104999999999972</v>
      </c>
      <c r="G93" s="4">
        <f>'Isochrone Binaries '!H86</f>
        <v>2.3860000000000001</v>
      </c>
      <c r="H93" s="4">
        <f>'Isochrone Binaries '!I86</f>
        <v>2.3849999999999998</v>
      </c>
      <c r="I93" s="4">
        <f>'Isochrone Binaries '!J86</f>
        <v>2.375</v>
      </c>
      <c r="J93" s="4">
        <f>'Isochrone Binaries '!L86</f>
        <v>2.3823029721331062</v>
      </c>
      <c r="K93" s="4">
        <f t="shared" ref="K93" si="128">G94/G93</f>
        <v>0.18440905280804692</v>
      </c>
      <c r="L93" s="4">
        <f t="shared" ref="L93" si="129">H94/H93</f>
        <v>0.18364779874213838</v>
      </c>
      <c r="M93" s="4">
        <f t="shared" ref="M93" si="130">I94/I93</f>
        <v>0.17684210526315788</v>
      </c>
      <c r="N93" s="4">
        <f t="shared" si="127"/>
        <v>0.18160288352076623</v>
      </c>
      <c r="O93" s="54">
        <f>'Binary Summary'!J93</f>
        <v>3.4166080416074096</v>
      </c>
      <c r="P93" s="4">
        <f t="shared" si="105"/>
        <v>509.07459758965462</v>
      </c>
      <c r="Q93" s="4">
        <f>'Binary Summary'!K93</f>
        <v>16.707349630115999</v>
      </c>
      <c r="T93" s="54">
        <v>0.99072098589299995</v>
      </c>
      <c r="U93" s="54">
        <v>0.98975763853300003</v>
      </c>
      <c r="V93" s="54">
        <v>0.992050796131</v>
      </c>
    </row>
    <row r="94" spans="1:23">
      <c r="A94" s="55" t="str">
        <f>'Binary Summary'!A94</f>
        <v>HD 92478</v>
      </c>
      <c r="D94" s="48">
        <f>'Binary Summary'!G94</f>
        <v>3.026549190084311E-2</v>
      </c>
      <c r="E94" s="48">
        <f>'Binary Summary'!H94</f>
        <v>3.026549190084311E-2</v>
      </c>
      <c r="F94" s="48">
        <f>'Binary Summary'!I94</f>
        <v>3.026549190084311E-2</v>
      </c>
      <c r="G94" s="4">
        <f>'Isochrone Binaries '!H87</f>
        <v>0.44</v>
      </c>
      <c r="H94" s="4">
        <f>'Isochrone Binaries '!I87</f>
        <v>0.438</v>
      </c>
      <c r="I94" s="4">
        <f>'Isochrone Binaries '!J87</f>
        <v>0.42</v>
      </c>
      <c r="J94" s="4">
        <f>'Isochrone Binaries '!L87</f>
        <v>0.43263308915946369</v>
      </c>
      <c r="K94" s="4"/>
      <c r="L94" s="4"/>
      <c r="M94" s="4"/>
      <c r="N94" s="4"/>
      <c r="O94" s="51">
        <f>'Binary Summary'!J94</f>
        <v>2.0499648249644457E-2</v>
      </c>
      <c r="P94" s="48">
        <f t="shared" si="106"/>
        <v>3.0544475855379276</v>
      </c>
      <c r="Q94" s="48">
        <f>'Binary Summary'!K94</f>
        <v>0.5</v>
      </c>
      <c r="T94" s="284"/>
      <c r="U94" s="284"/>
      <c r="V94" s="284"/>
    </row>
    <row r="95" spans="1:23">
      <c r="A95" s="1" t="str">
        <f>'Binary Summary'!A95</f>
        <v>W13</v>
      </c>
      <c r="B95" s="1" t="str">
        <f>'Binary Summary'!B95</f>
        <v>A0IV</v>
      </c>
      <c r="C95" s="1">
        <f>'Binary Summary'!C95</f>
        <v>149</v>
      </c>
      <c r="D95" s="4" t="str">
        <f>'Binary Summary'!G95</f>
        <v>-</v>
      </c>
      <c r="E95" s="4" t="str">
        <f>'Binary Summary'!H95</f>
        <v>-</v>
      </c>
      <c r="F95" s="4">
        <f>'Binary Summary'!I95</f>
        <v>5.7759999999999998</v>
      </c>
      <c r="G95" s="4">
        <f>'Isochrone Binaries '!H88</f>
        <v>2.669</v>
      </c>
      <c r="H95" s="4">
        <f>'Isochrone Binaries '!I88</f>
        <v>2.6469999999999998</v>
      </c>
      <c r="I95" s="4">
        <f>'Isochrone Binaries '!J88</f>
        <v>2.6669999999999998</v>
      </c>
      <c r="J95" s="4">
        <f>'Isochrone Binaries '!L88</f>
        <v>2.6613197178959735</v>
      </c>
      <c r="K95" s="4" t="s">
        <v>51</v>
      </c>
      <c r="L95" s="4" t="s">
        <v>51</v>
      </c>
      <c r="M95" s="4">
        <f t="shared" ref="M95:N95" si="131">I96/I95</f>
        <v>5.249343832020998E-2</v>
      </c>
      <c r="N95" s="4">
        <f t="shared" si="131"/>
        <v>5.2605479551582526E-2</v>
      </c>
      <c r="O95" s="54">
        <f>'Binary Summary'!J95</f>
        <v>2.6165811559581762</v>
      </c>
      <c r="P95" s="4">
        <f t="shared" si="105"/>
        <v>389.87059177072013</v>
      </c>
      <c r="Q95" s="4">
        <f>'Binary Summary'!K95</f>
        <v>175.66519831577341</v>
      </c>
      <c r="T95" s="54" t="s">
        <v>51</v>
      </c>
      <c r="U95" s="54" t="s">
        <v>51</v>
      </c>
      <c r="V95" s="54">
        <v>0.97489624470699998</v>
      </c>
    </row>
    <row r="96" spans="1:23">
      <c r="A96" s="55" t="str">
        <f>'Binary Summary'!A96</f>
        <v>HD 92837</v>
      </c>
      <c r="D96" s="4"/>
      <c r="E96" s="4"/>
      <c r="F96" s="48">
        <f>'Binary Summary'!I96</f>
        <v>3.3999999999999996E-2</v>
      </c>
      <c r="G96" s="4"/>
      <c r="H96" s="4"/>
      <c r="I96" s="4">
        <f>'Isochrone Binaries '!J89</f>
        <v>0.14000000000000001</v>
      </c>
      <c r="J96" s="4">
        <f>'Isochrone Binaries '!L89</f>
        <v>0.14000000000000001</v>
      </c>
      <c r="K96" s="4"/>
      <c r="L96" s="4"/>
      <c r="M96" s="4"/>
      <c r="N96" s="4"/>
      <c r="O96" s="51">
        <f>'Binary Summary'!J96</f>
        <v>1.5699486935749057E-2</v>
      </c>
      <c r="P96" s="48">
        <f t="shared" si="106"/>
        <v>2.3392235506243209</v>
      </c>
      <c r="Q96" s="48">
        <f>'Binary Summary'!K96</f>
        <v>0.5</v>
      </c>
      <c r="T96" s="284"/>
      <c r="U96" s="284"/>
      <c r="V96" s="284"/>
    </row>
    <row r="97" spans="1:23">
      <c r="A97" s="249" t="str">
        <f>'Binary Summary'!A97</f>
        <v>R97</v>
      </c>
      <c r="B97" s="250" t="str">
        <f>'Binary Summary'!B97</f>
        <v>A0V C</v>
      </c>
      <c r="C97" s="250">
        <f>'Binary Summary'!C97</f>
        <v>149</v>
      </c>
      <c r="D97" s="251">
        <f>'Binary Summary'!G97</f>
        <v>8.3708069801149989</v>
      </c>
      <c r="E97" s="251">
        <f>'Binary Summary'!H97</f>
        <v>7.8420291090349998</v>
      </c>
      <c r="F97" s="251">
        <f>'Binary Summary'!I97</f>
        <v>7.551610808945</v>
      </c>
      <c r="G97" s="251">
        <f>'Isochrone Binaries '!H90</f>
        <v>2.355</v>
      </c>
      <c r="H97" s="251">
        <f>'Isochrone Binaries '!I90</f>
        <v>2.407</v>
      </c>
      <c r="I97" s="251">
        <f>'Isochrone Binaries '!J90</f>
        <v>2.5190000000000001</v>
      </c>
      <c r="J97" s="251">
        <f>'Isochrone Binaries '!L90</f>
        <v>2.4217220517322238</v>
      </c>
      <c r="K97" s="251">
        <f t="shared" ref="K97" si="132">G98/G97</f>
        <v>1.6985138004246284E-2</v>
      </c>
      <c r="L97" s="251">
        <f t="shared" ref="L97" si="133">H98/H97</f>
        <v>1.6618196925633568E-2</v>
      </c>
      <c r="M97" s="251">
        <f t="shared" ref="M97:N105" si="134">I98/I97</f>
        <v>1.5482334259626836E-2</v>
      </c>
      <c r="N97" s="251">
        <f t="shared" si="134"/>
        <v>1.6342202094634405E-2</v>
      </c>
      <c r="O97" s="255">
        <f>'Binary Summary'!J97</f>
        <v>4.7959707275649999</v>
      </c>
      <c r="P97" s="251">
        <f t="shared" si="105"/>
        <v>714.59963755112551</v>
      </c>
      <c r="Q97" s="251">
        <f>'Binary Summary'!K97</f>
        <v>8.8925922947116671</v>
      </c>
      <c r="R97" s="250"/>
      <c r="S97" s="250"/>
      <c r="T97" s="229">
        <v>0.86739343944900005</v>
      </c>
      <c r="U97" s="229">
        <v>0.86748823433199995</v>
      </c>
      <c r="V97" s="292">
        <v>0.89677821364300003</v>
      </c>
    </row>
    <row r="98" spans="1:23">
      <c r="A98" s="252" t="str">
        <f>'Binary Summary'!A98</f>
        <v>HD 94174</v>
      </c>
      <c r="B98" s="253"/>
      <c r="C98" s="253"/>
      <c r="D98" s="254">
        <f>'Binary Summary'!G98</f>
        <v>9.4948886893496467E-2</v>
      </c>
      <c r="E98" s="254">
        <f>'Binary Summary'!H98</f>
        <v>6.7695922890261162E-2</v>
      </c>
      <c r="F98" s="254">
        <f>'Binary Summary'!I98</f>
        <v>6.1923407045371033E-2</v>
      </c>
      <c r="G98" s="256">
        <f>'Isochrone Binaries '!H91</f>
        <v>0.04</v>
      </c>
      <c r="H98" s="256">
        <f>'Isochrone Binaries '!I91</f>
        <v>0.04</v>
      </c>
      <c r="I98" s="256">
        <f>'Isochrone Binaries '!J91</f>
        <v>3.9E-2</v>
      </c>
      <c r="J98" s="256">
        <f>'Isochrone Binaries '!L91</f>
        <v>3.9576271186440679E-2</v>
      </c>
      <c r="K98" s="256"/>
      <c r="L98" s="256"/>
      <c r="M98" s="256"/>
      <c r="N98" s="256"/>
      <c r="O98" s="257">
        <f>'Binary Summary'!J98</f>
        <v>2.8775824365390001E-2</v>
      </c>
      <c r="P98" s="254">
        <f t="shared" si="106"/>
        <v>4.2875978253067535</v>
      </c>
      <c r="Q98" s="254">
        <f>'Binary Summary'!K98</f>
        <v>0.5</v>
      </c>
      <c r="R98" s="253"/>
      <c r="S98" s="253"/>
      <c r="T98" s="289"/>
      <c r="U98" s="289"/>
      <c r="V98" s="290"/>
    </row>
    <row r="99" spans="1:23">
      <c r="A99" s="249" t="str">
        <f>'Binary Summary'!A99</f>
        <v>W17</v>
      </c>
      <c r="B99" s="250" t="str">
        <f>'Binary Summary'!B99</f>
        <v>A0V C</v>
      </c>
      <c r="C99" s="250">
        <f>'Binary Summary'!C99</f>
        <v>149</v>
      </c>
      <c r="D99" s="251" t="str">
        <f>'Binary Summary'!G99</f>
        <v>-</v>
      </c>
      <c r="E99" s="251" t="str">
        <f>'Binary Summary'!H99</f>
        <v>-</v>
      </c>
      <c r="F99" s="251">
        <f>'Binary Summary'!I99</f>
        <v>6.450751462905</v>
      </c>
      <c r="G99" s="251">
        <f>'Isochrone Binaries '!H92</f>
        <v>2.331</v>
      </c>
      <c r="H99" s="251">
        <f>'Isochrone Binaries '!I92</f>
        <v>2.298</v>
      </c>
      <c r="I99" s="251">
        <f>'Isochrone Binaries '!J92</f>
        <v>2.387</v>
      </c>
      <c r="J99" s="251">
        <f>'Isochrone Binaries '!L92</f>
        <v>2.3442243080368326</v>
      </c>
      <c r="K99" s="251" t="s">
        <v>51</v>
      </c>
      <c r="L99" s="251" t="s">
        <v>51</v>
      </c>
      <c r="M99" s="251">
        <f t="shared" ref="M99" si="135">I100/I99</f>
        <v>3.0582320904901549E-2</v>
      </c>
      <c r="N99" s="251">
        <f t="shared" si="134"/>
        <v>3.114036474655181E-2</v>
      </c>
      <c r="O99" s="255">
        <f>'Binary Summary'!J99</f>
        <v>4.5496268424400004</v>
      </c>
      <c r="P99" s="251">
        <f t="shared" si="105"/>
        <v>677.89439871147181</v>
      </c>
      <c r="Q99" s="251">
        <f>'Binary Summary'!K99</f>
        <v>347.98235461299998</v>
      </c>
      <c r="R99" s="250"/>
      <c r="S99" s="250"/>
      <c r="T99" s="255" t="s">
        <v>51</v>
      </c>
      <c r="U99" s="255" t="s">
        <v>51</v>
      </c>
      <c r="V99" s="292">
        <v>0.94860044146699996</v>
      </c>
    </row>
    <row r="100" spans="1:23">
      <c r="A100" s="252" t="str">
        <f>'Binary Summary'!A100</f>
        <v>HD 92989</v>
      </c>
      <c r="B100" s="253"/>
      <c r="C100" s="253"/>
      <c r="D100" s="256"/>
      <c r="E100" s="256"/>
      <c r="F100" s="254">
        <f>'Binary Summary'!I100</f>
        <v>3.605551275463989E-2</v>
      </c>
      <c r="G100" s="256"/>
      <c r="H100" s="256"/>
      <c r="I100" s="256">
        <f>'Isochrone Binaries '!J93</f>
        <v>7.2999999999999995E-2</v>
      </c>
      <c r="J100" s="256">
        <f>'Isochrone Binaries '!L93</f>
        <v>7.2999999999999995E-2</v>
      </c>
      <c r="K100" s="256"/>
      <c r="L100" s="256"/>
      <c r="M100" s="256"/>
      <c r="N100" s="256"/>
      <c r="O100" s="257">
        <f>'Binary Summary'!J100</f>
        <v>2.7297761054640001E-2</v>
      </c>
      <c r="P100" s="254">
        <f t="shared" si="106"/>
        <v>4.0673663922688306</v>
      </c>
      <c r="Q100" s="254">
        <f>'Binary Summary'!K100</f>
        <v>0.5</v>
      </c>
      <c r="R100" s="261"/>
      <c r="S100" s="253"/>
      <c r="T100" s="289"/>
      <c r="U100" s="289"/>
      <c r="V100" s="290"/>
    </row>
    <row r="101" spans="1:23">
      <c r="A101" s="249" t="str">
        <f>'Binary Summary'!A101</f>
        <v>B62</v>
      </c>
      <c r="B101" s="250" t="str">
        <f>'Binary Summary'!B101</f>
        <v>K1III</v>
      </c>
      <c r="C101" s="250">
        <f>'Binary Summary'!C101</f>
        <v>149</v>
      </c>
      <c r="D101" s="251">
        <f>'Binary Summary'!G101</f>
        <v>0.61031286081877134</v>
      </c>
      <c r="E101" s="251">
        <f>'Binary Summary'!H101</f>
        <v>0.53667541247308215</v>
      </c>
      <c r="F101" s="251">
        <f>'Binary Summary'!I101</f>
        <v>0.38725489996435769</v>
      </c>
      <c r="G101" s="259">
        <f>'Isochrone Binaries '!H94</f>
        <v>3.5830000000000002</v>
      </c>
      <c r="H101" s="244">
        <f>'Isochrone Binaries '!I94</f>
        <v>4.7350000000000003</v>
      </c>
      <c r="I101" s="244">
        <f>'Isochrone Binaries '!J94</f>
        <v>5.15</v>
      </c>
      <c r="J101" s="251">
        <f>'Isochrone Binaries '!L94</f>
        <v>4.5154580567525961</v>
      </c>
      <c r="K101" s="251">
        <f t="shared" ref="K101" si="136">G102/G101</f>
        <v>0.79067820262349986</v>
      </c>
      <c r="L101" s="251">
        <f t="shared" ref="L101" si="137">H102/H101</f>
        <v>0.82470960929250259</v>
      </c>
      <c r="M101" s="251">
        <f t="shared" ref="M101" si="138">I102/I101</f>
        <v>0.88757281553398049</v>
      </c>
      <c r="N101" s="251">
        <f t="shared" si="134"/>
        <v>0.94997542334899565</v>
      </c>
      <c r="O101" s="255">
        <f>'Binary Summary'!J101</f>
        <v>0.21134288999999998</v>
      </c>
      <c r="P101" s="251">
        <f t="shared" si="105"/>
        <v>31.490090572276223</v>
      </c>
      <c r="Q101" s="251">
        <f>'Binary Summary'!K101</f>
        <v>34.055024444444001</v>
      </c>
      <c r="R101" s="248" t="s">
        <v>855</v>
      </c>
      <c r="S101" s="250"/>
      <c r="T101" s="255">
        <v>0.99995932206000004</v>
      </c>
      <c r="U101" s="255">
        <v>0.99993760485500005</v>
      </c>
      <c r="V101" s="293">
        <v>0.99994656745400001</v>
      </c>
      <c r="W101" s="1" t="s">
        <v>863</v>
      </c>
    </row>
    <row r="102" spans="1:23">
      <c r="A102" s="252" t="str">
        <f>'Binary Summary'!A102</f>
        <v>HD 94115</v>
      </c>
      <c r="B102" s="253"/>
      <c r="C102" s="253"/>
      <c r="D102" s="254">
        <f>'Binary Summary'!G102</f>
        <v>0.2553423453594541</v>
      </c>
      <c r="E102" s="254">
        <f>'Binary Summary'!H102</f>
        <v>0.11729051843392983</v>
      </c>
      <c r="F102" s="254">
        <f>'Binary Summary'!I102</f>
        <v>5.9641787843280315E-2</v>
      </c>
      <c r="G102" s="243">
        <f>'Isochrone Binaries '!H95</f>
        <v>2.8330000000000002</v>
      </c>
      <c r="H102" s="243">
        <f>'Isochrone Binaries '!I95</f>
        <v>3.9049999999999998</v>
      </c>
      <c r="I102" s="243">
        <f>'Isochrone Binaries '!J95</f>
        <v>4.5709999999999997</v>
      </c>
      <c r="J102" s="256">
        <f>'Isochrone Binaries '!L95</f>
        <v>4.2895741790781807</v>
      </c>
      <c r="K102" s="256"/>
      <c r="L102" s="256"/>
      <c r="M102" s="256"/>
      <c r="N102" s="256"/>
      <c r="O102" s="257">
        <f>'Binary Summary'!J102</f>
        <v>6.2958793082084595E-3</v>
      </c>
      <c r="P102" s="254">
        <f t="shared" si="106"/>
        <v>0.93808601579927386</v>
      </c>
      <c r="Q102" s="254">
        <f>'Binary Summary'!K102</f>
        <v>1.011491489572983</v>
      </c>
      <c r="R102" s="253"/>
      <c r="S102" s="253"/>
      <c r="T102" s="289"/>
      <c r="U102" s="289"/>
      <c r="V102" s="290"/>
    </row>
    <row r="103" spans="1:23">
      <c r="A103" s="249" t="str">
        <f>'Binary Summary'!A103</f>
        <v>W24 / R81 a</v>
      </c>
      <c r="B103" s="250" t="str">
        <f>'Binary Summary'!B103</f>
        <v>A2V</v>
      </c>
      <c r="C103" s="250">
        <f>'Binary Summary'!C103</f>
        <v>149</v>
      </c>
      <c r="D103" s="251">
        <f>'Binary Summary'!G103</f>
        <v>9.1389056704599998</v>
      </c>
      <c r="E103" s="251">
        <f>'Binary Summary'!H103</f>
        <v>8.6377105631166664</v>
      </c>
      <c r="F103" s="251">
        <f>'Binary Summary'!I103</f>
        <v>8.7663485556266689</v>
      </c>
      <c r="G103" s="251">
        <f>'Isochrone Binaries '!H96</f>
        <v>1.8680000000000001</v>
      </c>
      <c r="H103" s="251">
        <f>'Isochrone Binaries '!I96</f>
        <v>1.881</v>
      </c>
      <c r="I103" s="251">
        <f>'Isochrone Binaries '!J96</f>
        <v>1.8140000000000001</v>
      </c>
      <c r="J103" s="251">
        <f>'Isochrone Binaries '!L96</f>
        <v>1.8598228949103093</v>
      </c>
      <c r="K103" s="251">
        <f t="shared" ref="K103" si="139">G104/G103</f>
        <v>1.177730192719486E-2</v>
      </c>
      <c r="L103" s="251">
        <f t="shared" ref="L103" si="140">H104/H103</f>
        <v>1.1695906432748537E-2</v>
      </c>
      <c r="M103" s="251">
        <f t="shared" ref="M103" si="141">I104/I103</f>
        <v>1.1025358324145534E-2</v>
      </c>
      <c r="N103" s="251">
        <f t="shared" si="134"/>
        <v>1.1470626257863194E-2</v>
      </c>
      <c r="O103" s="255">
        <f>'Binary Summary'!J103</f>
        <v>4.2692539377300003</v>
      </c>
      <c r="P103" s="251">
        <f t="shared" si="105"/>
        <v>636.11883595972711</v>
      </c>
      <c r="Q103" s="251">
        <f>'Binary Summary'!K103</f>
        <v>206.75962024466668</v>
      </c>
      <c r="R103" s="250"/>
      <c r="S103" s="250"/>
      <c r="T103" s="229">
        <v>0.74961493894800002</v>
      </c>
      <c r="U103" s="229">
        <v>0.76155258471999998</v>
      </c>
      <c r="V103" s="230">
        <v>0.80965286109400003</v>
      </c>
    </row>
    <row r="104" spans="1:23">
      <c r="A104" s="252" t="str">
        <f>'Binary Summary'!A104</f>
        <v>HD 93424</v>
      </c>
      <c r="B104" s="253"/>
      <c r="C104" s="253"/>
      <c r="D104" s="254">
        <f>'Binary Summary'!G104</f>
        <v>0.16906868845600989</v>
      </c>
      <c r="E104" s="254">
        <f>'Binary Summary'!H104</f>
        <v>0.19281791899225048</v>
      </c>
      <c r="F104" s="254">
        <f>'Binary Summary'!I104</f>
        <v>6.9076010189668288E-2</v>
      </c>
      <c r="G104" s="256">
        <f>'Isochrone Binaries '!H97</f>
        <v>2.1999999999999999E-2</v>
      </c>
      <c r="H104" s="256">
        <f>'Isochrone Binaries '!I97</f>
        <v>2.1999999999999999E-2</v>
      </c>
      <c r="I104" s="256">
        <f>'Isochrone Binaries '!J97</f>
        <v>0.02</v>
      </c>
      <c r="J104" s="256">
        <f>'Isochrone Binaries '!L97</f>
        <v>2.1333333333333333E-2</v>
      </c>
      <c r="K104" s="256"/>
      <c r="L104" s="256"/>
      <c r="M104" s="256"/>
      <c r="N104" s="256"/>
      <c r="O104" s="257">
        <f>'Binary Summary'!J104</f>
        <v>2.5615523626380001E-2</v>
      </c>
      <c r="P104" s="254">
        <f t="shared" si="106"/>
        <v>3.8167130157583622</v>
      </c>
      <c r="Q104" s="254">
        <f>'Binary Summary'!K104</f>
        <v>0.5</v>
      </c>
      <c r="R104" s="253"/>
      <c r="S104" s="253"/>
      <c r="T104" s="289"/>
      <c r="U104" s="289"/>
      <c r="V104" s="290"/>
    </row>
    <row r="105" spans="1:23">
      <c r="A105" s="249" t="str">
        <f>'Binary Summary'!A105</f>
        <v>W24 / R81 b</v>
      </c>
      <c r="B105" s="250" t="str">
        <f>'Binary Summary'!B105</f>
        <v>A2V</v>
      </c>
      <c r="C105" s="250">
        <f>'Binary Summary'!C105</f>
        <v>149</v>
      </c>
      <c r="D105" s="251">
        <f>'Binary Summary'!G105</f>
        <v>7.5933333333333337</v>
      </c>
      <c r="E105" s="251">
        <f>'Binary Summary'!H105</f>
        <v>7.2226666666666688</v>
      </c>
      <c r="F105" s="251">
        <f>'Binary Summary'!I105</f>
        <v>7.1186666666666687</v>
      </c>
      <c r="G105" s="251">
        <f>'Isochrone Binaries '!H98</f>
        <v>1.8680000000000001</v>
      </c>
      <c r="H105" s="251">
        <f>'Isochrone Binaries '!I98</f>
        <v>1.881</v>
      </c>
      <c r="I105" s="251">
        <f>'Isochrone Binaries '!J98</f>
        <v>1.8140000000000001</v>
      </c>
      <c r="J105" s="251">
        <f>'Isochrone Binaries '!L98</f>
        <v>1.8598228949103093</v>
      </c>
      <c r="K105" s="251">
        <f t="shared" ref="K105" si="142">G106/G105</f>
        <v>2.8372591006423982E-2</v>
      </c>
      <c r="L105" s="251">
        <f t="shared" ref="L105" si="143">H106/H105</f>
        <v>2.5518341307814992E-2</v>
      </c>
      <c r="M105" s="251">
        <f t="shared" ref="M105" si="144">I106/I105</f>
        <v>2.0948180815876516E-2</v>
      </c>
      <c r="N105" s="251">
        <f t="shared" si="134"/>
        <v>2.4912766403796621E-2</v>
      </c>
      <c r="O105" s="255">
        <f>'Binary Summary'!J105</f>
        <v>2.7573129260470126</v>
      </c>
      <c r="P105" s="251">
        <f t="shared" si="105"/>
        <v>410.8396254888367</v>
      </c>
      <c r="Q105" s="251">
        <f>'Binary Summary'!K105</f>
        <v>236.28137622235892</v>
      </c>
      <c r="R105" s="250"/>
      <c r="S105" s="250"/>
      <c r="T105" s="288">
        <v>0.90626581554899999</v>
      </c>
      <c r="U105" s="288">
        <v>0.90586475468899996</v>
      </c>
      <c r="V105" s="292">
        <v>0.89677821364300003</v>
      </c>
    </row>
    <row r="106" spans="1:23">
      <c r="A106" s="260" t="str">
        <f>'Binary Summary'!A106</f>
        <v>HD 93424</v>
      </c>
      <c r="B106" s="261"/>
      <c r="C106" s="261"/>
      <c r="D106" s="262">
        <f>'Binary Summary'!G106</f>
        <v>5.2646620657613628E-2</v>
      </c>
      <c r="E106" s="262">
        <f>'Binary Summary'!H106</f>
        <v>4.2449970553582239E-2</v>
      </c>
      <c r="F106" s="262">
        <f>'Binary Summary'!I106</f>
        <v>4.4560819860800016E-2</v>
      </c>
      <c r="G106" s="263">
        <f>'Isochrone Binaries '!H99</f>
        <v>5.2999999999999999E-2</v>
      </c>
      <c r="H106" s="263">
        <f>'Isochrone Binaries '!I99</f>
        <v>4.8000000000000001E-2</v>
      </c>
      <c r="I106" s="263">
        <f>'Isochrone Binaries '!J99</f>
        <v>3.7999999999999999E-2</v>
      </c>
      <c r="J106" s="263">
        <f>'Isochrone Binaries '!L99</f>
        <v>4.6333333333333324E-2</v>
      </c>
      <c r="K106" s="263"/>
      <c r="L106" s="263"/>
      <c r="M106" s="263"/>
      <c r="N106" s="256"/>
      <c r="O106" s="264">
        <f>'Binary Summary'!J106</f>
        <v>1.6543877556282074E-2</v>
      </c>
      <c r="P106" s="262">
        <f t="shared" si="106"/>
        <v>2.4650377529330205</v>
      </c>
      <c r="Q106" s="262">
        <f>'Binary Summary'!K106</f>
        <v>0.5</v>
      </c>
      <c r="R106" s="261"/>
      <c r="S106" s="261"/>
      <c r="T106" s="294"/>
      <c r="U106" s="294"/>
      <c r="V106" s="295"/>
    </row>
    <row r="107" spans="1:23">
      <c r="A107" s="147" t="str">
        <f>'Binary Summary'!A107</f>
        <v>W24 / R81 c</v>
      </c>
      <c r="B107" s="147" t="str">
        <f>'Binary Summary'!B107</f>
        <v>A2V</v>
      </c>
      <c r="C107" s="147">
        <f>'Binary Summary'!C107</f>
        <v>149</v>
      </c>
      <c r="D107" s="114">
        <f>'Binary Summary'!G107</f>
        <v>4.71</v>
      </c>
      <c r="E107" s="114">
        <f>'Binary Summary'!H107</f>
        <v>4.08</v>
      </c>
      <c r="F107" s="114">
        <f>'Binary Summary'!I107</f>
        <v>3.89</v>
      </c>
      <c r="G107" s="114">
        <f>'Isochrone Binaries '!H100</f>
        <v>1.8680000000000001</v>
      </c>
      <c r="H107" s="114">
        <f>'Isochrone Binaries '!I100</f>
        <v>1.881</v>
      </c>
      <c r="I107" s="114">
        <f>'Isochrone Binaries '!J100</f>
        <v>1.8140000000000001</v>
      </c>
      <c r="J107" s="114">
        <f>'Isochrone Binaries '!L100</f>
        <v>1.8598228949103093</v>
      </c>
      <c r="K107" s="114">
        <f t="shared" ref="K107" si="145">G108/G107</f>
        <v>0.19218415417558884</v>
      </c>
      <c r="L107" s="114">
        <f t="shared" ref="L107" si="146">H108/H107</f>
        <v>0.20042530568846359</v>
      </c>
      <c r="M107" s="114">
        <f t="shared" ref="M107:N107" si="147">I108/I107</f>
        <v>0.1918412348401323</v>
      </c>
      <c r="N107" s="114">
        <f t="shared" si="147"/>
        <v>0.19403790322043374</v>
      </c>
      <c r="O107" s="122">
        <f>'Binary Summary'!J107</f>
        <v>4.5047062432049998</v>
      </c>
      <c r="P107" s="114">
        <f t="shared" si="105"/>
        <v>671.20122943347485</v>
      </c>
      <c r="Q107" s="114">
        <f>'Binary Summary'!K107</f>
        <v>342.41</v>
      </c>
      <c r="R107" s="147"/>
      <c r="S107" s="147"/>
      <c r="T107" s="122">
        <v>0.985970028858</v>
      </c>
      <c r="U107" s="122">
        <v>0.98975763853300003</v>
      </c>
      <c r="V107" s="122">
        <v>0.98821727689100003</v>
      </c>
    </row>
    <row r="108" spans="1:23">
      <c r="A108" s="247" t="str">
        <f>'Binary Summary'!A108</f>
        <v>HD 93424</v>
      </c>
      <c r="B108" s="157"/>
      <c r="C108" s="157"/>
      <c r="D108" s="242">
        <f>'Binary Summary'!G108</f>
        <v>3.2781500941919096E-2</v>
      </c>
      <c r="E108" s="242">
        <f>'Binary Summary'!H108</f>
        <v>3.0560224011564899E-2</v>
      </c>
      <c r="F108" s="242">
        <f>'Binary Summary'!I108</f>
        <v>3.0719672054718823E-2</v>
      </c>
      <c r="G108" s="127">
        <f>'Isochrone Binaries '!H101</f>
        <v>0.35899999999999999</v>
      </c>
      <c r="H108" s="127">
        <f>'Isochrone Binaries '!I101</f>
        <v>0.377</v>
      </c>
      <c r="I108" s="127">
        <f>'Isochrone Binaries '!J101</f>
        <v>0.34799999999999998</v>
      </c>
      <c r="J108" s="127">
        <f>'Isochrone Binaries '!L101</f>
        <v>0.36087613488975351</v>
      </c>
      <c r="K108" s="127"/>
      <c r="L108" s="127"/>
      <c r="M108" s="127"/>
      <c r="N108" s="127"/>
      <c r="O108" s="129">
        <f>'Binary Summary'!J108</f>
        <v>2.7028237459229998E-2</v>
      </c>
      <c r="P108" s="242">
        <f t="shared" si="106"/>
        <v>4.027207376600848</v>
      </c>
      <c r="Q108" s="242">
        <f>'Binary Summary'!K108</f>
        <v>0.5</v>
      </c>
      <c r="R108" s="157"/>
      <c r="S108" s="157"/>
      <c r="T108" s="296"/>
      <c r="U108" s="296"/>
      <c r="V108" s="296"/>
    </row>
    <row r="109" spans="1:23">
      <c r="A109" s="265" t="str">
        <f>'Binary Summary'!A109</f>
        <v>W25 a</v>
      </c>
      <c r="B109" s="261" t="str">
        <f>'Binary Summary'!B109</f>
        <v>A1V</v>
      </c>
      <c r="C109" s="261">
        <f>'Binary Summary'!C109</f>
        <v>149</v>
      </c>
      <c r="D109" s="263">
        <f>'Binary Summary'!G109</f>
        <v>7.2099999999999973</v>
      </c>
      <c r="E109" s="263">
        <f>'Binary Summary'!H109</f>
        <v>6.7009999999999996</v>
      </c>
      <c r="F109" s="263">
        <f>'Binary Summary'!I109</f>
        <v>6.400333333333335</v>
      </c>
      <c r="G109" s="263">
        <f>'Isochrone Binaries '!H102</f>
        <v>2.0880000000000001</v>
      </c>
      <c r="H109" s="263">
        <f>'Isochrone Binaries '!I102</f>
        <v>1.992</v>
      </c>
      <c r="I109" s="263">
        <f>'Isochrone Binaries '!J102</f>
        <v>2.1859999999999999</v>
      </c>
      <c r="J109" s="263">
        <f>'Isochrone Binaries '!L102</f>
        <v>2.0165180638881792</v>
      </c>
      <c r="K109" s="263">
        <f t="shared" ref="K109" si="148">G110/G109</f>
        <v>3.6877394636015325E-2</v>
      </c>
      <c r="L109" s="263">
        <f t="shared" ref="L109" si="149">H110/H109</f>
        <v>3.5642570281124497E-2</v>
      </c>
      <c r="M109" s="263">
        <f t="shared" ref="M109:N113" si="150">I110/I109</f>
        <v>3.1107044830741084E-2</v>
      </c>
      <c r="N109" s="251">
        <f t="shared" si="150"/>
        <v>3.5705110353027099E-2</v>
      </c>
      <c r="O109" s="266">
        <f>'Binary Summary'!J109</f>
        <v>2.5909688865016824</v>
      </c>
      <c r="P109" s="263">
        <f t="shared" si="105"/>
        <v>386.05436362627421</v>
      </c>
      <c r="Q109" s="263">
        <f>'Binary Summary'!K109</f>
        <v>64.353255912549784</v>
      </c>
      <c r="R109" s="261"/>
      <c r="S109" s="261"/>
      <c r="T109" s="297">
        <v>0.93464181553400005</v>
      </c>
      <c r="U109" s="297">
        <v>0.93378804281500005</v>
      </c>
      <c r="V109" s="298">
        <v>0.92704659702400005</v>
      </c>
    </row>
    <row r="110" spans="1:23">
      <c r="A110" s="260" t="str">
        <f>'Binary Summary'!A110</f>
        <v>HD 93517</v>
      </c>
      <c r="B110" s="261"/>
      <c r="C110" s="261"/>
      <c r="D110" s="262">
        <f>'Binary Summary'!G110</f>
        <v>4.1243181254602551E-2</v>
      </c>
      <c r="E110" s="262">
        <f>'Binary Summary'!H110</f>
        <v>3.4936450242627058E-2</v>
      </c>
      <c r="F110" s="262">
        <f>'Binary Summary'!I110</f>
        <v>3.9176239964776829E-2</v>
      </c>
      <c r="G110" s="263">
        <f>'Isochrone Binaries '!H103</f>
        <v>7.6999999999999999E-2</v>
      </c>
      <c r="H110" s="263">
        <f>'Isochrone Binaries '!I103</f>
        <v>7.0999999999999994E-2</v>
      </c>
      <c r="I110" s="263">
        <f>'Isochrone Binaries '!J103</f>
        <v>6.8000000000000005E-2</v>
      </c>
      <c r="J110" s="263">
        <f>'Isochrone Binaries '!L103</f>
        <v>7.1999999999999995E-2</v>
      </c>
      <c r="K110" s="263"/>
      <c r="L110" s="263"/>
      <c r="M110" s="263"/>
      <c r="N110" s="256"/>
      <c r="O110" s="264">
        <f>'Binary Summary'!J110</f>
        <v>1.5545813319010095E-2</v>
      </c>
      <c r="P110" s="262">
        <f t="shared" si="106"/>
        <v>2.316326181757645</v>
      </c>
      <c r="Q110" s="262">
        <f>'Binary Summary'!K110</f>
        <v>0.5</v>
      </c>
      <c r="R110" s="261"/>
      <c r="S110" s="261"/>
      <c r="T110" s="294"/>
      <c r="U110" s="294"/>
      <c r="V110" s="295"/>
    </row>
    <row r="111" spans="1:23">
      <c r="A111" s="249" t="str">
        <f>'Binary Summary'!A111</f>
        <v>W25 b</v>
      </c>
      <c r="B111" s="250" t="str">
        <f>'Binary Summary'!B111</f>
        <v>A1V</v>
      </c>
      <c r="C111" s="250">
        <f>'Binary Summary'!C111</f>
        <v>149</v>
      </c>
      <c r="D111" s="251">
        <f>'Binary Summary'!G111</f>
        <v>8.6165127510600001</v>
      </c>
      <c r="E111" s="251">
        <f>'Binary Summary'!H111</f>
        <v>8.2624603012333342</v>
      </c>
      <c r="F111" s="251">
        <f>'Binary Summary'!I111</f>
        <v>7.9644215158599998</v>
      </c>
      <c r="G111" s="251">
        <f>'Isochrone Binaries '!H104</f>
        <v>2.0880000000000001</v>
      </c>
      <c r="H111" s="251">
        <f>'Isochrone Binaries '!I104</f>
        <v>1.992</v>
      </c>
      <c r="I111" s="251">
        <f>'Isochrone Binaries '!J104</f>
        <v>2.1859999999999999</v>
      </c>
      <c r="J111" s="251">
        <f>'Isochrone Binaries '!L104</f>
        <v>2.0165180638881792</v>
      </c>
      <c r="K111" s="251">
        <f t="shared" ref="K111" si="151">G112/G111</f>
        <v>1.532567049808429E-2</v>
      </c>
      <c r="L111" s="251">
        <f t="shared" ref="L111" si="152">H112/H111</f>
        <v>1.4056224899598393E-2</v>
      </c>
      <c r="M111" s="251">
        <f t="shared" ref="M111" si="153">I112/I111</f>
        <v>1.1893870082342177E-2</v>
      </c>
      <c r="N111" s="251">
        <f t="shared" si="150"/>
        <v>1.3774475755663184E-2</v>
      </c>
      <c r="O111" s="255">
        <f>'Binary Summary'!J111</f>
        <v>3.4646575185059993</v>
      </c>
      <c r="P111" s="251">
        <f t="shared" si="105"/>
        <v>516.23396963896789</v>
      </c>
      <c r="Q111" s="251">
        <f>'Binary Summary'!K111</f>
        <v>85.13475904148001</v>
      </c>
      <c r="R111" s="250"/>
      <c r="S111" s="250"/>
      <c r="T111" s="229">
        <v>0.81543857484399995</v>
      </c>
      <c r="U111" s="229">
        <v>0.81452997015999995</v>
      </c>
      <c r="V111" s="230">
        <v>0.814092605518</v>
      </c>
    </row>
    <row r="112" spans="1:23">
      <c r="A112" s="252" t="str">
        <f>'Binary Summary'!A112</f>
        <v>HD 93517</v>
      </c>
      <c r="B112" s="253"/>
      <c r="C112" s="253"/>
      <c r="D112" s="254">
        <f>'Binary Summary'!G112</f>
        <v>0.18125470552863918</v>
      </c>
      <c r="E112" s="254">
        <f>'Binary Summary'!H112</f>
        <v>0.100552551248783</v>
      </c>
      <c r="F112" s="254">
        <f>'Binary Summary'!I112</f>
        <v>0.14655609333581351</v>
      </c>
      <c r="G112" s="256">
        <f>'Isochrone Binaries '!H105</f>
        <v>3.2000000000000001E-2</v>
      </c>
      <c r="H112" s="256">
        <f>'Isochrone Binaries '!I105</f>
        <v>2.8000000000000001E-2</v>
      </c>
      <c r="I112" s="256">
        <f>'Isochrone Binaries '!J105</f>
        <v>2.5999999999999999E-2</v>
      </c>
      <c r="J112" s="256">
        <f>'Isochrone Binaries '!L105</f>
        <v>2.777647918188459E-2</v>
      </c>
      <c r="K112" s="256"/>
      <c r="L112" s="256"/>
      <c r="M112" s="256"/>
      <c r="N112" s="256"/>
      <c r="O112" s="257">
        <f>'Binary Summary'!J112</f>
        <v>2.0787945111035995E-2</v>
      </c>
      <c r="P112" s="254">
        <f t="shared" si="106"/>
        <v>3.0974038178338072</v>
      </c>
      <c r="Q112" s="254">
        <f>'Binary Summary'!K112</f>
        <v>0.5</v>
      </c>
      <c r="R112" s="253"/>
      <c r="S112" s="253"/>
      <c r="T112" s="289"/>
      <c r="U112" s="289"/>
      <c r="V112" s="290"/>
    </row>
    <row r="113" spans="1:22">
      <c r="A113" s="265" t="str">
        <f>'Binary Summary'!A113</f>
        <v>W25 c</v>
      </c>
      <c r="B113" s="261" t="str">
        <f>'Binary Summary'!B113</f>
        <v>A1V</v>
      </c>
      <c r="C113" s="261">
        <f>'Binary Summary'!C113</f>
        <v>149</v>
      </c>
      <c r="D113" s="263">
        <f>'Binary Summary'!G113</f>
        <v>7.8909409646233328</v>
      </c>
      <c r="E113" s="263">
        <f>'Binary Summary'!H113</f>
        <v>6.8297564570600002</v>
      </c>
      <c r="F113" s="263">
        <f>'Binary Summary'!I113</f>
        <v>7.0754927434850003</v>
      </c>
      <c r="G113" s="263">
        <f>'Isochrone Binaries '!H106</f>
        <v>2.0880000000000001</v>
      </c>
      <c r="H113" s="263">
        <f>'Isochrone Binaries '!I106</f>
        <v>1.992</v>
      </c>
      <c r="I113" s="263">
        <f>'Isochrone Binaries '!J106</f>
        <v>2.1859999999999999</v>
      </c>
      <c r="J113" s="263">
        <f>'Isochrone Binaries '!L106</f>
        <v>2.0165180638881792</v>
      </c>
      <c r="K113" s="263">
        <f t="shared" ref="K113" si="154">G114/G113</f>
        <v>2.3467432950191571E-2</v>
      </c>
      <c r="L113" s="263">
        <f t="shared" ref="L113" si="155">H114/H113</f>
        <v>3.2630522088353417E-2</v>
      </c>
      <c r="M113" s="263">
        <f t="shared" ref="M113" si="156">I114/I113</f>
        <v>2.0128087831655993E-2</v>
      </c>
      <c r="N113" s="251">
        <f t="shared" si="150"/>
        <v>2.4819604259515425E-2</v>
      </c>
      <c r="O113" s="266">
        <f>'Binary Summary'!J113</f>
        <v>4.2342255378969993</v>
      </c>
      <c r="P113" s="263">
        <f t="shared" si="105"/>
        <v>630.89960439086235</v>
      </c>
      <c r="Q113" s="263">
        <f>'Binary Summary'!K113</f>
        <v>181.50030710890002</v>
      </c>
      <c r="R113" s="261"/>
      <c r="S113" s="261"/>
      <c r="T113" s="299">
        <v>0.86739343944900005</v>
      </c>
      <c r="U113" s="297">
        <v>0.90586475468899996</v>
      </c>
      <c r="V113" s="300">
        <v>0.85421887444800004</v>
      </c>
    </row>
    <row r="114" spans="1:22">
      <c r="A114" s="252" t="str">
        <f>'Binary Summary'!A114</f>
        <v>HD 93517</v>
      </c>
      <c r="B114" s="253"/>
      <c r="C114" s="253"/>
      <c r="D114" s="254">
        <f>'Binary Summary'!G114</f>
        <v>3.4478040371288154E-2</v>
      </c>
      <c r="E114" s="254">
        <f>'Binary Summary'!H114</f>
        <v>3.307255363692535E-2</v>
      </c>
      <c r="F114" s="254">
        <f>'Binary Summary'!I114</f>
        <v>5.2790779722138373E-2</v>
      </c>
      <c r="G114" s="256">
        <f>'Isochrone Binaries '!H107</f>
        <v>4.9000000000000002E-2</v>
      </c>
      <c r="H114" s="256">
        <f>'Isochrone Binaries '!I107</f>
        <v>6.5000000000000002E-2</v>
      </c>
      <c r="I114" s="256">
        <f>'Isochrone Binaries '!J107</f>
        <v>4.3999999999999997E-2</v>
      </c>
      <c r="J114" s="256">
        <f>'Isochrone Binaries '!L107</f>
        <v>5.0049180327868849E-2</v>
      </c>
      <c r="K114" s="256"/>
      <c r="L114" s="256"/>
      <c r="M114" s="256"/>
      <c r="N114" s="256"/>
      <c r="O114" s="257">
        <f>'Binary Summary'!J114</f>
        <v>2.5405353227381997E-2</v>
      </c>
      <c r="P114" s="254">
        <f t="shared" si="106"/>
        <v>3.7853976263451745</v>
      </c>
      <c r="Q114" s="254">
        <f>'Binary Summary'!K114</f>
        <v>0.5</v>
      </c>
      <c r="R114" s="253"/>
      <c r="S114" s="253"/>
      <c r="T114" s="289"/>
      <c r="U114" s="289"/>
      <c r="V114" s="290"/>
    </row>
    <row r="115" spans="1:22">
      <c r="A115" s="1" t="str">
        <f>'Binary Summary'!A115</f>
        <v>B1</v>
      </c>
      <c r="B115" s="1" t="str">
        <f>'Binary Summary'!B115</f>
        <v>B6V</v>
      </c>
      <c r="C115" s="1">
        <f>'Binary Summary'!C115</f>
        <v>149</v>
      </c>
      <c r="D115" s="4" t="str">
        <f>'Binary Summary'!G115</f>
        <v>-</v>
      </c>
      <c r="E115" s="4" t="str">
        <f>'Binary Summary'!H115</f>
        <v>-</v>
      </c>
      <c r="F115" s="4">
        <f>'Binary Summary'!I115</f>
        <v>8.2649999999999988</v>
      </c>
      <c r="G115" s="4">
        <f>'Isochrone Binaries '!H108</f>
        <v>1.7609999999999999</v>
      </c>
      <c r="H115" s="4">
        <f>'Isochrone Binaries '!I108</f>
        <v>1.6890000000000001</v>
      </c>
      <c r="I115" s="4">
        <f>'Isochrone Binaries '!J108</f>
        <v>1.655</v>
      </c>
      <c r="J115" s="4">
        <f>'Isochrone Binaries '!L108</f>
        <v>1.7085279857259223</v>
      </c>
      <c r="K115" s="4" t="s">
        <v>51</v>
      </c>
      <c r="L115" s="4" t="s">
        <v>51</v>
      </c>
      <c r="M115" s="4">
        <f t="shared" ref="M115:N115" si="157">I116/I115</f>
        <v>1.2084592145015106E-2</v>
      </c>
      <c r="N115" s="114">
        <f t="shared" si="157"/>
        <v>1.1705983259912693E-2</v>
      </c>
      <c r="O115" s="54">
        <f>'Binary Summary'!J115</f>
        <v>3.6039668811331285</v>
      </c>
      <c r="P115" s="4">
        <f t="shared" si="105"/>
        <v>536.99106464554404</v>
      </c>
      <c r="Q115" s="4">
        <f>'Binary Summary'!K115</f>
        <v>70.531358802751384</v>
      </c>
      <c r="T115" s="54" t="s">
        <v>51</v>
      </c>
      <c r="U115" s="54" t="s">
        <v>51</v>
      </c>
      <c r="V115" s="54">
        <v>0.999342116788</v>
      </c>
    </row>
    <row r="116" spans="1:22">
      <c r="A116" s="55" t="str">
        <f>'Binary Summary'!A116</f>
        <v>HD 91698</v>
      </c>
      <c r="D116" s="4"/>
      <c r="E116" s="4"/>
      <c r="F116" s="48">
        <f>'Binary Summary'!I116</f>
        <v>4.131567845410361E-2</v>
      </c>
      <c r="G116" s="4"/>
      <c r="H116" s="4"/>
      <c r="I116" s="4">
        <f>'Isochrone Binaries '!J109</f>
        <v>0.02</v>
      </c>
      <c r="J116" s="4">
        <f>'Isochrone Binaries '!L109</f>
        <v>0.02</v>
      </c>
      <c r="K116" s="4"/>
      <c r="L116" s="4"/>
      <c r="M116" s="4"/>
      <c r="N116" s="92"/>
      <c r="O116" s="51">
        <f>'Binary Summary'!J116</f>
        <v>2.162380128679877E-2</v>
      </c>
      <c r="P116" s="48">
        <f t="shared" si="106"/>
        <v>3.2219463878732642</v>
      </c>
      <c r="Q116" s="48">
        <f>'Binary Summary'!K116</f>
        <v>0.5</v>
      </c>
      <c r="T116" s="284"/>
      <c r="U116" s="284"/>
      <c r="V116" s="2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H258"/>
  <sheetViews>
    <sheetView topLeftCell="A158" workbookViewId="0">
      <selection activeCell="I57" sqref="I57"/>
    </sheetView>
  </sheetViews>
  <sheetFormatPr baseColWidth="10" defaultRowHeight="15" x14ac:dyDescent="0"/>
  <cols>
    <col min="1" max="1" width="17.83203125" style="1" customWidth="1"/>
    <col min="2" max="2" width="12.5" style="1" customWidth="1"/>
    <col min="3" max="6" width="10.83203125" style="1"/>
    <col min="7" max="7" width="48.33203125" style="1" customWidth="1"/>
    <col min="8" max="9" width="10.83203125" style="1"/>
    <col min="10" max="10" width="13.33203125" style="1" customWidth="1"/>
    <col min="11" max="11" width="11.83203125" style="1" customWidth="1"/>
    <col min="12" max="16384" width="10.83203125" style="1"/>
  </cols>
  <sheetData>
    <row r="1" spans="1:8">
      <c r="A1" s="80" t="s">
        <v>42</v>
      </c>
      <c r="B1" s="80" t="s">
        <v>163</v>
      </c>
      <c r="C1" s="80" t="s">
        <v>496</v>
      </c>
      <c r="D1" s="75" t="s">
        <v>830</v>
      </c>
      <c r="E1" s="75" t="s">
        <v>831</v>
      </c>
      <c r="F1" s="75" t="s">
        <v>832</v>
      </c>
      <c r="G1" s="80" t="s">
        <v>64</v>
      </c>
    </row>
    <row r="2" spans="1:8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</row>
    <row r="3" spans="1:8">
      <c r="A3" s="1" t="str">
        <f>'Single Summary'!A3</f>
        <v>HD73287</v>
      </c>
      <c r="B3" s="1" t="str">
        <f>'Single Summary'!B3</f>
        <v>B7 V</v>
      </c>
      <c r="C3" s="1">
        <f>'Single Summary'!C3</f>
        <v>145</v>
      </c>
      <c r="D3" s="1">
        <f>'Isochrone Singles'!H2</f>
        <v>2.464</v>
      </c>
      <c r="E3" s="1">
        <f>'Isochrone Singles'!I2</f>
        <v>2.4129999999999998</v>
      </c>
      <c r="F3" s="1">
        <f>'Isochrone Singles'!J2</f>
        <v>2.4279999999999999</v>
      </c>
      <c r="H3" s="1">
        <v>1</v>
      </c>
    </row>
    <row r="4" spans="1:8">
      <c r="A4" s="55" t="str">
        <f>'Single Summary'!A4</f>
        <v>HD 73287</v>
      </c>
    </row>
    <row r="5" spans="1:8">
      <c r="A5" s="1" t="str">
        <f>'Single Summary'!A5</f>
        <v>HD73904</v>
      </c>
      <c r="B5" s="1" t="str">
        <f>'Single Summary'!B5</f>
        <v>A2 V</v>
      </c>
      <c r="C5" s="1">
        <f>'Single Summary'!C5</f>
        <v>145</v>
      </c>
      <c r="D5" s="1">
        <f>'Isochrone Singles'!H3</f>
        <v>2.2450000000000001</v>
      </c>
      <c r="E5" s="1">
        <f>'Isochrone Singles'!I3</f>
        <v>2.2400000000000002</v>
      </c>
      <c r="F5" s="1">
        <f>'Isochrone Singles'!J3</f>
        <v>2.3210000000000002</v>
      </c>
      <c r="H5" s="1">
        <v>2</v>
      </c>
    </row>
    <row r="6" spans="1:8">
      <c r="A6" s="55" t="str">
        <f>'Single Summary'!A6</f>
        <v>HD 73904</v>
      </c>
    </row>
    <row r="7" spans="1:8">
      <c r="A7" s="1" t="str">
        <f>'Single Summary'!A7</f>
        <v>HD74195</v>
      </c>
      <c r="B7" s="1" t="str">
        <f>'Single Summary'!B7</f>
        <v>B3 IV</v>
      </c>
      <c r="C7" s="1">
        <f>'Single Summary'!C7</f>
        <v>145</v>
      </c>
      <c r="D7" s="1">
        <f>'Isochrone Singles'!H4</f>
        <v>6.4740000000000002</v>
      </c>
      <c r="E7" s="1">
        <f>'Isochrone Singles'!I4</f>
        <v>6.64</v>
      </c>
      <c r="F7" s="1">
        <f>'Isochrone Singles'!J4</f>
        <v>6.6130000000000004</v>
      </c>
      <c r="H7" s="1">
        <v>3</v>
      </c>
    </row>
    <row r="8" spans="1:8">
      <c r="A8" s="55" t="str">
        <f>'Single Summary'!A8</f>
        <v>HD 74195</v>
      </c>
    </row>
    <row r="9" spans="1:8">
      <c r="A9" s="1" t="str">
        <f>'Single Summary'!A9</f>
        <v>HD74678</v>
      </c>
      <c r="B9" s="1" t="str">
        <f>'Single Summary'!B9</f>
        <v>A1 V</v>
      </c>
      <c r="C9" s="1">
        <f>'Single Summary'!C9</f>
        <v>145</v>
      </c>
      <c r="D9" s="1">
        <f>'Isochrone Singles'!H5</f>
        <v>2.274</v>
      </c>
      <c r="E9" s="1">
        <f>'Isochrone Singles'!I5</f>
        <v>2.2869999999999999</v>
      </c>
      <c r="F9" s="1">
        <f>'Isochrone Singles'!J5</f>
        <v>2.387</v>
      </c>
      <c r="H9" s="1">
        <v>4</v>
      </c>
    </row>
    <row r="10" spans="1:8">
      <c r="A10" s="55" t="str">
        <f>'Single Summary'!A10</f>
        <v>HD 74678</v>
      </c>
    </row>
    <row r="11" spans="1:8">
      <c r="A11" s="1" t="str">
        <f>'Single Summary'!A11</f>
        <v>HD74955</v>
      </c>
      <c r="B11" s="1" t="str">
        <f>'Single Summary'!B11</f>
        <v>A1 V</v>
      </c>
      <c r="C11" s="1">
        <f>'Single Summary'!C11</f>
        <v>145</v>
      </c>
      <c r="D11" s="1">
        <f>'Isochrone Singles'!H6</f>
        <v>2.403</v>
      </c>
      <c r="E11" s="1">
        <f>'Isochrone Singles'!I6</f>
        <v>2.4289999999999998</v>
      </c>
      <c r="F11" s="1">
        <f>'Isochrone Singles'!J6</f>
        <v>2.5230000000000001</v>
      </c>
      <c r="H11" s="1">
        <v>5</v>
      </c>
    </row>
    <row r="12" spans="1:8">
      <c r="A12" s="55" t="str">
        <f>'Single Summary'!A12</f>
        <v>HD 74955</v>
      </c>
    </row>
    <row r="13" spans="1:8">
      <c r="A13" s="1" t="str">
        <f>'Single Summary'!A13</f>
        <v>HD75202</v>
      </c>
      <c r="B13" s="1" t="str">
        <f>'Single Summary'!B13</f>
        <v>A3 IV</v>
      </c>
      <c r="C13" s="1">
        <f>'Single Summary'!C13</f>
        <v>145</v>
      </c>
      <c r="D13" s="1">
        <f>'Isochrone Singles'!H7</f>
        <v>2.4169999999999998</v>
      </c>
      <c r="E13" s="1">
        <f>'Isochrone Singles'!I7</f>
        <v>2.472</v>
      </c>
      <c r="F13" s="1">
        <f>'Isochrone Singles'!J7</f>
        <v>2.5579999999999998</v>
      </c>
      <c r="H13" s="1">
        <v>6</v>
      </c>
    </row>
    <row r="14" spans="1:8">
      <c r="A14" s="55" t="str">
        <f>'Single Summary'!A14</f>
        <v>HD 75202</v>
      </c>
    </row>
    <row r="15" spans="1:8">
      <c r="A15" s="1" t="str">
        <f>'Single Summary'!A15</f>
        <v>HD75466</v>
      </c>
      <c r="B15" s="1" t="str">
        <f>'Single Summary'!B15</f>
        <v>B8 V</v>
      </c>
      <c r="C15" s="1">
        <f>'Single Summary'!C15</f>
        <v>145</v>
      </c>
      <c r="D15" s="1">
        <f>'Isochrone Singles'!H8</f>
        <v>3.359</v>
      </c>
      <c r="E15" s="1">
        <f>'Isochrone Singles'!I8</f>
        <v>3.3559999999999999</v>
      </c>
      <c r="F15" s="1">
        <f>'Isochrone Singles'!J8</f>
        <v>3.399</v>
      </c>
      <c r="H15" s="1">
        <v>7</v>
      </c>
    </row>
    <row r="16" spans="1:8">
      <c r="A16" s="55" t="str">
        <f>'Single Summary'!A16</f>
        <v>HD 75466</v>
      </c>
    </row>
    <row r="17" spans="1:8">
      <c r="A17" s="1" t="str">
        <f>'Single Summary'!A17</f>
        <v>Hogg12</v>
      </c>
      <c r="B17" s="1" t="str">
        <f>'Single Summary'!B17</f>
        <v>B5 V</v>
      </c>
      <c r="C17" s="1">
        <f>'Single Summary'!C17</f>
        <v>145</v>
      </c>
      <c r="D17" s="1">
        <f>'Isochrone Singles'!H9</f>
        <v>4.3609999999999998</v>
      </c>
      <c r="E17" s="1">
        <f>'Isochrone Singles'!I9</f>
        <v>4.375</v>
      </c>
      <c r="F17" s="1">
        <f>'Isochrone Singles'!J9</f>
        <v>4.53</v>
      </c>
      <c r="H17" s="1">
        <v>8</v>
      </c>
    </row>
    <row r="18" spans="1:8">
      <c r="A18" s="55" t="str">
        <f>'Single Summary'!A18</f>
        <v>HD 74071</v>
      </c>
    </row>
    <row r="19" spans="1:8">
      <c r="A19" s="1" t="str">
        <f>'Single Summary'!A19</f>
        <v>Hogg1</v>
      </c>
      <c r="B19" s="1" t="str">
        <f>'Single Summary'!B19</f>
        <v>B7 V</v>
      </c>
      <c r="C19" s="1">
        <f>'Single Summary'!C19</f>
        <v>145</v>
      </c>
      <c r="D19" s="1">
        <f>'Isochrone Singles'!H10</f>
        <v>4.2880000000000003</v>
      </c>
      <c r="E19" s="1">
        <f>'Isochrone Singles'!I10</f>
        <v>4.2149999999999999</v>
      </c>
      <c r="F19" s="1">
        <f>'Isochrone Singles'!J10</f>
        <v>4.4000000000000004</v>
      </c>
      <c r="H19" s="1">
        <v>9</v>
      </c>
    </row>
    <row r="20" spans="1:8">
      <c r="A20" s="55" t="str">
        <f>'Single Summary'!A20</f>
        <v>HD 74196</v>
      </c>
    </row>
    <row r="21" spans="1:8">
      <c r="A21" s="1" t="str">
        <f>'Single Summary'!A21</f>
        <v>Hogg2</v>
      </c>
      <c r="B21" s="1" t="str">
        <f>'Single Summary'!B21</f>
        <v>B5 V</v>
      </c>
      <c r="C21" s="1">
        <f>'Single Summary'!C21</f>
        <v>145</v>
      </c>
      <c r="D21" s="1">
        <f>'Isochrone Singles'!H11</f>
        <v>4.665</v>
      </c>
      <c r="E21" s="1">
        <f>'Isochrone Singles'!I11</f>
        <v>4.7439999999999998</v>
      </c>
      <c r="F21" s="1">
        <f>'Isochrone Singles'!J11</f>
        <v>4.8810000000000002</v>
      </c>
      <c r="H21" s="1">
        <v>10</v>
      </c>
    </row>
    <row r="22" spans="1:8">
      <c r="A22" s="55" t="str">
        <f>'Single Summary'!A22</f>
        <v>HD 74146</v>
      </c>
    </row>
    <row r="23" spans="1:8">
      <c r="A23" s="1" t="str">
        <f>'Single Summary'!A23</f>
        <v>Hogg3</v>
      </c>
      <c r="B23" s="1" t="str">
        <f>'Single Summary'!B23</f>
        <v>B3 IV</v>
      </c>
      <c r="C23" s="1">
        <f>'Single Summary'!C23</f>
        <v>145</v>
      </c>
      <c r="D23" s="1">
        <f>'Isochrone Singles'!H12</f>
        <v>5.0970000000000004</v>
      </c>
      <c r="E23" s="1">
        <f>'Isochrone Singles'!I12</f>
        <v>5.0839999999999996</v>
      </c>
      <c r="F23" s="1">
        <f>'Isochrone Singles'!J12</f>
        <v>5.2089999999999996</v>
      </c>
      <c r="H23" s="1">
        <v>11</v>
      </c>
    </row>
    <row r="24" spans="1:8">
      <c r="A24" s="55" t="str">
        <f>'Single Summary'!A24</f>
        <v>HD 74560</v>
      </c>
    </row>
    <row r="25" spans="1:8">
      <c r="A25" s="1" t="str">
        <f>'Single Summary'!A25</f>
        <v>Hogg6</v>
      </c>
      <c r="B25" s="1" t="str">
        <f>'Single Summary'!B25</f>
        <v>A0 V</v>
      </c>
      <c r="C25" s="1">
        <f>'Single Summary'!C25</f>
        <v>145</v>
      </c>
      <c r="D25" s="1">
        <f>'Isochrone Singles'!H13</f>
        <v>2.4780000000000002</v>
      </c>
      <c r="E25" s="1">
        <f>'Isochrone Singles'!I13</f>
        <v>2.476</v>
      </c>
      <c r="F25" s="1">
        <f>'Isochrone Singles'!J13</f>
        <v>2.5710000000000002</v>
      </c>
      <c r="H25" s="1">
        <v>12</v>
      </c>
    </row>
    <row r="26" spans="1:8">
      <c r="A26" s="55" t="str">
        <f>'Single Summary'!A26</f>
        <v>HD 74275</v>
      </c>
    </row>
    <row r="27" spans="1:8">
      <c r="A27" s="1" t="str">
        <f>'Single Summary'!A27</f>
        <v>Hogg8</v>
      </c>
      <c r="B27" s="1" t="str">
        <f>'Single Summary'!B27</f>
        <v>A1 V</v>
      </c>
      <c r="C27" s="1">
        <f>'Single Summary'!C27</f>
        <v>145</v>
      </c>
      <c r="D27" s="1">
        <f>'Isochrone Singles'!H14</f>
        <v>2.4049999999999998</v>
      </c>
      <c r="E27" s="1">
        <f>'Isochrone Singles'!I14</f>
        <v>2.41</v>
      </c>
      <c r="F27" s="1">
        <f>'Isochrone Singles'!J14</f>
        <v>2.4460000000000002</v>
      </c>
      <c r="H27" s="1">
        <v>13</v>
      </c>
    </row>
    <row r="28" spans="1:8">
      <c r="A28" s="55" t="str">
        <f>'Single Summary'!A28</f>
        <v>HD 74516</v>
      </c>
    </row>
    <row r="29" spans="1:8">
      <c r="A29" s="1" t="str">
        <f>'Single Summary'!A29</f>
        <v>HD73778</v>
      </c>
      <c r="B29" s="1" t="str">
        <f>'Single Summary'!B29</f>
        <v>F0 V</v>
      </c>
      <c r="C29" s="1">
        <f>'Single Summary'!C29</f>
        <v>145</v>
      </c>
      <c r="D29" s="1">
        <f>'Isochrone Singles'!H15</f>
        <v>1.073</v>
      </c>
      <c r="E29" s="1">
        <f>'Isochrone Singles'!I15</f>
        <v>0.98</v>
      </c>
      <c r="F29" s="1">
        <f>'Isochrone Singles'!J15</f>
        <v>0.97599999999999998</v>
      </c>
      <c r="H29" s="1">
        <v>14</v>
      </c>
    </row>
    <row r="30" spans="1:8">
      <c r="A30" s="55" t="str">
        <f>'Single Summary'!A30</f>
        <v>HD 73778</v>
      </c>
    </row>
    <row r="31" spans="1:8">
      <c r="A31" s="1" t="str">
        <f>'Single Summary'!A31</f>
        <v>HD74009</v>
      </c>
      <c r="B31" s="1" t="str">
        <f>'Single Summary'!B31</f>
        <v>F3 V</v>
      </c>
      <c r="C31" s="1">
        <f>'Single Summary'!C31</f>
        <v>145</v>
      </c>
      <c r="D31" s="1">
        <f>'Isochrone Singles'!H16</f>
        <v>1.6519999999999999</v>
      </c>
      <c r="E31" s="1">
        <f>'Isochrone Singles'!I16</f>
        <v>1.7430000000000001</v>
      </c>
      <c r="F31" s="1">
        <f>'Isochrone Singles'!J16</f>
        <v>1.7430000000000001</v>
      </c>
      <c r="H31" s="1">
        <v>15</v>
      </c>
    </row>
    <row r="32" spans="1:8">
      <c r="A32" s="55" t="str">
        <f>'Single Summary'!A32</f>
        <v>HD 74009</v>
      </c>
    </row>
    <row r="33" spans="1:8">
      <c r="A33" s="1" t="str">
        <f>'Single Summary'!A33</f>
        <v>HD74044</v>
      </c>
      <c r="B33" s="1" t="str">
        <f>'Single Summary'!B33</f>
        <v>A3</v>
      </c>
      <c r="C33" s="1">
        <f>'Single Summary'!C33</f>
        <v>145</v>
      </c>
      <c r="D33" s="1">
        <f>'Isochrone Singles'!H17</f>
        <v>1.6459999999999999</v>
      </c>
      <c r="E33" s="1">
        <f>'Isochrone Singles'!I17</f>
        <v>1.641</v>
      </c>
      <c r="F33" s="1">
        <f>'Isochrone Singles'!J17</f>
        <v>1.6240000000000001</v>
      </c>
      <c r="H33" s="1">
        <v>16</v>
      </c>
    </row>
    <row r="34" spans="1:8">
      <c r="A34" s="55" t="str">
        <f>'Single Summary'!A34</f>
        <v>HD 74044</v>
      </c>
    </row>
    <row r="35" spans="1:8">
      <c r="A35" s="1" t="str">
        <f>'Single Summary'!A35</f>
        <v>HD74056</v>
      </c>
      <c r="B35" s="1" t="str">
        <f>'Single Summary'!B35</f>
        <v>A1 V</v>
      </c>
      <c r="C35" s="1">
        <f>'Single Summary'!C35</f>
        <v>145</v>
      </c>
      <c r="D35" s="1">
        <f>'Isochrone Singles'!H18</f>
        <v>1.2050000000000001</v>
      </c>
      <c r="E35" s="1">
        <f>'Isochrone Singles'!I18</f>
        <v>1.103</v>
      </c>
      <c r="F35" s="1">
        <f>'Isochrone Singles'!J18</f>
        <v>1.1080000000000001</v>
      </c>
      <c r="H35" s="1">
        <v>17</v>
      </c>
    </row>
    <row r="36" spans="1:8">
      <c r="A36" s="55" t="str">
        <f>'Single Summary'!A36</f>
        <v>HD 74056</v>
      </c>
    </row>
    <row r="37" spans="1:8">
      <c r="A37" s="1" t="str">
        <f>'Single Summary'!A37</f>
        <v>HD74145</v>
      </c>
      <c r="B37" s="1" t="str">
        <f>'Single Summary'!B37</f>
        <v>A7 III</v>
      </c>
      <c r="C37" s="1">
        <f>'Single Summary'!C37</f>
        <v>145</v>
      </c>
      <c r="D37" s="1">
        <f>'Isochrone Singles'!H19</f>
        <v>1.651</v>
      </c>
      <c r="E37" s="1">
        <f>'Isochrone Singles'!I19</f>
        <v>1.6259999999999999</v>
      </c>
      <c r="F37" s="1">
        <f>'Isochrone Singles'!J19</f>
        <v>1.6619999999999999</v>
      </c>
      <c r="H37" s="1">
        <v>18</v>
      </c>
    </row>
    <row r="38" spans="1:8">
      <c r="A38" s="55" t="str">
        <f>'Single Summary'!A38</f>
        <v>HD 74145</v>
      </c>
    </row>
    <row r="39" spans="1:8">
      <c r="A39" s="1" t="str">
        <f>'Single Summary'!A39</f>
        <v>HD74537</v>
      </c>
      <c r="B39" s="1" t="str">
        <f>'Single Summary'!B39</f>
        <v>A3 IV</v>
      </c>
      <c r="C39" s="1">
        <f>'Single Summary'!C39</f>
        <v>145</v>
      </c>
      <c r="D39" s="1">
        <f>'Isochrone Singles'!H20</f>
        <v>1.552</v>
      </c>
      <c r="E39" s="1">
        <f>'Isochrone Singles'!I20</f>
        <v>1.4910000000000001</v>
      </c>
      <c r="F39" s="1">
        <f>'Isochrone Singles'!J20</f>
        <v>1.5269999999999999</v>
      </c>
      <c r="H39" s="1">
        <v>19</v>
      </c>
    </row>
    <row r="40" spans="1:8">
      <c r="A40" s="55" t="str">
        <f>'Single Summary'!A40</f>
        <v>HD 74537</v>
      </c>
    </row>
    <row r="41" spans="1:8">
      <c r="A41" s="1" t="str">
        <f>'Single Summary'!A41</f>
        <v>HD74665</v>
      </c>
      <c r="B41" s="1" t="str">
        <f>'Single Summary'!B41</f>
        <v>A3 V</v>
      </c>
      <c r="C41" s="1">
        <f>'Single Summary'!C41</f>
        <v>145</v>
      </c>
      <c r="D41" s="1">
        <f>'Isochrone Singles'!H21</f>
        <v>1.9710000000000001</v>
      </c>
      <c r="E41" s="1">
        <f>'Isochrone Singles'!I21</f>
        <v>2.012</v>
      </c>
      <c r="F41" s="1">
        <f>'Isochrone Singles'!J21</f>
        <v>2.242</v>
      </c>
      <c r="H41" s="1">
        <v>20</v>
      </c>
    </row>
    <row r="42" spans="1:8">
      <c r="A42" s="55" t="str">
        <f>'Single Summary'!A42</f>
        <v>HD 74665</v>
      </c>
    </row>
    <row r="43" spans="1:8">
      <c r="A43" s="62" t="s">
        <v>92</v>
      </c>
      <c r="B43" s="62" t="s">
        <v>92</v>
      </c>
      <c r="C43" s="62" t="s">
        <v>92</v>
      </c>
      <c r="D43" s="62" t="s">
        <v>92</v>
      </c>
      <c r="E43" s="62" t="s">
        <v>92</v>
      </c>
      <c r="F43" s="62" t="s">
        <v>92</v>
      </c>
      <c r="G43" s="62" t="s">
        <v>92</v>
      </c>
    </row>
    <row r="44" spans="1:8">
      <c r="A44" s="1" t="str">
        <f>'Single Summary'!A44</f>
        <v>M110</v>
      </c>
      <c r="B44" s="1" t="str">
        <f>'Single Summary'!B44</f>
        <v>A0 III</v>
      </c>
      <c r="C44" s="1">
        <f>'Single Summary'!C44</f>
        <v>270</v>
      </c>
      <c r="D44" s="1">
        <f>'Isochrone Singles'!H22</f>
        <v>5.2329999999999997</v>
      </c>
      <c r="E44" s="1">
        <f>'Isochrone Singles'!I22</f>
        <v>5.3550000000000004</v>
      </c>
      <c r="F44" s="1">
        <f>'Isochrone Singles'!J22</f>
        <v>5.5910000000000002</v>
      </c>
      <c r="H44" s="1">
        <v>1</v>
      </c>
    </row>
    <row r="45" spans="1:8">
      <c r="A45" s="55" t="str">
        <f>'Single Summary'!A45</f>
        <v>HD 162817</v>
      </c>
    </row>
    <row r="46" spans="1:8">
      <c r="A46" s="1" t="str">
        <f>'Single Summary'!A46</f>
        <v>M26</v>
      </c>
      <c r="B46" s="1" t="str">
        <f>'Single Summary'!B46</f>
        <v>B6 V</v>
      </c>
      <c r="C46" s="1">
        <f>'Single Summary'!C46</f>
        <v>270</v>
      </c>
      <c r="D46" s="1">
        <f>'Isochrone Singles'!H23</f>
        <v>4.4989999999999997</v>
      </c>
      <c r="E46" s="1">
        <f>'Isochrone Singles'!I23</f>
        <v>4.4980000000000002</v>
      </c>
      <c r="F46" s="1">
        <f>'Isochrone Singles'!J23</f>
        <v>4.6440000000000001</v>
      </c>
      <c r="H46" s="1">
        <v>2</v>
      </c>
    </row>
    <row r="47" spans="1:8">
      <c r="A47" s="55" t="str">
        <f>'Single Summary'!A47</f>
        <v>HD 162374</v>
      </c>
    </row>
    <row r="48" spans="1:8">
      <c r="A48" s="1" t="str">
        <f>'Single Summary'!A48</f>
        <v>M88</v>
      </c>
      <c r="B48" s="1" t="str">
        <f>'Single Summary'!B48</f>
        <v>B9.5 III</v>
      </c>
      <c r="C48" s="1">
        <f>'Single Summary'!C48</f>
        <v>270</v>
      </c>
      <c r="D48" s="1">
        <f>'Isochrone Singles'!H24</f>
        <v>4.149</v>
      </c>
      <c r="E48" s="1">
        <f>'Isochrone Singles'!I24</f>
        <v>4.2439999999999998</v>
      </c>
      <c r="F48" s="1">
        <f>'Isochrone Singles'!J24</f>
        <v>4.2889999999999997</v>
      </c>
      <c r="H48" s="1">
        <v>3</v>
      </c>
    </row>
    <row r="49" spans="1:8">
      <c r="A49" s="55" t="str">
        <f>'Single Summary'!A49</f>
        <v>HD 162725</v>
      </c>
    </row>
    <row r="50" spans="1:8">
      <c r="A50" s="268" t="str">
        <f>'Complete Binaries w. Flags'!A22</f>
        <v>M42</v>
      </c>
      <c r="B50" s="269" t="str">
        <f>'Complete Binaries w. Flags'!B22</f>
        <v>B9.5V</v>
      </c>
      <c r="C50" s="269">
        <f>'Complete Binaries w. Flags'!C22</f>
        <v>270</v>
      </c>
      <c r="D50" s="270">
        <f>'Complete Binaries w. Flags'!G22</f>
        <v>3.8410000000000002</v>
      </c>
      <c r="E50" s="270">
        <f>'Complete Binaries w. Flags'!H22</f>
        <v>3.8959999999999999</v>
      </c>
      <c r="F50" s="271">
        <f>'Complete Binaries w. Flags'!I22</f>
        <v>3.9340000000000002</v>
      </c>
      <c r="H50" s="1">
        <v>4</v>
      </c>
    </row>
    <row r="51" spans="1:8">
      <c r="A51" s="272" t="str">
        <f>'Complete Binaries w. Flags'!A23</f>
        <v>HD 162515</v>
      </c>
      <c r="B51" s="273"/>
      <c r="C51" s="273"/>
      <c r="D51" s="273"/>
      <c r="E51" s="273"/>
      <c r="F51" s="274"/>
    </row>
    <row r="52" spans="1:8">
      <c r="A52" s="62" t="s">
        <v>93</v>
      </c>
      <c r="B52" s="62" t="s">
        <v>93</v>
      </c>
      <c r="C52" s="62" t="s">
        <v>93</v>
      </c>
      <c r="D52" s="62" t="s">
        <v>93</v>
      </c>
      <c r="E52" s="62" t="s">
        <v>93</v>
      </c>
      <c r="F52" s="62" t="s">
        <v>93</v>
      </c>
      <c r="G52" s="62" t="s">
        <v>93</v>
      </c>
    </row>
    <row r="53" spans="1:8">
      <c r="A53" s="1" t="str">
        <f>'Single Summary'!A51</f>
        <v>M131</v>
      </c>
      <c r="B53" s="1" t="str">
        <f>'Single Summary'!B51</f>
        <v>B9 V</v>
      </c>
      <c r="C53" s="1">
        <f>'Single Summary'!C51</f>
        <v>184</v>
      </c>
      <c r="D53" s="1">
        <f>'Isochrone Singles'!H25</f>
        <v>2.952</v>
      </c>
      <c r="E53" s="1">
        <f>'Isochrone Singles'!I25</f>
        <v>2.8420000000000001</v>
      </c>
      <c r="F53" s="1">
        <f>'Isochrone Singles'!J25</f>
        <v>2.9670000000000001</v>
      </c>
      <c r="H53" s="38">
        <v>1</v>
      </c>
    </row>
    <row r="54" spans="1:8">
      <c r="A54" s="55" t="str">
        <f>'Single Summary'!A52</f>
        <v>HD 61087</v>
      </c>
      <c r="H54" s="38"/>
    </row>
    <row r="55" spans="1:8">
      <c r="A55" s="1" t="str">
        <f>'Single Summary'!A53</f>
        <v>M161</v>
      </c>
      <c r="B55" s="1" t="str">
        <f>'Single Summary'!B53</f>
        <v>A0 V</v>
      </c>
      <c r="C55" s="1">
        <f>'Single Summary'!C53</f>
        <v>184</v>
      </c>
      <c r="D55" s="1">
        <f>'Isochrone Singles'!H26</f>
        <v>2.2890000000000001</v>
      </c>
      <c r="E55" s="1">
        <f>'Isochrone Singles'!I26</f>
        <v>2.2410000000000001</v>
      </c>
      <c r="F55" s="1">
        <f>'Isochrone Singles'!J26</f>
        <v>2.359</v>
      </c>
      <c r="H55" s="38">
        <v>2</v>
      </c>
    </row>
    <row r="56" spans="1:8">
      <c r="A56" s="55" t="str">
        <f>'Single Summary'!A54</f>
        <v>HD 61621</v>
      </c>
      <c r="H56" s="38"/>
    </row>
    <row r="57" spans="1:8">
      <c r="A57" s="1" t="str">
        <f>'Single Summary'!A55</f>
        <v>M175</v>
      </c>
      <c r="B57" s="1" t="str">
        <f>'Single Summary'!B55</f>
        <v>B3 V</v>
      </c>
      <c r="C57" s="1">
        <f>'Single Summary'!C55</f>
        <v>184</v>
      </c>
      <c r="D57" s="1">
        <f>'Isochrone Singles'!H27</f>
        <v>5.6829999999999998</v>
      </c>
      <c r="E57" s="1">
        <f>'Isochrone Singles'!I27</f>
        <v>5.625</v>
      </c>
      <c r="F57" s="1">
        <f>'Isochrone Singles'!J27</f>
        <v>5.73</v>
      </c>
      <c r="H57" s="38">
        <v>3</v>
      </c>
    </row>
    <row r="58" spans="1:8">
      <c r="A58" s="55" t="str">
        <f>'Single Summary'!A56</f>
        <v>HD 61831</v>
      </c>
      <c r="H58" s="38"/>
    </row>
    <row r="59" spans="1:8">
      <c r="A59" s="1" t="str">
        <f>'Single Summary'!A57</f>
        <v>M184</v>
      </c>
      <c r="B59" s="1" t="str">
        <f>'Single Summary'!B57</f>
        <v>B2.5 V</v>
      </c>
      <c r="C59" s="1">
        <f>'Single Summary'!C57</f>
        <v>184</v>
      </c>
      <c r="D59" s="1">
        <f>'Isochrone Singles'!H28</f>
        <v>4.9870000000000001</v>
      </c>
      <c r="E59" s="1">
        <f>'Isochrone Singles'!I28</f>
        <v>5.0199999999999996</v>
      </c>
      <c r="F59" s="1">
        <f>'Isochrone Singles'!J28</f>
        <v>5.149</v>
      </c>
      <c r="H59" s="38">
        <v>4</v>
      </c>
    </row>
    <row r="60" spans="1:8">
      <c r="A60" s="55" t="str">
        <f>'Single Summary'!A58</f>
        <v>HD 61899</v>
      </c>
      <c r="H60" s="38"/>
    </row>
    <row r="61" spans="1:8">
      <c r="A61" s="1" t="str">
        <f>'Single Summary'!A59</f>
        <v>M186</v>
      </c>
      <c r="B61" s="1" t="str">
        <f>'Single Summary'!B59</f>
        <v>B7 V</v>
      </c>
      <c r="C61" s="1">
        <f>'Single Summary'!C59</f>
        <v>184</v>
      </c>
      <c r="D61" s="1">
        <f>'Isochrone Singles'!H29</f>
        <v>2.3610000000000002</v>
      </c>
      <c r="E61" s="1">
        <f>'Isochrone Singles'!I29</f>
        <v>2.339</v>
      </c>
      <c r="F61" s="1">
        <f>'Isochrone Singles'!J29</f>
        <v>2.3260000000000001</v>
      </c>
      <c r="H61" s="38">
        <v>5</v>
      </c>
    </row>
    <row r="62" spans="1:8">
      <c r="A62" s="55" t="str">
        <f>'Single Summary'!A60</f>
        <v>HD 61926</v>
      </c>
      <c r="H62" s="38"/>
    </row>
    <row r="63" spans="1:8">
      <c r="A63" s="1" t="str">
        <f>'Single Summary'!A61</f>
        <v>M187</v>
      </c>
      <c r="B63" s="1" t="str">
        <f>'Single Summary'!B61</f>
        <v>B5 IVe</v>
      </c>
      <c r="C63" s="1">
        <f>'Single Summary'!C61</f>
        <v>184</v>
      </c>
      <c r="D63" s="1">
        <f>'Isochrone Singles'!H30</f>
        <v>4.8280000000000003</v>
      </c>
      <c r="E63" s="1">
        <f>'Isochrone Singles'!I30</f>
        <v>4.9009999999999998</v>
      </c>
      <c r="F63" s="1">
        <f>'Isochrone Singles'!J30</f>
        <v>5.024</v>
      </c>
      <c r="H63" s="38">
        <v>6</v>
      </c>
    </row>
    <row r="64" spans="1:8">
      <c r="A64" s="55" t="str">
        <f>'Single Summary'!A62</f>
        <v>HD 61925</v>
      </c>
      <c r="H64" s="38"/>
    </row>
    <row r="65" spans="1:8">
      <c r="A65" s="1" t="str">
        <f>'Single Summary'!A63</f>
        <v>M202</v>
      </c>
      <c r="B65" s="1" t="str">
        <f>'Single Summary'!B63</f>
        <v>B9 V</v>
      </c>
      <c r="C65" s="1">
        <f>'Single Summary'!C63</f>
        <v>184</v>
      </c>
      <c r="D65" s="1">
        <f>'Isochrone Singles'!H31</f>
        <v>2.5110000000000001</v>
      </c>
      <c r="E65" s="1">
        <f>'Isochrone Singles'!I31</f>
        <v>2.4889999999999999</v>
      </c>
      <c r="F65" s="1">
        <f>'Isochrone Singles'!J31</f>
        <v>2.4990000000000001</v>
      </c>
      <c r="H65" s="38">
        <v>7</v>
      </c>
    </row>
    <row r="66" spans="1:8">
      <c r="A66" s="55" t="str">
        <f>'Single Summary'!A64</f>
        <v>HD 62227</v>
      </c>
      <c r="H66" s="38"/>
    </row>
    <row r="67" spans="1:8">
      <c r="A67" s="1" t="str">
        <f>'Single Summary'!A65</f>
        <v>M203</v>
      </c>
      <c r="B67" s="1" t="str">
        <f>'Single Summary'!B65</f>
        <v>B5 V</v>
      </c>
      <c r="C67" s="1">
        <f>'Single Summary'!C65</f>
        <v>184</v>
      </c>
      <c r="D67" s="1">
        <f>'Isochrone Singles'!H32</f>
        <v>5.1020000000000003</v>
      </c>
      <c r="E67" s="1">
        <f>'Isochrone Singles'!I32</f>
        <v>5.0620000000000003</v>
      </c>
      <c r="F67" s="1">
        <f>'Isochrone Singles'!J32</f>
        <v>5.2050000000000001</v>
      </c>
      <c r="H67" s="38">
        <v>8</v>
      </c>
    </row>
    <row r="68" spans="1:8">
      <c r="A68" s="55" t="str">
        <f>'Single Summary'!A66</f>
        <v>HD 62226</v>
      </c>
      <c r="H68" s="38"/>
    </row>
    <row r="69" spans="1:8">
      <c r="A69" s="1" t="str">
        <f>'Single Summary'!A67</f>
        <v>M211</v>
      </c>
      <c r="B69" s="1" t="str">
        <f>'Single Summary'!B67</f>
        <v>A8 V</v>
      </c>
      <c r="C69" s="1">
        <f>'Single Summary'!C67</f>
        <v>184</v>
      </c>
      <c r="D69" s="1">
        <f>'Isochrone Singles'!H33</f>
        <v>2.63</v>
      </c>
      <c r="E69" s="1">
        <f>'Isochrone Singles'!I33</f>
        <v>2.734</v>
      </c>
      <c r="F69" s="1">
        <f>'Isochrone Singles'!J33</f>
        <v>2.8370000000000002</v>
      </c>
      <c r="H69" s="38">
        <v>9</v>
      </c>
    </row>
    <row r="70" spans="1:8">
      <c r="A70" s="55" t="str">
        <f>'Single Summary'!A68</f>
        <v>HD 62415</v>
      </c>
      <c r="H70" s="38"/>
    </row>
    <row r="71" spans="1:8">
      <c r="A71" s="1" t="str">
        <f>'Single Summary'!A69</f>
        <v>M221</v>
      </c>
      <c r="B71" s="1" t="str">
        <f>'Single Summary'!B69</f>
        <v>F2 IV</v>
      </c>
      <c r="C71" s="1">
        <f>'Single Summary'!C69</f>
        <v>184</v>
      </c>
      <c r="D71" s="1">
        <f>'Isochrone Singles'!H34</f>
        <v>3.2330000000000001</v>
      </c>
      <c r="E71" s="1">
        <f>'Isochrone Singles'!I34</f>
        <v>3.4550000000000001</v>
      </c>
      <c r="F71" s="1">
        <f>'Isochrone Singles'!J34</f>
        <v>3.71</v>
      </c>
      <c r="H71" s="38">
        <v>10</v>
      </c>
    </row>
    <row r="72" spans="1:8">
      <c r="A72" s="55" t="str">
        <f>'Single Summary'!A70</f>
        <v>HD 62559</v>
      </c>
      <c r="H72" s="38"/>
    </row>
    <row r="73" spans="1:8">
      <c r="A73" s="1" t="str">
        <f>'Single Summary'!A71</f>
        <v>M228</v>
      </c>
      <c r="B73" s="1" t="str">
        <f>'Single Summary'!B71</f>
        <v>B9.5 V</v>
      </c>
      <c r="C73" s="1">
        <f>'Single Summary'!C71</f>
        <v>184</v>
      </c>
      <c r="D73" s="1">
        <f>'Isochrone Singles'!H35</f>
        <v>2.7469999999999999</v>
      </c>
      <c r="E73" s="1">
        <f>'Isochrone Singles'!I35</f>
        <v>2.7949999999999999</v>
      </c>
      <c r="F73" s="1">
        <f>'Isochrone Singles'!J35</f>
        <v>2.8660000000000001</v>
      </c>
      <c r="H73" s="38">
        <v>11</v>
      </c>
    </row>
    <row r="74" spans="1:8">
      <c r="A74" s="55" t="str">
        <f>'Single Summary'!A72</f>
        <v>HD 62642</v>
      </c>
      <c r="H74" s="38"/>
    </row>
    <row r="75" spans="1:8">
      <c r="A75" s="1" t="str">
        <f>'Single Summary'!A73</f>
        <v>M233</v>
      </c>
      <c r="B75" s="1" t="str">
        <f>'Single Summary'!B73</f>
        <v>B8 IV</v>
      </c>
      <c r="C75" s="1">
        <f>'Single Summary'!C73</f>
        <v>184</v>
      </c>
      <c r="D75" s="1">
        <f>'Isochrone Singles'!H36</f>
        <v>3.8180000000000001</v>
      </c>
      <c r="E75" s="1">
        <f>'Isochrone Singles'!I36</f>
        <v>3.802</v>
      </c>
      <c r="F75" s="1">
        <f>'Isochrone Singles'!J36</f>
        <v>3.87</v>
      </c>
      <c r="H75" s="38">
        <v>12</v>
      </c>
    </row>
    <row r="76" spans="1:8">
      <c r="A76" s="55" t="str">
        <f>'Single Summary'!A74</f>
        <v>HD 62712</v>
      </c>
      <c r="H76" s="38"/>
    </row>
    <row r="77" spans="1:8">
      <c r="A77" s="1" t="str">
        <f>'Single Summary'!A75</f>
        <v>M237</v>
      </c>
      <c r="B77" s="1" t="str">
        <f>'Single Summary'!B75</f>
        <v>B9 III</v>
      </c>
      <c r="C77" s="1">
        <f>'Single Summary'!C75</f>
        <v>184</v>
      </c>
      <c r="D77" s="1">
        <f>'Isochrone Singles'!H37</f>
        <v>2.2679999999999998</v>
      </c>
      <c r="E77" s="1">
        <f>'Isochrone Singles'!I37</f>
        <v>2.2570000000000001</v>
      </c>
      <c r="F77" s="1">
        <f>'Isochrone Singles'!J37</f>
        <v>2.1829999999999998</v>
      </c>
      <c r="H77" s="38">
        <v>13</v>
      </c>
    </row>
    <row r="78" spans="1:8">
      <c r="A78" s="55" t="str">
        <f>'Single Summary'!A76</f>
        <v>HD 62737</v>
      </c>
      <c r="H78" s="38"/>
    </row>
    <row r="79" spans="1:8">
      <c r="A79" s="1" t="str">
        <f>'Single Summary'!A77</f>
        <v>M239</v>
      </c>
      <c r="B79" s="1" t="str">
        <f>'Single Summary'!B77</f>
        <v>B9 V</v>
      </c>
      <c r="C79" s="1">
        <f>'Single Summary'!C77</f>
        <v>184</v>
      </c>
      <c r="D79" s="1">
        <f>'Isochrone Singles'!H38</f>
        <v>2.7690000000000001</v>
      </c>
      <c r="E79" s="1">
        <f>'Isochrone Singles'!I38</f>
        <v>2.7389999999999999</v>
      </c>
      <c r="F79" s="1">
        <f>'Isochrone Singles'!J38</f>
        <v>2.8079999999999998</v>
      </c>
      <c r="H79" s="38">
        <v>14</v>
      </c>
    </row>
    <row r="80" spans="1:8">
      <c r="A80" s="55" t="str">
        <f>'Single Summary'!A78</f>
        <v>HD 62803</v>
      </c>
      <c r="H80" s="38"/>
    </row>
    <row r="81" spans="1:8">
      <c r="A81" s="1" t="str">
        <f>'Single Summary'!A79</f>
        <v>M243</v>
      </c>
      <c r="B81" s="1" t="str">
        <f>'Single Summary'!B79</f>
        <v>B8 V</v>
      </c>
      <c r="C81" s="1">
        <f>'Single Summary'!C79</f>
        <v>184</v>
      </c>
      <c r="D81" s="1">
        <f>'Isochrone Singles'!H39</f>
        <v>1.8660000000000001</v>
      </c>
      <c r="E81" s="1">
        <f>'Isochrone Singles'!I39</f>
        <v>1.7989999999999999</v>
      </c>
      <c r="F81" s="1">
        <f>'Isochrone Singles'!J39</f>
        <v>1.8129999999999999</v>
      </c>
      <c r="H81" s="38">
        <v>15</v>
      </c>
    </row>
    <row r="82" spans="1:8">
      <c r="A82" s="55" t="str">
        <f>'Single Summary'!A80</f>
        <v>HD 62875</v>
      </c>
      <c r="H82" s="38"/>
    </row>
    <row r="83" spans="1:8">
      <c r="A83" s="1" t="str">
        <f>'Single Summary'!A81</f>
        <v>M246</v>
      </c>
      <c r="B83" s="1" t="str">
        <f>'Single Summary'!B81</f>
        <v>B7 V</v>
      </c>
      <c r="C83" s="1">
        <f>'Single Summary'!C81</f>
        <v>184</v>
      </c>
      <c r="D83" s="1">
        <f>'Isochrone Singles'!H40</f>
        <v>4.6630000000000003</v>
      </c>
      <c r="E83" s="1">
        <f>'Isochrone Singles'!I40</f>
        <v>4.5869999999999997</v>
      </c>
      <c r="F83" s="1">
        <f>'Isochrone Singles'!J40</f>
        <v>4.76</v>
      </c>
      <c r="H83" s="38">
        <v>16</v>
      </c>
    </row>
    <row r="84" spans="1:8">
      <c r="A84" s="55" t="str">
        <f>'Single Summary'!A82</f>
        <v>HD 62893</v>
      </c>
      <c r="H84" s="38"/>
    </row>
    <row r="85" spans="1:8">
      <c r="A85" s="1" t="str">
        <f>'Single Summary'!A83</f>
        <v>M248</v>
      </c>
      <c r="B85" s="1" t="str">
        <f>'Single Summary'!B83</f>
        <v>A0 V</v>
      </c>
      <c r="C85" s="1">
        <f>'Single Summary'!C83</f>
        <v>184</v>
      </c>
      <c r="D85" s="1">
        <f>'Isochrone Singles'!H41</f>
        <v>2.6680000000000001</v>
      </c>
      <c r="E85" s="1">
        <f>'Isochrone Singles'!I41</f>
        <v>2.6</v>
      </c>
      <c r="F85" s="1">
        <f>'Isochrone Singles'!J41</f>
        <v>2.6629999999999998</v>
      </c>
      <c r="H85" s="38">
        <v>17</v>
      </c>
    </row>
    <row r="86" spans="1:8">
      <c r="A86" s="55" t="str">
        <f>'Single Summary'!A84</f>
        <v>HD 62938</v>
      </c>
      <c r="H86" s="38"/>
    </row>
    <row r="87" spans="1:8">
      <c r="A87" s="1" t="str">
        <f>'Single Summary'!A85</f>
        <v>M249</v>
      </c>
      <c r="B87" s="1" t="str">
        <f>'Single Summary'!B85</f>
        <v>A0 V</v>
      </c>
      <c r="C87" s="1">
        <f>'Single Summary'!C85</f>
        <v>184</v>
      </c>
      <c r="D87" s="1">
        <f>'Isochrone Singles'!H42</f>
        <v>2.23</v>
      </c>
      <c r="E87" s="1">
        <f>'Isochrone Singles'!I42</f>
        <v>2.218</v>
      </c>
      <c r="F87" s="1">
        <f>'Isochrone Singles'!J42</f>
        <v>2.3039999999999998</v>
      </c>
      <c r="H87" s="38">
        <v>18</v>
      </c>
    </row>
    <row r="88" spans="1:8">
      <c r="A88" s="55" t="str">
        <f>'Single Summary'!A86</f>
        <v>HD 62961</v>
      </c>
      <c r="H88" s="38"/>
    </row>
    <row r="89" spans="1:8">
      <c r="A89" s="1" t="str">
        <f>'Single Summary'!A87</f>
        <v>M250</v>
      </c>
      <c r="B89" s="1" t="str">
        <f>'Single Summary'!B87</f>
        <v>A7 III</v>
      </c>
      <c r="C89" s="1">
        <f>'Single Summary'!C87</f>
        <v>184</v>
      </c>
      <c r="D89" s="1">
        <f>'Isochrone Singles'!H43</f>
        <v>2.617</v>
      </c>
      <c r="E89" s="1">
        <f>'Isochrone Singles'!I43</f>
        <v>2.6539999999999999</v>
      </c>
      <c r="F89" s="1">
        <f>'Isochrone Singles'!J43</f>
        <v>2.7370000000000001</v>
      </c>
      <c r="H89" s="38">
        <v>19</v>
      </c>
    </row>
    <row r="90" spans="1:8">
      <c r="A90" s="55" t="str">
        <f>'Single Summary'!A88</f>
        <v>HD 62992</v>
      </c>
      <c r="H90" s="38"/>
    </row>
    <row r="91" spans="1:8">
      <c r="A91" s="1" t="str">
        <f>'Single Summary'!A89</f>
        <v>M251</v>
      </c>
      <c r="B91" s="1" t="str">
        <f>'Single Summary'!B89</f>
        <v>B3 IV</v>
      </c>
      <c r="C91" s="1">
        <f>'Single Summary'!C89</f>
        <v>184</v>
      </c>
      <c r="D91" s="1">
        <f>'Isochrone Singles'!H44</f>
        <v>3.73</v>
      </c>
      <c r="E91" s="1">
        <f>'Isochrone Singles'!I44</f>
        <v>3.5960000000000001</v>
      </c>
      <c r="F91" s="1">
        <f>'Isochrone Singles'!J44</f>
        <v>3.774</v>
      </c>
      <c r="H91" s="38">
        <v>20</v>
      </c>
    </row>
    <row r="92" spans="1:8">
      <c r="A92" s="55" t="str">
        <f>'Single Summary'!A90</f>
        <v>HD 62991</v>
      </c>
      <c r="H92" s="38"/>
    </row>
    <row r="93" spans="1:8">
      <c r="A93" s="1" t="str">
        <f>'Single Summary'!A91</f>
        <v>M255</v>
      </c>
      <c r="B93" s="1" t="str">
        <f>'Single Summary'!B91</f>
        <v>A0 IV</v>
      </c>
      <c r="C93" s="1">
        <f>'Single Summary'!C91</f>
        <v>184</v>
      </c>
      <c r="D93" s="1">
        <f>'Isochrone Singles'!H45</f>
        <v>3.0289999999999999</v>
      </c>
      <c r="E93" s="1">
        <f>'Isochrone Singles'!I45</f>
        <v>3.0129999999999999</v>
      </c>
      <c r="F93" s="1">
        <f>'Isochrone Singles'!J45</f>
        <v>3.121</v>
      </c>
      <c r="H93" s="38">
        <v>21</v>
      </c>
    </row>
    <row r="94" spans="1:8">
      <c r="A94" s="55" t="str">
        <f>'Single Summary'!A92</f>
        <v>HD 63080</v>
      </c>
      <c r="H94" s="38"/>
    </row>
    <row r="95" spans="1:8">
      <c r="A95" s="1" t="str">
        <f>'Single Summary'!A93</f>
        <v>M256</v>
      </c>
      <c r="B95" s="1" t="str">
        <f>'Single Summary'!B93</f>
        <v>B9 V</v>
      </c>
      <c r="C95" s="1">
        <f>'Single Summary'!C93</f>
        <v>184</v>
      </c>
      <c r="D95" s="1">
        <f>'Isochrone Singles'!H46</f>
        <v>3.2480000000000002</v>
      </c>
      <c r="E95" s="1">
        <f>'Isochrone Singles'!I46</f>
        <v>3.2559999999999998</v>
      </c>
      <c r="F95" s="1">
        <f>'Isochrone Singles'!J46</f>
        <v>3.28</v>
      </c>
      <c r="H95" s="38">
        <v>22</v>
      </c>
    </row>
    <row r="96" spans="1:8">
      <c r="A96" s="55" t="str">
        <f>'Single Summary'!A94</f>
        <v>HD 63079</v>
      </c>
      <c r="H96" s="38"/>
    </row>
    <row r="97" spans="1:8">
      <c r="A97" s="1" t="str">
        <f>'Single Summary'!A95</f>
        <v>M267</v>
      </c>
      <c r="B97" s="1" t="str">
        <f>'Single Summary'!B95</f>
        <v>B7 V</v>
      </c>
      <c r="C97" s="1">
        <f>'Single Summary'!C95</f>
        <v>184</v>
      </c>
      <c r="D97" s="1">
        <f>'Isochrone Singles'!H47</f>
        <v>4.7060000000000004</v>
      </c>
      <c r="E97" s="1">
        <f>'Isochrone Singles'!I47</f>
        <v>4.6890000000000001</v>
      </c>
      <c r="F97" s="1">
        <f>'Isochrone Singles'!J47</f>
        <v>4.8099999999999996</v>
      </c>
      <c r="H97" s="38">
        <v>23</v>
      </c>
    </row>
    <row r="98" spans="1:8">
      <c r="A98" s="55" t="str">
        <f>'Single Summary'!A96</f>
        <v>HD 63215</v>
      </c>
      <c r="H98" s="38"/>
    </row>
    <row r="99" spans="1:8">
      <c r="A99" s="1" t="str">
        <f>'Single Summary'!A97</f>
        <v>M277</v>
      </c>
      <c r="B99" s="1" t="str">
        <f>'Single Summary'!B97</f>
        <v>B8 III</v>
      </c>
      <c r="C99" s="1">
        <f>'Single Summary'!C97</f>
        <v>184</v>
      </c>
      <c r="D99" s="1">
        <f>'Isochrone Singles'!H48</f>
        <v>3.9660000000000002</v>
      </c>
      <c r="E99" s="1">
        <f>'Isochrone Singles'!I48</f>
        <v>3.879</v>
      </c>
      <c r="F99" s="1">
        <f>'Isochrone Singles'!J48</f>
        <v>3.972</v>
      </c>
      <c r="H99" s="38">
        <v>24</v>
      </c>
    </row>
    <row r="100" spans="1:8">
      <c r="A100" s="55" t="str">
        <f>'Single Summary'!A98</f>
        <v>HD 63401</v>
      </c>
      <c r="H100" s="38"/>
    </row>
    <row r="101" spans="1:8">
      <c r="A101" s="1" t="str">
        <f>'Single Summary'!A99</f>
        <v>M281</v>
      </c>
      <c r="B101" s="1" t="str">
        <f>'Single Summary'!B99</f>
        <v>F3 IV</v>
      </c>
      <c r="C101" s="1">
        <f>'Single Summary'!C99</f>
        <v>184</v>
      </c>
      <c r="D101" s="1">
        <f>'Isochrone Singles'!H49</f>
        <v>4.3</v>
      </c>
      <c r="E101" s="1">
        <f>'Isochrone Singles'!I49</f>
        <v>4.5830000000000002</v>
      </c>
      <c r="F101" s="1">
        <f>'Isochrone Singles'!J49</f>
        <v>4.8220000000000001</v>
      </c>
      <c r="H101" s="38">
        <v>25</v>
      </c>
    </row>
    <row r="102" spans="1:8">
      <c r="A102" s="55" t="str">
        <f>'Single Summary'!A100</f>
        <v>HD 63424</v>
      </c>
      <c r="H102" s="38"/>
    </row>
    <row r="103" spans="1:8">
      <c r="A103" s="1" t="str">
        <f>'Single Summary'!A101</f>
        <v>M283</v>
      </c>
      <c r="B103" s="1" t="str">
        <f>'Single Summary'!B101</f>
        <v>B2 III</v>
      </c>
      <c r="C103" s="1">
        <f>'Single Summary'!C101</f>
        <v>184</v>
      </c>
      <c r="D103" s="1">
        <f>'Isochrone Singles'!H50</f>
        <v>5.6669999999999998</v>
      </c>
      <c r="E103" s="1">
        <f>'Isochrone Singles'!I50</f>
        <v>5.68</v>
      </c>
      <c r="F103" s="1">
        <f>'Isochrone Singles'!J50</f>
        <v>5.79</v>
      </c>
      <c r="H103" s="38">
        <v>26</v>
      </c>
    </row>
    <row r="104" spans="1:8">
      <c r="A104" s="55" t="str">
        <f>'Single Summary'!A102</f>
        <v>HD 63465</v>
      </c>
      <c r="H104" s="38"/>
    </row>
    <row r="105" spans="1:8">
      <c r="A105" s="1" t="str">
        <f>'Single Summary'!A103</f>
        <v>M36</v>
      </c>
      <c r="B105" s="1" t="str">
        <f>'Single Summary'!B103</f>
        <v>A0 V</v>
      </c>
      <c r="C105" s="1">
        <f>'Single Summary'!C103</f>
        <v>184</v>
      </c>
      <c r="D105" s="1">
        <f>'Isochrone Singles'!H51</f>
        <v>1.7849999999999999</v>
      </c>
      <c r="E105" s="1">
        <f>'Isochrone Singles'!I51</f>
        <v>1.718</v>
      </c>
      <c r="F105" s="1">
        <f>'Isochrone Singles'!J51</f>
        <v>1.742</v>
      </c>
      <c r="H105" s="38">
        <v>27</v>
      </c>
    </row>
    <row r="106" spans="1:8">
      <c r="A106" s="55" t="str">
        <f>'Single Summary'!A104</f>
        <v>CD -37 3845</v>
      </c>
      <c r="H106" s="38"/>
    </row>
    <row r="107" spans="1:8">
      <c r="A107" s="1" t="str">
        <f>'Single Summary'!A105</f>
        <v>M209</v>
      </c>
      <c r="B107" s="1" t="str">
        <f>'Single Summary'!B105</f>
        <v>B8 V</v>
      </c>
      <c r="C107" s="1">
        <f>'Single Summary'!C105</f>
        <v>184</v>
      </c>
      <c r="D107" s="1">
        <f>'Isochrone Singles'!H52</f>
        <v>3.7730000000000001</v>
      </c>
      <c r="E107" s="1">
        <f>'Isochrone Singles'!I52</f>
        <v>3.71</v>
      </c>
      <c r="F107" s="1">
        <f>'Isochrone Singles'!J52</f>
        <v>3.8940000000000001</v>
      </c>
      <c r="H107" s="38">
        <v>28</v>
      </c>
    </row>
    <row r="108" spans="1:8">
      <c r="A108" s="55" t="str">
        <f>'Single Summary'!A106</f>
        <v>HD 62376</v>
      </c>
      <c r="H108" s="38"/>
    </row>
    <row r="109" spans="1:8">
      <c r="A109" s="62" t="s">
        <v>94</v>
      </c>
      <c r="B109" s="62" t="s">
        <v>94</v>
      </c>
      <c r="C109" s="62" t="s">
        <v>94</v>
      </c>
      <c r="D109" s="62" t="s">
        <v>94</v>
      </c>
      <c r="E109" s="62" t="s">
        <v>94</v>
      </c>
      <c r="F109" s="62" t="s">
        <v>94</v>
      </c>
      <c r="G109" s="62" t="s">
        <v>94</v>
      </c>
    </row>
    <row r="110" spans="1:8">
      <c r="A110" s="1" t="str">
        <f>'Single Summary'!A108</f>
        <v>M10</v>
      </c>
      <c r="B110" s="1" t="str">
        <f>'Single Summary'!B108</f>
        <v>B8.5 V</v>
      </c>
      <c r="C110" s="1">
        <f>'Single Summary'!C108</f>
        <v>342</v>
      </c>
      <c r="D110" s="1">
        <f>'Isochrone Singles'!H53</f>
        <v>3.8159999999999998</v>
      </c>
      <c r="E110" s="1">
        <f>'Isochrone Singles'!I53</f>
        <v>3.7829999999999999</v>
      </c>
      <c r="F110" s="1">
        <f>'Isochrone Singles'!J53</f>
        <v>3.8559999999999999</v>
      </c>
      <c r="H110" s="38">
        <v>1</v>
      </c>
    </row>
    <row r="111" spans="1:8">
      <c r="A111" s="55" t="str">
        <f>'Single Summary'!A109</f>
        <v>HD 65869</v>
      </c>
      <c r="H111" s="38"/>
    </row>
    <row r="112" spans="1:8">
      <c r="A112" s="1" t="str">
        <f>'Single Summary'!A110</f>
        <v>M11</v>
      </c>
      <c r="B112" s="1" t="str">
        <f>'Single Summary'!B110</f>
        <v>B9.5 V</v>
      </c>
      <c r="C112" s="1">
        <f>'Single Summary'!C110</f>
        <v>342</v>
      </c>
      <c r="D112" s="1">
        <f>'Isochrone Singles'!H54</f>
        <v>3.052</v>
      </c>
      <c r="E112" s="1">
        <f>'Isochrone Singles'!I54</f>
        <v>3.0579999999999998</v>
      </c>
      <c r="F112" s="1">
        <f>'Isochrone Singles'!J54</f>
        <v>3.1259999999999999</v>
      </c>
      <c r="H112" s="38">
        <v>2</v>
      </c>
    </row>
    <row r="113" spans="1:8">
      <c r="A113" s="55" t="str">
        <f>'Single Summary'!A111</f>
        <v>HIP 120403</v>
      </c>
      <c r="H113" s="38"/>
    </row>
    <row r="114" spans="1:8">
      <c r="A114" s="1" t="str">
        <f>'Single Summary'!A112</f>
        <v>M15</v>
      </c>
      <c r="B114" s="1" t="str">
        <f>'Single Summary'!B112</f>
        <v>Apv... C</v>
      </c>
      <c r="C114" s="1">
        <f>'Single Summary'!C112</f>
        <v>342</v>
      </c>
      <c r="D114" s="1">
        <f>'Isochrone Singles'!H55</f>
        <v>3.7</v>
      </c>
      <c r="E114" s="1">
        <f>'Isochrone Singles'!I55</f>
        <v>3.6640000000000001</v>
      </c>
      <c r="F114" s="1">
        <f>'Isochrone Singles'!J55</f>
        <v>3.726</v>
      </c>
      <c r="H114" s="38">
        <v>3</v>
      </c>
    </row>
    <row r="115" spans="1:8">
      <c r="A115" s="55" t="str">
        <f>'Single Summary'!A113</f>
        <v>HD 65987</v>
      </c>
      <c r="H115" s="38"/>
    </row>
    <row r="116" spans="1:8">
      <c r="A116" s="1" t="str">
        <f>'Single Summary'!A114</f>
        <v>M113</v>
      </c>
      <c r="B116" s="1" t="str">
        <f>'Single Summary'!B114</f>
        <v>A2 V</v>
      </c>
      <c r="C116" s="1">
        <f>'Single Summary'!C114</f>
        <v>342</v>
      </c>
      <c r="D116" s="1">
        <f>'Isochrone Singles'!H56</f>
        <v>3.3010000000000002</v>
      </c>
      <c r="E116" s="1">
        <f>'Isochrone Singles'!I56</f>
        <v>3.355</v>
      </c>
      <c r="F116" s="1">
        <f>'Isochrone Singles'!J56</f>
        <v>3.4220000000000002</v>
      </c>
      <c r="H116" s="38">
        <v>4</v>
      </c>
    </row>
    <row r="117" spans="1:8">
      <c r="A117" s="55" t="str">
        <f>'Single Summary'!A115</f>
        <v>HD 65405</v>
      </c>
      <c r="H117" s="38"/>
    </row>
    <row r="118" spans="1:8">
      <c r="A118" s="1" t="str">
        <f>'Single Summary'!A116</f>
        <v>M116</v>
      </c>
      <c r="B118" s="1" t="str">
        <f>'Single Summary'!B116</f>
        <v>B8 V</v>
      </c>
      <c r="C118" s="1">
        <f>'Single Summary'!C116</f>
        <v>342</v>
      </c>
      <c r="D118" s="1">
        <f>'Isochrone Singles'!H57</f>
        <v>3.3759999999999999</v>
      </c>
      <c r="E118" s="1">
        <f>'Isochrone Singles'!I57</f>
        <v>3.411</v>
      </c>
      <c r="F118" s="1">
        <f>'Isochrone Singles'!J57</f>
        <v>3.4980000000000002</v>
      </c>
      <c r="H118" s="38">
        <v>5</v>
      </c>
    </row>
    <row r="119" spans="1:8">
      <c r="A119" s="55" t="str">
        <f>'Single Summary'!A117</f>
        <v>HD 65578</v>
      </c>
      <c r="H119" s="38"/>
    </row>
    <row r="120" spans="1:8">
      <c r="A120" s="1" t="str">
        <f>'Single Summary'!A118</f>
        <v>M120</v>
      </c>
      <c r="B120" s="1" t="str">
        <f>'Single Summary'!B118</f>
        <v>B8 IVe</v>
      </c>
      <c r="C120" s="1">
        <f>'Single Summary'!C118</f>
        <v>342</v>
      </c>
      <c r="D120" s="1">
        <f>'Isochrone Singles'!H58</f>
        <v>4.8479999999999999</v>
      </c>
      <c r="E120" s="1">
        <f>'Isochrone Singles'!I58</f>
        <v>4.8899999999999997</v>
      </c>
      <c r="F120" s="1">
        <f>'Isochrone Singles'!J58</f>
        <v>5.0449999999999999</v>
      </c>
      <c r="H120" s="38">
        <v>6</v>
      </c>
    </row>
    <row r="121" spans="1:8">
      <c r="A121" s="55" t="str">
        <f>'Single Summary'!A119</f>
        <v>HD 65663</v>
      </c>
      <c r="H121" s="38"/>
    </row>
    <row r="122" spans="1:8">
      <c r="A122" s="1" t="str">
        <f>'Single Summary'!A120</f>
        <v>M126</v>
      </c>
      <c r="B122" s="1" t="str">
        <f>'Single Summary'!B120</f>
        <v>B8.5 III</v>
      </c>
      <c r="C122" s="1">
        <f>'Single Summary'!C120</f>
        <v>342</v>
      </c>
      <c r="D122" s="1">
        <f>'Isochrone Singles'!H59</f>
        <v>4.577</v>
      </c>
      <c r="E122" s="1">
        <f>'Isochrone Singles'!I59</f>
        <v>4.5979999999999999</v>
      </c>
      <c r="F122" s="1">
        <f>'Isochrone Singles'!J59</f>
        <v>4.6870000000000003</v>
      </c>
      <c r="H122" s="38">
        <v>7</v>
      </c>
    </row>
    <row r="123" spans="1:8">
      <c r="A123" s="55" t="str">
        <f>'Single Summary'!A121</f>
        <v>HD 65950</v>
      </c>
      <c r="H123" s="38"/>
    </row>
    <row r="124" spans="1:8">
      <c r="A124" s="1" t="str">
        <f>'Single Summary'!A122</f>
        <v>M129</v>
      </c>
      <c r="B124" s="1" t="str">
        <f>'Single Summary'!B122</f>
        <v>B9 IV</v>
      </c>
      <c r="C124" s="1">
        <f>'Single Summary'!C122</f>
        <v>342</v>
      </c>
      <c r="D124" s="1">
        <f>'Isochrone Singles'!H60</f>
        <v>4.3780000000000001</v>
      </c>
      <c r="E124" s="1">
        <f>'Isochrone Singles'!I60</f>
        <v>4.4290000000000003</v>
      </c>
      <c r="F124" s="1">
        <f>'Isochrone Singles'!J60</f>
        <v>4.5659999999999998</v>
      </c>
      <c r="H124" s="38">
        <v>8</v>
      </c>
    </row>
    <row r="125" spans="1:8">
      <c r="A125" s="55" t="str">
        <f>'Single Summary'!A123</f>
        <v>SAO 250045</v>
      </c>
      <c r="H125" s="38"/>
    </row>
    <row r="126" spans="1:8">
      <c r="A126" s="1" t="str">
        <f>'Single Summary'!A124</f>
        <v>M13</v>
      </c>
      <c r="B126" s="1" t="str">
        <f>'Single Summary'!B124</f>
        <v>B8 IV</v>
      </c>
      <c r="C126" s="1">
        <f>'Single Summary'!C124</f>
        <v>342</v>
      </c>
      <c r="D126" s="1">
        <f>'Isochrone Singles'!H61</f>
        <v>3.3370000000000002</v>
      </c>
      <c r="E126" s="1">
        <f>'Isochrone Singles'!I61</f>
        <v>3.3359999999999999</v>
      </c>
      <c r="F126" s="1">
        <f>'Isochrone Singles'!J61</f>
        <v>3.3639999999999999</v>
      </c>
      <c r="H126" s="38">
        <v>9</v>
      </c>
    </row>
    <row r="127" spans="1:8">
      <c r="A127" s="55" t="str">
        <f>'Single Summary'!A125</f>
        <v>SAO 250024</v>
      </c>
      <c r="H127" s="38"/>
    </row>
    <row r="128" spans="1:8">
      <c r="A128" s="1" t="str">
        <f>'Single Summary'!A126</f>
        <v>M130</v>
      </c>
      <c r="B128" s="1" t="str">
        <f>'Single Summary'!B126</f>
        <v>B8.5 IV</v>
      </c>
      <c r="C128" s="1">
        <f>'Single Summary'!C126</f>
        <v>342</v>
      </c>
      <c r="D128" s="1">
        <f>'Isochrone Singles'!H62</f>
        <v>4.266</v>
      </c>
      <c r="E128" s="1">
        <f>'Isochrone Singles'!I62</f>
        <v>4.2350000000000003</v>
      </c>
      <c r="F128" s="1">
        <f>'Isochrone Singles'!J62</f>
        <v>4.3159999999999998</v>
      </c>
      <c r="H128" s="38">
        <v>10</v>
      </c>
    </row>
    <row r="129" spans="1:8">
      <c r="A129" s="55" t="str">
        <f>'Single Summary'!A127</f>
        <v>HD 66066</v>
      </c>
      <c r="H129" s="38"/>
    </row>
    <row r="130" spans="1:8">
      <c r="A130" s="1" t="str">
        <f>'Single Summary'!A128</f>
        <v>M132</v>
      </c>
      <c r="B130" s="1" t="str">
        <f>'Single Summary'!B128</f>
        <v>B9 V</v>
      </c>
      <c r="C130" s="1">
        <f>'Single Summary'!C128</f>
        <v>342</v>
      </c>
      <c r="D130" s="1">
        <f>'Isochrone Singles'!H63</f>
        <v>3.052</v>
      </c>
      <c r="E130" s="1">
        <f>'Isochrone Singles'!I63</f>
        <v>3.1070000000000002</v>
      </c>
      <c r="F130" s="1">
        <f>'Isochrone Singles'!J63</f>
        <v>3.1150000000000002</v>
      </c>
      <c r="H130" s="38">
        <v>11</v>
      </c>
    </row>
    <row r="131" spans="1:8">
      <c r="A131" s="55" t="str">
        <f>'Single Summary'!A129</f>
        <v>CD -60 1975</v>
      </c>
      <c r="H131" s="38"/>
    </row>
    <row r="132" spans="1:8">
      <c r="A132" s="1" t="str">
        <f>'Single Summary'!A130</f>
        <v>M134</v>
      </c>
      <c r="B132" s="1" t="str">
        <f>'Single Summary'!B130</f>
        <v>B3 V</v>
      </c>
      <c r="C132" s="1">
        <f>'Single Summary'!C130</f>
        <v>342</v>
      </c>
      <c r="D132" s="1">
        <f>'Isochrone Singles'!H64</f>
        <v>6.9989999999999997</v>
      </c>
      <c r="E132" s="1">
        <f>'Isochrone Singles'!I64</f>
        <v>6.9989999999999997</v>
      </c>
      <c r="F132" s="1">
        <f>'Isochrone Singles'!J64</f>
        <v>6.9989999999999997</v>
      </c>
      <c r="H132" s="38">
        <v>12</v>
      </c>
    </row>
    <row r="133" spans="1:8">
      <c r="A133" s="55" t="str">
        <f>'Single Summary'!A131</f>
        <v>HD 66194</v>
      </c>
      <c r="H133" s="38"/>
    </row>
    <row r="134" spans="1:8">
      <c r="A134" s="1" t="str">
        <f>'Single Summary'!A132</f>
        <v>M136</v>
      </c>
      <c r="B134" s="1" t="str">
        <f>'Single Summary'!B132</f>
        <v>B7 III</v>
      </c>
      <c r="C134" s="1">
        <f>'Single Summary'!C132</f>
        <v>342</v>
      </c>
      <c r="D134" s="1">
        <f>'Isochrone Singles'!H65</f>
        <v>5.1740000000000004</v>
      </c>
      <c r="E134" s="1">
        <f>'Isochrone Singles'!I65</f>
        <v>5.2039999999999997</v>
      </c>
      <c r="F134" s="1">
        <f>'Isochrone Singles'!J65</f>
        <v>5.375</v>
      </c>
      <c r="H134" s="38">
        <v>13</v>
      </c>
    </row>
    <row r="135" spans="1:8">
      <c r="A135" s="55" t="str">
        <f>'Single Summary'!A133</f>
        <v>HD 66341</v>
      </c>
      <c r="H135" s="38"/>
    </row>
    <row r="136" spans="1:8">
      <c r="A136" s="1" t="str">
        <f>'Single Summary'!A134</f>
        <v>M19</v>
      </c>
      <c r="B136" s="1" t="str">
        <f>'Single Summary'!B134</f>
        <v>B9 V</v>
      </c>
      <c r="C136" s="1">
        <f>'Single Summary'!C134</f>
        <v>342</v>
      </c>
      <c r="D136" s="1">
        <f>'Isochrone Singles'!H66</f>
        <v>3.706</v>
      </c>
      <c r="E136" s="1">
        <f>'Isochrone Singles'!I66</f>
        <v>3.6880000000000002</v>
      </c>
      <c r="F136" s="1">
        <f>'Isochrone Singles'!J66</f>
        <v>3.802</v>
      </c>
      <c r="H136" s="38">
        <v>14</v>
      </c>
    </row>
    <row r="137" spans="1:8">
      <c r="A137" s="55" t="str">
        <f>'Single Summary'!A135</f>
        <v>HD 66137</v>
      </c>
      <c r="H137" s="38"/>
    </row>
    <row r="138" spans="1:8">
      <c r="A138" s="1" t="str">
        <f>'Single Summary'!A136</f>
        <v>M20</v>
      </c>
      <c r="B138" s="1" t="str">
        <f>'Single Summary'!B136</f>
        <v>B9.5 IV</v>
      </c>
      <c r="C138" s="1">
        <f>'Single Summary'!C136</f>
        <v>342</v>
      </c>
      <c r="D138" s="1">
        <f>'Isochrone Singles'!H67</f>
        <v>3.0550000000000002</v>
      </c>
      <c r="E138" s="1">
        <f>'Isochrone Singles'!I67</f>
        <v>3.1520000000000001</v>
      </c>
      <c r="F138" s="1">
        <f>'Isochrone Singles'!J67</f>
        <v>3.23</v>
      </c>
      <c r="H138" s="38">
        <v>15</v>
      </c>
    </row>
    <row r="139" spans="1:8">
      <c r="A139" s="55" t="str">
        <f>'Single Summary'!A137</f>
        <v>HD 66259</v>
      </c>
      <c r="H139" s="38"/>
    </row>
    <row r="140" spans="1:8">
      <c r="A140" s="1" t="str">
        <f>'Single Summary'!A138</f>
        <v>M208</v>
      </c>
      <c r="B140" s="1" t="str">
        <f>'Single Summary'!B138</f>
        <v>B9 IV</v>
      </c>
      <c r="C140" s="1">
        <f>'Single Summary'!C138</f>
        <v>342</v>
      </c>
      <c r="D140" s="1">
        <f>'Isochrone Singles'!H68</f>
        <v>3.17</v>
      </c>
      <c r="E140" s="1">
        <f>'Isochrone Singles'!I68</f>
        <v>3.109</v>
      </c>
      <c r="F140" s="1">
        <f>'Isochrone Singles'!J68</f>
        <v>3.2490000000000001</v>
      </c>
      <c r="H140" s="38">
        <v>16</v>
      </c>
    </row>
    <row r="141" spans="1:8">
      <c r="A141" s="55" t="str">
        <f>'Single Summary'!A139</f>
        <v>CPD -60 944</v>
      </c>
      <c r="H141" s="38"/>
    </row>
    <row r="142" spans="1:8">
      <c r="A142" s="1" t="str">
        <f>'Single Summary'!A140</f>
        <v>M224</v>
      </c>
      <c r="B142" s="1" t="str">
        <f>'Single Summary'!B140</f>
        <v>F1 V</v>
      </c>
      <c r="C142" s="1">
        <f>'Single Summary'!C140</f>
        <v>342</v>
      </c>
      <c r="D142" s="1">
        <f>'Isochrone Singles'!H69</f>
        <v>6.9989999999999997</v>
      </c>
      <c r="E142" s="1">
        <f>'Isochrone Singles'!I69</f>
        <v>6.9989999999999997</v>
      </c>
      <c r="F142" s="1">
        <f>'Isochrone Singles'!J69</f>
        <v>6.9989999999999997</v>
      </c>
      <c r="H142" s="38">
        <v>17</v>
      </c>
    </row>
    <row r="143" spans="1:8">
      <c r="A143" s="55" t="str">
        <f>'Single Summary'!A141</f>
        <v>HD 64185</v>
      </c>
      <c r="H143" s="38"/>
    </row>
    <row r="144" spans="1:8">
      <c r="A144" s="1" t="str">
        <f>'Single Summary'!A142</f>
        <v>M226</v>
      </c>
      <c r="B144" s="1" t="str">
        <f>'Single Summary'!B142</f>
        <v>B8 V</v>
      </c>
      <c r="C144" s="1">
        <f>'Single Summary'!C142</f>
        <v>342</v>
      </c>
      <c r="D144" s="1">
        <f>'Isochrone Singles'!H70</f>
        <v>3.6789999999999998</v>
      </c>
      <c r="E144" s="1">
        <f>'Isochrone Singles'!I70</f>
        <v>3.6749999999999998</v>
      </c>
      <c r="F144" s="1">
        <f>'Isochrone Singles'!J70</f>
        <v>3.758</v>
      </c>
      <c r="H144" s="38">
        <v>18</v>
      </c>
    </row>
    <row r="145" spans="1:8">
      <c r="A145" s="55" t="str">
        <f>'Single Summary'!A143</f>
        <v>HD 65094</v>
      </c>
      <c r="H145" s="38"/>
    </row>
    <row r="146" spans="1:8">
      <c r="A146" s="1" t="str">
        <f>'Single Summary'!A144</f>
        <v>M23</v>
      </c>
      <c r="B146" s="1" t="str">
        <f>'Single Summary'!B144</f>
        <v>B8.5 IV</v>
      </c>
      <c r="C146" s="1">
        <f>'Single Summary'!C144</f>
        <v>342</v>
      </c>
      <c r="D146" s="1">
        <f>'Isochrone Singles'!H71</f>
        <v>3.1040000000000001</v>
      </c>
      <c r="E146" s="1">
        <f>'Isochrone Singles'!I71</f>
        <v>3.1059999999999999</v>
      </c>
      <c r="F146" s="1">
        <f>'Isochrone Singles'!J71</f>
        <v>3.149</v>
      </c>
      <c r="H146" s="38">
        <v>19</v>
      </c>
    </row>
    <row r="147" spans="1:8">
      <c r="A147" s="55" t="str">
        <f>'Single Summary'!A145</f>
        <v>HD 66409</v>
      </c>
      <c r="H147" s="38"/>
    </row>
    <row r="148" spans="1:8">
      <c r="A148" s="1" t="str">
        <f>'Single Summary'!A146</f>
        <v>M29</v>
      </c>
      <c r="B148" s="1" t="str">
        <f>'Single Summary'!B146</f>
        <v>A0 V</v>
      </c>
      <c r="C148" s="1">
        <f>'Single Summary'!C146</f>
        <v>342</v>
      </c>
      <c r="D148" s="1">
        <f>'Isochrone Singles'!H72</f>
        <v>3.2450000000000001</v>
      </c>
      <c r="E148" s="1">
        <f>'Isochrone Singles'!I72</f>
        <v>3.3039999999999998</v>
      </c>
      <c r="F148" s="1">
        <f>'Isochrone Singles'!J72</f>
        <v>3.3490000000000002</v>
      </c>
      <c r="H148" s="38">
        <v>20</v>
      </c>
    </row>
    <row r="149" spans="1:8">
      <c r="A149" s="55" t="str">
        <f>'Single Summary'!A147</f>
        <v>HD 66656</v>
      </c>
      <c r="H149" s="38"/>
    </row>
    <row r="150" spans="1:8">
      <c r="A150" s="1" t="str">
        <f>'Single Summary'!A148</f>
        <v>M37</v>
      </c>
      <c r="B150" s="1" t="str">
        <f>'Single Summary'!B148</f>
        <v>B8.5 V</v>
      </c>
      <c r="C150" s="1">
        <f>'Single Summary'!C148</f>
        <v>342</v>
      </c>
      <c r="D150" s="1">
        <f>'Isochrone Singles'!H73</f>
        <v>3.343</v>
      </c>
      <c r="E150" s="1">
        <f>'Isochrone Singles'!I73</f>
        <v>3.3359999999999999</v>
      </c>
      <c r="F150" s="1">
        <f>'Isochrone Singles'!J73</f>
        <v>3.423</v>
      </c>
      <c r="H150" s="38">
        <v>21</v>
      </c>
    </row>
    <row r="151" spans="1:8">
      <c r="A151" s="55" t="str">
        <f>'Single Summary'!A149</f>
        <v>CPD -60 985</v>
      </c>
      <c r="H151" s="38"/>
    </row>
    <row r="152" spans="1:8">
      <c r="A152" s="1" t="str">
        <f>'Single Summary'!A150</f>
        <v>M5</v>
      </c>
      <c r="B152" s="1" t="str">
        <f>'Single Summary'!B150</f>
        <v>B8.5 IV</v>
      </c>
      <c r="C152" s="1">
        <f>'Single Summary'!C150</f>
        <v>342</v>
      </c>
      <c r="D152" s="1">
        <f>'Isochrone Singles'!H74</f>
        <v>3.121</v>
      </c>
      <c r="E152" s="1">
        <f>'Isochrone Singles'!I74</f>
        <v>3.218</v>
      </c>
      <c r="F152" s="1">
        <f>'Isochrone Singles'!J74</f>
        <v>3.1930000000000001</v>
      </c>
      <c r="H152" s="38">
        <v>22</v>
      </c>
    </row>
    <row r="153" spans="1:8">
      <c r="A153" s="55" t="str">
        <f>'Single Summary'!A151</f>
        <v>CD -60 1929</v>
      </c>
      <c r="H153" s="38"/>
    </row>
    <row r="154" spans="1:8">
      <c r="A154" s="1" t="str">
        <f>'Single Summary'!A152</f>
        <v>M83</v>
      </c>
      <c r="B154" s="1" t="str">
        <f>'Single Summary'!B152</f>
        <v>B8.5 V</v>
      </c>
      <c r="C154" s="1">
        <f>'Single Summary'!C152</f>
        <v>342</v>
      </c>
      <c r="D154" s="1">
        <f>'Isochrone Singles'!H75</f>
        <v>3.1920000000000002</v>
      </c>
      <c r="E154" s="1">
        <f>'Isochrone Singles'!I75</f>
        <v>3.2440000000000002</v>
      </c>
      <c r="F154" s="1">
        <f>'Isochrone Singles'!J75</f>
        <v>3.2519999999999998</v>
      </c>
      <c r="H154" s="38">
        <v>23</v>
      </c>
    </row>
    <row r="155" spans="1:8">
      <c r="A155" s="55" t="str">
        <f>'Single Summary'!A153</f>
        <v>SAO 250042</v>
      </c>
      <c r="H155" s="38"/>
    </row>
    <row r="156" spans="1:8">
      <c r="A156" s="1" t="str">
        <f>'Single Summary'!A154</f>
        <v>M91</v>
      </c>
      <c r="B156" s="1" t="str">
        <f>'Single Summary'!B154</f>
        <v>B9 III</v>
      </c>
      <c r="C156" s="1">
        <f>'Single Summary'!C154</f>
        <v>342</v>
      </c>
      <c r="D156" s="1">
        <f>'Isochrone Singles'!H76</f>
        <v>3.0840000000000001</v>
      </c>
      <c r="E156" s="1">
        <f>'Isochrone Singles'!I76</f>
        <v>3.0910000000000002</v>
      </c>
      <c r="F156" s="1">
        <f>'Isochrone Singles'!J76</f>
        <v>3.1160000000000001</v>
      </c>
      <c r="H156" s="38">
        <v>24</v>
      </c>
    </row>
    <row r="157" spans="1:8">
      <c r="A157" s="55" t="str">
        <f>'Single Summary'!A155</f>
        <v>HD 65949</v>
      </c>
      <c r="H157" s="38"/>
    </row>
    <row r="158" spans="1:8">
      <c r="A158" s="62" t="s">
        <v>95</v>
      </c>
      <c r="B158" s="62" t="s">
        <v>95</v>
      </c>
      <c r="C158" s="62" t="s">
        <v>95</v>
      </c>
      <c r="D158" s="62" t="s">
        <v>95</v>
      </c>
      <c r="E158" s="62" t="s">
        <v>95</v>
      </c>
      <c r="F158" s="62" t="s">
        <v>95</v>
      </c>
      <c r="G158" s="62" t="s">
        <v>95</v>
      </c>
    </row>
    <row r="159" spans="1:8">
      <c r="A159" s="1" t="str">
        <f>'Single Summary'!A157</f>
        <v>M115</v>
      </c>
      <c r="B159" s="1" t="str">
        <f>'Single Summary'!B157</f>
        <v>A E</v>
      </c>
      <c r="C159" s="1">
        <f>'Single Summary'!C157</f>
        <v>412</v>
      </c>
      <c r="D159" s="166">
        <f>'Isochrone Singles'!H77</f>
        <v>2.7069999999999999</v>
      </c>
      <c r="E159" s="166">
        <f>'Isochrone Singles'!I77</f>
        <v>2.6669999999999998</v>
      </c>
      <c r="F159" s="166">
        <f>'Isochrone Singles'!J77</f>
        <v>2.6930000000000001</v>
      </c>
      <c r="H159" s="38">
        <v>1</v>
      </c>
    </row>
    <row r="160" spans="1:8">
      <c r="A160" s="55" t="str">
        <f>'Single Summary'!A158</f>
        <v>HD 96430</v>
      </c>
      <c r="D160" s="91"/>
      <c r="E160" s="91"/>
      <c r="F160" s="91"/>
      <c r="H160" s="38"/>
    </row>
    <row r="161" spans="1:8">
      <c r="A161" s="1" t="str">
        <f>'Single Summary'!A159</f>
        <v>M199</v>
      </c>
      <c r="B161" s="1" t="str">
        <f>'Single Summary'!B159</f>
        <v>A1 V</v>
      </c>
      <c r="C161" s="1">
        <f>'Single Summary'!C159</f>
        <v>412</v>
      </c>
      <c r="D161" s="166">
        <f>'Isochrone Singles'!H78</f>
        <v>3.1829999999999998</v>
      </c>
      <c r="E161" s="166">
        <f>'Isochrone Singles'!I78</f>
        <v>3.19</v>
      </c>
      <c r="F161" s="166">
        <f>'Isochrone Singles'!J78</f>
        <v>3.234</v>
      </c>
      <c r="H161" s="38">
        <v>2</v>
      </c>
    </row>
    <row r="162" spans="1:8">
      <c r="A162" s="55" t="str">
        <f>'Single Summary'!A160</f>
        <v>HD 96489</v>
      </c>
      <c r="D162" s="91"/>
      <c r="E162" s="91"/>
      <c r="F162" s="91"/>
      <c r="H162" s="38"/>
    </row>
    <row r="163" spans="1:8">
      <c r="A163" s="1" t="str">
        <f>'Single Summary'!A161</f>
        <v>M215</v>
      </c>
      <c r="B163" s="1" t="str">
        <f>'Single Summary'!B161</f>
        <v>B9.5 IV</v>
      </c>
      <c r="C163" s="1">
        <f>'Single Summary'!C161</f>
        <v>412</v>
      </c>
      <c r="D163" s="166">
        <f>'Isochrone Singles'!H79</f>
        <v>2.7069999999999999</v>
      </c>
      <c r="E163" s="166">
        <f>'Isochrone Singles'!I79</f>
        <v>2.6669999999999998</v>
      </c>
      <c r="F163" s="166">
        <f>'Isochrone Singles'!J79</f>
        <v>2.6930000000000001</v>
      </c>
      <c r="H163" s="38">
        <v>3</v>
      </c>
    </row>
    <row r="164" spans="1:8">
      <c r="A164" s="55" t="str">
        <f>'Single Summary'!A162</f>
        <v>HD 96430</v>
      </c>
      <c r="D164" s="91"/>
      <c r="E164" s="91"/>
      <c r="F164" s="91"/>
      <c r="H164" s="38"/>
    </row>
    <row r="165" spans="1:8">
      <c r="A165" s="1" t="str">
        <f>'Single Summary'!A163</f>
        <v>M337</v>
      </c>
      <c r="B165" s="1" t="str">
        <f>'Single Summary'!B163</f>
        <v>A0 IV</v>
      </c>
      <c r="C165" s="1">
        <f>'Single Summary'!C163</f>
        <v>412</v>
      </c>
      <c r="D165" s="166">
        <f>'Isochrone Singles'!H80</f>
        <v>2.9380000000000002</v>
      </c>
      <c r="E165" s="166">
        <f>'Isochrone Singles'!I80</f>
        <v>2.915</v>
      </c>
      <c r="F165" s="166">
        <f>'Isochrone Singles'!J80</f>
        <v>2.9209999999999998</v>
      </c>
      <c r="H165" s="38">
        <v>4</v>
      </c>
    </row>
    <row r="166" spans="1:8">
      <c r="A166" s="55" t="str">
        <f>'Single Summary'!A164</f>
        <v>HD 96668</v>
      </c>
      <c r="D166" s="91"/>
      <c r="E166" s="91"/>
      <c r="F166" s="91"/>
      <c r="H166" s="38"/>
    </row>
    <row r="167" spans="1:8">
      <c r="A167" s="1" t="str">
        <f>'Single Summary'!A165</f>
        <v>M40</v>
      </c>
      <c r="B167" s="1" t="str">
        <f>'Single Summary'!B165</f>
        <v>A0 IV</v>
      </c>
      <c r="C167" s="1">
        <f>'Single Summary'!C165</f>
        <v>412</v>
      </c>
      <c r="D167" s="166">
        <f>'Isochrone Singles'!H81</f>
        <v>2.9860000000000002</v>
      </c>
      <c r="E167" s="166">
        <f>'Isochrone Singles'!I81</f>
        <v>2.9620000000000002</v>
      </c>
      <c r="F167" s="166">
        <f>'Isochrone Singles'!J81</f>
        <v>2.9870000000000001</v>
      </c>
      <c r="H167" s="38">
        <v>5</v>
      </c>
    </row>
    <row r="168" spans="1:8">
      <c r="A168" s="55" t="str">
        <f>'Single Summary'!A166</f>
        <v>HD 96227</v>
      </c>
      <c r="D168" s="91"/>
      <c r="E168" s="91"/>
      <c r="F168" s="91"/>
      <c r="H168" s="38"/>
    </row>
    <row r="169" spans="1:8">
      <c r="A169" s="1" t="str">
        <f>'Single Summary'!A167</f>
        <v>M409</v>
      </c>
      <c r="B169" s="1" t="str">
        <f>'Single Summary'!B167</f>
        <v>B8</v>
      </c>
      <c r="C169" s="1">
        <f>'Single Summary'!C167</f>
        <v>412</v>
      </c>
      <c r="D169" s="166">
        <f>'Isochrone Singles'!H82</f>
        <v>2.9350000000000001</v>
      </c>
      <c r="E169" s="166">
        <f>'Isochrone Singles'!I82</f>
        <v>2.9140000000000001</v>
      </c>
      <c r="F169" s="166">
        <f>'Isochrone Singles'!J82</f>
        <v>2.907</v>
      </c>
      <c r="H169" s="38">
        <v>6</v>
      </c>
    </row>
    <row r="170" spans="1:8">
      <c r="A170" s="55" t="str">
        <f>'Single Summary'!A168</f>
        <v>HD 96226</v>
      </c>
      <c r="D170" s="91"/>
      <c r="E170" s="91"/>
      <c r="F170" s="91"/>
      <c r="H170" s="38"/>
    </row>
    <row r="171" spans="1:8">
      <c r="A171" s="1" t="str">
        <f>'Single Summary'!A169</f>
        <v>M49</v>
      </c>
      <c r="B171" s="1" t="str">
        <f>'Single Summary'!B169</f>
        <v>A0 IV</v>
      </c>
      <c r="C171" s="1">
        <f>'Single Summary'!C169</f>
        <v>412</v>
      </c>
      <c r="D171" s="166">
        <f>'Isochrone Singles'!H83</f>
        <v>2.7829999999999999</v>
      </c>
      <c r="E171" s="166">
        <f>'Isochrone Singles'!I83</f>
        <v>2.7570000000000001</v>
      </c>
      <c r="F171" s="166">
        <f>'Isochrone Singles'!J83</f>
        <v>2.79</v>
      </c>
      <c r="H171" s="38">
        <v>7</v>
      </c>
    </row>
    <row r="172" spans="1:8">
      <c r="A172" s="55" t="str">
        <f>'Single Summary'!A170</f>
        <v>HD 96305</v>
      </c>
      <c r="D172" s="91"/>
      <c r="E172" s="91"/>
      <c r="F172" s="91"/>
      <c r="H172" s="38"/>
    </row>
    <row r="173" spans="1:8">
      <c r="A173" s="1" t="str">
        <f>'Single Summary'!A171</f>
        <v>M89</v>
      </c>
      <c r="B173" s="1" t="str">
        <f>'Single Summary'!B171</f>
        <v>A2IV D</v>
      </c>
      <c r="C173" s="1">
        <f>'Single Summary'!C171</f>
        <v>412</v>
      </c>
      <c r="D173" s="166">
        <f>'Isochrone Singles'!H84</f>
        <v>2.895</v>
      </c>
      <c r="E173" s="166">
        <f>'Isochrone Singles'!I84</f>
        <v>2.911</v>
      </c>
      <c r="F173" s="166">
        <f>'Isochrone Singles'!J84</f>
        <v>2.9359999999999999</v>
      </c>
      <c r="H173" s="38">
        <v>8</v>
      </c>
    </row>
    <row r="174" spans="1:8">
      <c r="A174" s="55" t="str">
        <f>'Single Summary'!A172</f>
        <v>CPD -58 3102</v>
      </c>
      <c r="H174" s="38"/>
    </row>
    <row r="175" spans="1:8">
      <c r="A175" s="1" t="str">
        <f>'Single Summary'!A173</f>
        <v>M345</v>
      </c>
      <c r="B175" s="1" t="str">
        <f>'Single Summary'!B173</f>
        <v>A0IV</v>
      </c>
      <c r="C175" s="1">
        <f>'Single Summary'!C173</f>
        <v>412</v>
      </c>
      <c r="D175" s="166">
        <f>'Isochrone Singles'!H85</f>
        <v>4.0819999999999999</v>
      </c>
      <c r="E175" s="38">
        <f>'Isochrone Singles'!I85</f>
        <v>4.274</v>
      </c>
      <c r="F175" s="166">
        <f>'Isochrone Singles'!J85</f>
        <v>4.3819999999999997</v>
      </c>
      <c r="H175" s="38">
        <v>9</v>
      </c>
    </row>
    <row r="176" spans="1:8">
      <c r="A176" s="55" t="str">
        <f>'Single Summary'!A174</f>
        <v>HD 96620</v>
      </c>
      <c r="H176" s="38"/>
    </row>
    <row r="177" spans="1:8">
      <c r="A177" s="1" t="str">
        <f>'Single Summary'!A175</f>
        <v>M361</v>
      </c>
      <c r="B177" s="1" t="str">
        <f>'Single Summary'!B175</f>
        <v>A0 IV</v>
      </c>
      <c r="C177" s="1">
        <f>'Single Summary'!C175</f>
        <v>412</v>
      </c>
      <c r="D177" s="166">
        <f>'Isochrone Singles'!H86</f>
        <v>2.92</v>
      </c>
      <c r="E177" s="38">
        <f>'Isochrone Singles'!I86</f>
        <v>2.93</v>
      </c>
      <c r="F177" s="166">
        <f>'Isochrone Singles'!J86</f>
        <v>2.95</v>
      </c>
      <c r="H177" s="38">
        <v>10</v>
      </c>
    </row>
    <row r="178" spans="1:8">
      <c r="A178" s="55" t="str">
        <f>'Single Summary'!A176</f>
        <v>HD 96653</v>
      </c>
      <c r="H178" s="38"/>
    </row>
    <row r="179" spans="1:8">
      <c r="A179" s="1" t="str">
        <f>'Single Summary'!A177</f>
        <v>M420</v>
      </c>
      <c r="B179" s="1" t="str">
        <f>'Single Summary'!B177</f>
        <v>A0 III</v>
      </c>
      <c r="C179" s="1">
        <f>'Single Summary'!C177</f>
        <v>412</v>
      </c>
      <c r="D179" s="166">
        <f>'Isochrone Singles'!H87</f>
        <v>3.0489999999999999</v>
      </c>
      <c r="E179" s="38">
        <f>'Isochrone Singles'!I87</f>
        <v>3.0369999999999999</v>
      </c>
      <c r="F179" s="166">
        <f>'Isochrone Singles'!J87</f>
        <v>3.0350000000000001</v>
      </c>
      <c r="H179" s="38">
        <v>11</v>
      </c>
    </row>
    <row r="180" spans="1:8">
      <c r="A180" s="55" t="str">
        <f>'Single Summary'!A178</f>
        <v>HD 96059</v>
      </c>
      <c r="H180" s="38"/>
    </row>
    <row r="181" spans="1:8">
      <c r="A181" s="1" t="str">
        <f>'Single Summary'!A179</f>
        <v>M495</v>
      </c>
      <c r="B181" s="1" t="str">
        <f>'Single Summary'!B179</f>
        <v>A0</v>
      </c>
      <c r="C181" s="1">
        <f>'Single Summary'!C179</f>
        <v>412</v>
      </c>
      <c r="D181" s="166">
        <f>'Isochrone Singles'!H88</f>
        <v>2.8839999999999999</v>
      </c>
      <c r="E181" s="38">
        <f>'Isochrone Singles'!I88</f>
        <v>2.875</v>
      </c>
      <c r="F181" s="166">
        <f>'Isochrone Singles'!J88</f>
        <v>2.8660000000000001</v>
      </c>
      <c r="H181" s="38">
        <v>12</v>
      </c>
    </row>
    <row r="182" spans="1:8">
      <c r="A182" s="55" t="str">
        <f>'Single Summary'!A180</f>
        <v>HD 96755</v>
      </c>
      <c r="H182" s="38"/>
    </row>
    <row r="183" spans="1:8">
      <c r="A183" s="1" t="str">
        <f>'Single Summary'!A181</f>
        <v>M586</v>
      </c>
      <c r="B183" s="1" t="str">
        <f>'Single Summary'!B181</f>
        <v>A0 V</v>
      </c>
      <c r="C183" s="1">
        <f>'Single Summary'!C181</f>
        <v>412</v>
      </c>
      <c r="D183" s="166">
        <f>'Isochrone Singles'!H89</f>
        <v>2.9119999999999999</v>
      </c>
      <c r="E183" s="38">
        <f>'Isochrone Singles'!I89</f>
        <v>2.9119999999999999</v>
      </c>
      <c r="F183" s="166">
        <f>'Isochrone Singles'!J89</f>
        <v>2.96</v>
      </c>
      <c r="H183" s="38">
        <v>13</v>
      </c>
    </row>
    <row r="184" spans="1:8">
      <c r="A184" s="55" t="str">
        <f>'Single Summary'!A182</f>
        <v>HD 96058</v>
      </c>
      <c r="H184" s="38"/>
    </row>
    <row r="185" spans="1:8">
      <c r="A185" s="1" t="str">
        <f>'Single Summary'!A183</f>
        <v>M623</v>
      </c>
      <c r="B185" s="1" t="str">
        <f>'Single Summary'!B183</f>
        <v>F0 III</v>
      </c>
      <c r="C185" s="1">
        <f>'Single Summary'!C183</f>
        <v>412</v>
      </c>
      <c r="D185" s="166">
        <f>'Isochrone Singles'!H90</f>
        <v>4.9290000000000003</v>
      </c>
      <c r="E185" s="38">
        <f>'Isochrone Singles'!I90</f>
        <v>5.3929999999999998</v>
      </c>
      <c r="F185" s="166">
        <f>'Isochrone Singles'!J90</f>
        <v>5.8209999999999997</v>
      </c>
      <c r="H185" s="38">
        <v>14</v>
      </c>
    </row>
    <row r="186" spans="1:8">
      <c r="A186" s="55" t="str">
        <f>'Single Summary'!A184</f>
        <v>HD 96898</v>
      </c>
      <c r="H186" s="38"/>
    </row>
    <row r="187" spans="1:8">
      <c r="A187" s="1" t="str">
        <f>'Single Summary'!A185</f>
        <v>M633</v>
      </c>
      <c r="B187" s="1" t="str">
        <f>'Single Summary'!B185</f>
        <v>B0 II</v>
      </c>
      <c r="C187" s="1">
        <f>'Single Summary'!C185</f>
        <v>412</v>
      </c>
      <c r="D187" s="166">
        <f>'Isochrone Singles'!H91</f>
        <v>2.907</v>
      </c>
      <c r="E187" s="38">
        <f>'Isochrone Singles'!I91</f>
        <v>2.9119999999999999</v>
      </c>
      <c r="F187" s="166">
        <f>'Isochrone Singles'!J91</f>
        <v>2.9039999999999999</v>
      </c>
      <c r="H187" s="38">
        <v>15</v>
      </c>
    </row>
    <row r="188" spans="1:8">
      <c r="A188" s="55" t="str">
        <f>'Single Summary'!A186</f>
        <v>HD 96895</v>
      </c>
      <c r="H188" s="38"/>
    </row>
    <row r="189" spans="1:8">
      <c r="A189" s="268" t="str">
        <f>'Complete Binaries w. Flags'!A60</f>
        <v>M278</v>
      </c>
      <c r="B189" s="269" t="str">
        <f>'Complete Binaries w. Flags'!B60</f>
        <v>A0</v>
      </c>
      <c r="C189" s="269">
        <f>'Complete Binaries w. Flags'!C60</f>
        <v>412</v>
      </c>
      <c r="D189" s="270">
        <f>'Complete Binaries w. Flags'!G60</f>
        <v>2.9769999999999999</v>
      </c>
      <c r="E189" s="270">
        <f>'Complete Binaries w. Flags'!H60</f>
        <v>2.9620000000000002</v>
      </c>
      <c r="F189" s="271">
        <f>'Complete Binaries w. Flags'!I60</f>
        <v>2.98</v>
      </c>
      <c r="H189" s="38">
        <v>16</v>
      </c>
    </row>
    <row r="190" spans="1:8">
      <c r="A190" s="272" t="str">
        <f>'Complete Binaries w. Flags'!A61</f>
        <v>HD 96137</v>
      </c>
      <c r="B190" s="273"/>
      <c r="C190" s="273"/>
      <c r="D190" s="273"/>
      <c r="E190" s="273"/>
      <c r="F190" s="274"/>
      <c r="H190" s="38"/>
    </row>
    <row r="191" spans="1:8">
      <c r="A191" s="268" t="str">
        <f>'Complete Binaries w. Flags'!A62</f>
        <v>M50</v>
      </c>
      <c r="B191" s="269" t="str">
        <f>'Complete Binaries w. Flags'!B62</f>
        <v>A0</v>
      </c>
      <c r="C191" s="269">
        <f>'Complete Binaries w. Flags'!C62</f>
        <v>412</v>
      </c>
      <c r="D191" s="270">
        <f>'Complete Binaries w. Flags'!G62</f>
        <v>2.9369999999999998</v>
      </c>
      <c r="E191" s="270">
        <f>'Complete Binaries w. Flags'!H62</f>
        <v>2.9060000000000001</v>
      </c>
      <c r="F191" s="271">
        <f>'Complete Binaries w. Flags'!I62</f>
        <v>2.9849999999999999</v>
      </c>
      <c r="H191" s="38">
        <v>17</v>
      </c>
    </row>
    <row r="192" spans="1:8">
      <c r="A192" s="272" t="str">
        <f>'Complete Binaries w. Flags'!A63</f>
        <v>HD 96246</v>
      </c>
      <c r="B192" s="273"/>
      <c r="C192" s="273"/>
      <c r="D192" s="273"/>
      <c r="E192" s="273"/>
      <c r="F192" s="274"/>
      <c r="H192" s="38"/>
    </row>
    <row r="193" spans="1:8">
      <c r="A193" s="268" t="str">
        <f>'Complete Binaries w. Flags'!A64</f>
        <v>M317 a</v>
      </c>
      <c r="B193" s="269" t="str">
        <f>'Complete Binaries w. Flags'!B64</f>
        <v>B9.5V</v>
      </c>
      <c r="C193" s="269">
        <f>'Complete Binaries w. Flags'!C64</f>
        <v>412</v>
      </c>
      <c r="D193" s="270">
        <f>'Complete Binaries w. Flags'!G64</f>
        <v>2.831</v>
      </c>
      <c r="E193" s="270">
        <f>'Complete Binaries w. Flags'!H64</f>
        <v>2.8119999999999998</v>
      </c>
      <c r="F193" s="271">
        <f>'Complete Binaries w. Flags'!I64</f>
        <v>2.8359999999999999</v>
      </c>
      <c r="H193" s="38">
        <v>18</v>
      </c>
    </row>
    <row r="194" spans="1:8">
      <c r="A194" s="272" t="str">
        <f>'Complete Binaries w. Flags'!A65</f>
        <v>HD 96473</v>
      </c>
      <c r="B194" s="273"/>
      <c r="C194" s="273"/>
      <c r="D194" s="273"/>
      <c r="E194" s="273"/>
      <c r="F194" s="274"/>
      <c r="H194" s="38"/>
    </row>
    <row r="195" spans="1:8">
      <c r="A195" s="268" t="str">
        <f>'Complete Binaries w. Flags'!A68</f>
        <v>M409</v>
      </c>
      <c r="B195" s="269" t="str">
        <f>'Complete Binaries w. Flags'!B68</f>
        <v>B8 E</v>
      </c>
      <c r="C195" s="269">
        <f>'Complete Binaries w. Flags'!C68</f>
        <v>412</v>
      </c>
      <c r="D195" s="270">
        <f>'Complete Binaries w. Flags'!G68</f>
        <v>2.9350000000000001</v>
      </c>
      <c r="E195" s="270">
        <f>'Complete Binaries w. Flags'!H68</f>
        <v>2.9140000000000001</v>
      </c>
      <c r="F195" s="271">
        <f>'Complete Binaries w. Flags'!I68</f>
        <v>2.907</v>
      </c>
      <c r="H195" s="38">
        <v>19</v>
      </c>
    </row>
    <row r="196" spans="1:8">
      <c r="A196" s="272" t="str">
        <f>'Complete Binaries w. Flags'!A69</f>
        <v>HD 96226</v>
      </c>
      <c r="B196" s="273"/>
      <c r="C196" s="273"/>
      <c r="D196" s="273"/>
      <c r="E196" s="273"/>
      <c r="F196" s="274"/>
      <c r="H196" s="38"/>
    </row>
    <row r="197" spans="1:8">
      <c r="A197" s="268" t="str">
        <f>'Complete Binaries w. Flags'!A70</f>
        <v>M49 a</v>
      </c>
      <c r="B197" s="269" t="str">
        <f>'Complete Binaries w. Flags'!B70</f>
        <v>A0/A1IV/V D</v>
      </c>
      <c r="C197" s="269">
        <f>'Complete Binaries w. Flags'!C70</f>
        <v>412</v>
      </c>
      <c r="D197" s="270">
        <f>'Complete Binaries w. Flags'!G70</f>
        <v>2.7829999999999999</v>
      </c>
      <c r="E197" s="270">
        <f>'Complete Binaries w. Flags'!H70</f>
        <v>2.7570000000000001</v>
      </c>
      <c r="F197" s="271">
        <f>'Complete Binaries w. Flags'!I70</f>
        <v>2.79</v>
      </c>
      <c r="H197" s="38">
        <v>20</v>
      </c>
    </row>
    <row r="198" spans="1:8">
      <c r="A198" s="272" t="str">
        <f>'Complete Binaries w. Flags'!A71</f>
        <v>HD 96305</v>
      </c>
      <c r="B198" s="273"/>
      <c r="C198" s="273"/>
      <c r="D198" s="273"/>
      <c r="E198" s="273"/>
      <c r="F198" s="274"/>
      <c r="H198" s="38"/>
    </row>
    <row r="199" spans="1:8">
      <c r="A199" s="268" t="str">
        <f>'Complete Binaries w. Flags'!A74</f>
        <v>M665</v>
      </c>
      <c r="B199" s="269" t="str">
        <f>'Complete Binaries w. Flags'!B74</f>
        <v>A2IV</v>
      </c>
      <c r="C199" s="269">
        <f>'Complete Binaries w. Flags'!C74</f>
        <v>412</v>
      </c>
      <c r="D199" s="270">
        <f>'Complete Binaries w. Flags'!G74</f>
        <v>3.3119999999999998</v>
      </c>
      <c r="E199" s="270">
        <f>'Complete Binaries w. Flags'!H74</f>
        <v>3.3519999999999999</v>
      </c>
      <c r="F199" s="271">
        <f>'Complete Binaries w. Flags'!I74</f>
        <v>3.407</v>
      </c>
      <c r="H199" s="38">
        <v>21</v>
      </c>
    </row>
    <row r="200" spans="1:8">
      <c r="A200" s="272" t="str">
        <f>'Complete Binaries w. Flags'!A75</f>
        <v>HD 97000</v>
      </c>
      <c r="B200" s="273"/>
      <c r="C200" s="273"/>
      <c r="D200" s="273"/>
      <c r="E200" s="273"/>
      <c r="F200" s="274"/>
      <c r="H200" s="38"/>
    </row>
    <row r="201" spans="1:8">
      <c r="A201" s="62" t="s">
        <v>96</v>
      </c>
      <c r="B201" s="62" t="s">
        <v>96</v>
      </c>
      <c r="C201" s="62" t="s">
        <v>96</v>
      </c>
      <c r="D201" s="62" t="s">
        <v>96</v>
      </c>
      <c r="E201" s="62" t="s">
        <v>96</v>
      </c>
      <c r="F201" s="62" t="s">
        <v>96</v>
      </c>
      <c r="G201" s="62" t="s">
        <v>96</v>
      </c>
    </row>
    <row r="202" spans="1:8">
      <c r="A202" s="1" t="str">
        <f>'Single Summary'!A188</f>
        <v>R40</v>
      </c>
      <c r="B202" s="1" t="str">
        <f>'Single Summary'!B188</f>
        <v>B8 V</v>
      </c>
      <c r="C202" s="1">
        <f>'Single Summary'!C188</f>
        <v>149</v>
      </c>
      <c r="D202" s="166">
        <f>'Isochrone Singles'!H92</f>
        <v>3.5070000000000001</v>
      </c>
      <c r="E202" s="166">
        <f>'Isochrone Singles'!I92</f>
        <v>3.4660000000000002</v>
      </c>
      <c r="F202" s="166">
        <f>'Isochrone Singles'!J92</f>
        <v>3.617</v>
      </c>
      <c r="H202" s="38">
        <v>1</v>
      </c>
    </row>
    <row r="203" spans="1:8">
      <c r="A203" s="55" t="str">
        <f>'Single Summary'!A189</f>
        <v>HD 92536</v>
      </c>
      <c r="D203" s="91"/>
      <c r="E203" s="91"/>
      <c r="F203" s="91"/>
      <c r="H203" s="38"/>
    </row>
    <row r="204" spans="1:8">
      <c r="A204" s="1" t="str">
        <f>'Single Summary'!A190</f>
        <v>R47</v>
      </c>
      <c r="B204" s="1" t="str">
        <f>'Single Summary'!B190</f>
        <v>B8 III</v>
      </c>
      <c r="C204" s="1">
        <f>'Single Summary'!C190</f>
        <v>149</v>
      </c>
      <c r="D204" s="166">
        <f>'Isochrone Singles'!H93</f>
        <v>4.5330000000000004</v>
      </c>
      <c r="E204" s="166">
        <f>'Isochrone Singles'!I93</f>
        <v>4.4960000000000004</v>
      </c>
      <c r="F204" s="166">
        <f>'Isochrone Singles'!J93</f>
        <v>4.6280000000000001</v>
      </c>
      <c r="H204" s="38">
        <v>2</v>
      </c>
    </row>
    <row r="205" spans="1:8">
      <c r="A205" s="55" t="str">
        <f>'Single Summary'!A191</f>
        <v>HD 92664</v>
      </c>
      <c r="D205" s="91"/>
      <c r="E205" s="91"/>
      <c r="F205" s="91"/>
      <c r="H205" s="38"/>
    </row>
    <row r="206" spans="1:8">
      <c r="A206" s="1" t="str">
        <f>'Single Summary'!A192</f>
        <v>R51</v>
      </c>
      <c r="B206" s="1" t="str">
        <f>'Single Summary'!B192</f>
        <v>B9.5 V</v>
      </c>
      <c r="C206" s="1">
        <f>'Single Summary'!C192</f>
        <v>149</v>
      </c>
      <c r="D206" s="166">
        <f>'Isochrone Singles'!H94</f>
        <v>3.0510000000000002</v>
      </c>
      <c r="E206" s="166">
        <f>'Isochrone Singles'!I94</f>
        <v>3.0590000000000002</v>
      </c>
      <c r="F206" s="166">
        <f>'Isochrone Singles'!J94</f>
        <v>3.1760000000000002</v>
      </c>
      <c r="H206" s="38">
        <v>3</v>
      </c>
    </row>
    <row r="207" spans="1:8">
      <c r="A207" s="55" t="str">
        <f>'Single Summary'!A193</f>
        <v>HD 92715</v>
      </c>
      <c r="D207" s="91"/>
      <c r="E207" s="91"/>
      <c r="F207" s="91"/>
      <c r="H207" s="38"/>
    </row>
    <row r="208" spans="1:8">
      <c r="A208" s="1" t="str">
        <f>'Single Summary'!A194</f>
        <v>R65</v>
      </c>
      <c r="B208" s="1" t="str">
        <f>'Single Summary'!B194</f>
        <v>B3 V</v>
      </c>
      <c r="C208" s="1">
        <f>'Single Summary'!C194</f>
        <v>149</v>
      </c>
      <c r="D208" s="166">
        <f>'Isochrone Singles'!H95</f>
        <v>5.617</v>
      </c>
      <c r="E208" s="166">
        <f>'Isochrone Singles'!I95</f>
        <v>5.6379999999999999</v>
      </c>
      <c r="F208" s="166">
        <f>'Isochrone Singles'!J95</f>
        <v>5.8120000000000003</v>
      </c>
      <c r="H208" s="38">
        <v>4</v>
      </c>
    </row>
    <row r="209" spans="1:8">
      <c r="A209" s="55" t="str">
        <f>'Single Summary'!A195</f>
        <v>HD 93194</v>
      </c>
      <c r="D209" s="91"/>
      <c r="E209" s="91"/>
      <c r="F209" s="91"/>
      <c r="H209" s="38"/>
    </row>
    <row r="210" spans="1:8">
      <c r="A210" s="1" t="str">
        <f>'Single Summary'!A196</f>
        <v>W12</v>
      </c>
      <c r="B210" s="1" t="str">
        <f>'Single Summary'!B196</f>
        <v>B9 V</v>
      </c>
      <c r="C210" s="1">
        <f>'Single Summary'!C196</f>
        <v>149</v>
      </c>
      <c r="D210" s="166">
        <f>'Isochrone Singles'!H96</f>
        <v>3.0579999999999998</v>
      </c>
      <c r="E210" s="166">
        <f>'Isochrone Singles'!I96</f>
        <v>3.0739999999999998</v>
      </c>
      <c r="F210" s="166">
        <f>'Isochrone Singles'!J96</f>
        <v>3.1349999999999998</v>
      </c>
      <c r="H210" s="38">
        <v>5</v>
      </c>
    </row>
    <row r="211" spans="1:8">
      <c r="A211" s="55" t="str">
        <f>'Single Summary'!A197</f>
        <v>HD 92783</v>
      </c>
      <c r="D211" s="91"/>
      <c r="E211" s="91"/>
      <c r="F211" s="91"/>
      <c r="H211" s="38"/>
    </row>
    <row r="212" spans="1:8">
      <c r="A212" s="1" t="str">
        <f>'Single Summary'!A198</f>
        <v>W15</v>
      </c>
      <c r="B212" s="1" t="str">
        <f>'Single Summary'!B198</f>
        <v>B3 V</v>
      </c>
      <c r="C212" s="1">
        <f>'Single Summary'!C198</f>
        <v>149</v>
      </c>
      <c r="D212" s="166">
        <f>'Isochrone Singles'!H97</f>
        <v>5.5960000000000001</v>
      </c>
      <c r="E212" s="166">
        <f>'Isochrone Singles'!I97</f>
        <v>5.5819999999999999</v>
      </c>
      <c r="F212" s="166">
        <f>'Isochrone Singles'!J97</f>
        <v>5.7539999999999996</v>
      </c>
      <c r="H212" s="38">
        <v>6</v>
      </c>
    </row>
    <row r="213" spans="1:8">
      <c r="A213" s="55" t="str">
        <f>'Single Summary'!A199</f>
        <v>HD 92938</v>
      </c>
      <c r="D213" s="91"/>
      <c r="E213" s="91"/>
      <c r="F213" s="91"/>
      <c r="H213" s="38"/>
    </row>
    <row r="214" spans="1:8">
      <c r="A214" s="1" t="str">
        <f>'Single Summary'!A200</f>
        <v>W16</v>
      </c>
      <c r="B214" s="1" t="str">
        <f>'Single Summary'!B200</f>
        <v>B9.5 V</v>
      </c>
      <c r="C214" s="1">
        <f>'Single Summary'!C200</f>
        <v>149</v>
      </c>
      <c r="D214" s="166">
        <f>'Isochrone Singles'!H98</f>
        <v>2.5880000000000001</v>
      </c>
      <c r="E214" s="166">
        <f>'Isochrone Singles'!I98</f>
        <v>2.544</v>
      </c>
      <c r="F214" s="166">
        <f>'Isochrone Singles'!J98</f>
        <v>2.613</v>
      </c>
      <c r="H214" s="38">
        <v>7</v>
      </c>
    </row>
    <row r="215" spans="1:8">
      <c r="A215" s="55" t="str">
        <f>'Single Summary'!A201</f>
        <v>HD 92966</v>
      </c>
      <c r="D215" s="91"/>
      <c r="E215" s="91"/>
      <c r="F215" s="91"/>
      <c r="H215" s="38"/>
    </row>
    <row r="216" spans="1:8">
      <c r="A216" s="1" t="str">
        <f>'Single Summary'!A202</f>
        <v>W17</v>
      </c>
      <c r="B216" s="1" t="str">
        <f>'Single Summary'!B202</f>
        <v>A0.5 V</v>
      </c>
      <c r="C216" s="1">
        <f>'Single Summary'!C202</f>
        <v>149</v>
      </c>
      <c r="D216" s="166">
        <f>'Isochrone Singles'!H99</f>
        <v>2.331</v>
      </c>
      <c r="E216" s="166">
        <f>'Isochrone Singles'!I99</f>
        <v>2.298</v>
      </c>
      <c r="F216" s="166">
        <f>'Isochrone Singles'!J99</f>
        <v>2.387</v>
      </c>
      <c r="H216" s="38">
        <v>8</v>
      </c>
    </row>
    <row r="217" spans="1:8">
      <c r="A217" s="55" t="str">
        <f>'Single Summary'!A203</f>
        <v>HD 92989</v>
      </c>
      <c r="D217" s="91"/>
      <c r="E217" s="91"/>
      <c r="F217" s="91"/>
      <c r="H217" s="38"/>
    </row>
    <row r="218" spans="1:8">
      <c r="A218" s="1" t="str">
        <f>'Single Summary'!A204</f>
        <v>B10</v>
      </c>
      <c r="B218" s="1" t="str">
        <f>'Single Summary'!B204</f>
        <v>B8 II</v>
      </c>
      <c r="C218" s="1">
        <f>'Single Summary'!C204</f>
        <v>149</v>
      </c>
      <c r="D218" s="166">
        <f>'Isochrone Singles'!H100</f>
        <v>1.395</v>
      </c>
      <c r="E218" s="166">
        <f>'Isochrone Singles'!I100</f>
        <v>1.2809999999999999</v>
      </c>
      <c r="F218" s="166">
        <f>'Isochrone Singles'!J100</f>
        <v>1.272</v>
      </c>
      <c r="H218" s="38">
        <v>9</v>
      </c>
    </row>
    <row r="219" spans="1:8">
      <c r="A219" s="55" t="str">
        <f>'Single Summary'!A205</f>
        <v>HD 91959</v>
      </c>
      <c r="D219" s="91"/>
      <c r="E219" s="91"/>
      <c r="F219" s="91"/>
      <c r="H219" s="38"/>
    </row>
    <row r="220" spans="1:8">
      <c r="A220" s="1" t="str">
        <f>'Single Summary'!A206</f>
        <v>B14</v>
      </c>
      <c r="B220" s="1" t="str">
        <f>'Single Summary'!B206</f>
        <v>G8 III</v>
      </c>
      <c r="C220" s="1">
        <f>'Single Summary'!C206</f>
        <v>149</v>
      </c>
      <c r="D220" s="166">
        <f>'Isochrone Singles'!H101</f>
        <v>3.2440000000000002</v>
      </c>
      <c r="E220" s="166">
        <f>'Isochrone Singles'!I101</f>
        <v>4.2519999999999998</v>
      </c>
      <c r="F220" s="166">
        <f>'Isochrone Singles'!J101</f>
        <v>4.6189999999999998</v>
      </c>
      <c r="H220" s="38">
        <v>10</v>
      </c>
    </row>
    <row r="221" spans="1:8">
      <c r="A221" s="55" t="str">
        <f>'Single Summary'!A207</f>
        <v>HD 92175</v>
      </c>
      <c r="D221" s="91"/>
      <c r="E221" s="91"/>
      <c r="F221" s="91"/>
      <c r="H221" s="38"/>
    </row>
    <row r="222" spans="1:8">
      <c r="A222" s="1" t="str">
        <f>'Single Summary'!A208</f>
        <v>B36</v>
      </c>
      <c r="B222" s="1" t="str">
        <f>'Single Summary'!B208</f>
        <v>A1 IV</v>
      </c>
      <c r="C222" s="1">
        <f>'Single Summary'!C208</f>
        <v>149</v>
      </c>
      <c r="D222" s="166">
        <f>'Isochrone Singles'!H102</f>
        <v>1.5249999999999999</v>
      </c>
      <c r="E222" s="166">
        <f>'Isochrone Singles'!I102</f>
        <v>1.5049999999999999</v>
      </c>
      <c r="F222" s="166">
        <f>'Isochrone Singles'!J102</f>
        <v>1.556</v>
      </c>
      <c r="H222" s="38">
        <v>11</v>
      </c>
    </row>
    <row r="223" spans="1:8">
      <c r="A223" s="55" t="str">
        <f>'Single Summary'!A209</f>
        <v>HD 93012</v>
      </c>
      <c r="D223" s="91"/>
      <c r="E223" s="91"/>
      <c r="F223" s="91"/>
      <c r="H223" s="38"/>
    </row>
    <row r="224" spans="1:8">
      <c r="A224" s="1" t="str">
        <f>'Single Summary'!A210</f>
        <v>B46</v>
      </c>
      <c r="B224" s="1" t="str">
        <f>'Single Summary'!B210</f>
        <v>K4</v>
      </c>
      <c r="C224" s="1">
        <f>'Single Summary'!C210</f>
        <v>149</v>
      </c>
      <c r="D224" s="166">
        <f>'Isochrone Singles'!H103</f>
        <v>4.3310000000000004</v>
      </c>
      <c r="E224" s="166">
        <f>'Isochrone Singles'!I103</f>
        <v>5.5270000000000001</v>
      </c>
      <c r="F224" s="166">
        <f>'Isochrone Singles'!J103</f>
        <v>6.0659999999999998</v>
      </c>
      <c r="H224" s="38">
        <v>12</v>
      </c>
    </row>
    <row r="225" spans="1:8">
      <c r="A225" s="55" t="str">
        <f>'Single Summary'!A211</f>
        <v>HD 93505</v>
      </c>
      <c r="H225" s="38"/>
    </row>
    <row r="226" spans="1:8">
      <c r="A226" s="1" t="str">
        <f>'Single Summary'!A212</f>
        <v>B5</v>
      </c>
      <c r="B226" s="1" t="str">
        <f>'Single Summary'!B212</f>
        <v>A1 V</v>
      </c>
      <c r="C226" s="1">
        <f>'Single Summary'!C212</f>
        <v>149</v>
      </c>
      <c r="D226" s="166">
        <f>'Isochrone Singles'!H104</f>
        <v>1.734</v>
      </c>
      <c r="E226" s="38">
        <f>'Isochrone Singles'!I104</f>
        <v>1.68</v>
      </c>
      <c r="F226" s="166">
        <f>'Isochrone Singles'!J104</f>
        <v>1.7170000000000001</v>
      </c>
      <c r="H226" s="38">
        <v>13</v>
      </c>
    </row>
    <row r="227" spans="1:8">
      <c r="A227" s="55" t="str">
        <f>'Single Summary'!A213</f>
        <v>HD 91839</v>
      </c>
      <c r="H227" s="38"/>
    </row>
    <row r="228" spans="1:8">
      <c r="A228" s="1" t="str">
        <f>'Single Summary'!A214</f>
        <v>R7</v>
      </c>
      <c r="B228" s="1" t="str">
        <f>'Single Summary'!B214</f>
        <v>???</v>
      </c>
      <c r="C228" s="1">
        <f>'Single Summary'!C214</f>
        <v>149</v>
      </c>
      <c r="D228" s="166">
        <f>'Isochrone Singles'!H105</f>
        <v>1.492</v>
      </c>
      <c r="E228" s="38">
        <f>'Isochrone Singles'!I105</f>
        <v>1.4990000000000001</v>
      </c>
      <c r="F228" s="166">
        <f>'Isochrone Singles'!J105</f>
        <v>1.508</v>
      </c>
      <c r="H228" s="38">
        <v>14</v>
      </c>
    </row>
    <row r="229" spans="1:8">
      <c r="A229" s="55" t="str">
        <f>'Single Summary'!A215</f>
        <v>GSC 08960-01942</v>
      </c>
      <c r="H229" s="38"/>
    </row>
    <row r="230" spans="1:8">
      <c r="A230" s="1" t="str">
        <f>'Single Summary'!A216</f>
        <v>R79</v>
      </c>
      <c r="B230" s="1" t="str">
        <f>'Single Summary'!B216</f>
        <v>F2 V</v>
      </c>
      <c r="C230" s="1">
        <f>'Single Summary'!C216</f>
        <v>149</v>
      </c>
      <c r="D230" s="166">
        <f>'Isochrone Singles'!H106</f>
        <v>1.5660000000000001</v>
      </c>
      <c r="E230" s="38">
        <f>'Isochrone Singles'!I106</f>
        <v>1.635</v>
      </c>
      <c r="F230" s="166">
        <f>'Isochrone Singles'!J106</f>
        <v>1.6659999999999999</v>
      </c>
      <c r="H230" s="38">
        <v>15</v>
      </c>
    </row>
    <row r="231" spans="1:8">
      <c r="A231" s="55" t="str">
        <f>'Single Summary'!A217</f>
        <v>HD 93405</v>
      </c>
      <c r="H231" s="38"/>
    </row>
    <row r="232" spans="1:8">
      <c r="A232" s="1" t="str">
        <f>'Single Summary'!A218</f>
        <v>W28</v>
      </c>
      <c r="B232" s="1" t="str">
        <f>'Single Summary'!B218</f>
        <v>F7 V</v>
      </c>
      <c r="C232" s="1">
        <f>'Single Summary'!C218</f>
        <v>149</v>
      </c>
      <c r="D232" s="166">
        <f>'Isochrone Singles'!H107</f>
        <v>2.4409999999999998</v>
      </c>
      <c r="E232" s="38">
        <f>'Isochrone Singles'!I107</f>
        <v>2.734</v>
      </c>
      <c r="F232" s="166">
        <f>'Isochrone Singles'!J107</f>
        <v>2.8740000000000001</v>
      </c>
      <c r="H232" s="38">
        <v>16</v>
      </c>
    </row>
    <row r="233" spans="1:8">
      <c r="A233" s="55" t="str">
        <f>'Single Summary'!A219</f>
        <v>HD 93600</v>
      </c>
      <c r="H233" s="38"/>
    </row>
    <row r="234" spans="1:8">
      <c r="A234" s="1" t="str">
        <f>'Single Summary'!A220</f>
        <v>W29</v>
      </c>
      <c r="B234" s="1" t="str">
        <f>'Single Summary'!B220</f>
        <v>B4 V</v>
      </c>
      <c r="C234" s="1">
        <f>'Single Summary'!C220</f>
        <v>149</v>
      </c>
      <c r="D234" s="166">
        <f>'Isochrone Singles'!H108</f>
        <v>5.42</v>
      </c>
      <c r="E234" s="38">
        <f>'Isochrone Singles'!I108</f>
        <v>5.4450000000000003</v>
      </c>
      <c r="F234" s="166">
        <f>'Isochrone Singles'!J108</f>
        <v>5.59</v>
      </c>
      <c r="H234" s="38">
        <v>17</v>
      </c>
    </row>
    <row r="235" spans="1:8">
      <c r="A235" s="55" t="str">
        <f>'Single Summary'!A221</f>
        <v>HD 93607</v>
      </c>
      <c r="H235" s="38"/>
    </row>
    <row r="236" spans="1:8">
      <c r="A236" s="1" t="str">
        <f>'Single Summary'!A222</f>
        <v>W41</v>
      </c>
      <c r="B236" s="1" t="str">
        <f>'Single Summary'!B222</f>
        <v>G5</v>
      </c>
      <c r="C236" s="1">
        <f>'Single Summary'!C222</f>
        <v>149</v>
      </c>
      <c r="D236" s="166">
        <f>'Isochrone Singles'!H109</f>
        <v>1.6859999999999999</v>
      </c>
      <c r="E236" s="38">
        <f>'Isochrone Singles'!I109</f>
        <v>1.9319999999999999</v>
      </c>
      <c r="F236" s="166">
        <f>'Isochrone Singles'!J109</f>
        <v>2.008</v>
      </c>
      <c r="H236" s="38">
        <v>18</v>
      </c>
    </row>
    <row r="237" spans="1:8">
      <c r="A237" s="55" t="str">
        <f>'Single Summary'!A223</f>
        <v>HD 307842</v>
      </c>
      <c r="H237" s="38"/>
    </row>
    <row r="238" spans="1:8">
      <c r="A238" s="1" t="str">
        <f>'Single Summary'!A224</f>
        <v>W5</v>
      </c>
      <c r="B238" s="1" t="str">
        <f>'Single Summary'!B224</f>
        <v>A5 V</v>
      </c>
      <c r="C238" s="1">
        <f>'Single Summary'!C224</f>
        <v>149</v>
      </c>
      <c r="D238" s="166">
        <f>'Isochrone Singles'!H110</f>
        <v>1.8819999999999999</v>
      </c>
      <c r="E238" s="38">
        <f>'Isochrone Singles'!I110</f>
        <v>1.849</v>
      </c>
      <c r="F238" s="166">
        <f>'Isochrone Singles'!J110</f>
        <v>1.925</v>
      </c>
      <c r="H238" s="38">
        <v>19</v>
      </c>
    </row>
    <row r="239" spans="1:8">
      <c r="A239" s="55" t="str">
        <f>'Single Summary'!A225</f>
        <v>HD 92535</v>
      </c>
      <c r="H239" s="38"/>
    </row>
    <row r="240" spans="1:8">
      <c r="A240" s="1" t="str">
        <f>'Single Summary'!A226</f>
        <v>W62</v>
      </c>
      <c r="B240" s="1" t="str">
        <f>'Single Summary'!B226</f>
        <v>A3 IV</v>
      </c>
      <c r="C240" s="1">
        <f>'Single Summary'!C226</f>
        <v>149</v>
      </c>
      <c r="D240" s="166">
        <f>'Isochrone Singles'!H111</f>
        <v>1.798</v>
      </c>
      <c r="E240" s="38">
        <f>'Isochrone Singles'!I111</f>
        <v>1.7649999999999999</v>
      </c>
      <c r="F240" s="166">
        <f>'Isochrone Singles'!J111</f>
        <v>1.782</v>
      </c>
      <c r="H240" s="38">
        <v>20</v>
      </c>
    </row>
    <row r="241" spans="1:8">
      <c r="A241" s="55" t="str">
        <f>'Single Summary'!A227</f>
        <v>HD 93874</v>
      </c>
      <c r="H241" s="38"/>
    </row>
    <row r="242" spans="1:8">
      <c r="A242" s="1" t="str">
        <f>'Single Summary'!A228</f>
        <v>W63</v>
      </c>
      <c r="B242" s="1" t="str">
        <f>'Single Summary'!B228</f>
        <v>F5 IV</v>
      </c>
      <c r="C242" s="1">
        <f>'Single Summary'!C228</f>
        <v>149</v>
      </c>
      <c r="D242" s="166">
        <f>'Isochrone Singles'!H112</f>
        <v>1.714</v>
      </c>
      <c r="E242" s="38">
        <f>'Isochrone Singles'!I112</f>
        <v>1.8080000000000001</v>
      </c>
      <c r="F242" s="166">
        <f>'Isochrone Singles'!J112</f>
        <v>1.7969999999999999</v>
      </c>
      <c r="H242" s="38">
        <v>21</v>
      </c>
    </row>
    <row r="243" spans="1:8">
      <c r="A243" s="55" t="str">
        <f>'Single Summary'!A229</f>
        <v>HD 93892</v>
      </c>
      <c r="H243" s="38"/>
    </row>
    <row r="244" spans="1:8">
      <c r="A244" s="1" t="str">
        <f>'Single Summary'!A230</f>
        <v>W7</v>
      </c>
      <c r="B244" s="1" t="str">
        <f>'Single Summary'!B230</f>
        <v>A7</v>
      </c>
      <c r="C244" s="1">
        <f>'Single Summary'!C230</f>
        <v>149</v>
      </c>
      <c r="D244" s="166">
        <f>'Isochrone Singles'!H113</f>
        <v>1.9219999999999999</v>
      </c>
      <c r="E244" s="38">
        <f>'Isochrone Singles'!I113</f>
        <v>2.2280000000000002</v>
      </c>
      <c r="F244" s="166">
        <f>'Isochrone Singles'!J113</f>
        <v>2.3039999999999998</v>
      </c>
      <c r="H244" s="38">
        <v>22</v>
      </c>
    </row>
    <row r="245" spans="1:8">
      <c r="A245" s="55" t="str">
        <f>'Single Summary'!A231</f>
        <v>HD 92568</v>
      </c>
      <c r="H245" s="38"/>
    </row>
    <row r="246" spans="1:8">
      <c r="A246" s="1" t="str">
        <f>'Single Summary'!A232</f>
        <v>R41</v>
      </c>
      <c r="B246" s="1" t="str">
        <f>'Single Summary'!B232</f>
        <v>F6 V</v>
      </c>
      <c r="C246" s="1">
        <f>'Single Summary'!C232</f>
        <v>149</v>
      </c>
      <c r="D246" s="166">
        <f>'Isochrone Singles'!H114</f>
        <v>1.472</v>
      </c>
      <c r="E246" s="166">
        <f>'Isochrone Singles'!I114</f>
        <v>1.458</v>
      </c>
      <c r="F246" s="166">
        <f>'Isochrone Singles'!J114</f>
        <v>1.4890000000000001</v>
      </c>
      <c r="H246" s="38">
        <v>23</v>
      </c>
    </row>
    <row r="247" spans="1:8">
      <c r="A247" s="55" t="str">
        <f>'Single Summary'!A233</f>
        <v>HD 92570</v>
      </c>
      <c r="H247" s="38"/>
    </row>
    <row r="248" spans="1:8">
      <c r="A248" s="278" t="str">
        <f>'Complete Binaries w. Flags'!A89</f>
        <v>R90</v>
      </c>
      <c r="B248" s="269" t="str">
        <f>'Complete Binaries w. Flags'!B89</f>
        <v>A0V n</v>
      </c>
      <c r="C248" s="269">
        <f>'Complete Binaries w. Flags'!C89</f>
        <v>149</v>
      </c>
      <c r="D248" s="270">
        <f>'Complete Binaries w. Flags'!G89</f>
        <v>2.2810000000000001</v>
      </c>
      <c r="E248" s="270">
        <f>'Complete Binaries w. Flags'!H89</f>
        <v>2.2450000000000001</v>
      </c>
      <c r="F248" s="271">
        <f>'Complete Binaries w. Flags'!I89</f>
        <v>2.38</v>
      </c>
      <c r="H248" s="38">
        <v>24</v>
      </c>
    </row>
    <row r="249" spans="1:8">
      <c r="A249" s="272" t="str">
        <f>'Complete Binaries w. Flags'!A90</f>
        <v>HD 93648</v>
      </c>
      <c r="B249" s="273"/>
      <c r="C249" s="273"/>
      <c r="D249" s="273"/>
      <c r="E249" s="273"/>
      <c r="F249" s="274"/>
      <c r="H249" s="38"/>
    </row>
    <row r="250" spans="1:8">
      <c r="A250" s="278" t="str">
        <f>'Complete Binaries w. Flags'!A97</f>
        <v>R97</v>
      </c>
      <c r="B250" s="269" t="str">
        <f>'Complete Binaries w. Flags'!B97</f>
        <v>A0V C</v>
      </c>
      <c r="C250" s="269">
        <f>'Complete Binaries w. Flags'!C97</f>
        <v>149</v>
      </c>
      <c r="D250" s="270">
        <f>'Complete Binaries w. Flags'!G97</f>
        <v>2.355</v>
      </c>
      <c r="E250" s="270">
        <f>'Complete Binaries w. Flags'!H97</f>
        <v>2.407</v>
      </c>
      <c r="F250" s="271">
        <f>'Complete Binaries w. Flags'!I97</f>
        <v>2.5190000000000001</v>
      </c>
      <c r="H250" s="38">
        <v>25</v>
      </c>
    </row>
    <row r="251" spans="1:8">
      <c r="A251" s="279" t="str">
        <f>'Complete Binaries w. Flags'!A98</f>
        <v>HD 94174</v>
      </c>
      <c r="B251" s="275"/>
      <c r="C251" s="275"/>
      <c r="D251" s="276"/>
      <c r="E251" s="276"/>
      <c r="F251" s="277"/>
      <c r="H251" s="38"/>
    </row>
    <row r="252" spans="1:8">
      <c r="A252" s="278" t="str">
        <f>'Complete Binaries w. Flags'!A99</f>
        <v>W17</v>
      </c>
      <c r="B252" s="269" t="str">
        <f>'Complete Binaries w. Flags'!B99</f>
        <v>A0V C</v>
      </c>
      <c r="C252" s="269">
        <f>'Complete Binaries w. Flags'!C99</f>
        <v>149</v>
      </c>
      <c r="D252" s="270">
        <f>'Complete Binaries w. Flags'!G99</f>
        <v>2.331</v>
      </c>
      <c r="E252" s="270">
        <f>'Complete Binaries w. Flags'!H99</f>
        <v>2.298</v>
      </c>
      <c r="F252" s="271">
        <f>'Complete Binaries w. Flags'!I99</f>
        <v>2.387</v>
      </c>
      <c r="H252" s="38">
        <v>26</v>
      </c>
    </row>
    <row r="253" spans="1:8">
      <c r="A253" s="272" t="str">
        <f>'Complete Binaries w. Flags'!A100</f>
        <v>HD 92989</v>
      </c>
      <c r="B253" s="273"/>
      <c r="C253" s="273"/>
      <c r="D253" s="281"/>
      <c r="E253" s="281"/>
      <c r="F253" s="282"/>
      <c r="H253" s="38"/>
    </row>
    <row r="254" spans="1:8">
      <c r="A254" s="280" t="str">
        <f>'Complete Binaries w. Flags'!A101</f>
        <v>B62</v>
      </c>
      <c r="B254" s="275" t="str">
        <f>'Complete Binaries w. Flags'!B101</f>
        <v>K1III</v>
      </c>
      <c r="C254" s="275">
        <f>'Complete Binaries w. Flags'!C101</f>
        <v>149</v>
      </c>
      <c r="D254" s="276">
        <f>'Complete Binaries w. Flags'!G101</f>
        <v>3.5830000000000002</v>
      </c>
      <c r="E254" s="276">
        <f>'Complete Binaries w. Flags'!H101</f>
        <v>4.7350000000000003</v>
      </c>
      <c r="F254" s="277">
        <f>'Complete Binaries w. Flags'!I101</f>
        <v>5.15</v>
      </c>
      <c r="H254" s="38">
        <v>27</v>
      </c>
    </row>
    <row r="255" spans="1:8">
      <c r="A255" s="272" t="str">
        <f>'Complete Binaries w. Flags'!A102</f>
        <v>HD 94115</v>
      </c>
      <c r="B255" s="273"/>
      <c r="C255" s="273"/>
      <c r="D255" s="281"/>
      <c r="E255" s="281"/>
      <c r="F255" s="282"/>
      <c r="H255" s="38"/>
    </row>
    <row r="256" spans="1:8">
      <c r="A256" s="278" t="str">
        <f>'Complete Binaries w. Flags'!A109</f>
        <v>W25 a</v>
      </c>
      <c r="B256" s="269" t="str">
        <f>'Complete Binaries w. Flags'!B109</f>
        <v>A1V</v>
      </c>
      <c r="C256" s="269">
        <f>'Complete Binaries w. Flags'!C109</f>
        <v>149</v>
      </c>
      <c r="D256" s="270">
        <f>'Complete Binaries w. Flags'!G109</f>
        <v>2.0880000000000001</v>
      </c>
      <c r="E256" s="270">
        <f>'Complete Binaries w. Flags'!H109</f>
        <v>1.992</v>
      </c>
      <c r="F256" s="271">
        <f>'Complete Binaries w. Flags'!I109</f>
        <v>2.1859999999999999</v>
      </c>
      <c r="H256" s="38">
        <v>28</v>
      </c>
    </row>
    <row r="257" spans="1:8">
      <c r="A257" s="272" t="str">
        <f>'Complete Binaries w. Flags'!A110</f>
        <v>HD 93517</v>
      </c>
      <c r="B257" s="273"/>
      <c r="C257" s="273"/>
      <c r="D257" s="273"/>
      <c r="E257" s="273"/>
      <c r="F257" s="274"/>
      <c r="H257" s="38"/>
    </row>
    <row r="258" spans="1:8">
      <c r="H258" s="3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U72"/>
  <sheetViews>
    <sheetView workbookViewId="0">
      <selection activeCell="P3" sqref="P3"/>
    </sheetView>
  </sheetViews>
  <sheetFormatPr baseColWidth="10" defaultRowHeight="15" x14ac:dyDescent="0"/>
  <cols>
    <col min="1" max="1" width="15.33203125" style="1" customWidth="1"/>
    <col min="2" max="2" width="11.6640625" style="1" customWidth="1"/>
    <col min="3" max="13" width="10.83203125" style="1"/>
    <col min="14" max="14" width="12.5" style="1" customWidth="1"/>
    <col min="15" max="15" width="13" style="1" customWidth="1"/>
    <col min="16" max="16" width="13.1640625" style="1" customWidth="1"/>
    <col min="17" max="17" width="10.33203125" style="1" customWidth="1"/>
    <col min="18" max="18" width="12.33203125" style="1" customWidth="1"/>
    <col min="19" max="19" width="42" style="1" customWidth="1"/>
    <col min="20" max="20" width="53.6640625" style="1" customWidth="1"/>
    <col min="21" max="16384" width="10.83203125" style="1"/>
  </cols>
  <sheetData>
    <row r="1" spans="1:21">
      <c r="A1" s="80" t="s">
        <v>42</v>
      </c>
      <c r="B1" s="80" t="s">
        <v>163</v>
      </c>
      <c r="C1" s="80" t="s">
        <v>496</v>
      </c>
      <c r="D1" s="41" t="s">
        <v>216</v>
      </c>
      <c r="E1" s="41" t="s">
        <v>217</v>
      </c>
      <c r="F1" s="41" t="s">
        <v>218</v>
      </c>
      <c r="G1" s="75" t="s">
        <v>830</v>
      </c>
      <c r="H1" s="75" t="s">
        <v>831</v>
      </c>
      <c r="I1" s="75" t="s">
        <v>832</v>
      </c>
      <c r="J1" s="75" t="s">
        <v>898</v>
      </c>
      <c r="K1" s="75" t="s">
        <v>859</v>
      </c>
      <c r="L1" s="75" t="s">
        <v>860</v>
      </c>
      <c r="M1" s="75" t="s">
        <v>861</v>
      </c>
      <c r="N1" s="75" t="s">
        <v>907</v>
      </c>
      <c r="O1" s="80" t="s">
        <v>165</v>
      </c>
      <c r="P1" s="80" t="s">
        <v>905</v>
      </c>
      <c r="Q1" s="80" t="s">
        <v>164</v>
      </c>
      <c r="R1" s="41" t="s">
        <v>914</v>
      </c>
      <c r="S1" s="80" t="s">
        <v>64</v>
      </c>
      <c r="T1" s="80" t="s">
        <v>123</v>
      </c>
    </row>
    <row r="2" spans="1:21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  <c r="O2" s="62" t="s">
        <v>91</v>
      </c>
      <c r="P2" s="62" t="s">
        <v>91</v>
      </c>
      <c r="Q2" s="62" t="s">
        <v>91</v>
      </c>
      <c r="R2" s="62" t="s">
        <v>91</v>
      </c>
      <c r="S2" s="62" t="s">
        <v>91</v>
      </c>
      <c r="T2" s="62" t="s">
        <v>91</v>
      </c>
      <c r="U2" s="57"/>
    </row>
    <row r="3" spans="1:21">
      <c r="A3" s="1" t="str">
        <f>'Binary Summary'!A3</f>
        <v>HD73340</v>
      </c>
      <c r="B3" s="1" t="str">
        <f>'Binary Summary'!B3</f>
        <v>B8p</v>
      </c>
      <c r="C3" s="1">
        <f>'Binary Summary'!C3</f>
        <v>145</v>
      </c>
      <c r="D3" s="4">
        <f>'Binary Summary'!G3</f>
        <v>2.0300000000000029</v>
      </c>
      <c r="E3" s="4">
        <f>'Binary Summary'!H3</f>
        <v>1.9439999999999982</v>
      </c>
      <c r="F3" s="4">
        <f>'Binary Summary'!I3</f>
        <v>2.0654999999999841</v>
      </c>
      <c r="G3" s="4">
        <f>'Isochrone Binaries '!H2</f>
        <v>3.9969999999999999</v>
      </c>
      <c r="H3" s="4">
        <f>'Isochrone Binaries '!I2</f>
        <v>4.0510000000000002</v>
      </c>
      <c r="I3" s="4">
        <f>'Isochrone Binaries '!J2</f>
        <v>4.1760000000000002</v>
      </c>
      <c r="J3" s="4">
        <f>'Isochrone Binaries '!L2</f>
        <v>4.073093067155992</v>
      </c>
      <c r="K3" s="4">
        <f>G4/G3</f>
        <v>0.41681260945709281</v>
      </c>
      <c r="L3" s="4">
        <f t="shared" ref="L3:M3" si="0">H4/H3</f>
        <v>0.40755369044680323</v>
      </c>
      <c r="M3" s="4">
        <f t="shared" si="0"/>
        <v>0.36805555555555552</v>
      </c>
      <c r="N3" s="4">
        <f>J4/J3</f>
        <v>0.3980158766690261</v>
      </c>
      <c r="O3" s="54">
        <f>'Binary Summary'!J3</f>
        <v>0.57160817307811362</v>
      </c>
      <c r="P3" s="4">
        <f>O3*C3</f>
        <v>82.883185096326471</v>
      </c>
      <c r="Q3" s="4">
        <f>'Binary Summary'!K3</f>
        <v>220.95558371663049</v>
      </c>
      <c r="R3" s="54">
        <v>0.99967185163600003</v>
      </c>
      <c r="S3" s="4">
        <f>PI()/180 * 1/3600 * 1 * 206264.806</f>
        <v>0.99999999880204316</v>
      </c>
    </row>
    <row r="4" spans="1:21">
      <c r="A4" s="55" t="str">
        <f>'Binary Summary'!A4</f>
        <v>HD 73340</v>
      </c>
      <c r="D4" s="48">
        <f>'Binary Summary'!G4</f>
        <v>3.0066592756745815E-2</v>
      </c>
      <c r="E4" s="48">
        <f>'Binary Summary'!H4</f>
        <v>3.0066592756745815E-2</v>
      </c>
      <c r="F4" s="48">
        <f>'Binary Summary'!I4</f>
        <v>3.0149626863362672E-2</v>
      </c>
      <c r="G4" s="4">
        <f>'Isochrone Binaries '!H3</f>
        <v>1.6659999999999999</v>
      </c>
      <c r="H4" s="4">
        <f>'Isochrone Binaries '!I3</f>
        <v>1.651</v>
      </c>
      <c r="I4" s="4">
        <f>'Isochrone Binaries '!J3</f>
        <v>1.5369999999999999</v>
      </c>
      <c r="J4" s="4">
        <f>'Isochrone Binaries '!L3</f>
        <v>1.6211557078786245</v>
      </c>
      <c r="K4" s="4"/>
      <c r="L4" s="4"/>
      <c r="M4" s="4"/>
      <c r="N4" s="4"/>
      <c r="O4" s="51">
        <f>'Binary Summary'!J4</f>
        <v>3.4296490384686817E-3</v>
      </c>
      <c r="P4" s="48">
        <f>O4 * C3</f>
        <v>0.49729911057795884</v>
      </c>
      <c r="Q4" s="48">
        <f>'Binary Summary'!K4</f>
        <v>0.5</v>
      </c>
      <c r="R4" s="284"/>
    </row>
    <row r="5" spans="1:21">
      <c r="A5" s="1" t="str">
        <f>'Binary Summary'!A5</f>
        <v>HD73503</v>
      </c>
      <c r="B5" s="1" t="str">
        <f>'Binary Summary'!B5</f>
        <v>A0V</v>
      </c>
      <c r="C5" s="1">
        <f>'Binary Summary'!C5</f>
        <v>145</v>
      </c>
      <c r="D5" s="4">
        <f>'Binary Summary'!G5</f>
        <v>2.2960000000000154</v>
      </c>
      <c r="E5" s="4">
        <f>'Binary Summary'!H5</f>
        <v>2.0140000000000011</v>
      </c>
      <c r="F5" s="4">
        <f>'Binary Summary'!I5</f>
        <v>1.9844999999999953</v>
      </c>
      <c r="G5" s="4">
        <f>'Isochrone Binaries '!H4</f>
        <v>1.57</v>
      </c>
      <c r="H5" s="4">
        <f>'Isochrone Binaries '!I4</f>
        <v>1.4890000000000001</v>
      </c>
      <c r="I5" s="4">
        <f>'Isochrone Binaries '!J4</f>
        <v>1.49</v>
      </c>
      <c r="J5" s="4">
        <f>'Isochrone Binaries '!L4</f>
        <v>1.5197332683560754</v>
      </c>
      <c r="K5" s="4">
        <f>G6/G5</f>
        <v>0.52484076433121019</v>
      </c>
      <c r="L5" s="4">
        <f t="shared" ref="L5:N5" si="1">H6/H5</f>
        <v>0.51175285426460704</v>
      </c>
      <c r="M5" s="4">
        <f t="shared" si="1"/>
        <v>0.50671140939597314</v>
      </c>
      <c r="N5" s="4">
        <f t="shared" si="1"/>
        <v>0.50642711202776414</v>
      </c>
      <c r="O5" s="54">
        <f>'Binary Summary'!J5</f>
        <v>1.2028845830368915</v>
      </c>
      <c r="P5" s="4">
        <f t="shared" ref="P5" si="2">O5*C5</f>
        <v>174.41826454034927</v>
      </c>
      <c r="Q5" s="4">
        <f>'Binary Summary'!K5</f>
        <v>134.34707643263948</v>
      </c>
      <c r="R5" s="54">
        <v>0.99826639072300005</v>
      </c>
    </row>
    <row r="6" spans="1:21">
      <c r="A6" s="55" t="str">
        <f>'Binary Summary'!A6</f>
        <v>HD 73503</v>
      </c>
      <c r="D6" s="48">
        <f>'Binary Summary'!G6</f>
        <v>3.0066592756745815E-2</v>
      </c>
      <c r="E6" s="48">
        <f>'Binary Summary'!H6</f>
        <v>3.0066592756745815E-2</v>
      </c>
      <c r="F6" s="48">
        <f>'Binary Summary'!I6</f>
        <v>3.0066592756745815E-2</v>
      </c>
      <c r="G6" s="4">
        <f>'Isochrone Binaries '!H5</f>
        <v>0.82399999999999995</v>
      </c>
      <c r="H6" s="4">
        <f>'Isochrone Binaries '!I5</f>
        <v>0.76200000000000001</v>
      </c>
      <c r="I6" s="4">
        <f>'Isochrone Binaries '!J5</f>
        <v>0.755</v>
      </c>
      <c r="J6" s="4">
        <f>'Isochrone Binaries '!L5</f>
        <v>0.7696341301460824</v>
      </c>
      <c r="K6" s="4"/>
      <c r="L6" s="4"/>
      <c r="M6" s="4"/>
      <c r="N6" s="4"/>
      <c r="O6" s="51">
        <f>'Binary Summary'!J6</f>
        <v>7.2173074982213488E-3</v>
      </c>
      <c r="P6" s="48">
        <f t="shared" ref="P6" si="3">O6 * C5</f>
        <v>1.0465095872420955</v>
      </c>
      <c r="Q6" s="48">
        <f>'Binary Summary'!K6</f>
        <v>0.5</v>
      </c>
      <c r="R6" s="284"/>
    </row>
    <row r="7" spans="1:21">
      <c r="A7" s="1" t="str">
        <f>'Binary Summary'!A7</f>
        <v>HD73722</v>
      </c>
      <c r="B7" s="1" t="str">
        <f>'Binary Summary'!B7</f>
        <v>F5V</v>
      </c>
      <c r="C7" s="1">
        <f>'Binary Summary'!C7</f>
        <v>145</v>
      </c>
      <c r="D7" s="4">
        <f>'Binary Summary'!G7</f>
        <v>0.38649999999999807</v>
      </c>
      <c r="E7" s="4">
        <f>'Binary Summary'!H7</f>
        <v>0.37149999999999928</v>
      </c>
      <c r="F7" s="4">
        <f>'Binary Summary'!I7</f>
        <v>0.34849999999999959</v>
      </c>
      <c r="G7" s="4">
        <f>'Isochrone Binaries '!H6</f>
        <v>1.6719999999999999</v>
      </c>
      <c r="H7" s="4">
        <f>'Isochrone Binaries '!I6</f>
        <v>1.732</v>
      </c>
      <c r="I7" s="4">
        <f>'Isochrone Binaries '!J6</f>
        <v>1.74</v>
      </c>
      <c r="J7" s="4">
        <f>'Isochrone Binaries '!L6</f>
        <v>1.7146666666666668</v>
      </c>
      <c r="K7" s="4">
        <f t="shared" ref="K7:N7" si="4">G8/G7</f>
        <v>0.88157894736842113</v>
      </c>
      <c r="L7" s="4">
        <f t="shared" si="4"/>
        <v>0.86085450346420334</v>
      </c>
      <c r="M7" s="4">
        <f t="shared" si="4"/>
        <v>0.86609195402298844</v>
      </c>
      <c r="N7" s="4">
        <f t="shared" si="4"/>
        <v>0.86738709550786797</v>
      </c>
      <c r="O7" s="54">
        <f>'Binary Summary'!J7</f>
        <v>0.40373915751857581</v>
      </c>
      <c r="P7" s="4">
        <f t="shared" ref="P7" si="5">O7*C7</f>
        <v>58.542177840193489</v>
      </c>
      <c r="Q7" s="4">
        <f>'Binary Summary'!K7</f>
        <v>167.89833985404863</v>
      </c>
      <c r="R7" s="54">
        <v>0.99967185163600003</v>
      </c>
    </row>
    <row r="8" spans="1:21">
      <c r="A8" s="55" t="str">
        <f>'Binary Summary'!A8</f>
        <v>HD 73722</v>
      </c>
      <c r="D8" s="48">
        <f>'Binary Summary'!G8</f>
        <v>3.0016662039607268E-2</v>
      </c>
      <c r="E8" s="48">
        <f>'Binary Summary'!H8</f>
        <v>3.0016662039607268E-2</v>
      </c>
      <c r="F8" s="48">
        <f>'Binary Summary'!I8</f>
        <v>3.0016662039607268E-2</v>
      </c>
      <c r="G8" s="4">
        <f>'Isochrone Binaries '!H7</f>
        <v>1.474</v>
      </c>
      <c r="H8" s="4">
        <f>'Isochrone Binaries '!I7</f>
        <v>1.4910000000000001</v>
      </c>
      <c r="I8" s="4">
        <f>'Isochrone Binaries '!J7</f>
        <v>1.5069999999999999</v>
      </c>
      <c r="J8" s="4">
        <f>'Isochrone Binaries '!L7</f>
        <v>1.4872797397641577</v>
      </c>
      <c r="K8" s="4"/>
      <c r="L8" s="4"/>
      <c r="M8" s="4"/>
      <c r="N8" s="4"/>
      <c r="O8" s="51">
        <f>'Binary Summary'!J8</f>
        <v>2.422434945111455E-3</v>
      </c>
      <c r="P8" s="48">
        <f t="shared" ref="P8" si="6">O8 * C7</f>
        <v>0.35125306704116099</v>
      </c>
      <c r="Q8" s="48">
        <f>'Binary Summary'!K8</f>
        <v>0.5</v>
      </c>
      <c r="R8" s="284"/>
    </row>
    <row r="9" spans="1:21">
      <c r="A9" s="1" t="str">
        <f>'Binary Summary'!A9</f>
        <v>Hogg13</v>
      </c>
      <c r="B9" s="1" t="str">
        <f>'Binary Summary'!B9</f>
        <v>B8V</v>
      </c>
      <c r="C9" s="1">
        <f>'Binary Summary'!C9</f>
        <v>145</v>
      </c>
      <c r="D9" s="4">
        <f>'Binary Summary'!G9</f>
        <v>5.2104573297366663</v>
      </c>
      <c r="E9" s="4">
        <f>'Binary Summary'!H9</f>
        <v>4.1559933459100007</v>
      </c>
      <c r="F9" s="4">
        <f>'Binary Summary'!I9</f>
        <v>4.0895852165033331</v>
      </c>
      <c r="G9" s="4">
        <f>'Isochrone Binaries '!H8</f>
        <v>3.1880000000000002</v>
      </c>
      <c r="H9" s="4">
        <f>'Isochrone Binaries '!I8</f>
        <v>3.2170000000000001</v>
      </c>
      <c r="I9" s="4">
        <f>'Isochrone Binaries '!J8</f>
        <v>3.246</v>
      </c>
      <c r="J9" s="4">
        <f>'Isochrone Binaries '!L8</f>
        <v>3.2154109604149097</v>
      </c>
      <c r="K9" s="4">
        <f t="shared" ref="K9:N9" si="7">G10/G9</f>
        <v>0.18036386449184438</v>
      </c>
      <c r="L9" s="4">
        <f t="shared" si="7"/>
        <v>0.2064034815045073</v>
      </c>
      <c r="M9" s="4">
        <f t="shared" si="7"/>
        <v>0.19839802834257547</v>
      </c>
      <c r="N9" s="4">
        <f t="shared" si="7"/>
        <v>0.19268310196246724</v>
      </c>
      <c r="O9" s="54">
        <f>'Binary Summary'!J9</f>
        <v>1.109016142345</v>
      </c>
      <c r="P9" s="4">
        <f t="shared" ref="P9" si="8">O9*C9</f>
        <v>160.80734064002499</v>
      </c>
      <c r="Q9" s="4">
        <f>'Binary Summary'!K9</f>
        <v>205.09290339699999</v>
      </c>
      <c r="R9" s="54">
        <v>0.99743437210899999</v>
      </c>
    </row>
    <row r="10" spans="1:21">
      <c r="A10" s="55" t="str">
        <f>'Binary Summary'!A10</f>
        <v>HD 73952</v>
      </c>
      <c r="D10" s="48">
        <f>'Binary Summary'!G10</f>
        <v>5.3973147124894309E-2</v>
      </c>
      <c r="E10" s="48">
        <f>'Binary Summary'!H10</f>
        <v>4.3324333674661195E-2</v>
      </c>
      <c r="F10" s="48">
        <f>'Binary Summary'!I10</f>
        <v>5.5672843163638158E-2</v>
      </c>
      <c r="G10" s="4">
        <f>'Isochrone Binaries '!H9</f>
        <v>0.57499999999999996</v>
      </c>
      <c r="H10" s="4">
        <f>'Isochrone Binaries '!I9</f>
        <v>0.66400000000000003</v>
      </c>
      <c r="I10" s="4">
        <f>'Isochrone Binaries '!J9</f>
        <v>0.64400000000000002</v>
      </c>
      <c r="J10" s="4">
        <f>'Isochrone Binaries '!L9</f>
        <v>0.61955535793686078</v>
      </c>
      <c r="K10" s="4"/>
      <c r="L10" s="4"/>
      <c r="M10" s="4"/>
      <c r="N10" s="4"/>
      <c r="O10" s="51">
        <f>'Binary Summary'!J10</f>
        <v>6.6540968540700005E-3</v>
      </c>
      <c r="P10" s="48">
        <f t="shared" ref="P10" si="9">O10 * C9</f>
        <v>0.9648440438401501</v>
      </c>
      <c r="Q10" s="48">
        <f>'Binary Summary'!K10</f>
        <v>0.5</v>
      </c>
      <c r="R10" s="284"/>
    </row>
    <row r="11" spans="1:21">
      <c r="A11" s="1" t="str">
        <f>'Binary Summary'!A11</f>
        <v>PSPC13</v>
      </c>
      <c r="B11" s="1" t="str">
        <f>'Binary Summary'!B11</f>
        <v>A0IVp</v>
      </c>
      <c r="C11" s="1">
        <f>'Binary Summary'!C11</f>
        <v>145</v>
      </c>
      <c r="D11" s="4">
        <f>'Binary Summary'!G11</f>
        <v>1.9700000000000024</v>
      </c>
      <c r="E11" s="4">
        <f>'Binary Summary'!H11</f>
        <v>1.8050000000000033</v>
      </c>
      <c r="F11" s="4">
        <f>'Binary Summary'!I11</f>
        <v>1.8005000000000022</v>
      </c>
      <c r="G11" s="4">
        <f>'Isochrone Binaries '!H10</f>
        <v>2.5139999999999998</v>
      </c>
      <c r="H11" s="4">
        <f>'Isochrone Binaries '!I10</f>
        <v>2.5030000000000001</v>
      </c>
      <c r="I11" s="4">
        <f>'Isochrone Binaries '!J10</f>
        <v>2.6190000000000002</v>
      </c>
      <c r="J11" s="4">
        <f>'Isochrone Binaries '!L10</f>
        <v>2.5396399732685424</v>
      </c>
      <c r="K11" s="4">
        <f t="shared" ref="K11:N11" si="10">G12/G11</f>
        <v>0.47573587907716786</v>
      </c>
      <c r="L11" s="4">
        <f t="shared" si="10"/>
        <v>0.45185777067518973</v>
      </c>
      <c r="M11" s="4">
        <f t="shared" si="10"/>
        <v>0.4379534173348606</v>
      </c>
      <c r="N11" s="4">
        <f t="shared" si="10"/>
        <v>0.45955055238129516</v>
      </c>
      <c r="O11" s="54">
        <f>'Binary Summary'!J11</f>
        <v>0.57335679368763881</v>
      </c>
      <c r="P11" s="4">
        <f t="shared" ref="P11" si="11">O11*C11</f>
        <v>83.136735084707624</v>
      </c>
      <c r="Q11" s="4">
        <f>'Binary Summary'!K11</f>
        <v>352.70535172623102</v>
      </c>
      <c r="R11" s="54">
        <v>0.99949239888700003</v>
      </c>
    </row>
    <row r="12" spans="1:21">
      <c r="A12" s="55" t="str">
        <f>'Binary Summary'!A12</f>
        <v>HD 74169</v>
      </c>
      <c r="D12" s="48">
        <f>'Binary Summary'!G12</f>
        <v>3.0066592756745815E-2</v>
      </c>
      <c r="E12" s="48">
        <f>'Binary Summary'!H12</f>
        <v>3.0066592756745815E-2</v>
      </c>
      <c r="F12" s="48">
        <f>'Binary Summary'!I12</f>
        <v>3.0066592756745815E-2</v>
      </c>
      <c r="G12" s="4">
        <f>'Isochrone Binaries '!H11</f>
        <v>1.196</v>
      </c>
      <c r="H12" s="4">
        <f>'Isochrone Binaries '!I11</f>
        <v>1.131</v>
      </c>
      <c r="I12" s="4">
        <f>'Isochrone Binaries '!J11</f>
        <v>1.147</v>
      </c>
      <c r="J12" s="4">
        <f>'Isochrone Binaries '!L11</f>
        <v>1.1670929525651763</v>
      </c>
      <c r="K12" s="4"/>
      <c r="L12" s="4"/>
      <c r="M12" s="4"/>
      <c r="N12" s="4"/>
      <c r="O12" s="51">
        <f>'Binary Summary'!J12</f>
        <v>3.4401407621258329E-3</v>
      </c>
      <c r="P12" s="48">
        <f t="shared" ref="P12" si="12">O12 * C11</f>
        <v>0.49882041050824577</v>
      </c>
      <c r="Q12" s="48">
        <f>'Binary Summary'!K12</f>
        <v>0.5</v>
      </c>
      <c r="R12" s="284"/>
    </row>
    <row r="13" spans="1:21">
      <c r="A13" s="1" t="str">
        <f>'Binary Summary'!A13</f>
        <v>PSPC46</v>
      </c>
      <c r="B13" s="1" t="str">
        <f>'Binary Summary'!B13</f>
        <v>B8s</v>
      </c>
      <c r="C13" s="1">
        <f>'Binary Summary'!C13</f>
        <v>145</v>
      </c>
      <c r="D13" s="4">
        <f>'Binary Summary'!G13</f>
        <v>1.4444999999999988</v>
      </c>
      <c r="E13" s="4">
        <f>'Binary Summary'!H13</f>
        <v>1.4705000000000057</v>
      </c>
      <c r="F13" s="4">
        <f>'Binary Summary'!I13</f>
        <v>1.4785000000000021</v>
      </c>
      <c r="G13" s="4">
        <f>'Isochrone Binaries '!H12</f>
        <v>4.399</v>
      </c>
      <c r="H13" s="4">
        <f>'Isochrone Binaries '!I12</f>
        <v>4.3849999999999998</v>
      </c>
      <c r="I13" s="4">
        <f>'Isochrone Binaries '!J12</f>
        <v>4.5199999999999996</v>
      </c>
      <c r="J13" s="4">
        <f>'Isochrone Binaries '!L12</f>
        <v>4.435448708936689</v>
      </c>
      <c r="K13" s="4">
        <f t="shared" ref="K13:N13" si="13">G14/G13</f>
        <v>0.57672198226869742</v>
      </c>
      <c r="L13" s="4">
        <f t="shared" si="13"/>
        <v>0.5655644241733182</v>
      </c>
      <c r="M13" s="4">
        <f t="shared" si="13"/>
        <v>0.55088495575221252</v>
      </c>
      <c r="N13" s="4">
        <f t="shared" si="13"/>
        <v>0.56391693673436216</v>
      </c>
      <c r="O13" s="54">
        <f>'Binary Summary'!J13</f>
        <v>0.57152964787734195</v>
      </c>
      <c r="P13" s="4">
        <f t="shared" ref="P13" si="14">O13*C13</f>
        <v>82.871798942214582</v>
      </c>
      <c r="Q13" s="4">
        <f>'Binary Summary'!K13</f>
        <v>158.91550380481891</v>
      </c>
      <c r="R13" s="54">
        <v>0.99986907478499998</v>
      </c>
    </row>
    <row r="14" spans="1:21">
      <c r="A14" s="55" t="str">
        <f>'Binary Summary'!A14</f>
        <v>HD 74535</v>
      </c>
      <c r="D14" s="48">
        <f>'Binary Summary'!G14</f>
        <v>3.0016662039607268E-2</v>
      </c>
      <c r="E14" s="48">
        <f>'Binary Summary'!H14</f>
        <v>3.0016662039607268E-2</v>
      </c>
      <c r="F14" s="48">
        <f>'Binary Summary'!I14</f>
        <v>3.0066592756745815E-2</v>
      </c>
      <c r="G14" s="4">
        <f>'Isochrone Binaries '!H13</f>
        <v>2.5369999999999999</v>
      </c>
      <c r="H14" s="4">
        <f>'Isochrone Binaries '!I13</f>
        <v>2.48</v>
      </c>
      <c r="I14" s="4">
        <f>'Isochrone Binaries '!J13</f>
        <v>2.4900000000000002</v>
      </c>
      <c r="J14" s="4">
        <f>'Isochrone Binaries '!L13</f>
        <v>2.5012246489859593</v>
      </c>
      <c r="K14" s="4"/>
      <c r="L14" s="4"/>
      <c r="M14" s="4"/>
      <c r="N14" s="4"/>
      <c r="O14" s="51">
        <f>'Binary Summary'!J14</f>
        <v>3.429177887264052E-3</v>
      </c>
      <c r="P14" s="48">
        <f t="shared" ref="P14" si="15">O14 * C13</f>
        <v>0.49723079365328754</v>
      </c>
      <c r="Q14" s="48">
        <f>'Binary Summary'!K14</f>
        <v>0.5</v>
      </c>
      <c r="R14" s="284"/>
    </row>
    <row r="15" spans="1:21">
      <c r="A15" s="1" t="str">
        <f>'Binary Summary'!A15</f>
        <v>Hogg5</v>
      </c>
      <c r="B15" s="1" t="str">
        <f>'Binary Summary'!B15</f>
        <v>F5V</v>
      </c>
      <c r="C15" s="1">
        <f>'Binary Summary'!C15</f>
        <v>145</v>
      </c>
      <c r="D15" s="4">
        <f>'Binary Summary'!G15</f>
        <v>4</v>
      </c>
      <c r="E15" s="4">
        <f>'Binary Summary'!H15</f>
        <v>3.4000000000000004</v>
      </c>
      <c r="F15" s="4">
        <f>'Binary Summary'!I15</f>
        <v>3.23</v>
      </c>
      <c r="G15" s="4">
        <f>'Isochrone Binaries '!H14</f>
        <v>1.343</v>
      </c>
      <c r="H15" s="4">
        <f>'Isochrone Binaries '!I14</f>
        <v>1.3140000000000001</v>
      </c>
      <c r="I15" s="4">
        <f>'Isochrone Binaries '!J14</f>
        <v>1.361</v>
      </c>
      <c r="J15" s="4">
        <f>'Isochrone Binaries '!L14</f>
        <v>1.3328831878414107</v>
      </c>
      <c r="K15" s="4">
        <f t="shared" ref="K15:N15" si="16">G16/G15</f>
        <v>0.25614296351451971</v>
      </c>
      <c r="L15" s="4">
        <f t="shared" si="16"/>
        <v>0.30060882800608829</v>
      </c>
      <c r="M15" s="4">
        <f t="shared" si="16"/>
        <v>0.28728875826598094</v>
      </c>
      <c r="N15" s="4">
        <f t="shared" si="16"/>
        <v>0.28858367418008501</v>
      </c>
      <c r="O15" s="54">
        <f>'Binary Summary'!J15</f>
        <v>0.399158497655</v>
      </c>
      <c r="P15" s="4">
        <f t="shared" ref="P15" si="17">O15*C15</f>
        <v>57.877982159974998</v>
      </c>
      <c r="Q15" s="4">
        <f>'Binary Summary'!K15</f>
        <v>18.434948822900001</v>
      </c>
      <c r="R15" s="54">
        <v>0.99440656781299996</v>
      </c>
    </row>
    <row r="16" spans="1:21">
      <c r="A16" s="55" t="str">
        <f>'Binary Summary'!A16</f>
        <v>SAO 236200</v>
      </c>
      <c r="D16" s="48">
        <f>'Binary Summary'!G16</f>
        <v>0.25</v>
      </c>
      <c r="E16" s="48">
        <f>'Binary Summary'!H16</f>
        <v>0.15811388300841897</v>
      </c>
      <c r="F16" s="48">
        <f>'Binary Summary'!I16</f>
        <v>0.13</v>
      </c>
      <c r="G16" s="4">
        <f>'Isochrone Binaries '!H15</f>
        <v>0.34399999999999997</v>
      </c>
      <c r="H16" s="4">
        <f>'Isochrone Binaries '!I15</f>
        <v>0.39500000000000002</v>
      </c>
      <c r="I16" s="4">
        <f>'Isochrone Binaries '!J15</f>
        <v>0.39100000000000001</v>
      </c>
      <c r="J16" s="4">
        <f>'Isochrone Binaries '!L15</f>
        <v>0.38464832760013873</v>
      </c>
      <c r="K16" s="4"/>
      <c r="L16" s="4"/>
      <c r="M16" s="4"/>
      <c r="N16" s="4"/>
      <c r="O16" s="51">
        <f>'Binary Summary'!J16</f>
        <v>2.3949509859300003E-3</v>
      </c>
      <c r="P16" s="48">
        <f t="shared" ref="P16" si="18">O16 * C15</f>
        <v>0.34726789295985006</v>
      </c>
      <c r="Q16" s="48">
        <f>'Binary Summary'!K16</f>
        <v>0.5</v>
      </c>
      <c r="R16" s="284"/>
    </row>
    <row r="17" spans="1:20">
      <c r="A17" s="62" t="s">
        <v>92</v>
      </c>
      <c r="B17" s="62" t="s">
        <v>92</v>
      </c>
      <c r="C17" s="62" t="s">
        <v>92</v>
      </c>
      <c r="D17" s="62" t="s">
        <v>92</v>
      </c>
      <c r="E17" s="62" t="s">
        <v>92</v>
      </c>
      <c r="F17" s="62" t="s">
        <v>92</v>
      </c>
      <c r="G17" s="62" t="s">
        <v>92</v>
      </c>
      <c r="H17" s="62" t="s">
        <v>92</v>
      </c>
      <c r="I17" s="62" t="s">
        <v>92</v>
      </c>
      <c r="J17" s="62" t="s">
        <v>92</v>
      </c>
      <c r="K17" s="62" t="s">
        <v>92</v>
      </c>
      <c r="L17" s="62" t="s">
        <v>92</v>
      </c>
      <c r="M17" s="62" t="s">
        <v>92</v>
      </c>
      <c r="N17" s="62" t="s">
        <v>92</v>
      </c>
      <c r="O17" s="62" t="s">
        <v>92</v>
      </c>
      <c r="P17" s="62" t="s">
        <v>92</v>
      </c>
      <c r="Q17" s="62" t="s">
        <v>92</v>
      </c>
      <c r="R17" s="62" t="s">
        <v>92</v>
      </c>
      <c r="S17" s="62" t="s">
        <v>92</v>
      </c>
      <c r="T17" s="62" t="s">
        <v>92</v>
      </c>
    </row>
    <row r="18" spans="1:20">
      <c r="A18" s="1" t="str">
        <f>'Binary Summary'!A20</f>
        <v>M56 b</v>
      </c>
      <c r="B18" s="1" t="str">
        <f>'Binary Summary'!B20</f>
        <v>B8V</v>
      </c>
      <c r="C18" s="1">
        <f>'Binary Summary'!C20</f>
        <v>270</v>
      </c>
      <c r="D18" s="4">
        <f>'Binary Summary'!G20</f>
        <v>0.15</v>
      </c>
      <c r="E18" s="4">
        <f>'Binary Summary'!H20</f>
        <v>0.25</v>
      </c>
      <c r="F18" s="4">
        <f>'Binary Summary'!I20</f>
        <v>0.3</v>
      </c>
      <c r="G18" s="4">
        <f>'Isochrone Binaries '!H18</f>
        <v>4.1950000000000003</v>
      </c>
      <c r="H18" s="4">
        <f>'Isochrone Binaries '!I18</f>
        <v>4.3310000000000004</v>
      </c>
      <c r="I18" s="4">
        <f>'Isochrone Binaries '!J18</f>
        <v>4.5620000000000003</v>
      </c>
      <c r="J18" s="4">
        <f>'Isochrone Binaries '!L18</f>
        <v>4.3042113394157795</v>
      </c>
      <c r="K18" s="4">
        <f>G19/G18</f>
        <v>0.93897497020262211</v>
      </c>
      <c r="L18" s="4">
        <f t="shared" ref="L18:N18" si="19">H19/H18</f>
        <v>0.89101824059108747</v>
      </c>
      <c r="M18" s="4">
        <f t="shared" si="19"/>
        <v>0.85028496273564225</v>
      </c>
      <c r="N18" s="4">
        <f t="shared" si="19"/>
        <v>0.90158978110821608</v>
      </c>
      <c r="O18" s="54">
        <f>'Binary Summary'!J20</f>
        <v>0.29675365499999995</v>
      </c>
      <c r="P18" s="4">
        <f>O18*C18</f>
        <v>80.123486849999992</v>
      </c>
      <c r="Q18" s="4">
        <f>'Binary Summary'!K20</f>
        <v>250.086195</v>
      </c>
      <c r="R18" s="54">
        <v>0.99979798623899996</v>
      </c>
    </row>
    <row r="19" spans="1:20">
      <c r="A19" s="55" t="str">
        <f>'Binary Summary'!A21</f>
        <v>HD 162586</v>
      </c>
      <c r="D19" s="48">
        <f>'Binary Summary'!G21</f>
        <v>0.15</v>
      </c>
      <c r="E19" s="48">
        <f>'Binary Summary'!H21</f>
        <v>0.1</v>
      </c>
      <c r="F19" s="48">
        <f>'Binary Summary'!I21</f>
        <v>0.1</v>
      </c>
      <c r="G19" s="4">
        <f>'Isochrone Binaries '!H19</f>
        <v>3.9390000000000001</v>
      </c>
      <c r="H19" s="4">
        <f>'Isochrone Binaries '!I19</f>
        <v>3.859</v>
      </c>
      <c r="I19" s="4">
        <f>'Isochrone Binaries '!J19</f>
        <v>3.879</v>
      </c>
      <c r="J19" s="4">
        <f>'Isochrone Binaries '!L19</f>
        <v>3.8806329593473743</v>
      </c>
      <c r="K19" s="4"/>
      <c r="L19" s="4"/>
      <c r="M19" s="4"/>
      <c r="N19" s="4"/>
      <c r="O19" s="51">
        <f>'Binary Summary'!J21</f>
        <v>2.6398821639920297E-3</v>
      </c>
      <c r="P19" s="48">
        <f>O19 * C18</f>
        <v>0.71276818427784805</v>
      </c>
      <c r="Q19" s="48">
        <f>'Binary Summary'!K21</f>
        <v>0.60059088235640279</v>
      </c>
      <c r="R19" s="284"/>
    </row>
    <row r="20" spans="1:20">
      <c r="A20" s="1" t="str">
        <f>'Binary Summary'!A24</f>
        <v>M86 a</v>
      </c>
      <c r="B20" s="1" t="str">
        <f>'Binary Summary'!B24</f>
        <v>B9V</v>
      </c>
      <c r="C20" s="1">
        <f>'Binary Summary'!C24</f>
        <v>270</v>
      </c>
      <c r="D20" s="4">
        <f>'Binary Summary'!G24</f>
        <v>1.7</v>
      </c>
      <c r="E20" s="4">
        <f>'Binary Summary'!H24</f>
        <v>1.5</v>
      </c>
      <c r="F20" s="4">
        <f>'Binary Summary'!I24</f>
        <v>1.6</v>
      </c>
      <c r="G20" s="4">
        <f>'Isochrone Binaries '!H22</f>
        <v>5.1449999999999996</v>
      </c>
      <c r="H20" s="4">
        <f>'Isochrone Binaries '!I22</f>
        <v>5.2809999999999997</v>
      </c>
      <c r="I20" s="4">
        <f>'Isochrone Binaries '!J22</f>
        <v>5.5339999999999998</v>
      </c>
      <c r="J20" s="4">
        <f>'Isochrone Binaries '!L22</f>
        <v>5.3331751173049522</v>
      </c>
      <c r="K20" s="4">
        <f t="shared" ref="K20:N20" si="20">G21/G20</f>
        <v>0.59475218658892137</v>
      </c>
      <c r="L20" s="4">
        <f t="shared" si="20"/>
        <v>0.60424162090513156</v>
      </c>
      <c r="M20" s="4">
        <f t="shared" si="20"/>
        <v>0.57354535598120704</v>
      </c>
      <c r="N20" s="4">
        <f t="shared" si="20"/>
        <v>0.59411642797995223</v>
      </c>
      <c r="O20" s="54">
        <f>'Binary Summary'!J24</f>
        <v>0.22769999999999999</v>
      </c>
      <c r="P20" s="4">
        <f>O20*C20</f>
        <v>61.478999999999999</v>
      </c>
      <c r="Q20" s="4">
        <f>'Binary Summary'!K24</f>
        <v>96.5</v>
      </c>
      <c r="R20" s="54">
        <v>0.99918632300599997</v>
      </c>
    </row>
    <row r="21" spans="1:20">
      <c r="A21" s="55" t="str">
        <f>'Binary Summary'!A25</f>
        <v>HD 162724</v>
      </c>
      <c r="D21" s="48">
        <f>'Binary Summary'!G25</f>
        <v>0.20615528128088306</v>
      </c>
      <c r="E21" s="48">
        <f>'Binary Summary'!H25</f>
        <v>0.1118033988749895</v>
      </c>
      <c r="F21" s="48">
        <f>'Binary Summary'!I25</f>
        <v>0.1118033988749895</v>
      </c>
      <c r="G21" s="4">
        <f>'Isochrone Binaries '!H23</f>
        <v>3.06</v>
      </c>
      <c r="H21" s="4">
        <f>'Isochrone Binaries '!I23</f>
        <v>3.1909999999999998</v>
      </c>
      <c r="I21" s="4">
        <f>'Isochrone Binaries '!J23</f>
        <v>3.1739999999999999</v>
      </c>
      <c r="J21" s="4">
        <f>'Isochrone Binaries '!L23</f>
        <v>3.1685269504847811</v>
      </c>
      <c r="K21" s="4"/>
      <c r="L21" s="4"/>
      <c r="M21" s="4"/>
      <c r="N21" s="4"/>
      <c r="O21" s="51">
        <f>'Binary Summary'!J25</f>
        <v>3.465E-2</v>
      </c>
      <c r="P21" s="48">
        <f>O21 * C20</f>
        <v>9.3554999999999993</v>
      </c>
      <c r="Q21" s="48">
        <f>'Binary Summary'!K25</f>
        <v>0.53851648071345048</v>
      </c>
      <c r="R21" s="284"/>
    </row>
    <row r="22" spans="1:20">
      <c r="A22" s="62" t="s">
        <v>93</v>
      </c>
      <c r="B22" s="62" t="s">
        <v>93</v>
      </c>
      <c r="C22" s="62" t="s">
        <v>93</v>
      </c>
      <c r="D22" s="62" t="s">
        <v>93</v>
      </c>
      <c r="E22" s="62" t="s">
        <v>93</v>
      </c>
      <c r="F22" s="62" t="s">
        <v>93</v>
      </c>
      <c r="G22" s="62" t="s">
        <v>93</v>
      </c>
      <c r="H22" s="62" t="s">
        <v>93</v>
      </c>
      <c r="I22" s="62" t="s">
        <v>93</v>
      </c>
      <c r="J22" s="62" t="s">
        <v>93</v>
      </c>
      <c r="K22" s="62" t="s">
        <v>93</v>
      </c>
      <c r="L22" s="62" t="s">
        <v>93</v>
      </c>
      <c r="M22" s="62" t="s">
        <v>93</v>
      </c>
      <c r="N22" s="62" t="s">
        <v>93</v>
      </c>
      <c r="O22" s="62" t="s">
        <v>93</v>
      </c>
      <c r="P22" s="62" t="s">
        <v>93</v>
      </c>
      <c r="Q22" s="62" t="s">
        <v>93</v>
      </c>
      <c r="R22" s="62" t="s">
        <v>93</v>
      </c>
      <c r="S22" s="62" t="s">
        <v>93</v>
      </c>
      <c r="T22" s="62" t="s">
        <v>93</v>
      </c>
    </row>
    <row r="23" spans="1:20">
      <c r="A23" s="1" t="str">
        <f>'Binary Summary'!A29</f>
        <v>M141</v>
      </c>
      <c r="B23" s="1" t="str">
        <f>'Binary Summary'!B29</f>
        <v>B9III-IV</v>
      </c>
      <c r="C23" s="1">
        <f>'Binary Summary'!C29</f>
        <v>184</v>
      </c>
      <c r="D23" s="4">
        <f>'Binary Summary'!G29</f>
        <v>6.4460000000000024</v>
      </c>
      <c r="E23" s="4">
        <f>'Binary Summary'!H29</f>
        <v>5.8685000000000009</v>
      </c>
      <c r="F23" s="4">
        <f>'Binary Summary'!I29</f>
        <v>5.8819999999999997</v>
      </c>
      <c r="G23" s="4">
        <f>'Isochrone Binaries '!H26</f>
        <v>1.5489999999999999</v>
      </c>
      <c r="H23" s="4">
        <f>'Isochrone Binaries '!I26</f>
        <v>1.4430000000000001</v>
      </c>
      <c r="I23" s="4">
        <f>'Isochrone Binaries '!J26</f>
        <v>1.44</v>
      </c>
      <c r="J23" s="4">
        <f>'Isochrone Binaries '!L26</f>
        <v>1.4893514180024658</v>
      </c>
      <c r="K23" s="4">
        <f t="shared" ref="K23:N37" si="21">G24/G23</f>
        <v>5.7456423499031635E-2</v>
      </c>
      <c r="L23" s="4">
        <f t="shared" si="21"/>
        <v>6.0291060291060287E-2</v>
      </c>
      <c r="M23" s="4">
        <f t="shared" si="21"/>
        <v>4.6527777777777779E-2</v>
      </c>
      <c r="N23" s="4">
        <f t="shared" si="21"/>
        <v>5.3776954543458898E-2</v>
      </c>
      <c r="O23" s="54">
        <f>'Binary Summary'!J29</f>
        <v>3.112098383038687</v>
      </c>
      <c r="P23" s="4">
        <f>O23*C23</f>
        <v>572.62610247911846</v>
      </c>
      <c r="Q23" s="4">
        <f>'Binary Summary'!K29</f>
        <v>102.65373413133342</v>
      </c>
      <c r="R23" s="54">
        <v>0.95735788444600001</v>
      </c>
    </row>
    <row r="24" spans="1:20">
      <c r="A24" s="55" t="str">
        <f>'Binary Summary'!A30</f>
        <v>HD 61310</v>
      </c>
      <c r="D24" s="48">
        <f>'Binary Summary'!G30</f>
        <v>4.4254943226717643E-2</v>
      </c>
      <c r="E24" s="48">
        <f>'Binary Summary'!H30</f>
        <v>3.7583240945932246E-2</v>
      </c>
      <c r="F24" s="48">
        <f>'Binary Summary'!I30</f>
        <v>4.0773766075750256E-2</v>
      </c>
      <c r="G24" s="4">
        <f>'Isochrone Binaries '!H27</f>
        <v>8.8999999999999996E-2</v>
      </c>
      <c r="H24" s="4">
        <f>'Isochrone Binaries '!I27</f>
        <v>8.6999999999999994E-2</v>
      </c>
      <c r="I24" s="4">
        <f>'Isochrone Binaries '!J27</f>
        <v>6.7000000000000004E-2</v>
      </c>
      <c r="J24" s="4">
        <f>'Isochrone Binaries '!L27</f>
        <v>8.0092783505154655E-2</v>
      </c>
      <c r="K24" s="4"/>
      <c r="L24" s="4"/>
      <c r="M24" s="4"/>
      <c r="N24" s="4"/>
      <c r="O24" s="51">
        <f>'Binary Summary'!J30</f>
        <v>1.8672590298232122E-2</v>
      </c>
      <c r="P24" s="48">
        <f>O24 * C23</f>
        <v>3.4357566148747107</v>
      </c>
      <c r="Q24" s="48">
        <f>'Binary Summary'!K30</f>
        <v>0.5</v>
      </c>
      <c r="R24" s="284"/>
    </row>
    <row r="25" spans="1:20">
      <c r="A25" s="1" t="str">
        <f>'Binary Summary'!A31</f>
        <v>M141-2 a</v>
      </c>
      <c r="B25" s="1" t="str">
        <f>'Binary Summary'!B31</f>
        <v>B9III-IV</v>
      </c>
      <c r="C25" s="1">
        <f>'Binary Summary'!C31</f>
        <v>184</v>
      </c>
      <c r="D25" s="4">
        <f>'Binary Summary'!G31</f>
        <v>3.5</v>
      </c>
      <c r="E25" s="4">
        <f>'Binary Summary'!H31</f>
        <v>3.09</v>
      </c>
      <c r="F25" s="4">
        <f>'Binary Summary'!I31</f>
        <v>2.74</v>
      </c>
      <c r="G25" s="4">
        <f>'Isochrone Binaries '!H28</f>
        <v>4.5250000000000004</v>
      </c>
      <c r="H25" s="4">
        <f>'Isochrone Binaries '!I28</f>
        <v>4.6310000000000002</v>
      </c>
      <c r="I25" s="4">
        <f>'Isochrone Binaries '!J28</f>
        <v>4.8339999999999996</v>
      </c>
      <c r="J25" s="4">
        <f>'Isochrone Binaries '!L28</f>
        <v>4.6689544825696938</v>
      </c>
      <c r="K25" s="4">
        <f>G26/G25</f>
        <v>0.26607734806629829</v>
      </c>
      <c r="L25" s="4">
        <f>H26/H25</f>
        <v>0.26732887065428634</v>
      </c>
      <c r="M25" s="4">
        <f>I26/I25</f>
        <v>0.29230450972279687</v>
      </c>
      <c r="N25" s="4">
        <f>J26/J25</f>
        <v>0.26955589876504715</v>
      </c>
      <c r="O25" s="54">
        <f>'Binary Summary'!J31</f>
        <v>0.35639999999999999</v>
      </c>
      <c r="P25" s="4">
        <f t="shared" ref="P25" si="22">O25*C25</f>
        <v>65.577600000000004</v>
      </c>
      <c r="Q25" s="4">
        <f>'Binary Summary'!K31</f>
        <v>153.9</v>
      </c>
      <c r="R25" s="54">
        <v>0.99959409415199996</v>
      </c>
    </row>
    <row r="26" spans="1:20">
      <c r="A26" s="55" t="str">
        <f>'Binary Summary'!A32</f>
        <v>HR 6660</v>
      </c>
      <c r="D26" s="301" t="str">
        <f>'Binary Summary'!G32</f>
        <v>???</v>
      </c>
      <c r="E26" s="48">
        <f>'Binary Summary'!H32</f>
        <v>0.1118033988749895</v>
      </c>
      <c r="F26" s="48">
        <f>'Binary Summary'!I32</f>
        <v>0.1118033988749895</v>
      </c>
      <c r="G26" s="283">
        <f>'Isochrone Binaries '!H29</f>
        <v>1.204</v>
      </c>
      <c r="H26" s="4">
        <f>'Isochrone Binaries '!I29</f>
        <v>1.238</v>
      </c>
      <c r="I26" s="4">
        <f>'Isochrone Binaries '!J29</f>
        <v>1.413</v>
      </c>
      <c r="J26" s="4">
        <f>'Isochrone Binaries '!L29</f>
        <v>1.2585442218421694</v>
      </c>
      <c r="K26" s="4"/>
      <c r="L26" s="4"/>
      <c r="M26" s="4"/>
      <c r="N26" s="4"/>
      <c r="O26" s="51">
        <f>'Binary Summary'!J32</f>
        <v>2.1384E-2</v>
      </c>
      <c r="P26" s="48">
        <f t="shared" ref="P26" si="23">O26 * C25</f>
        <v>3.9346559999999999</v>
      </c>
      <c r="Q26" s="48">
        <f>'Binary Summary'!K32</f>
        <v>0.21375000000000002</v>
      </c>
      <c r="R26" s="284"/>
    </row>
    <row r="27" spans="1:20">
      <c r="A27" s="1" t="str">
        <f>'Binary Summary'!A33</f>
        <v>M141-2 b</v>
      </c>
      <c r="B27" s="1" t="str">
        <f>'Binary Summary'!B33</f>
        <v>B9III-IV</v>
      </c>
      <c r="C27" s="1">
        <f>'Binary Summary'!C33</f>
        <v>184</v>
      </c>
      <c r="D27" s="4">
        <f>'Binary Summary'!G33</f>
        <v>7.9</v>
      </c>
      <c r="E27" s="4">
        <f>'Binary Summary'!H33</f>
        <v>7.39</v>
      </c>
      <c r="F27" s="4">
        <f>'Binary Summary'!I33</f>
        <v>7.05</v>
      </c>
      <c r="G27" s="4">
        <f>'Isochrone Binaries '!H30</f>
        <v>4.5250000000000004</v>
      </c>
      <c r="H27" s="4">
        <f>'Isochrone Binaries '!I30</f>
        <v>4.6310000000000002</v>
      </c>
      <c r="I27" s="4">
        <f>'Isochrone Binaries '!J30</f>
        <v>4.8339999999999996</v>
      </c>
      <c r="J27" s="4">
        <f>'Isochrone Binaries '!L30</f>
        <v>4.6689544825696938</v>
      </c>
      <c r="K27" s="4">
        <f t="shared" ref="K27:M27" si="24">G28/G27</f>
        <v>4.2430939226519332E-2</v>
      </c>
      <c r="L27" s="4">
        <f t="shared" si="24"/>
        <v>3.9948175340099326E-2</v>
      </c>
      <c r="M27" s="4">
        <f t="shared" si="24"/>
        <v>3.9718659495242038E-2</v>
      </c>
      <c r="N27" s="4">
        <f t="shared" si="21"/>
        <v>4.0403513995588232E-2</v>
      </c>
      <c r="O27" s="54">
        <f>'Binary Summary'!J33</f>
        <v>2.0027699999999999</v>
      </c>
      <c r="P27" s="4">
        <f t="shared" ref="P27" si="25">O27*C27</f>
        <v>368.50968</v>
      </c>
      <c r="Q27" s="4">
        <f>'Binary Summary'!K33</f>
        <v>232.32</v>
      </c>
      <c r="R27" s="54">
        <v>0.98599045987599998</v>
      </c>
    </row>
    <row r="28" spans="1:20">
      <c r="A28" s="55" t="str">
        <f>'Binary Summary'!A34</f>
        <v>HR 6660</v>
      </c>
      <c r="D28" s="48">
        <f>'Binary Summary'!G34</f>
        <v>0.20615528128088306</v>
      </c>
      <c r="E28" s="48">
        <f>'Binary Summary'!H34</f>
        <v>0.1118033988749895</v>
      </c>
      <c r="F28" s="48">
        <f>'Binary Summary'!I34</f>
        <v>0.1118033988749895</v>
      </c>
      <c r="G28" s="4">
        <f>'Isochrone Binaries '!H31</f>
        <v>0.192</v>
      </c>
      <c r="H28" s="4">
        <f>'Isochrone Binaries '!I31</f>
        <v>0.185</v>
      </c>
      <c r="I28" s="4">
        <f>'Isochrone Binaries '!J31</f>
        <v>0.192</v>
      </c>
      <c r="J28" s="4">
        <f>'Isochrone Binaries '!L31</f>
        <v>0.18864216778126905</v>
      </c>
      <c r="K28" s="4"/>
      <c r="L28" s="4"/>
      <c r="M28" s="4"/>
      <c r="N28" s="4"/>
      <c r="O28" s="51">
        <f>'Binary Summary'!J34</f>
        <v>1.201662E-2</v>
      </c>
      <c r="P28" s="48">
        <f t="shared" ref="P28" si="26">O28 * C27</f>
        <v>2.2110580799999999</v>
      </c>
      <c r="Q28" s="48">
        <f>'Binary Summary'!K34</f>
        <v>0.5</v>
      </c>
      <c r="R28" s="284"/>
    </row>
    <row r="29" spans="1:20">
      <c r="A29" s="1" t="str">
        <f>'Binary Summary'!A35</f>
        <v>M162</v>
      </c>
      <c r="B29" s="1" t="str">
        <f>'Binary Summary'!B35</f>
        <v>B9</v>
      </c>
      <c r="C29" s="1">
        <f>'Binary Summary'!C35</f>
        <v>184</v>
      </c>
      <c r="D29" s="4">
        <f>'Binary Summary'!G35</f>
        <v>7.0450000000000044</v>
      </c>
      <c r="E29" s="4">
        <f>'Binary Summary'!H35</f>
        <v>6.166999999999998</v>
      </c>
      <c r="F29" s="4">
        <f>'Binary Summary'!I35</f>
        <v>6.0405000000000015</v>
      </c>
      <c r="G29" s="4">
        <f>'Isochrone Binaries '!H32</f>
        <v>1.6479999999999999</v>
      </c>
      <c r="H29" s="4">
        <f>'Isochrone Binaries '!I32</f>
        <v>1.5349999999999999</v>
      </c>
      <c r="I29" s="4">
        <f>'Isochrone Binaries '!J32</f>
        <v>1.498</v>
      </c>
      <c r="J29" s="4">
        <f>'Isochrone Binaries '!L32</f>
        <v>1.5648413950937503</v>
      </c>
      <c r="K29" s="4">
        <f t="shared" ref="K29:M29" si="27">G30/G29</f>
        <v>4.12621359223301E-2</v>
      </c>
      <c r="L29" s="4">
        <f t="shared" si="27"/>
        <v>5.2117263843648211E-2</v>
      </c>
      <c r="M29" s="4">
        <f t="shared" si="27"/>
        <v>4.2723631508678236E-2</v>
      </c>
      <c r="N29" s="4">
        <f t="shared" si="21"/>
        <v>4.4583085954212731E-2</v>
      </c>
      <c r="O29" s="54">
        <f>'Binary Summary'!J35</f>
        <v>3.7917447485087865</v>
      </c>
      <c r="P29" s="4">
        <f t="shared" ref="P29" si="28">O29*C29</f>
        <v>697.68103372561677</v>
      </c>
      <c r="Q29" s="4">
        <f>'Binary Summary'!K35</f>
        <v>5.7140275052130676</v>
      </c>
      <c r="R29" s="54">
        <v>0.95735788444600001</v>
      </c>
    </row>
    <row r="30" spans="1:20">
      <c r="A30" s="55" t="str">
        <f>'Binary Summary'!A36</f>
        <v>HD 61622</v>
      </c>
      <c r="D30" s="48">
        <f>'Binary Summary'!G36</f>
        <v>4.8283019789569927E-2</v>
      </c>
      <c r="E30" s="48">
        <f>'Binary Summary'!H36</f>
        <v>4.0755367744629636E-2</v>
      </c>
      <c r="F30" s="48">
        <f>'Binary Summary'!I36</f>
        <v>4.1967249135486606E-2</v>
      </c>
      <c r="G30" s="4">
        <f>'Isochrone Binaries '!H33</f>
        <v>6.8000000000000005E-2</v>
      </c>
      <c r="H30" s="4">
        <f>'Isochrone Binaries '!I33</f>
        <v>0.08</v>
      </c>
      <c r="I30" s="4">
        <f>'Isochrone Binaries '!J33</f>
        <v>6.4000000000000001E-2</v>
      </c>
      <c r="J30" s="4">
        <f>'Isochrone Binaries '!L33</f>
        <v>6.9765458422174839E-2</v>
      </c>
      <c r="K30" s="4"/>
      <c r="L30" s="4"/>
      <c r="M30" s="4"/>
      <c r="N30" s="4"/>
      <c r="O30" s="51">
        <f>'Binary Summary'!J36</f>
        <v>2.2750468491052719E-2</v>
      </c>
      <c r="P30" s="48">
        <f t="shared" ref="P30" si="29">O30 * C29</f>
        <v>4.1860862023537004</v>
      </c>
      <c r="Q30" s="48">
        <f>'Binary Summary'!K36</f>
        <v>0.5</v>
      </c>
      <c r="R30" s="284"/>
    </row>
    <row r="31" spans="1:20">
      <c r="A31" s="1" t="str">
        <f>'Binary Summary'!A37</f>
        <v>M182</v>
      </c>
      <c r="B31" s="1" t="str">
        <f>'Binary Summary'!B37</f>
        <v>B5V n</v>
      </c>
      <c r="C31" s="1">
        <f>'Binary Summary'!C37</f>
        <v>184</v>
      </c>
      <c r="D31" s="4">
        <f>'Binary Summary'!G37</f>
        <v>2.2524999999999906</v>
      </c>
      <c r="E31" s="4">
        <f>'Binary Summary'!H37</f>
        <v>2.1419999999999995</v>
      </c>
      <c r="F31" s="4">
        <f>'Binary Summary'!I37</f>
        <v>2.0500000000000123</v>
      </c>
      <c r="G31" s="4">
        <f>'Isochrone Binaries '!H34</f>
        <v>4.8460000000000001</v>
      </c>
      <c r="H31" s="4">
        <f>'Isochrone Binaries '!I34</f>
        <v>4.8109999999999999</v>
      </c>
      <c r="I31" s="4">
        <f>'Isochrone Binaries '!J34</f>
        <v>4.9649999999999999</v>
      </c>
      <c r="J31" s="4">
        <f>'Isochrone Binaries '!L34</f>
        <v>4.8762121835796179</v>
      </c>
      <c r="K31" s="4">
        <f t="shared" ref="K31:M31" si="30">G32/G31</f>
        <v>0.404250928600908</v>
      </c>
      <c r="L31" s="4">
        <f t="shared" si="30"/>
        <v>0.40823113697775931</v>
      </c>
      <c r="M31" s="4">
        <f t="shared" si="30"/>
        <v>0.4535750251762336</v>
      </c>
      <c r="N31" s="4">
        <f t="shared" si="21"/>
        <v>0.40431182155568512</v>
      </c>
      <c r="O31" s="54">
        <f>'Binary Summary'!J37</f>
        <v>1.2764508589239245</v>
      </c>
      <c r="P31" s="4">
        <f t="shared" ref="P31" si="31">O31*C31</f>
        <v>234.86695804200212</v>
      </c>
      <c r="Q31" s="4">
        <f>'Binary Summary'!K37</f>
        <v>149.48896647743859</v>
      </c>
      <c r="R31" s="54">
        <v>0.99972248895000004</v>
      </c>
    </row>
    <row r="32" spans="1:20">
      <c r="A32" s="55" t="str">
        <f>'Binary Summary'!A38</f>
        <v>HD 61878</v>
      </c>
      <c r="D32" s="48">
        <f>'Binary Summary'!G38</f>
        <v>3.0033314835362413E-2</v>
      </c>
      <c r="E32" s="48">
        <f>'Binary Summary'!H38</f>
        <v>3.0033314835362413E-2</v>
      </c>
      <c r="F32" s="48">
        <f>'Binary Summary'!I38</f>
        <v>3.0033314835362413E-2</v>
      </c>
      <c r="G32" s="4">
        <f>'Isochrone Binaries '!H35</f>
        <v>1.9590000000000001</v>
      </c>
      <c r="H32" s="4">
        <f>'Isochrone Binaries '!I35</f>
        <v>1.964</v>
      </c>
      <c r="I32" s="4">
        <f>'Isochrone Binaries '!J35</f>
        <v>2.2519999999999998</v>
      </c>
      <c r="J32" s="4">
        <f>'Isochrone Binaries '!L35</f>
        <v>1.9715102302351002</v>
      </c>
      <c r="K32" s="4"/>
      <c r="L32" s="4"/>
      <c r="M32" s="4"/>
      <c r="N32" s="4"/>
      <c r="O32" s="51">
        <f>'Binary Summary'!J38</f>
        <v>7.6587051535435468E-3</v>
      </c>
      <c r="P32" s="48">
        <f t="shared" ref="P32" si="32">O32 * C31</f>
        <v>1.4092017482520127</v>
      </c>
      <c r="Q32" s="48">
        <f>'Binary Summary'!K38</f>
        <v>0.5</v>
      </c>
      <c r="R32" s="284"/>
    </row>
    <row r="33" spans="1:21">
      <c r="A33" s="1" t="str">
        <f>'Binary Summary'!A39</f>
        <v>M188</v>
      </c>
      <c r="B33" s="1" t="str">
        <f>'Binary Summary'!B39</f>
        <v>B9V</v>
      </c>
      <c r="C33" s="1">
        <f>'Binary Summary'!C39</f>
        <v>184</v>
      </c>
      <c r="D33" s="4">
        <f>'Binary Summary'!G39</f>
        <v>5.4839999999999982</v>
      </c>
      <c r="E33" s="4">
        <f>'Binary Summary'!H39</f>
        <v>4.8999999999999986</v>
      </c>
      <c r="F33" s="4">
        <f>'Binary Summary'!I39</f>
        <v>4.7834999999999983</v>
      </c>
      <c r="G33" s="4">
        <f>'Isochrone Binaries '!H36</f>
        <v>1.7549999999999999</v>
      </c>
      <c r="H33" s="4">
        <f>'Isochrone Binaries '!I36</f>
        <v>1.6659999999999999</v>
      </c>
      <c r="I33" s="4">
        <f>'Isochrone Binaries '!J36</f>
        <v>1.675</v>
      </c>
      <c r="J33" s="4">
        <f>'Isochrone Binaries '!L36</f>
        <v>1.7071559676660337</v>
      </c>
      <c r="K33" s="4">
        <f t="shared" ref="K33:M33" si="33">G34/G33</f>
        <v>0.12421652421652422</v>
      </c>
      <c r="L33" s="4">
        <f t="shared" si="33"/>
        <v>0.12364945978391356</v>
      </c>
      <c r="M33" s="4">
        <f t="shared" si="33"/>
        <v>0.10865671641791044</v>
      </c>
      <c r="N33" s="4">
        <f t="shared" si="21"/>
        <v>0.11633849246796639</v>
      </c>
      <c r="O33" s="54">
        <f>'Binary Summary'!J39</f>
        <v>4.3968029661754429</v>
      </c>
      <c r="P33" s="4">
        <f t="shared" ref="P33" si="34">O33*C33</f>
        <v>809.01174577628149</v>
      </c>
      <c r="Q33" s="4">
        <f>'Binary Summary'!K39</f>
        <v>249.95740885176127</v>
      </c>
      <c r="R33" s="54">
        <v>0.98599045987599998</v>
      </c>
    </row>
    <row r="34" spans="1:21">
      <c r="A34" s="55" t="str">
        <f>'Binary Summary'!A40</f>
        <v>HD 61924</v>
      </c>
      <c r="D34" s="48">
        <f>'Binary Summary'!G40</f>
        <v>3.1941352507368889E-2</v>
      </c>
      <c r="E34" s="48">
        <f>'Binary Summary'!H40</f>
        <v>3.1084562084739104E-2</v>
      </c>
      <c r="F34" s="48">
        <f>'Binary Summary'!I40</f>
        <v>3.1176914536239792E-2</v>
      </c>
      <c r="G34" s="4">
        <f>'Isochrone Binaries '!H37</f>
        <v>0.218</v>
      </c>
      <c r="H34" s="4">
        <f>'Isochrone Binaries '!I37</f>
        <v>0.20599999999999999</v>
      </c>
      <c r="I34" s="4">
        <f>'Isochrone Binaries '!J37</f>
        <v>0.182</v>
      </c>
      <c r="J34" s="4">
        <f>'Isochrone Binaries '!L37</f>
        <v>0.19860795168595874</v>
      </c>
      <c r="K34" s="4"/>
      <c r="L34" s="4"/>
      <c r="M34" s="4"/>
      <c r="N34" s="4"/>
      <c r="O34" s="51">
        <f>'Binary Summary'!J40</f>
        <v>2.6380817797052657E-2</v>
      </c>
      <c r="P34" s="48">
        <f t="shared" ref="P34" si="35">O34 * C33</f>
        <v>4.8540704746576893</v>
      </c>
      <c r="Q34" s="48">
        <f>'Binary Summary'!K40</f>
        <v>0.5</v>
      </c>
      <c r="R34" s="284"/>
    </row>
    <row r="35" spans="1:21">
      <c r="A35" s="1" t="str">
        <f>'Binary Summary'!A41</f>
        <v>M197 b</v>
      </c>
      <c r="B35" s="1" t="str">
        <f>'Binary Summary'!B41</f>
        <v>F2IV-V</v>
      </c>
      <c r="C35" s="1">
        <f>'Binary Summary'!C41</f>
        <v>184</v>
      </c>
      <c r="D35" s="4">
        <f>'Binary Summary'!G41</f>
        <v>7.42</v>
      </c>
      <c r="E35" s="4">
        <f>'Binary Summary'!H41</f>
        <v>6.96</v>
      </c>
      <c r="F35" s="4">
        <f>'Binary Summary'!I41</f>
        <v>6.6734964522600002</v>
      </c>
      <c r="G35" s="4">
        <f>'Isochrone Binaries '!H38</f>
        <v>2.3109999999999999</v>
      </c>
      <c r="H35" s="4">
        <f>'Isochrone Binaries '!I38</f>
        <v>2.4630000000000001</v>
      </c>
      <c r="I35" s="4">
        <f>'Isochrone Binaries '!J38</f>
        <v>2.573</v>
      </c>
      <c r="J35" s="4">
        <f>'Isochrone Binaries '!L38</f>
        <v>2.4471197698375677</v>
      </c>
      <c r="K35" s="4">
        <f t="shared" ref="K35:M35" si="36">G36/G35</f>
        <v>3.5049762007788837E-2</v>
      </c>
      <c r="L35" s="4">
        <f t="shared" si="36"/>
        <v>3.329273244011368E-2</v>
      </c>
      <c r="M35" s="4">
        <f t="shared" si="36"/>
        <v>3.1480761756704237E-2</v>
      </c>
      <c r="N35" s="4">
        <f t="shared" si="21"/>
        <v>3.3221578065625493E-2</v>
      </c>
      <c r="O35" s="54">
        <f>'Binary Summary'!J41</f>
        <v>4.005580542901285</v>
      </c>
      <c r="P35" s="4">
        <f t="shared" ref="P35" si="37">O35*C35</f>
        <v>737.02681989383643</v>
      </c>
      <c r="Q35" s="4">
        <f>'Binary Summary'!K41</f>
        <v>4.0318458218829392</v>
      </c>
      <c r="R35" s="54">
        <v>0.97001931921899998</v>
      </c>
    </row>
    <row r="36" spans="1:21">
      <c r="A36" s="55" t="str">
        <f>'Binary Summary'!A42</f>
        <v>HD 62152</v>
      </c>
      <c r="D36" s="48">
        <f>'Binary Summary'!G42</f>
        <v>0.10005123687391375</v>
      </c>
      <c r="E36" s="48">
        <f>'Binary Summary'!H42</f>
        <v>5.6375970058172853E-2</v>
      </c>
      <c r="F36" s="48">
        <f>'Binary Summary'!I42</f>
        <v>4.8283019789569927E-2</v>
      </c>
      <c r="G36" s="4">
        <f>'Isochrone Binaries '!H39</f>
        <v>8.1000000000000003E-2</v>
      </c>
      <c r="H36" s="4">
        <f>'Isochrone Binaries '!I39</f>
        <v>8.2000000000000003E-2</v>
      </c>
      <c r="I36" s="4">
        <f>'Isochrone Binaries '!J39</f>
        <v>8.1000000000000003E-2</v>
      </c>
      <c r="J36" s="4">
        <f>'Isochrone Binaries '!L39</f>
        <v>8.1297180469594249E-2</v>
      </c>
      <c r="K36" s="4"/>
      <c r="L36" s="4"/>
      <c r="M36" s="4"/>
      <c r="N36" s="4"/>
      <c r="O36" s="51">
        <f>'Binary Summary'!J42</f>
        <v>2.4033483257407711E-2</v>
      </c>
      <c r="P36" s="48">
        <f t="shared" ref="P36" si="38">O36 * C35</f>
        <v>4.4221609193630185</v>
      </c>
      <c r="Q36" s="48">
        <f>'Binary Summary'!K42</f>
        <v>0.5</v>
      </c>
      <c r="R36" s="284"/>
    </row>
    <row r="37" spans="1:21">
      <c r="A37" s="1" t="str">
        <f>'Binary Summary'!A43</f>
        <v>M218</v>
      </c>
      <c r="B37" s="1" t="str">
        <f>'Binary Summary'!B43</f>
        <v>B9V</v>
      </c>
      <c r="C37" s="1">
        <f>'Binary Summary'!C43</f>
        <v>184</v>
      </c>
      <c r="D37" s="4">
        <f>'Binary Summary'!G43</f>
        <v>4.879999999999999</v>
      </c>
      <c r="E37" s="4">
        <f>'Binary Summary'!H43</f>
        <v>4.1690000000000014</v>
      </c>
      <c r="F37" s="4">
        <f>'Binary Summary'!I43</f>
        <v>3.9894999999999996</v>
      </c>
      <c r="G37" s="4">
        <f>'Isochrone Binaries '!H40</f>
        <v>2.9079999999999999</v>
      </c>
      <c r="H37" s="4">
        <f>'Isochrone Binaries '!I40</f>
        <v>2.8929999999999998</v>
      </c>
      <c r="I37" s="4">
        <f>'Isochrone Binaries '!J40</f>
        <v>2.9750000000000001</v>
      </c>
      <c r="J37" s="4">
        <f>'Isochrone Binaries '!L40</f>
        <v>2.9228495252809346</v>
      </c>
      <c r="K37" s="4">
        <f t="shared" ref="K37:M37" si="39">G38/G37</f>
        <v>0.20392022008253094</v>
      </c>
      <c r="L37" s="4">
        <f t="shared" si="39"/>
        <v>0.20428620808848946</v>
      </c>
      <c r="M37" s="4">
        <f t="shared" si="39"/>
        <v>0.20504201680672268</v>
      </c>
      <c r="N37" s="4">
        <f t="shared" si="21"/>
        <v>0.2044014108578471</v>
      </c>
      <c r="O37" s="54">
        <f>'Binary Summary'!J43</f>
        <v>3.2336666271065182</v>
      </c>
      <c r="P37" s="4">
        <f t="shared" ref="P37" si="40">O37*C37</f>
        <v>594.99465938759931</v>
      </c>
      <c r="Q37" s="4">
        <f>'Binary Summary'!K43</f>
        <v>267.04800692931866</v>
      </c>
      <c r="R37" s="54">
        <v>0.99689417686500004</v>
      </c>
    </row>
    <row r="38" spans="1:21">
      <c r="A38" s="55" t="str">
        <f>'Binary Summary'!A44</f>
        <v>HD 62503</v>
      </c>
      <c r="D38" s="48">
        <f>'Binary Summary'!G44</f>
        <v>3.1084562084739104E-2</v>
      </c>
      <c r="E38" s="48">
        <f>'Binary Summary'!H44</f>
        <v>3.0528675044947495E-2</v>
      </c>
      <c r="F38" s="48">
        <f>'Binary Summary'!I44</f>
        <v>3.1575306807693888E-2</v>
      </c>
      <c r="G38" s="4">
        <f>'Isochrone Binaries '!H41</f>
        <v>0.59299999999999997</v>
      </c>
      <c r="H38" s="4">
        <f>'Isochrone Binaries '!I41</f>
        <v>0.59099999999999997</v>
      </c>
      <c r="I38" s="4">
        <f>'Isochrone Binaries '!J41</f>
        <v>0.61</v>
      </c>
      <c r="J38" s="4">
        <f>'Isochrone Binaries '!L41</f>
        <v>0.59743456669261163</v>
      </c>
      <c r="K38" s="4"/>
      <c r="L38" s="4"/>
      <c r="M38" s="4"/>
      <c r="N38" s="4"/>
      <c r="O38" s="51">
        <f>'Binary Summary'!J44</f>
        <v>1.9401999762639111E-2</v>
      </c>
      <c r="P38" s="48">
        <f t="shared" ref="P38" si="41">O38 * C37</f>
        <v>3.5699679563255966</v>
      </c>
      <c r="Q38" s="48">
        <f>'Binary Summary'!K44</f>
        <v>0.5</v>
      </c>
      <c r="R38" s="284"/>
    </row>
    <row r="39" spans="1:21">
      <c r="A39" s="1" t="str">
        <f>'Binary Summary'!A45</f>
        <v>M268</v>
      </c>
      <c r="B39" s="1" t="str">
        <f>'Binary Summary'!B45</f>
        <v>B8V</v>
      </c>
      <c r="C39" s="1">
        <f>'Binary Summary'!C45</f>
        <v>184</v>
      </c>
      <c r="D39" s="4">
        <f>'Binary Summary'!G45</f>
        <v>2.8</v>
      </c>
      <c r="E39" s="4">
        <f>'Binary Summary'!H45</f>
        <v>2.7</v>
      </c>
      <c r="F39" s="4">
        <f>'Binary Summary'!I45</f>
        <v>2.5499999999999998</v>
      </c>
      <c r="G39" s="4">
        <f>'Isochrone Binaries '!H42</f>
        <v>2.6949999999999998</v>
      </c>
      <c r="H39" s="4">
        <f>'Isochrone Binaries '!I42</f>
        <v>2.6589999999999998</v>
      </c>
      <c r="I39" s="4">
        <f>'Isochrone Binaries '!J42</f>
        <v>2.7360000000000002</v>
      </c>
      <c r="J39" s="4">
        <f>'Isochrone Binaries '!L42</f>
        <v>2.6958801787472542</v>
      </c>
      <c r="K39" s="4">
        <f t="shared" ref="K39:N39" si="42">G40/G39</f>
        <v>0.37996289424860857</v>
      </c>
      <c r="L39" s="4">
        <f t="shared" si="42"/>
        <v>0.3403535163595337</v>
      </c>
      <c r="M39" s="4">
        <f t="shared" si="42"/>
        <v>0.34649122807017541</v>
      </c>
      <c r="N39" s="4">
        <f t="shared" si="42"/>
        <v>0.35890857310541258</v>
      </c>
      <c r="O39" s="54">
        <f>'Binary Summary'!J45</f>
        <v>0.47754605250000004</v>
      </c>
      <c r="P39" s="4">
        <f t="shared" ref="P39" si="43">O39*C39</f>
        <v>87.868473660000006</v>
      </c>
      <c r="Q39" s="4">
        <f>'Binary Summary'!K45</f>
        <v>64.61</v>
      </c>
      <c r="R39" s="54">
        <v>0.99904682273000001</v>
      </c>
    </row>
    <row r="40" spans="1:21">
      <c r="A40" s="55" t="str">
        <f>'Binary Summary'!A46</f>
        <v>HD 63251</v>
      </c>
      <c r="D40" s="48">
        <f>'Binary Summary'!G46</f>
        <v>0.1044030650891055</v>
      </c>
      <c r="E40" s="48">
        <f>'Binary Summary'!H46</f>
        <v>0.1044030650891055</v>
      </c>
      <c r="F40" s="48">
        <f>'Binary Summary'!I46</f>
        <v>5.8309518948453008E-2</v>
      </c>
      <c r="G40" s="4">
        <f>'Isochrone Binaries '!H43</f>
        <v>1.024</v>
      </c>
      <c r="H40" s="4">
        <f>'Isochrone Binaries '!I43</f>
        <v>0.90500000000000003</v>
      </c>
      <c r="I40" s="4">
        <f>'Isochrone Binaries '!J43</f>
        <v>0.94799999999999995</v>
      </c>
      <c r="J40" s="4">
        <f>'Isochrone Binaries '!L43</f>
        <v>0.96757450821734159</v>
      </c>
      <c r="K40" s="4"/>
      <c r="L40" s="4"/>
      <c r="M40" s="4"/>
      <c r="N40" s="4"/>
      <c r="O40" s="51">
        <f>'Binary Summary'!J46</f>
        <v>3.4558719791763916E-3</v>
      </c>
      <c r="P40" s="48">
        <f t="shared" ref="P40" si="44">O40 * C39</f>
        <v>0.63588044416845602</v>
      </c>
      <c r="Q40" s="48">
        <f>'Binary Summary'!K46</f>
        <v>0.52365374226950467</v>
      </c>
      <c r="R40" s="284"/>
    </row>
    <row r="41" spans="1:21">
      <c r="A41" s="1" t="str">
        <f>'Binary Summary'!A47</f>
        <v>M284</v>
      </c>
      <c r="B41" s="1" t="str">
        <f>'Binary Summary'!B47</f>
        <v>B9V n</v>
      </c>
      <c r="C41" s="1">
        <f>'Binary Summary'!C47</f>
        <v>184</v>
      </c>
      <c r="D41" s="4">
        <f>'Binary Summary'!G47</f>
        <v>4.9000000000000004</v>
      </c>
      <c r="E41" s="4">
        <f>'Binary Summary'!H47</f>
        <v>4.45</v>
      </c>
      <c r="F41" s="4">
        <f>'Binary Summary'!I47</f>
        <v>4.2</v>
      </c>
      <c r="G41" s="4">
        <f>'Isochrone Binaries '!H44</f>
        <v>2.2370000000000001</v>
      </c>
      <c r="H41" s="4">
        <f>'Isochrone Binaries '!I44</f>
        <v>2.1269999999999998</v>
      </c>
      <c r="I41" s="4">
        <f>'Isochrone Binaries '!J44</f>
        <v>2.29</v>
      </c>
      <c r="J41" s="4">
        <f>'Isochrone Binaries '!L44</f>
        <v>2.2540282805534884</v>
      </c>
      <c r="K41" s="4">
        <f t="shared" ref="K41:N43" si="45">G42/G41</f>
        <v>0.18506928922664281</v>
      </c>
      <c r="L41" s="4">
        <f t="shared" si="45"/>
        <v>0.17254348848142925</v>
      </c>
      <c r="M41" s="4">
        <f t="shared" si="45"/>
        <v>0.16069868995633188</v>
      </c>
      <c r="N41" s="4">
        <f t="shared" si="45"/>
        <v>0.1634725428638463</v>
      </c>
      <c r="O41" s="54">
        <f>'Binary Summary'!J47</f>
        <v>0.6938557245852861</v>
      </c>
      <c r="P41" s="4">
        <f t="shared" ref="P41" si="46">O41*C41</f>
        <v>127.66945332369264</v>
      </c>
      <c r="Q41" s="4">
        <f>'Binary Summary'!K47</f>
        <v>45.334450470494232</v>
      </c>
      <c r="R41" s="54">
        <v>0.99544287808200005</v>
      </c>
    </row>
    <row r="42" spans="1:21">
      <c r="A42" s="55" t="str">
        <f>'Binary Summary'!A48</f>
        <v>HD 63488</v>
      </c>
      <c r="D42" s="48">
        <f>'Binary Summary'!G48</f>
        <v>0.25</v>
      </c>
      <c r="E42" s="48">
        <f>'Binary Summary'!H48</f>
        <v>0.05</v>
      </c>
      <c r="F42" s="48">
        <f>'Binary Summary'!I48</f>
        <v>0.05</v>
      </c>
      <c r="G42" s="4">
        <f>'Isochrone Binaries '!H45</f>
        <v>0.41399999999999998</v>
      </c>
      <c r="H42" s="4">
        <f>'Isochrone Binaries '!I45</f>
        <v>0.36699999999999999</v>
      </c>
      <c r="I42" s="4">
        <f>'Isochrone Binaries '!J45</f>
        <v>0.36799999999999999</v>
      </c>
      <c r="J42" s="4">
        <f>'Isochrone Binaries '!L45</f>
        <v>0.36847173470910188</v>
      </c>
      <c r="K42" s="4"/>
      <c r="L42" s="4"/>
      <c r="M42" s="4"/>
      <c r="N42" s="4"/>
      <c r="O42" s="51">
        <f>'Binary Summary'!J48</f>
        <v>4.1631343475117171E-3</v>
      </c>
      <c r="P42" s="48">
        <f t="shared" ref="P42" si="47">O42 * C41</f>
        <v>0.76601671994215592</v>
      </c>
      <c r="Q42" s="48">
        <f>'Binary Summary'!K48</f>
        <v>0.5</v>
      </c>
      <c r="R42" s="284"/>
    </row>
    <row r="43" spans="1:21">
      <c r="A43" s="1" t="str">
        <f>'Binary Summary'!A49</f>
        <v>M291</v>
      </c>
      <c r="B43" s="1" t="str">
        <f>'Binary Summary'!B49</f>
        <v>B8-B9V</v>
      </c>
      <c r="C43" s="1">
        <f>'Binary Summary'!C49</f>
        <v>184</v>
      </c>
      <c r="D43" s="4">
        <f>'Binary Summary'!G49</f>
        <v>0.56850000000000556</v>
      </c>
      <c r="E43" s="4">
        <f>'Binary Summary'!H49</f>
        <v>0.58000000000000185</v>
      </c>
      <c r="F43" s="4">
        <f>'Binary Summary'!I49</f>
        <v>0.55650000000000333</v>
      </c>
      <c r="G43" s="4">
        <f>'Isochrone Binaries '!H46</f>
        <v>1.913</v>
      </c>
      <c r="H43" s="4">
        <f>'Isochrone Binaries '!I46</f>
        <v>1.661</v>
      </c>
      <c r="I43" s="4">
        <f>'Isochrone Binaries '!J46</f>
        <v>1.702</v>
      </c>
      <c r="J43" s="4">
        <f>'Isochrone Binaries '!L46</f>
        <v>1.6851046104928458</v>
      </c>
      <c r="K43" s="4">
        <f t="shared" ref="K43:M43" si="48">G44/G43</f>
        <v>0.80554103502352326</v>
      </c>
      <c r="L43" s="4">
        <f t="shared" si="48"/>
        <v>0.77423239012642986</v>
      </c>
      <c r="M43" s="4">
        <f t="shared" si="48"/>
        <v>0.77085781433607525</v>
      </c>
      <c r="N43" s="4">
        <f t="shared" si="45"/>
        <v>0.76768495003443848</v>
      </c>
      <c r="O43" s="54">
        <f>'Binary Summary'!J49</f>
        <v>2.1484625236558927</v>
      </c>
      <c r="P43" s="4">
        <f t="shared" ref="P43" si="49">O43*C43</f>
        <v>395.31710435268428</v>
      </c>
      <c r="Q43" s="4">
        <f>'Binary Summary'!K49</f>
        <v>207.05814035598809</v>
      </c>
      <c r="R43" s="54">
        <v>0.99959409415199996</v>
      </c>
    </row>
    <row r="44" spans="1:21">
      <c r="A44" s="55" t="str">
        <f>'Binary Summary'!A50</f>
        <v>HD 63602</v>
      </c>
      <c r="D44" s="48">
        <f>'Binary Summary'!G50</f>
        <v>3.0008332176247314E-2</v>
      </c>
      <c r="E44" s="48">
        <f>'Binary Summary'!H50</f>
        <v>3.0008332176247314E-2</v>
      </c>
      <c r="F44" s="48">
        <f>'Binary Summary'!I50</f>
        <v>3.0008332176247314E-2</v>
      </c>
      <c r="G44" s="4">
        <f>'Isochrone Binaries '!H47</f>
        <v>1.5409999999999999</v>
      </c>
      <c r="H44" s="4">
        <f>'Isochrone Binaries '!I47</f>
        <v>1.286</v>
      </c>
      <c r="I44" s="4">
        <f>'Isochrone Binaries '!J47</f>
        <v>1.3120000000000001</v>
      </c>
      <c r="J44" s="4">
        <f>'Isochrone Binaries '!L47</f>
        <v>1.2936294487090023</v>
      </c>
      <c r="K44" s="4"/>
      <c r="L44" s="4"/>
      <c r="M44" s="4"/>
      <c r="N44" s="4"/>
      <c r="O44" s="51">
        <f>'Binary Summary'!J50</f>
        <v>1.2890775141935356E-2</v>
      </c>
      <c r="P44" s="48">
        <f t="shared" ref="P44" si="50">O44 * C43</f>
        <v>2.3719026261161056</v>
      </c>
      <c r="Q44" s="48">
        <f>'Binary Summary'!K50</f>
        <v>0.5</v>
      </c>
      <c r="R44" s="284"/>
    </row>
    <row r="45" spans="1:21">
      <c r="A45" s="1" t="str">
        <f>'Binary Summary'!A53</f>
        <v>M47 b</v>
      </c>
      <c r="B45" s="1" t="str">
        <f>'Binary Summary'!B53</f>
        <v>A3V</v>
      </c>
      <c r="C45" s="1">
        <f>'Binary Summary'!C53</f>
        <v>184</v>
      </c>
      <c r="D45" s="4">
        <f>'Binary Summary'!G53</f>
        <v>1.892404878284264</v>
      </c>
      <c r="E45" s="4">
        <f>'Binary Summary'!H53</f>
        <v>1.6195437047215933</v>
      </c>
      <c r="F45" s="4">
        <f>'Binary Summary'!I53</f>
        <v>1.4836495489151122</v>
      </c>
      <c r="G45" s="4">
        <f>'Isochrone Binaries '!H50</f>
        <v>2.34</v>
      </c>
      <c r="H45" s="4">
        <f>'Isochrone Binaries '!I50</f>
        <v>2.411</v>
      </c>
      <c r="I45" s="4">
        <f>'Isochrone Binaries '!J50</f>
        <v>2.4900000000000002</v>
      </c>
      <c r="J45" s="4">
        <f>'Isochrone Binaries '!L50</f>
        <v>2.4127765077291539</v>
      </c>
      <c r="K45" s="4">
        <f t="shared" ref="K45:N45" si="51">G46/G45</f>
        <v>0.49743589743589745</v>
      </c>
      <c r="L45" s="4">
        <f t="shared" si="51"/>
        <v>0.48237245956034841</v>
      </c>
      <c r="M45" s="4">
        <f t="shared" si="51"/>
        <v>0.48594377510040154</v>
      </c>
      <c r="N45" s="4">
        <f t="shared" si="51"/>
        <v>0.48961815464557779</v>
      </c>
      <c r="O45" s="54">
        <f>'Binary Summary'!J53</f>
        <v>0.75185599499999989</v>
      </c>
      <c r="P45" s="4">
        <f t="shared" ref="P45" si="52">O45*C45</f>
        <v>138.34150307999997</v>
      </c>
      <c r="Q45" s="4">
        <f>'Binary Summary'!K53</f>
        <v>46.294130000000024</v>
      </c>
      <c r="R45" s="54">
        <v>0.99938409072000001</v>
      </c>
    </row>
    <row r="46" spans="1:21">
      <c r="A46" s="55" t="str">
        <f>'Binary Summary'!A54</f>
        <v>HD 62974</v>
      </c>
      <c r="D46" s="48">
        <f>'Binary Summary'!G54</f>
        <v>5.5162098789451011E-2</v>
      </c>
      <c r="E46" s="48">
        <f>'Binary Summary'!H54</f>
        <v>5.0849919230578938E-2</v>
      </c>
      <c r="F46" s="48">
        <f>'Binary Summary'!I54</f>
        <v>5.0267143517829467E-2</v>
      </c>
      <c r="G46" s="4">
        <f>'Isochrone Binaries '!H51</f>
        <v>1.1639999999999999</v>
      </c>
      <c r="H46" s="4">
        <f>'Isochrone Binaries '!I51</f>
        <v>1.163</v>
      </c>
      <c r="I46" s="4">
        <f>'Isochrone Binaries '!J51</f>
        <v>1.21</v>
      </c>
      <c r="J46" s="4">
        <f>'Isochrone Binaries '!L51</f>
        <v>1.1813391812865499</v>
      </c>
      <c r="K46" s="4"/>
      <c r="L46" s="4"/>
      <c r="M46" s="4"/>
      <c r="N46" s="4"/>
      <c r="O46" s="51">
        <f>'Binary Summary'!J54</f>
        <v>4.6323463834134024E-3</v>
      </c>
      <c r="P46" s="48">
        <f t="shared" ref="P46" si="53">O46 * C45</f>
        <v>0.85235173454806601</v>
      </c>
      <c r="Q46" s="48">
        <f>'Binary Summary'!K54</f>
        <v>0.50274804808174056</v>
      </c>
      <c r="R46" s="284"/>
    </row>
    <row r="47" spans="1:21">
      <c r="A47" s="62" t="s">
        <v>94</v>
      </c>
      <c r="B47" s="62" t="s">
        <v>94</v>
      </c>
      <c r="C47" s="62" t="s">
        <v>94</v>
      </c>
      <c r="D47" s="62" t="s">
        <v>94</v>
      </c>
      <c r="E47" s="62" t="s">
        <v>94</v>
      </c>
      <c r="F47" s="62" t="s">
        <v>94</v>
      </c>
      <c r="G47" s="62" t="s">
        <v>94</v>
      </c>
      <c r="H47" s="62" t="s">
        <v>94</v>
      </c>
      <c r="I47" s="62" t="s">
        <v>94</v>
      </c>
      <c r="J47" s="62" t="s">
        <v>94</v>
      </c>
      <c r="K47" s="62" t="s">
        <v>94</v>
      </c>
      <c r="L47" s="62" t="s">
        <v>94</v>
      </c>
      <c r="M47" s="62" t="s">
        <v>94</v>
      </c>
      <c r="N47" s="62" t="s">
        <v>94</v>
      </c>
      <c r="O47" s="62" t="s">
        <v>94</v>
      </c>
      <c r="P47" s="62" t="s">
        <v>94</v>
      </c>
      <c r="Q47" s="62" t="s">
        <v>94</v>
      </c>
      <c r="R47" s="62" t="s">
        <v>94</v>
      </c>
      <c r="S47" s="62" t="s">
        <v>94</v>
      </c>
      <c r="T47" s="62" t="s">
        <v>94</v>
      </c>
      <c r="U47" s="57"/>
    </row>
    <row r="48" spans="1:21">
      <c r="A48" s="67" t="s">
        <v>51</v>
      </c>
      <c r="B48" s="67" t="s">
        <v>51</v>
      </c>
      <c r="C48" s="67" t="s">
        <v>51</v>
      </c>
      <c r="D48" s="67" t="s">
        <v>51</v>
      </c>
      <c r="E48" s="67" t="s">
        <v>51</v>
      </c>
      <c r="F48" s="67" t="s">
        <v>51</v>
      </c>
      <c r="G48" s="67" t="s">
        <v>51</v>
      </c>
      <c r="H48" s="67" t="s">
        <v>51</v>
      </c>
      <c r="I48" s="67" t="s">
        <v>51</v>
      </c>
      <c r="J48" s="67" t="s">
        <v>51</v>
      </c>
      <c r="K48" s="67" t="s">
        <v>51</v>
      </c>
      <c r="L48" s="67" t="s">
        <v>51</v>
      </c>
      <c r="M48" s="67" t="s">
        <v>51</v>
      </c>
      <c r="N48" s="67" t="s">
        <v>51</v>
      </c>
      <c r="O48" s="67" t="s">
        <v>51</v>
      </c>
      <c r="P48" s="67" t="s">
        <v>51</v>
      </c>
      <c r="Q48" s="67" t="s">
        <v>51</v>
      </c>
      <c r="R48" s="67" t="s">
        <v>51</v>
      </c>
      <c r="S48" s="67" t="s">
        <v>51</v>
      </c>
      <c r="T48" s="67" t="s">
        <v>51</v>
      </c>
      <c r="U48" s="67"/>
    </row>
    <row r="49" spans="1:20">
      <c r="A49" s="62" t="s">
        <v>95</v>
      </c>
      <c r="B49" s="62" t="s">
        <v>95</v>
      </c>
      <c r="C49" s="62" t="s">
        <v>95</v>
      </c>
      <c r="D49" s="62" t="s">
        <v>95</v>
      </c>
      <c r="E49" s="62" t="s">
        <v>95</v>
      </c>
      <c r="F49" s="62" t="s">
        <v>95</v>
      </c>
      <c r="G49" s="62" t="s">
        <v>95</v>
      </c>
      <c r="H49" s="62" t="s">
        <v>95</v>
      </c>
      <c r="I49" s="62" t="s">
        <v>95</v>
      </c>
      <c r="J49" s="62" t="s">
        <v>95</v>
      </c>
      <c r="K49" s="62" t="s">
        <v>95</v>
      </c>
      <c r="L49" s="62" t="s">
        <v>95</v>
      </c>
      <c r="M49" s="62" t="s">
        <v>95</v>
      </c>
      <c r="N49" s="62" t="s">
        <v>95</v>
      </c>
      <c r="O49" s="62" t="s">
        <v>95</v>
      </c>
      <c r="P49" s="62" t="s">
        <v>95</v>
      </c>
      <c r="Q49" s="62" t="s">
        <v>95</v>
      </c>
      <c r="R49" s="62" t="s">
        <v>95</v>
      </c>
      <c r="S49" s="62" t="s">
        <v>95</v>
      </c>
      <c r="T49" s="62" t="s">
        <v>95</v>
      </c>
    </row>
    <row r="50" spans="1:20">
      <c r="A50" s="1" t="str">
        <f>'Binary Summary'!A58</f>
        <v>M155</v>
      </c>
      <c r="B50" s="1" t="str">
        <f>'Binary Summary'!B58</f>
        <v>A0IV</v>
      </c>
      <c r="C50" s="1">
        <f>'Binary Summary'!C58</f>
        <v>412</v>
      </c>
      <c r="D50" s="4">
        <f>'Binary Summary'!G58</f>
        <v>0.7634870026660785</v>
      </c>
      <c r="E50" s="4">
        <f>'Binary Summary'!H58</f>
        <v>0.65900874430839451</v>
      </c>
      <c r="F50" s="4">
        <f>'Binary Summary'!I58</f>
        <v>0.65900874430839451</v>
      </c>
      <c r="G50" s="4">
        <f>'Isochrone Binaries '!H52</f>
        <v>2.93</v>
      </c>
      <c r="H50" s="4">
        <f>'Isochrone Binaries '!I52</f>
        <v>2.9249999999999998</v>
      </c>
      <c r="I50" s="4">
        <f>'Isochrone Binaries '!J52</f>
        <v>2.92</v>
      </c>
      <c r="J50" s="4">
        <f>'Isochrone Binaries '!L52</f>
        <v>2.924884428223844</v>
      </c>
      <c r="K50" s="4">
        <f t="shared" ref="K50:N50" si="54">G51/G50</f>
        <v>0.87064846416382258</v>
      </c>
      <c r="L50" s="4">
        <f t="shared" si="54"/>
        <v>0.89025641025641034</v>
      </c>
      <c r="M50" s="4">
        <f t="shared" si="54"/>
        <v>0.89178082191780828</v>
      </c>
      <c r="N50" s="4">
        <f t="shared" si="54"/>
        <v>0.88897563143550073</v>
      </c>
      <c r="O50" s="54">
        <f>'Binary Summary'!J58</f>
        <v>0.45971392499999997</v>
      </c>
      <c r="P50" s="4">
        <f t="shared" ref="P50" si="55">O50*C50</f>
        <v>189.40213709999998</v>
      </c>
      <c r="Q50" s="4">
        <f>'Binary Summary'!K58</f>
        <v>6.9779549999999801</v>
      </c>
      <c r="R50" s="54">
        <v>0.99828274432999997</v>
      </c>
    </row>
    <row r="51" spans="1:20">
      <c r="A51" s="55" t="str">
        <f>'Binary Summary'!A59</f>
        <v>HD 96213</v>
      </c>
      <c r="D51" s="48">
        <f>'Binary Summary'!G59</f>
        <v>0.19510070659606951</v>
      </c>
      <c r="E51" s="48">
        <f>'Binary Summary'!H59</f>
        <v>0.10218156109871963</v>
      </c>
      <c r="F51" s="48">
        <f>'Binary Summary'!I59</f>
        <v>7.1101034752365899E-2</v>
      </c>
      <c r="G51" s="4">
        <f>'Isochrone Binaries '!H53</f>
        <v>2.5510000000000002</v>
      </c>
      <c r="H51" s="4">
        <f>'Isochrone Binaries '!I53</f>
        <v>2.6040000000000001</v>
      </c>
      <c r="I51" s="4">
        <f>'Isochrone Binaries '!J53</f>
        <v>2.6040000000000001</v>
      </c>
      <c r="J51" s="4">
        <f>'Isochrone Binaries '!L53</f>
        <v>2.6001509814561552</v>
      </c>
      <c r="K51" s="4"/>
      <c r="L51" s="4"/>
      <c r="M51" s="4"/>
      <c r="N51" s="4"/>
      <c r="O51" s="51">
        <f>'Binary Summary'!J59</f>
        <v>4.7837580449322011E-3</v>
      </c>
      <c r="P51" s="48">
        <f t="shared" ref="P51" si="56">O51 * C50</f>
        <v>1.9709083145120669</v>
      </c>
      <c r="Q51" s="48">
        <f>'Binary Summary'!K59</f>
        <v>0.66335017659819584</v>
      </c>
      <c r="R51"/>
    </row>
    <row r="52" spans="1:20">
      <c r="A52" s="62" t="s">
        <v>96</v>
      </c>
      <c r="B52" s="62" t="s">
        <v>96</v>
      </c>
      <c r="C52" s="62" t="s">
        <v>96</v>
      </c>
      <c r="D52" s="62" t="s">
        <v>96</v>
      </c>
      <c r="E52" s="62" t="s">
        <v>96</v>
      </c>
      <c r="F52" s="62" t="s">
        <v>96</v>
      </c>
      <c r="G52" s="62" t="s">
        <v>96</v>
      </c>
      <c r="H52" s="62" t="s">
        <v>96</v>
      </c>
      <c r="I52" s="62" t="s">
        <v>96</v>
      </c>
      <c r="J52" s="62" t="s">
        <v>96</v>
      </c>
      <c r="K52" s="62" t="s">
        <v>96</v>
      </c>
      <c r="L52" s="62" t="s">
        <v>96</v>
      </c>
      <c r="M52" s="62" t="s">
        <v>96</v>
      </c>
      <c r="N52" s="62" t="s">
        <v>96</v>
      </c>
      <c r="O52" s="62" t="s">
        <v>96</v>
      </c>
      <c r="P52" s="62" t="s">
        <v>96</v>
      </c>
      <c r="Q52" s="62" t="s">
        <v>96</v>
      </c>
      <c r="R52" s="62" t="s">
        <v>96</v>
      </c>
      <c r="S52" s="62" t="s">
        <v>96</v>
      </c>
      <c r="T52" s="62" t="s">
        <v>96</v>
      </c>
    </row>
    <row r="53" spans="1:20">
      <c r="A53" s="1" t="str">
        <f>'Binary Summary'!A77</f>
        <v>R110</v>
      </c>
      <c r="B53" s="1" t="str">
        <f>'Binary Summary'!B77</f>
        <v>B9.5V</v>
      </c>
      <c r="C53" s="1">
        <f>'Binary Summary'!C77</f>
        <v>149</v>
      </c>
      <c r="D53" s="4">
        <f>'Binary Summary'!G77</f>
        <v>1.25</v>
      </c>
      <c r="E53" s="4">
        <f>'Binary Summary'!H77</f>
        <v>1.35</v>
      </c>
      <c r="F53" s="4">
        <f>'Binary Summary'!I77</f>
        <v>1.05</v>
      </c>
      <c r="G53" s="4">
        <f>'Isochrone Binaries '!H70</f>
        <v>3.5720000000000001</v>
      </c>
      <c r="H53" s="4">
        <f>'Isochrone Binaries '!I70</f>
        <v>3.621</v>
      </c>
      <c r="I53" s="4">
        <f>'Isochrone Binaries '!J70</f>
        <v>3.835</v>
      </c>
      <c r="J53" s="4">
        <f>'Isochrone Binaries '!L70</f>
        <v>3.6569447262080303</v>
      </c>
      <c r="K53" s="4">
        <f t="shared" ref="K53:N55" si="57">G54/G53</f>
        <v>0.57586786114221722</v>
      </c>
      <c r="L53" s="4">
        <f t="shared" si="57"/>
        <v>0.52333609500138079</v>
      </c>
      <c r="M53" s="4">
        <f t="shared" si="57"/>
        <v>0.63780964797913953</v>
      </c>
      <c r="N53" s="4">
        <f t="shared" si="57"/>
        <v>0.64132321911151335</v>
      </c>
      <c r="O53" s="54">
        <f>'Binary Summary'!J77</f>
        <v>0.15354597500000003</v>
      </c>
      <c r="P53" s="4">
        <f t="shared" ref="P53:P71" si="58">O53*C53</f>
        <v>22.878350275000006</v>
      </c>
      <c r="Q53" s="4">
        <f>'Binary Summary'!K77</f>
        <v>300.91838055555559</v>
      </c>
      <c r="R53" s="54">
        <v>0.99975147672599995</v>
      </c>
    </row>
    <row r="54" spans="1:20">
      <c r="A54" s="55" t="str">
        <f>'Binary Summary'!A78</f>
        <v>HD 93738</v>
      </c>
      <c r="D54" s="301" t="str">
        <f>'Binary Summary'!G78</f>
        <v>???</v>
      </c>
      <c r="E54" s="48">
        <f>'Binary Summary'!H78</f>
        <v>0.15</v>
      </c>
      <c r="F54" s="48">
        <f>'Binary Summary'!I78</f>
        <v>0.1</v>
      </c>
      <c r="G54" s="283">
        <f>'Isochrone Binaries '!H71</f>
        <v>2.0569999999999999</v>
      </c>
      <c r="H54" s="4">
        <f>'Isochrone Binaries '!I71</f>
        <v>1.895</v>
      </c>
      <c r="I54" s="4">
        <f>'Isochrone Binaries '!J71</f>
        <v>2.4460000000000002</v>
      </c>
      <c r="J54" s="4">
        <f>'Isochrone Binaries '!L71</f>
        <v>2.3452835639246059</v>
      </c>
      <c r="K54" s="4"/>
      <c r="L54" s="4"/>
      <c r="M54" s="4"/>
      <c r="N54" s="4"/>
      <c r="O54" s="51">
        <f>'Binary Summary'!J78</f>
        <v>8.4732730534508444E-3</v>
      </c>
      <c r="P54" s="48">
        <f t="shared" ref="P54:P72" si="59">O54 * C53</f>
        <v>1.2625176849641757</v>
      </c>
      <c r="Q54" s="48">
        <f>'Binary Summary'!K78</f>
        <v>2.7317430040700641</v>
      </c>
      <c r="R54" s="284"/>
    </row>
    <row r="55" spans="1:20">
      <c r="A55" s="1" t="str">
        <f>'Binary Summary'!A79</f>
        <v>R22b</v>
      </c>
      <c r="B55" s="1" t="str">
        <f>'Binary Summary'!B79</f>
        <v>F0</v>
      </c>
      <c r="C55" s="1">
        <f>'Binary Summary'!C79</f>
        <v>149</v>
      </c>
      <c r="D55" s="4">
        <f>'Binary Summary'!G79</f>
        <v>1.4634999999999989</v>
      </c>
      <c r="E55" s="4">
        <f>'Binary Summary'!H79</f>
        <v>1.3639999999999981</v>
      </c>
      <c r="F55" s="4">
        <f>'Binary Summary'!I79</f>
        <v>1.3429999999999982</v>
      </c>
      <c r="G55" s="4">
        <f>'Isochrone Binaries '!H72</f>
        <v>2.02</v>
      </c>
      <c r="H55" s="4">
        <f>'Isochrone Binaries '!I72</f>
        <v>2.105</v>
      </c>
      <c r="I55" s="4">
        <f>'Isochrone Binaries '!J72</f>
        <v>2.3109999999999999</v>
      </c>
      <c r="J55" s="4">
        <f>'Isochrone Binaries '!L72</f>
        <v>2.2011986126562402</v>
      </c>
      <c r="K55" s="4">
        <f t="shared" ref="K55:M55" si="60">G56/G55</f>
        <v>0.60990099009900989</v>
      </c>
      <c r="L55" s="4">
        <f t="shared" si="60"/>
        <v>0.56437054631828976</v>
      </c>
      <c r="M55" s="4">
        <f t="shared" si="60"/>
        <v>0.51968844655993085</v>
      </c>
      <c r="N55" s="4">
        <f t="shared" si="57"/>
        <v>0.5508784586853247</v>
      </c>
      <c r="O55" s="54">
        <f>'Binary Summary'!J79</f>
        <v>2.896157275171265</v>
      </c>
      <c r="P55" s="4">
        <f t="shared" si="58"/>
        <v>431.5274340005185</v>
      </c>
      <c r="Q55" s="4">
        <f>'Binary Summary'!K79</f>
        <v>230.0698203483272</v>
      </c>
      <c r="R55" s="54">
        <v>0.998985958462</v>
      </c>
    </row>
    <row r="56" spans="1:20">
      <c r="A56" s="55" t="str">
        <f>'Binary Summary'!A80</f>
        <v>HD 307860</v>
      </c>
      <c r="D56" s="48">
        <f>'Binary Summary'!G80</f>
        <v>3.0016662039607268E-2</v>
      </c>
      <c r="E56" s="48">
        <f>'Binary Summary'!H80</f>
        <v>3.0016662039607268E-2</v>
      </c>
      <c r="F56" s="48">
        <f>'Binary Summary'!I80</f>
        <v>3.0016662039607268E-2</v>
      </c>
      <c r="G56" s="4">
        <f>'Isochrone Binaries '!H73</f>
        <v>1.232</v>
      </c>
      <c r="H56" s="4">
        <f>'Isochrone Binaries '!I73</f>
        <v>1.1879999999999999</v>
      </c>
      <c r="I56" s="4">
        <f>'Isochrone Binaries '!J73</f>
        <v>1.2010000000000001</v>
      </c>
      <c r="J56" s="4">
        <f>'Isochrone Binaries '!L73</f>
        <v>1.2125928990003447</v>
      </c>
      <c r="K56" s="4"/>
      <c r="L56" s="4"/>
      <c r="M56" s="4"/>
      <c r="N56" s="4"/>
      <c r="O56" s="51">
        <f>'Binary Summary'!J80</f>
        <v>1.7376943651027592E-2</v>
      </c>
      <c r="P56" s="48">
        <f t="shared" si="59"/>
        <v>2.5891646040031113</v>
      </c>
      <c r="Q56" s="48">
        <f>'Binary Summary'!K80</f>
        <v>0.5</v>
      </c>
      <c r="R56" s="284"/>
    </row>
    <row r="57" spans="1:20">
      <c r="A57" s="1" t="str">
        <f>'Binary Summary'!A81</f>
        <v>R84 a</v>
      </c>
      <c r="B57" s="1" t="str">
        <f>'Binary Summary'!B81</f>
        <v>B6V</v>
      </c>
      <c r="C57" s="1">
        <f>'Binary Summary'!C81</f>
        <v>149</v>
      </c>
      <c r="D57" s="4">
        <f>'Binary Summary'!G81</f>
        <v>3.1005000000000003</v>
      </c>
      <c r="E57" s="4">
        <f>'Binary Summary'!H81</f>
        <v>3.0185000000000137</v>
      </c>
      <c r="F57" s="4">
        <f>'Binary Summary'!I81</f>
        <v>3.0675000000000185</v>
      </c>
      <c r="G57" s="4">
        <f>'Isochrone Binaries '!H74</f>
        <v>4.9850000000000003</v>
      </c>
      <c r="H57" s="4">
        <f>'Isochrone Binaries '!I74</f>
        <v>5.0510000000000002</v>
      </c>
      <c r="I57" s="4">
        <f>'Isochrone Binaries '!J74</f>
        <v>5.2240000000000002</v>
      </c>
      <c r="J57" s="4">
        <f>'Isochrone Binaries '!L74</f>
        <v>5.083143536481753</v>
      </c>
      <c r="K57" s="4">
        <f t="shared" ref="K57:N57" si="61">G58/G57</f>
        <v>0.28766298896690068</v>
      </c>
      <c r="L57" s="4">
        <f t="shared" si="61"/>
        <v>0.26133438922985547</v>
      </c>
      <c r="M57" s="4">
        <f t="shared" si="61"/>
        <v>0.24693721286370596</v>
      </c>
      <c r="N57" s="4">
        <f t="shared" si="61"/>
        <v>0.26177260789429063</v>
      </c>
      <c r="O57" s="54">
        <f>'Binary Summary'!J81</f>
        <v>1.105231210812925</v>
      </c>
      <c r="P57" s="4">
        <f t="shared" si="58"/>
        <v>164.67945041112583</v>
      </c>
      <c r="Q57" s="4">
        <f>'Binary Summary'!K81</f>
        <v>309.29731899795195</v>
      </c>
      <c r="R57" s="54">
        <v>0.998985958462</v>
      </c>
    </row>
    <row r="58" spans="1:20">
      <c r="A58" s="55" t="str">
        <f>'Binary Summary'!A82</f>
        <v>HD 93540</v>
      </c>
      <c r="D58" s="48">
        <f>'Binary Summary'!G82</f>
        <v>3.605551275463989E-2</v>
      </c>
      <c r="E58" s="48">
        <f>'Binary Summary'!H82</f>
        <v>3.0066592756745815E-2</v>
      </c>
      <c r="F58" s="48">
        <f>'Binary Summary'!I82</f>
        <v>3.0149626863362672E-2</v>
      </c>
      <c r="G58" s="4">
        <f>'Isochrone Binaries '!H75</f>
        <v>1.4339999999999999</v>
      </c>
      <c r="H58" s="4">
        <f>'Isochrone Binaries '!I75</f>
        <v>1.32</v>
      </c>
      <c r="I58" s="4">
        <f>'Isochrone Binaries '!J75</f>
        <v>1.29</v>
      </c>
      <c r="J58" s="4">
        <f>'Isochrone Binaries '!L75</f>
        <v>1.3306277398458357</v>
      </c>
      <c r="K58" s="4"/>
      <c r="L58" s="4"/>
      <c r="M58" s="4"/>
      <c r="N58" s="4"/>
      <c r="O58" s="51">
        <f>'Binary Summary'!J82</f>
        <v>6.6313872648775503E-3</v>
      </c>
      <c r="P58" s="48">
        <f t="shared" si="59"/>
        <v>0.98807670246675505</v>
      </c>
      <c r="Q58" s="48">
        <f>'Binary Summary'!K82</f>
        <v>0.5</v>
      </c>
      <c r="R58" s="284"/>
    </row>
    <row r="59" spans="1:20">
      <c r="A59" s="1" t="str">
        <f>'Binary Summary'!A85</f>
        <v>R86</v>
      </c>
      <c r="B59" s="1" t="str">
        <f>'Binary Summary'!B85</f>
        <v>B7IV</v>
      </c>
      <c r="C59" s="1">
        <f>'Binary Summary'!C85</f>
        <v>149</v>
      </c>
      <c r="D59" s="4">
        <f>'Binary Summary'!G85</f>
        <v>2.6709999999999994</v>
      </c>
      <c r="E59" s="4">
        <f>'Binary Summary'!H85</f>
        <v>2.5779999999999967</v>
      </c>
      <c r="F59" s="4">
        <f>'Binary Summary'!I85</f>
        <v>2.5579999999999963</v>
      </c>
      <c r="G59" s="4">
        <f>'Isochrone Binaries '!H78</f>
        <v>5.1529999999999996</v>
      </c>
      <c r="H59" s="4">
        <f>'Isochrone Binaries '!I78</f>
        <v>5.2770000000000001</v>
      </c>
      <c r="I59" s="4">
        <f>'Isochrone Binaries '!J78</f>
        <v>5.4640000000000004</v>
      </c>
      <c r="J59" s="4">
        <f>'Isochrone Binaries '!L78</f>
        <v>5.2958600389231281</v>
      </c>
      <c r="K59" s="4">
        <f t="shared" ref="K59:N59" si="62">G60/G59</f>
        <v>0.33106928003104991</v>
      </c>
      <c r="L59" s="4">
        <f t="shared" si="62"/>
        <v>0.32689027856736785</v>
      </c>
      <c r="M59" s="4">
        <f t="shared" si="62"/>
        <v>0.31680087847730598</v>
      </c>
      <c r="N59" s="4">
        <f t="shared" si="62"/>
        <v>0.32482822155387142</v>
      </c>
      <c r="O59" s="54">
        <f>'Binary Summary'!J85</f>
        <v>0.74484088114639457</v>
      </c>
      <c r="P59" s="4">
        <f t="shared" si="58"/>
        <v>110.98129129081279</v>
      </c>
      <c r="Q59" s="4">
        <f>'Binary Summary'!K85</f>
        <v>189.6</v>
      </c>
      <c r="R59" s="54">
        <v>0.99958226807499995</v>
      </c>
    </row>
    <row r="60" spans="1:20">
      <c r="A60" s="55" t="str">
        <f>'Binary Summary'!A86</f>
        <v>HD 93549</v>
      </c>
      <c r="D60" s="48">
        <f>'Binary Summary'!G86</f>
        <v>3.0066592756745815E-2</v>
      </c>
      <c r="E60" s="48">
        <f>'Binary Summary'!H86</f>
        <v>3.0066592756745815E-2</v>
      </c>
      <c r="F60" s="48">
        <f>'Binary Summary'!I86</f>
        <v>3.0066592756745815E-2</v>
      </c>
      <c r="G60" s="4">
        <f>'Isochrone Binaries '!H79</f>
        <v>1.706</v>
      </c>
      <c r="H60" s="4">
        <f>'Isochrone Binaries '!I79</f>
        <v>1.7250000000000001</v>
      </c>
      <c r="I60" s="4">
        <f>'Isochrone Binaries '!J79</f>
        <v>1.7310000000000001</v>
      </c>
      <c r="J60" s="4">
        <f>'Isochrone Binaries '!L79</f>
        <v>1.720244798041616</v>
      </c>
      <c r="K60" s="4"/>
      <c r="L60" s="4"/>
      <c r="M60" s="4"/>
      <c r="N60" s="4"/>
      <c r="O60" s="51">
        <f>'Binary Summary'!J86</f>
        <v>4.4690452868783679E-3</v>
      </c>
      <c r="P60" s="48">
        <f t="shared" si="59"/>
        <v>0.6658877477448768</v>
      </c>
      <c r="Q60" s="48">
        <f>'Binary Summary'!K86</f>
        <v>0.5</v>
      </c>
      <c r="R60" s="284"/>
    </row>
    <row r="61" spans="1:20">
      <c r="A61" s="1" t="str">
        <f>'Binary Summary'!A87</f>
        <v>R36</v>
      </c>
      <c r="B61" s="1" t="str">
        <f>'Binary Summary'!B87</f>
        <v>A1IV</v>
      </c>
      <c r="C61" s="1">
        <f>'Binary Summary'!C87</f>
        <v>149</v>
      </c>
      <c r="D61" s="4">
        <f>'Binary Summary'!G87</f>
        <v>0.87349999999999905</v>
      </c>
      <c r="E61" s="4">
        <f>'Binary Summary'!H87</f>
        <v>0.74299999999999766</v>
      </c>
      <c r="F61" s="4">
        <f>'Binary Summary'!I87</f>
        <v>0.72300000000000075</v>
      </c>
      <c r="G61" s="4">
        <f>'Isochrone Binaries '!H80</f>
        <v>2.9870000000000001</v>
      </c>
      <c r="H61" s="4">
        <f>'Isochrone Binaries '!I80</f>
        <v>3.0059999999999998</v>
      </c>
      <c r="I61" s="4">
        <f>'Isochrone Binaries '!J80</f>
        <v>3.14</v>
      </c>
      <c r="J61" s="4">
        <f>'Isochrone Binaries '!L80</f>
        <v>3.037206119954408</v>
      </c>
      <c r="K61" s="4">
        <f t="shared" ref="K61:N61" si="63">G62/G61</f>
        <v>0.65517241379310343</v>
      </c>
      <c r="L61" s="4">
        <f t="shared" si="63"/>
        <v>0.69594145043246847</v>
      </c>
      <c r="M61" s="4">
        <f t="shared" si="63"/>
        <v>0.74522292993630568</v>
      </c>
      <c r="N61" s="4">
        <f t="shared" si="63"/>
        <v>0.69577724646580097</v>
      </c>
      <c r="O61" s="54">
        <f>'Binary Summary'!J87</f>
        <v>2.0494356610400613</v>
      </c>
      <c r="P61" s="4">
        <f t="shared" si="58"/>
        <v>305.36591349496911</v>
      </c>
      <c r="Q61" s="4">
        <f>'Binary Summary'!K87</f>
        <v>19.464085108451002</v>
      </c>
      <c r="R61" s="54">
        <v>0.99958226807499995</v>
      </c>
    </row>
    <row r="62" spans="1:20">
      <c r="A62" s="55" t="str">
        <f>'Binary Summary'!A88</f>
        <v>HD 92467</v>
      </c>
      <c r="D62" s="48">
        <f>'Binary Summary'!G88</f>
        <v>3.0016662039607268E-2</v>
      </c>
      <c r="E62" s="48">
        <f>'Binary Summary'!H88</f>
        <v>3.0016662039607268E-2</v>
      </c>
      <c r="F62" s="48">
        <f>'Binary Summary'!I88</f>
        <v>3.0016662039607268E-2</v>
      </c>
      <c r="G62" s="4">
        <f>'Isochrone Binaries '!H81</f>
        <v>1.9570000000000001</v>
      </c>
      <c r="H62" s="4">
        <f>'Isochrone Binaries '!I81</f>
        <v>2.0920000000000001</v>
      </c>
      <c r="I62" s="4">
        <f>'Isochrone Binaries '!J81</f>
        <v>2.34</v>
      </c>
      <c r="J62" s="4">
        <f>'Isochrone Binaries '!L81</f>
        <v>2.1132189110909572</v>
      </c>
      <c r="K62" s="4"/>
      <c r="L62" s="4"/>
      <c r="M62" s="4"/>
      <c r="N62" s="4"/>
      <c r="O62" s="51">
        <f>'Binary Summary'!J88</f>
        <v>1.2296613966240369E-2</v>
      </c>
      <c r="P62" s="48">
        <f t="shared" si="59"/>
        <v>1.8321954809698149</v>
      </c>
      <c r="Q62" s="48">
        <f>'Binary Summary'!K88</f>
        <v>0.5</v>
      </c>
      <c r="R62" s="284"/>
    </row>
    <row r="63" spans="1:20">
      <c r="A63" s="1" t="str">
        <f>'Binary Summary'!A91</f>
        <v>W14</v>
      </c>
      <c r="B63" s="1" t="str">
        <f>'Binary Summary'!B91</f>
        <v>A3IV</v>
      </c>
      <c r="C63" s="1">
        <f>'Binary Summary'!C91</f>
        <v>149</v>
      </c>
      <c r="D63" s="4">
        <f>'Binary Summary'!G91</f>
        <v>5.3999999999999382E-2</v>
      </c>
      <c r="E63" s="4">
        <f>'Binary Summary'!H91</f>
        <v>2.9000000000000803E-2</v>
      </c>
      <c r="F63" s="4">
        <f>'Binary Summary'!I91</f>
        <v>2.6000000000002466E-2</v>
      </c>
      <c r="G63" s="4">
        <f>'Isochrone Binaries '!H84</f>
        <v>2.9649999999999999</v>
      </c>
      <c r="H63" s="4">
        <f>'Isochrone Binaries '!I84</f>
        <v>3.036</v>
      </c>
      <c r="I63" s="4">
        <f>'Isochrone Binaries '!J84</f>
        <v>3.1850000000000001</v>
      </c>
      <c r="J63" s="4">
        <f>'Isochrone Binaries '!L84</f>
        <v>3.0485770505806498</v>
      </c>
      <c r="K63" s="4">
        <f t="shared" ref="K63:N65" si="64">G64/G63</f>
        <v>0.98043844856661055</v>
      </c>
      <c r="L63" s="4">
        <f t="shared" si="64"/>
        <v>0.98913043478260876</v>
      </c>
      <c r="M63" s="4">
        <f t="shared" si="64"/>
        <v>0.98932496075353216</v>
      </c>
      <c r="N63" s="4">
        <f t="shared" si="64"/>
        <v>0.98619084461353068</v>
      </c>
      <c r="O63" s="54">
        <f>'Binary Summary'!J91</f>
        <v>0.52969083983528298</v>
      </c>
      <c r="P63" s="4">
        <f t="shared" si="58"/>
        <v>78.923935135457157</v>
      </c>
      <c r="Q63" s="4">
        <f>'Binary Summary'!K91</f>
        <v>72.79333652951108</v>
      </c>
      <c r="R63" s="54">
        <v>0.99985211948599995</v>
      </c>
    </row>
    <row r="64" spans="1:20">
      <c r="A64" s="55" t="str">
        <f>'Binary Summary'!A92</f>
        <v>HD 92896</v>
      </c>
      <c r="D64" s="48">
        <f>'Binary Summary'!G92</f>
        <v>3.0016662039607268E-2</v>
      </c>
      <c r="E64" s="48">
        <f>'Binary Summary'!H92</f>
        <v>3.0016662039607268E-2</v>
      </c>
      <c r="F64" s="48">
        <f>'Binary Summary'!I92</f>
        <v>3.0016662039607268E-2</v>
      </c>
      <c r="G64" s="4">
        <f>'Isochrone Binaries '!H85</f>
        <v>2.907</v>
      </c>
      <c r="H64" s="4">
        <f>'Isochrone Binaries '!I85</f>
        <v>3.0030000000000001</v>
      </c>
      <c r="I64" s="4">
        <f>'Isochrone Binaries '!J85</f>
        <v>3.1509999999999998</v>
      </c>
      <c r="J64" s="4">
        <f>'Isochrone Binaries '!L85</f>
        <v>3.0064787763815572</v>
      </c>
      <c r="K64" s="4"/>
      <c r="L64" s="4"/>
      <c r="M64" s="4"/>
      <c r="N64" s="4"/>
      <c r="O64" s="51">
        <f>'Binary Summary'!J92</f>
        <v>3.1781450390116978E-3</v>
      </c>
      <c r="P64" s="48">
        <f t="shared" si="59"/>
        <v>0.47354361081274299</v>
      </c>
      <c r="Q64" s="48">
        <f>'Binary Summary'!K92</f>
        <v>0.5</v>
      </c>
      <c r="R64" s="284"/>
    </row>
    <row r="65" spans="1:18">
      <c r="A65" s="1" t="str">
        <f>'Binary Summary'!A93</f>
        <v>W3</v>
      </c>
      <c r="B65" s="1" t="str">
        <f>'Binary Summary'!B93</f>
        <v>A0V</v>
      </c>
      <c r="C65" s="1">
        <f>'Binary Summary'!C93</f>
        <v>149</v>
      </c>
      <c r="D65" s="4">
        <f>'Binary Summary'!G93</f>
        <v>4.7864999999999993</v>
      </c>
      <c r="E65" s="4">
        <f>'Binary Summary'!H93</f>
        <v>4.1664999999999983</v>
      </c>
      <c r="F65" s="4">
        <f>'Binary Summary'!I93</f>
        <v>3.9104999999999972</v>
      </c>
      <c r="G65" s="4">
        <f>'Isochrone Binaries '!H86</f>
        <v>2.3860000000000001</v>
      </c>
      <c r="H65" s="4">
        <f>'Isochrone Binaries '!I86</f>
        <v>2.3849999999999998</v>
      </c>
      <c r="I65" s="4">
        <f>'Isochrone Binaries '!J86</f>
        <v>2.375</v>
      </c>
      <c r="J65" s="4">
        <f>'Isochrone Binaries '!L86</f>
        <v>2.3823029721331062</v>
      </c>
      <c r="K65" s="4">
        <f t="shared" ref="K65:M65" si="65">G66/G65</f>
        <v>0.18440905280804692</v>
      </c>
      <c r="L65" s="4">
        <f t="shared" si="65"/>
        <v>0.18364779874213838</v>
      </c>
      <c r="M65" s="4">
        <f t="shared" si="65"/>
        <v>0.17684210526315788</v>
      </c>
      <c r="N65" s="4">
        <f t="shared" si="64"/>
        <v>0.18160288352076623</v>
      </c>
      <c r="O65" s="54">
        <f>'Binary Summary'!J93</f>
        <v>3.4166080416074096</v>
      </c>
      <c r="P65" s="4">
        <f t="shared" si="58"/>
        <v>509.07459819950401</v>
      </c>
      <c r="Q65" s="4">
        <f>'Binary Summary'!K93</f>
        <v>16.707349630115999</v>
      </c>
      <c r="R65" s="54">
        <v>0.992050796131</v>
      </c>
    </row>
    <row r="66" spans="1:18">
      <c r="A66" s="55" t="str">
        <f>'Binary Summary'!A94</f>
        <v>HD 92478</v>
      </c>
      <c r="D66" s="48">
        <f>'Binary Summary'!G94</f>
        <v>3.026549190084311E-2</v>
      </c>
      <c r="E66" s="48">
        <f>'Binary Summary'!H94</f>
        <v>3.026549190084311E-2</v>
      </c>
      <c r="F66" s="48">
        <f>'Binary Summary'!I94</f>
        <v>3.026549190084311E-2</v>
      </c>
      <c r="G66" s="4">
        <f>'Isochrone Binaries '!H87</f>
        <v>0.44</v>
      </c>
      <c r="H66" s="4">
        <f>'Isochrone Binaries '!I87</f>
        <v>0.438</v>
      </c>
      <c r="I66" s="4">
        <f>'Isochrone Binaries '!J87</f>
        <v>0.42</v>
      </c>
      <c r="J66" s="4">
        <f>'Isochrone Binaries '!L87</f>
        <v>0.43263308915946369</v>
      </c>
      <c r="K66" s="4"/>
      <c r="L66" s="4"/>
      <c r="M66" s="4"/>
      <c r="N66" s="4"/>
      <c r="O66" s="51">
        <f>'Binary Summary'!J94</f>
        <v>2.0499648249644457E-2</v>
      </c>
      <c r="P66" s="48">
        <f t="shared" si="59"/>
        <v>3.0544475891970242</v>
      </c>
      <c r="Q66" s="48">
        <f>'Binary Summary'!K94</f>
        <v>0.5</v>
      </c>
      <c r="R66" s="284"/>
    </row>
    <row r="67" spans="1:18">
      <c r="A67" s="1" t="str">
        <f>'Binary Summary'!A95</f>
        <v>W13</v>
      </c>
      <c r="B67" s="1" t="str">
        <f>'Binary Summary'!B95</f>
        <v>A0IV</v>
      </c>
      <c r="C67" s="1">
        <f>'Binary Summary'!C95</f>
        <v>149</v>
      </c>
      <c r="D67" s="4" t="str">
        <f>'Binary Summary'!G95</f>
        <v>-</v>
      </c>
      <c r="E67" s="4" t="str">
        <f>'Binary Summary'!H95</f>
        <v>-</v>
      </c>
      <c r="F67" s="4">
        <f>'Binary Summary'!I95</f>
        <v>5.7759999999999998</v>
      </c>
      <c r="G67" s="4">
        <f>'Isochrone Binaries '!H88</f>
        <v>2.669</v>
      </c>
      <c r="H67" s="4">
        <f>'Isochrone Binaries '!I88</f>
        <v>2.6469999999999998</v>
      </c>
      <c r="I67" s="4">
        <f>'Isochrone Binaries '!J88</f>
        <v>2.6669999999999998</v>
      </c>
      <c r="J67" s="4">
        <f>'Isochrone Binaries '!L88</f>
        <v>2.6613197178959735</v>
      </c>
      <c r="K67" s="4" t="s">
        <v>51</v>
      </c>
      <c r="L67" s="4" t="s">
        <v>51</v>
      </c>
      <c r="M67" s="4">
        <f t="shared" ref="M67:N67" si="66">I68/I67</f>
        <v>5.249343832020998E-2</v>
      </c>
      <c r="N67" s="4">
        <f t="shared" si="66"/>
        <v>5.2605479551582526E-2</v>
      </c>
      <c r="O67" s="54">
        <f>'Binary Summary'!J95</f>
        <v>2.6165811559581762</v>
      </c>
      <c r="P67" s="4">
        <f t="shared" si="58"/>
        <v>389.87059223776828</v>
      </c>
      <c r="Q67" s="4">
        <f>'Binary Summary'!K95</f>
        <v>175.66519831577341</v>
      </c>
      <c r="R67" s="54">
        <v>0.97489624470699998</v>
      </c>
    </row>
    <row r="68" spans="1:18">
      <c r="A68" s="55" t="str">
        <f>'Binary Summary'!A96</f>
        <v>HD 92837</v>
      </c>
      <c r="D68" s="4"/>
      <c r="E68" s="4"/>
      <c r="F68" s="48">
        <f>'Binary Summary'!I96</f>
        <v>3.3999999999999996E-2</v>
      </c>
      <c r="G68" s="4"/>
      <c r="H68" s="4"/>
      <c r="I68" s="4">
        <f>'Isochrone Binaries '!J89</f>
        <v>0.14000000000000001</v>
      </c>
      <c r="J68" s="4">
        <f>'Isochrone Binaries '!L89</f>
        <v>0.14000000000000001</v>
      </c>
      <c r="K68" s="4"/>
      <c r="L68" s="4"/>
      <c r="M68" s="4"/>
      <c r="N68" s="4"/>
      <c r="O68" s="51">
        <f>'Binary Summary'!J96</f>
        <v>1.5699486935749057E-2</v>
      </c>
      <c r="P68" s="48">
        <f t="shared" si="59"/>
        <v>2.3392235534266095</v>
      </c>
      <c r="Q68" s="48">
        <f>'Binary Summary'!K96</f>
        <v>0.5</v>
      </c>
      <c r="R68" s="284"/>
    </row>
    <row r="69" spans="1:18">
      <c r="A69" s="91" t="str">
        <f>'Binary Summary'!A107</f>
        <v>W24 / R81 c</v>
      </c>
      <c r="B69" s="91" t="str">
        <f>'Binary Summary'!B107</f>
        <v>A2V</v>
      </c>
      <c r="C69" s="91">
        <f>'Binary Summary'!C107</f>
        <v>149</v>
      </c>
      <c r="D69" s="92">
        <f>'Binary Summary'!G107</f>
        <v>4.71</v>
      </c>
      <c r="E69" s="92">
        <f>'Binary Summary'!H107</f>
        <v>4.08</v>
      </c>
      <c r="F69" s="92">
        <f>'Binary Summary'!I107</f>
        <v>3.89</v>
      </c>
      <c r="G69" s="92">
        <f>'Isochrone Binaries '!H100</f>
        <v>1.8680000000000001</v>
      </c>
      <c r="H69" s="92">
        <f>'Isochrone Binaries '!I100</f>
        <v>1.881</v>
      </c>
      <c r="I69" s="92">
        <f>'Isochrone Binaries '!J100</f>
        <v>1.8140000000000001</v>
      </c>
      <c r="J69" s="92">
        <f>'Isochrone Binaries '!L100</f>
        <v>1.8598228949103093</v>
      </c>
      <c r="K69" s="92">
        <f t="shared" ref="K69:N69" si="67">G70/G69</f>
        <v>0.19218415417558884</v>
      </c>
      <c r="L69" s="92">
        <f t="shared" si="67"/>
        <v>0.20042530568846359</v>
      </c>
      <c r="M69" s="92">
        <f t="shared" si="67"/>
        <v>0.1918412348401323</v>
      </c>
      <c r="N69" s="92">
        <f t="shared" si="67"/>
        <v>0.19403790322043374</v>
      </c>
      <c r="O69" s="124">
        <f>'Binary Summary'!J107</f>
        <v>4.5047062432049998</v>
      </c>
      <c r="P69" s="4">
        <f t="shared" si="58"/>
        <v>671.20123023754502</v>
      </c>
      <c r="Q69" s="92">
        <f>'Binary Summary'!K107</f>
        <v>342.41</v>
      </c>
      <c r="R69" s="124">
        <v>0.98821727689100003</v>
      </c>
    </row>
    <row r="70" spans="1:18">
      <c r="A70" s="246" t="str">
        <f>'Binary Summary'!A108</f>
        <v>HD 93424</v>
      </c>
      <c r="B70" s="91"/>
      <c r="C70" s="91"/>
      <c r="D70" s="245">
        <f>'Binary Summary'!G108</f>
        <v>3.2781500941919096E-2</v>
      </c>
      <c r="E70" s="245">
        <f>'Binary Summary'!H108</f>
        <v>3.0560224011564899E-2</v>
      </c>
      <c r="F70" s="245">
        <f>'Binary Summary'!I108</f>
        <v>3.0719672054718823E-2</v>
      </c>
      <c r="G70" s="92">
        <f>'Isochrone Binaries '!H101</f>
        <v>0.35899999999999999</v>
      </c>
      <c r="H70" s="92">
        <f>'Isochrone Binaries '!I101</f>
        <v>0.377</v>
      </c>
      <c r="I70" s="92">
        <f>'Isochrone Binaries '!J101</f>
        <v>0.34799999999999998</v>
      </c>
      <c r="J70" s="92">
        <f>'Isochrone Binaries '!L101</f>
        <v>0.36087613488975351</v>
      </c>
      <c r="K70" s="92"/>
      <c r="L70" s="92"/>
      <c r="M70" s="92"/>
      <c r="N70" s="92"/>
      <c r="O70" s="125">
        <f>'Binary Summary'!J108</f>
        <v>2.7028237459229998E-2</v>
      </c>
      <c r="P70" s="48">
        <f t="shared" si="59"/>
        <v>4.0272073814252698</v>
      </c>
      <c r="Q70" s="245">
        <f>'Binary Summary'!K108</f>
        <v>0.5</v>
      </c>
      <c r="R70" s="287"/>
    </row>
    <row r="71" spans="1:18">
      <c r="A71" s="1" t="str">
        <f>'Binary Summary'!A115</f>
        <v>B1</v>
      </c>
      <c r="B71" s="1" t="str">
        <f>'Binary Summary'!B115</f>
        <v>B6V</v>
      </c>
      <c r="C71" s="1">
        <f>'Binary Summary'!C115</f>
        <v>149</v>
      </c>
      <c r="D71" s="4" t="str">
        <f>'Binary Summary'!G115</f>
        <v>-</v>
      </c>
      <c r="E71" s="4" t="str">
        <f>'Binary Summary'!H115</f>
        <v>-</v>
      </c>
      <c r="F71" s="4">
        <f>'Binary Summary'!I115</f>
        <v>8.2649999999999988</v>
      </c>
      <c r="G71" s="4">
        <f>'Isochrone Binaries '!H108</f>
        <v>1.7609999999999999</v>
      </c>
      <c r="H71" s="4">
        <f>'Isochrone Binaries '!I108</f>
        <v>1.6890000000000001</v>
      </c>
      <c r="I71" s="4">
        <f>'Isochrone Binaries '!J108</f>
        <v>1.655</v>
      </c>
      <c r="J71" s="4">
        <f>'Isochrone Binaries '!L108</f>
        <v>1.7085279857259223</v>
      </c>
      <c r="K71" s="4" t="s">
        <v>51</v>
      </c>
      <c r="L71" s="4" t="s">
        <v>51</v>
      </c>
      <c r="M71" s="4">
        <f t="shared" ref="M71:N71" si="68">I72/I71</f>
        <v>1.2084592145015106E-2</v>
      </c>
      <c r="N71" s="92">
        <f t="shared" si="68"/>
        <v>1.1705983259912693E-2</v>
      </c>
      <c r="O71" s="54">
        <f>'Binary Summary'!J115</f>
        <v>3.6039668811331285</v>
      </c>
      <c r="P71" s="4">
        <f t="shared" si="58"/>
        <v>536.99106528883613</v>
      </c>
      <c r="Q71" s="4">
        <f>'Binary Summary'!K115</f>
        <v>70.531358802751384</v>
      </c>
      <c r="R71" s="54">
        <v>0.999342116788</v>
      </c>
    </row>
    <row r="72" spans="1:18">
      <c r="A72" s="55" t="str">
        <f>'Binary Summary'!A116</f>
        <v>HD 91698</v>
      </c>
      <c r="D72" s="4"/>
      <c r="E72" s="4"/>
      <c r="F72" s="48">
        <f>'Binary Summary'!I116</f>
        <v>4.131567845410361E-2</v>
      </c>
      <c r="G72" s="4"/>
      <c r="H72" s="4"/>
      <c r="I72" s="4">
        <f>'Isochrone Binaries '!J109</f>
        <v>0.02</v>
      </c>
      <c r="J72" s="4">
        <f>'Isochrone Binaries '!L109</f>
        <v>0.02</v>
      </c>
      <c r="K72" s="4"/>
      <c r="L72" s="4"/>
      <c r="M72" s="4"/>
      <c r="N72" s="92"/>
      <c r="O72" s="51">
        <f>'Binary Summary'!J116</f>
        <v>2.162380128679877E-2</v>
      </c>
      <c r="P72" s="48">
        <f t="shared" si="59"/>
        <v>3.2219463917330167</v>
      </c>
      <c r="Q72" s="48">
        <f>'Binary Summary'!K116</f>
        <v>0.5</v>
      </c>
      <c r="R72" s="2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G257"/>
  <sheetViews>
    <sheetView workbookViewId="0">
      <selection activeCell="G244" sqref="G244"/>
    </sheetView>
  </sheetViews>
  <sheetFormatPr baseColWidth="10" defaultRowHeight="15" x14ac:dyDescent="0"/>
  <cols>
    <col min="1" max="1" width="17.83203125" style="1" customWidth="1"/>
    <col min="2" max="2" width="12.5" style="1" customWidth="1"/>
    <col min="3" max="6" width="10.83203125" style="1"/>
    <col min="7" max="7" width="48.33203125" style="1" customWidth="1"/>
    <col min="8" max="9" width="10.83203125" style="1"/>
    <col min="10" max="10" width="13.33203125" style="1" customWidth="1"/>
    <col min="11" max="11" width="11.83203125" style="1" customWidth="1"/>
    <col min="12" max="16384" width="10.83203125" style="1"/>
  </cols>
  <sheetData>
    <row r="1" spans="1:7">
      <c r="A1" s="80" t="s">
        <v>42</v>
      </c>
      <c r="B1" s="80" t="s">
        <v>163</v>
      </c>
      <c r="C1" s="80" t="s">
        <v>496</v>
      </c>
      <c r="D1" s="75" t="s">
        <v>830</v>
      </c>
      <c r="E1" s="75" t="s">
        <v>831</v>
      </c>
      <c r="F1" s="75" t="s">
        <v>832</v>
      </c>
      <c r="G1" s="80" t="s">
        <v>64</v>
      </c>
    </row>
    <row r="2" spans="1:7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</row>
    <row r="3" spans="1:7">
      <c r="A3" s="1" t="str">
        <f>'Single Summary'!A3</f>
        <v>HD73287</v>
      </c>
      <c r="B3" s="1" t="str">
        <f>'Single Summary'!B3</f>
        <v>B7 V</v>
      </c>
      <c r="C3" s="1">
        <f>'Single Summary'!C3</f>
        <v>145</v>
      </c>
      <c r="D3" s="1">
        <f>'Isochrone Singles'!H2</f>
        <v>2.464</v>
      </c>
      <c r="E3" s="1">
        <f>'Isochrone Singles'!I2</f>
        <v>2.4129999999999998</v>
      </c>
      <c r="F3" s="1">
        <f>'Isochrone Singles'!J2</f>
        <v>2.4279999999999999</v>
      </c>
    </row>
    <row r="4" spans="1:7">
      <c r="A4" s="55" t="str">
        <f>'Single Summary'!A4</f>
        <v>HD 73287</v>
      </c>
    </row>
    <row r="5" spans="1:7">
      <c r="A5" s="1" t="str">
        <f>'Single Summary'!A5</f>
        <v>HD73904</v>
      </c>
      <c r="B5" s="1" t="str">
        <f>'Single Summary'!B5</f>
        <v>A2 V</v>
      </c>
      <c r="C5" s="1">
        <f>'Single Summary'!C5</f>
        <v>145</v>
      </c>
      <c r="D5" s="1">
        <f>'Isochrone Singles'!H3</f>
        <v>2.2450000000000001</v>
      </c>
      <c r="E5" s="1">
        <f>'Isochrone Singles'!I3</f>
        <v>2.2400000000000002</v>
      </c>
      <c r="F5" s="1">
        <f>'Isochrone Singles'!J3</f>
        <v>2.3210000000000002</v>
      </c>
    </row>
    <row r="6" spans="1:7">
      <c r="A6" s="55" t="str">
        <f>'Single Summary'!A6</f>
        <v>HD 73904</v>
      </c>
    </row>
    <row r="7" spans="1:7">
      <c r="A7" s="1" t="str">
        <f>'Single Summary'!A7</f>
        <v>HD74195</v>
      </c>
      <c r="B7" s="1" t="str">
        <f>'Single Summary'!B7</f>
        <v>B3 IV</v>
      </c>
      <c r="C7" s="1">
        <f>'Single Summary'!C7</f>
        <v>145</v>
      </c>
      <c r="D7" s="1">
        <f>'Isochrone Singles'!H4</f>
        <v>6.4740000000000002</v>
      </c>
      <c r="E7" s="1">
        <f>'Isochrone Singles'!I4</f>
        <v>6.64</v>
      </c>
      <c r="F7" s="1">
        <f>'Isochrone Singles'!J4</f>
        <v>6.6130000000000004</v>
      </c>
    </row>
    <row r="8" spans="1:7">
      <c r="A8" s="55" t="str">
        <f>'Single Summary'!A8</f>
        <v>HD 74195</v>
      </c>
    </row>
    <row r="9" spans="1:7">
      <c r="A9" s="1" t="str">
        <f>'Single Summary'!A9</f>
        <v>HD74678</v>
      </c>
      <c r="B9" s="1" t="str">
        <f>'Single Summary'!B9</f>
        <v>A1 V</v>
      </c>
      <c r="C9" s="1">
        <f>'Single Summary'!C9</f>
        <v>145</v>
      </c>
      <c r="D9" s="1">
        <f>'Isochrone Singles'!H5</f>
        <v>2.274</v>
      </c>
      <c r="E9" s="1">
        <f>'Isochrone Singles'!I5</f>
        <v>2.2869999999999999</v>
      </c>
      <c r="F9" s="1">
        <f>'Isochrone Singles'!J5</f>
        <v>2.387</v>
      </c>
    </row>
    <row r="10" spans="1:7">
      <c r="A10" s="55" t="str">
        <f>'Single Summary'!A10</f>
        <v>HD 74678</v>
      </c>
    </row>
    <row r="11" spans="1:7">
      <c r="A11" s="1" t="str">
        <f>'Single Summary'!A11</f>
        <v>HD74955</v>
      </c>
      <c r="B11" s="1" t="str">
        <f>'Single Summary'!B11</f>
        <v>A1 V</v>
      </c>
      <c r="C11" s="1">
        <f>'Single Summary'!C11</f>
        <v>145</v>
      </c>
      <c r="D11" s="1">
        <f>'Isochrone Singles'!H6</f>
        <v>2.403</v>
      </c>
      <c r="E11" s="1">
        <f>'Isochrone Singles'!I6</f>
        <v>2.4289999999999998</v>
      </c>
      <c r="F11" s="1">
        <f>'Isochrone Singles'!J6</f>
        <v>2.5230000000000001</v>
      </c>
    </row>
    <row r="12" spans="1:7">
      <c r="A12" s="55" t="str">
        <f>'Single Summary'!A12</f>
        <v>HD 74955</v>
      </c>
    </row>
    <row r="13" spans="1:7">
      <c r="A13" s="1" t="str">
        <f>'Single Summary'!A13</f>
        <v>HD75202</v>
      </c>
      <c r="B13" s="1" t="str">
        <f>'Single Summary'!B13</f>
        <v>A3 IV</v>
      </c>
      <c r="C13" s="1">
        <f>'Single Summary'!C13</f>
        <v>145</v>
      </c>
      <c r="D13" s="1">
        <f>'Isochrone Singles'!H7</f>
        <v>2.4169999999999998</v>
      </c>
      <c r="E13" s="1">
        <f>'Isochrone Singles'!I7</f>
        <v>2.472</v>
      </c>
      <c r="F13" s="1">
        <f>'Isochrone Singles'!J7</f>
        <v>2.5579999999999998</v>
      </c>
    </row>
    <row r="14" spans="1:7">
      <c r="A14" s="55" t="str">
        <f>'Single Summary'!A14</f>
        <v>HD 75202</v>
      </c>
    </row>
    <row r="15" spans="1:7">
      <c r="A15" s="1" t="str">
        <f>'Single Summary'!A15</f>
        <v>HD75466</v>
      </c>
      <c r="B15" s="1" t="str">
        <f>'Single Summary'!B15</f>
        <v>B8 V</v>
      </c>
      <c r="C15" s="1">
        <f>'Single Summary'!C15</f>
        <v>145</v>
      </c>
      <c r="D15" s="1">
        <f>'Isochrone Singles'!H8</f>
        <v>3.359</v>
      </c>
      <c r="E15" s="1">
        <f>'Isochrone Singles'!I8</f>
        <v>3.3559999999999999</v>
      </c>
      <c r="F15" s="1">
        <f>'Isochrone Singles'!J8</f>
        <v>3.399</v>
      </c>
    </row>
    <row r="16" spans="1:7">
      <c r="A16" s="55" t="str">
        <f>'Single Summary'!A16</f>
        <v>HD 75466</v>
      </c>
    </row>
    <row r="17" spans="1:6">
      <c r="A17" s="1" t="str">
        <f>'Single Summary'!A17</f>
        <v>Hogg12</v>
      </c>
      <c r="B17" s="1" t="str">
        <f>'Single Summary'!B17</f>
        <v>B5 V</v>
      </c>
      <c r="C17" s="1">
        <f>'Single Summary'!C17</f>
        <v>145</v>
      </c>
      <c r="D17" s="1">
        <f>'Isochrone Singles'!H9</f>
        <v>4.3609999999999998</v>
      </c>
      <c r="E17" s="1">
        <f>'Isochrone Singles'!I9</f>
        <v>4.375</v>
      </c>
      <c r="F17" s="1">
        <f>'Isochrone Singles'!J9</f>
        <v>4.53</v>
      </c>
    </row>
    <row r="18" spans="1:6">
      <c r="A18" s="55" t="str">
        <f>'Single Summary'!A18</f>
        <v>HD 74071</v>
      </c>
    </row>
    <row r="19" spans="1:6">
      <c r="A19" s="1" t="str">
        <f>'Single Summary'!A19</f>
        <v>Hogg1</v>
      </c>
      <c r="B19" s="1" t="str">
        <f>'Single Summary'!B19</f>
        <v>B7 V</v>
      </c>
      <c r="C19" s="1">
        <f>'Single Summary'!C19</f>
        <v>145</v>
      </c>
      <c r="D19" s="1">
        <f>'Isochrone Singles'!H10</f>
        <v>4.2880000000000003</v>
      </c>
      <c r="E19" s="1">
        <f>'Isochrone Singles'!I10</f>
        <v>4.2149999999999999</v>
      </c>
      <c r="F19" s="1">
        <f>'Isochrone Singles'!J10</f>
        <v>4.4000000000000004</v>
      </c>
    </row>
    <row r="20" spans="1:6">
      <c r="A20" s="55" t="str">
        <f>'Single Summary'!A20</f>
        <v>HD 74196</v>
      </c>
    </row>
    <row r="21" spans="1:6">
      <c r="A21" s="1" t="str">
        <f>'Single Summary'!A21</f>
        <v>Hogg2</v>
      </c>
      <c r="B21" s="1" t="str">
        <f>'Single Summary'!B21</f>
        <v>B5 V</v>
      </c>
      <c r="C21" s="1">
        <f>'Single Summary'!C21</f>
        <v>145</v>
      </c>
      <c r="D21" s="1">
        <f>'Isochrone Singles'!H11</f>
        <v>4.665</v>
      </c>
      <c r="E21" s="1">
        <f>'Isochrone Singles'!I11</f>
        <v>4.7439999999999998</v>
      </c>
      <c r="F21" s="1">
        <f>'Isochrone Singles'!J11</f>
        <v>4.8810000000000002</v>
      </c>
    </row>
    <row r="22" spans="1:6">
      <c r="A22" s="55" t="str">
        <f>'Single Summary'!A22</f>
        <v>HD 74146</v>
      </c>
    </row>
    <row r="23" spans="1:6">
      <c r="A23" s="1" t="str">
        <f>'Single Summary'!A23</f>
        <v>Hogg3</v>
      </c>
      <c r="B23" s="1" t="str">
        <f>'Single Summary'!B23</f>
        <v>B3 IV</v>
      </c>
      <c r="C23" s="1">
        <f>'Single Summary'!C23</f>
        <v>145</v>
      </c>
      <c r="D23" s="1">
        <f>'Isochrone Singles'!H12</f>
        <v>5.0970000000000004</v>
      </c>
      <c r="E23" s="1">
        <f>'Isochrone Singles'!I12</f>
        <v>5.0839999999999996</v>
      </c>
      <c r="F23" s="1">
        <f>'Isochrone Singles'!J12</f>
        <v>5.2089999999999996</v>
      </c>
    </row>
    <row r="24" spans="1:6">
      <c r="A24" s="55" t="str">
        <f>'Single Summary'!A24</f>
        <v>HD 74560</v>
      </c>
    </row>
    <row r="25" spans="1:6">
      <c r="A25" s="1" t="str">
        <f>'Single Summary'!A25</f>
        <v>Hogg6</v>
      </c>
      <c r="B25" s="1" t="str">
        <f>'Single Summary'!B25</f>
        <v>A0 V</v>
      </c>
      <c r="C25" s="1">
        <f>'Single Summary'!C25</f>
        <v>145</v>
      </c>
      <c r="D25" s="1">
        <f>'Isochrone Singles'!H13</f>
        <v>2.4780000000000002</v>
      </c>
      <c r="E25" s="1">
        <f>'Isochrone Singles'!I13</f>
        <v>2.476</v>
      </c>
      <c r="F25" s="1">
        <f>'Isochrone Singles'!J13</f>
        <v>2.5710000000000002</v>
      </c>
    </row>
    <row r="26" spans="1:6">
      <c r="A26" s="55" t="str">
        <f>'Single Summary'!A26</f>
        <v>HD 74275</v>
      </c>
    </row>
    <row r="27" spans="1:6">
      <c r="A27" s="1" t="str">
        <f>'Single Summary'!A27</f>
        <v>Hogg8</v>
      </c>
      <c r="B27" s="1" t="str">
        <f>'Single Summary'!B27</f>
        <v>A1 V</v>
      </c>
      <c r="C27" s="1">
        <f>'Single Summary'!C27</f>
        <v>145</v>
      </c>
      <c r="D27" s="1">
        <f>'Isochrone Singles'!H14</f>
        <v>2.4049999999999998</v>
      </c>
      <c r="E27" s="1">
        <f>'Isochrone Singles'!I14</f>
        <v>2.41</v>
      </c>
      <c r="F27" s="1">
        <f>'Isochrone Singles'!J14</f>
        <v>2.4460000000000002</v>
      </c>
    </row>
    <row r="28" spans="1:6">
      <c r="A28" s="55" t="str">
        <f>'Single Summary'!A28</f>
        <v>HD 74516</v>
      </c>
    </row>
    <row r="29" spans="1:6">
      <c r="A29" s="1" t="str">
        <f>'Single Summary'!A29</f>
        <v>HD73778</v>
      </c>
      <c r="B29" s="1" t="str">
        <f>'Single Summary'!B29</f>
        <v>F0 V</v>
      </c>
      <c r="C29" s="1">
        <f>'Single Summary'!C29</f>
        <v>145</v>
      </c>
      <c r="D29" s="1">
        <f>'Isochrone Singles'!H15</f>
        <v>1.073</v>
      </c>
      <c r="E29" s="1">
        <f>'Isochrone Singles'!I15</f>
        <v>0.98</v>
      </c>
      <c r="F29" s="1">
        <f>'Isochrone Singles'!J15</f>
        <v>0.97599999999999998</v>
      </c>
    </row>
    <row r="30" spans="1:6">
      <c r="A30" s="55" t="str">
        <f>'Single Summary'!A30</f>
        <v>HD 73778</v>
      </c>
    </row>
    <row r="31" spans="1:6">
      <c r="A31" s="1" t="str">
        <f>'Single Summary'!A31</f>
        <v>HD74009</v>
      </c>
      <c r="B31" s="1" t="str">
        <f>'Single Summary'!B31</f>
        <v>F3 V</v>
      </c>
      <c r="C31" s="1">
        <f>'Single Summary'!C31</f>
        <v>145</v>
      </c>
      <c r="D31" s="1">
        <f>'Isochrone Singles'!H16</f>
        <v>1.6519999999999999</v>
      </c>
      <c r="E31" s="1">
        <f>'Isochrone Singles'!I16</f>
        <v>1.7430000000000001</v>
      </c>
      <c r="F31" s="1">
        <f>'Isochrone Singles'!J16</f>
        <v>1.7430000000000001</v>
      </c>
    </row>
    <row r="32" spans="1:6">
      <c r="A32" s="55" t="str">
        <f>'Single Summary'!A32</f>
        <v>HD 74009</v>
      </c>
    </row>
    <row r="33" spans="1:7">
      <c r="A33" s="1" t="str">
        <f>'Single Summary'!A33</f>
        <v>HD74044</v>
      </c>
      <c r="B33" s="1" t="str">
        <f>'Single Summary'!B33</f>
        <v>A3</v>
      </c>
      <c r="C33" s="1">
        <f>'Single Summary'!C33</f>
        <v>145</v>
      </c>
      <c r="D33" s="1">
        <f>'Isochrone Singles'!H17</f>
        <v>1.6459999999999999</v>
      </c>
      <c r="E33" s="1">
        <f>'Isochrone Singles'!I17</f>
        <v>1.641</v>
      </c>
      <c r="F33" s="1">
        <f>'Isochrone Singles'!J17</f>
        <v>1.6240000000000001</v>
      </c>
    </row>
    <row r="34" spans="1:7">
      <c r="A34" s="55" t="str">
        <f>'Single Summary'!A34</f>
        <v>HD 74044</v>
      </c>
    </row>
    <row r="35" spans="1:7">
      <c r="A35" s="1" t="str">
        <f>'Single Summary'!A35</f>
        <v>HD74056</v>
      </c>
      <c r="B35" s="1" t="str">
        <f>'Single Summary'!B35</f>
        <v>A1 V</v>
      </c>
      <c r="C35" s="1">
        <f>'Single Summary'!C35</f>
        <v>145</v>
      </c>
      <c r="D35" s="1">
        <f>'Isochrone Singles'!H18</f>
        <v>1.2050000000000001</v>
      </c>
      <c r="E35" s="1">
        <f>'Isochrone Singles'!I18</f>
        <v>1.103</v>
      </c>
      <c r="F35" s="1">
        <f>'Isochrone Singles'!J18</f>
        <v>1.1080000000000001</v>
      </c>
    </row>
    <row r="36" spans="1:7">
      <c r="A36" s="55" t="str">
        <f>'Single Summary'!A36</f>
        <v>HD 74056</v>
      </c>
    </row>
    <row r="37" spans="1:7">
      <c r="A37" s="1" t="str">
        <f>'Single Summary'!A37</f>
        <v>HD74145</v>
      </c>
      <c r="B37" s="1" t="str">
        <f>'Single Summary'!B37</f>
        <v>A7 III</v>
      </c>
      <c r="C37" s="1">
        <f>'Single Summary'!C37</f>
        <v>145</v>
      </c>
      <c r="D37" s="1">
        <f>'Isochrone Singles'!H19</f>
        <v>1.651</v>
      </c>
      <c r="E37" s="1">
        <f>'Isochrone Singles'!I19</f>
        <v>1.6259999999999999</v>
      </c>
      <c r="F37" s="1">
        <f>'Isochrone Singles'!J19</f>
        <v>1.6619999999999999</v>
      </c>
    </row>
    <row r="38" spans="1:7">
      <c r="A38" s="55" t="str">
        <f>'Single Summary'!A38</f>
        <v>HD 74145</v>
      </c>
    </row>
    <row r="39" spans="1:7">
      <c r="A39" s="1" t="str">
        <f>'Single Summary'!A39</f>
        <v>HD74537</v>
      </c>
      <c r="B39" s="1" t="str">
        <f>'Single Summary'!B39</f>
        <v>A3 IV</v>
      </c>
      <c r="C39" s="1">
        <f>'Single Summary'!C39</f>
        <v>145</v>
      </c>
      <c r="D39" s="1">
        <f>'Isochrone Singles'!H20</f>
        <v>1.552</v>
      </c>
      <c r="E39" s="1">
        <f>'Isochrone Singles'!I20</f>
        <v>1.4910000000000001</v>
      </c>
      <c r="F39" s="1">
        <f>'Isochrone Singles'!J20</f>
        <v>1.5269999999999999</v>
      </c>
    </row>
    <row r="40" spans="1:7">
      <c r="A40" s="55" t="str">
        <f>'Single Summary'!A40</f>
        <v>HD 74537</v>
      </c>
    </row>
    <row r="41" spans="1:7">
      <c r="A41" s="1" t="str">
        <f>'Single Summary'!A41</f>
        <v>HD74665</v>
      </c>
      <c r="B41" s="1" t="str">
        <f>'Single Summary'!B41</f>
        <v>A3 V</v>
      </c>
      <c r="C41" s="1">
        <f>'Single Summary'!C41</f>
        <v>145</v>
      </c>
      <c r="D41" s="1">
        <f>'Isochrone Singles'!H21</f>
        <v>1.9710000000000001</v>
      </c>
      <c r="E41" s="1">
        <f>'Isochrone Singles'!I21</f>
        <v>2.012</v>
      </c>
      <c r="F41" s="1">
        <f>'Isochrone Singles'!J21</f>
        <v>2.242</v>
      </c>
    </row>
    <row r="42" spans="1:7">
      <c r="A42" s="55" t="str">
        <f>'Single Summary'!A42</f>
        <v>HD 74665</v>
      </c>
    </row>
    <row r="43" spans="1:7">
      <c r="A43" s="62" t="s">
        <v>92</v>
      </c>
      <c r="B43" s="62" t="s">
        <v>92</v>
      </c>
      <c r="C43" s="62" t="s">
        <v>92</v>
      </c>
      <c r="D43" s="62" t="s">
        <v>92</v>
      </c>
      <c r="E43" s="62" t="s">
        <v>92</v>
      </c>
      <c r="F43" s="62" t="s">
        <v>92</v>
      </c>
      <c r="G43" s="62" t="s">
        <v>92</v>
      </c>
    </row>
    <row r="44" spans="1:7">
      <c r="A44" s="1" t="str">
        <f>'Single Summary'!A44</f>
        <v>M110</v>
      </c>
      <c r="B44" s="1" t="str">
        <f>'Single Summary'!B44</f>
        <v>A0 III</v>
      </c>
      <c r="C44" s="1">
        <f>'Single Summary'!C44</f>
        <v>270</v>
      </c>
      <c r="D44" s="1">
        <f>'Isochrone Singles'!H22</f>
        <v>5.2329999999999997</v>
      </c>
      <c r="E44" s="1">
        <f>'Isochrone Singles'!I22</f>
        <v>5.3550000000000004</v>
      </c>
      <c r="F44" s="1">
        <f>'Isochrone Singles'!J22</f>
        <v>5.5910000000000002</v>
      </c>
    </row>
    <row r="45" spans="1:7">
      <c r="A45" s="55" t="str">
        <f>'Single Summary'!A45</f>
        <v>HD 162817</v>
      </c>
    </row>
    <row r="46" spans="1:7">
      <c r="A46" s="1" t="str">
        <f>'Single Summary'!A46</f>
        <v>M26</v>
      </c>
      <c r="B46" s="1" t="str">
        <f>'Single Summary'!B46</f>
        <v>B6 V</v>
      </c>
      <c r="C46" s="1">
        <f>'Single Summary'!C46</f>
        <v>270</v>
      </c>
      <c r="D46" s="1">
        <f>'Isochrone Singles'!H23</f>
        <v>4.4989999999999997</v>
      </c>
      <c r="E46" s="1">
        <f>'Isochrone Singles'!I23</f>
        <v>4.4980000000000002</v>
      </c>
      <c r="F46" s="1">
        <f>'Isochrone Singles'!J23</f>
        <v>4.6440000000000001</v>
      </c>
    </row>
    <row r="47" spans="1:7">
      <c r="A47" s="55" t="str">
        <f>'Single Summary'!A47</f>
        <v>HD 162374</v>
      </c>
    </row>
    <row r="48" spans="1:7">
      <c r="A48" s="1" t="str">
        <f>'Single Summary'!A48</f>
        <v>M88</v>
      </c>
      <c r="B48" s="1" t="str">
        <f>'Single Summary'!B48</f>
        <v>B9.5 III</v>
      </c>
      <c r="C48" s="1">
        <f>'Single Summary'!C48</f>
        <v>270</v>
      </c>
      <c r="D48" s="1">
        <f>'Isochrone Singles'!H24</f>
        <v>4.149</v>
      </c>
      <c r="E48" s="1">
        <f>'Isochrone Singles'!I24</f>
        <v>4.2439999999999998</v>
      </c>
      <c r="F48" s="1">
        <f>'Isochrone Singles'!J24</f>
        <v>4.2889999999999997</v>
      </c>
    </row>
    <row r="49" spans="1:7">
      <c r="A49" s="55" t="str">
        <f>'Single Summary'!A49</f>
        <v>HD 162725</v>
      </c>
    </row>
    <row r="50" spans="1:7">
      <c r="A50" s="285" t="str">
        <f>'Complete Binaries w. Flags'!A22</f>
        <v>M42</v>
      </c>
      <c r="B50" s="154" t="str">
        <f>'Complete Binaries w. Flags'!B22</f>
        <v>B9.5V</v>
      </c>
      <c r="C50" s="154">
        <f>'Complete Binaries w. Flags'!C22</f>
        <v>270</v>
      </c>
      <c r="D50" s="101">
        <f>'Complete Binaries w. Flags'!G22</f>
        <v>3.8410000000000002</v>
      </c>
      <c r="E50" s="101">
        <f>'Complete Binaries w. Flags'!H22</f>
        <v>3.8959999999999999</v>
      </c>
      <c r="F50" s="101">
        <f>'Complete Binaries w. Flags'!I22</f>
        <v>3.9340000000000002</v>
      </c>
    </row>
    <row r="51" spans="1:7">
      <c r="A51" s="286" t="str">
        <f>'Complete Binaries w. Flags'!A23</f>
        <v>HD 162515</v>
      </c>
      <c r="B51" s="154"/>
      <c r="C51" s="154"/>
      <c r="D51" s="154"/>
      <c r="E51" s="154"/>
      <c r="F51" s="154"/>
    </row>
    <row r="52" spans="1:7">
      <c r="A52" s="62" t="s">
        <v>93</v>
      </c>
      <c r="B52" s="62" t="s">
        <v>93</v>
      </c>
      <c r="C52" s="62" t="s">
        <v>93</v>
      </c>
      <c r="D52" s="62" t="s">
        <v>93</v>
      </c>
      <c r="E52" s="62" t="s">
        <v>93</v>
      </c>
      <c r="F52" s="62" t="s">
        <v>93</v>
      </c>
      <c r="G52" s="62" t="s">
        <v>93</v>
      </c>
    </row>
    <row r="53" spans="1:7">
      <c r="A53" s="1" t="str">
        <f>'Single Summary'!A51</f>
        <v>M131</v>
      </c>
      <c r="B53" s="1" t="str">
        <f>'Single Summary'!B51</f>
        <v>B9 V</v>
      </c>
      <c r="C53" s="1">
        <f>'Single Summary'!C51</f>
        <v>184</v>
      </c>
      <c r="D53" s="1">
        <f>'Isochrone Singles'!H25</f>
        <v>2.952</v>
      </c>
      <c r="E53" s="1">
        <f>'Isochrone Singles'!I25</f>
        <v>2.8420000000000001</v>
      </c>
      <c r="F53" s="1">
        <f>'Isochrone Singles'!J25</f>
        <v>2.9670000000000001</v>
      </c>
    </row>
    <row r="54" spans="1:7">
      <c r="A54" s="55" t="str">
        <f>'Single Summary'!A52</f>
        <v>HD 61087</v>
      </c>
    </row>
    <row r="55" spans="1:7">
      <c r="A55" s="1" t="str">
        <f>'Single Summary'!A53</f>
        <v>M161</v>
      </c>
      <c r="B55" s="1" t="str">
        <f>'Single Summary'!B53</f>
        <v>A0 V</v>
      </c>
      <c r="C55" s="1">
        <f>'Single Summary'!C53</f>
        <v>184</v>
      </c>
      <c r="D55" s="1">
        <f>'Isochrone Singles'!H26</f>
        <v>2.2890000000000001</v>
      </c>
      <c r="E55" s="1">
        <f>'Isochrone Singles'!I26</f>
        <v>2.2410000000000001</v>
      </c>
      <c r="F55" s="1">
        <f>'Isochrone Singles'!J26</f>
        <v>2.359</v>
      </c>
    </row>
    <row r="56" spans="1:7">
      <c r="A56" s="55" t="str">
        <f>'Single Summary'!A54</f>
        <v>HD 61621</v>
      </c>
    </row>
    <row r="57" spans="1:7">
      <c r="A57" s="1" t="str">
        <f>'Single Summary'!A55</f>
        <v>M175</v>
      </c>
      <c r="B57" s="1" t="str">
        <f>'Single Summary'!B55</f>
        <v>B3 V</v>
      </c>
      <c r="C57" s="1">
        <f>'Single Summary'!C55</f>
        <v>184</v>
      </c>
      <c r="D57" s="1">
        <f>'Isochrone Singles'!H27</f>
        <v>5.6829999999999998</v>
      </c>
      <c r="E57" s="1">
        <f>'Isochrone Singles'!I27</f>
        <v>5.625</v>
      </c>
      <c r="F57" s="1">
        <f>'Isochrone Singles'!J27</f>
        <v>5.73</v>
      </c>
    </row>
    <row r="58" spans="1:7">
      <c r="A58" s="55" t="str">
        <f>'Single Summary'!A56</f>
        <v>HD 61831</v>
      </c>
    </row>
    <row r="59" spans="1:7">
      <c r="A59" s="1" t="str">
        <f>'Single Summary'!A57</f>
        <v>M184</v>
      </c>
      <c r="B59" s="1" t="str">
        <f>'Single Summary'!B57</f>
        <v>B2.5 V</v>
      </c>
      <c r="C59" s="1">
        <f>'Single Summary'!C57</f>
        <v>184</v>
      </c>
      <c r="D59" s="1">
        <f>'Isochrone Singles'!H28</f>
        <v>4.9870000000000001</v>
      </c>
      <c r="E59" s="1">
        <f>'Isochrone Singles'!I28</f>
        <v>5.0199999999999996</v>
      </c>
      <c r="F59" s="1">
        <f>'Isochrone Singles'!J28</f>
        <v>5.149</v>
      </c>
    </row>
    <row r="60" spans="1:7">
      <c r="A60" s="55" t="str">
        <f>'Single Summary'!A58</f>
        <v>HD 61899</v>
      </c>
    </row>
    <row r="61" spans="1:7">
      <c r="A61" s="1" t="str">
        <f>'Single Summary'!A59</f>
        <v>M186</v>
      </c>
      <c r="B61" s="1" t="str">
        <f>'Single Summary'!B59</f>
        <v>B7 V</v>
      </c>
      <c r="C61" s="1">
        <f>'Single Summary'!C59</f>
        <v>184</v>
      </c>
      <c r="D61" s="1">
        <f>'Isochrone Singles'!H29</f>
        <v>2.3610000000000002</v>
      </c>
      <c r="E61" s="1">
        <f>'Isochrone Singles'!I29</f>
        <v>2.339</v>
      </c>
      <c r="F61" s="1">
        <f>'Isochrone Singles'!J29</f>
        <v>2.3260000000000001</v>
      </c>
    </row>
    <row r="62" spans="1:7">
      <c r="A62" s="55" t="str">
        <f>'Single Summary'!A60</f>
        <v>HD 61926</v>
      </c>
    </row>
    <row r="63" spans="1:7">
      <c r="A63" s="1" t="str">
        <f>'Single Summary'!A61</f>
        <v>M187</v>
      </c>
      <c r="B63" s="1" t="str">
        <f>'Single Summary'!B61</f>
        <v>B5 IVe</v>
      </c>
      <c r="C63" s="1">
        <f>'Single Summary'!C61</f>
        <v>184</v>
      </c>
      <c r="D63" s="1">
        <f>'Isochrone Singles'!H30</f>
        <v>4.8280000000000003</v>
      </c>
      <c r="E63" s="1">
        <f>'Isochrone Singles'!I30</f>
        <v>4.9009999999999998</v>
      </c>
      <c r="F63" s="1">
        <f>'Isochrone Singles'!J30</f>
        <v>5.024</v>
      </c>
    </row>
    <row r="64" spans="1:7">
      <c r="A64" s="55" t="str">
        <f>'Single Summary'!A62</f>
        <v>HD 61925</v>
      </c>
    </row>
    <row r="65" spans="1:6">
      <c r="A65" s="1" t="str">
        <f>'Single Summary'!A63</f>
        <v>M202</v>
      </c>
      <c r="B65" s="1" t="str">
        <f>'Single Summary'!B63</f>
        <v>B9 V</v>
      </c>
      <c r="C65" s="1">
        <f>'Single Summary'!C63</f>
        <v>184</v>
      </c>
      <c r="D65" s="1">
        <f>'Isochrone Singles'!H31</f>
        <v>2.5110000000000001</v>
      </c>
      <c r="E65" s="1">
        <f>'Isochrone Singles'!I31</f>
        <v>2.4889999999999999</v>
      </c>
      <c r="F65" s="1">
        <f>'Isochrone Singles'!J31</f>
        <v>2.4990000000000001</v>
      </c>
    </row>
    <row r="66" spans="1:6">
      <c r="A66" s="55" t="str">
        <f>'Single Summary'!A64</f>
        <v>HD 62227</v>
      </c>
    </row>
    <row r="67" spans="1:6">
      <c r="A67" s="1" t="str">
        <f>'Single Summary'!A65</f>
        <v>M203</v>
      </c>
      <c r="B67" s="1" t="str">
        <f>'Single Summary'!B65</f>
        <v>B5 V</v>
      </c>
      <c r="C67" s="1">
        <f>'Single Summary'!C65</f>
        <v>184</v>
      </c>
      <c r="D67" s="1">
        <f>'Isochrone Singles'!H32</f>
        <v>5.1020000000000003</v>
      </c>
      <c r="E67" s="1">
        <f>'Isochrone Singles'!I32</f>
        <v>5.0620000000000003</v>
      </c>
      <c r="F67" s="1">
        <f>'Isochrone Singles'!J32</f>
        <v>5.2050000000000001</v>
      </c>
    </row>
    <row r="68" spans="1:6">
      <c r="A68" s="55" t="str">
        <f>'Single Summary'!A66</f>
        <v>HD 62226</v>
      </c>
    </row>
    <row r="69" spans="1:6">
      <c r="A69" s="1" t="str">
        <f>'Single Summary'!A67</f>
        <v>M211</v>
      </c>
      <c r="B69" s="1" t="str">
        <f>'Single Summary'!B67</f>
        <v>A8 V</v>
      </c>
      <c r="C69" s="1">
        <f>'Single Summary'!C67</f>
        <v>184</v>
      </c>
      <c r="D69" s="1">
        <f>'Isochrone Singles'!H33</f>
        <v>2.63</v>
      </c>
      <c r="E69" s="1">
        <f>'Isochrone Singles'!I33</f>
        <v>2.734</v>
      </c>
      <c r="F69" s="1">
        <f>'Isochrone Singles'!J33</f>
        <v>2.8370000000000002</v>
      </c>
    </row>
    <row r="70" spans="1:6">
      <c r="A70" s="55" t="str">
        <f>'Single Summary'!A68</f>
        <v>HD 62415</v>
      </c>
    </row>
    <row r="71" spans="1:6">
      <c r="A71" s="1" t="str">
        <f>'Single Summary'!A69</f>
        <v>M221</v>
      </c>
      <c r="B71" s="1" t="str">
        <f>'Single Summary'!B69</f>
        <v>F2 IV</v>
      </c>
      <c r="C71" s="1">
        <f>'Single Summary'!C69</f>
        <v>184</v>
      </c>
      <c r="D71" s="1">
        <f>'Isochrone Singles'!H34</f>
        <v>3.2330000000000001</v>
      </c>
      <c r="E71" s="1">
        <f>'Isochrone Singles'!I34</f>
        <v>3.4550000000000001</v>
      </c>
      <c r="F71" s="1">
        <f>'Isochrone Singles'!J34</f>
        <v>3.71</v>
      </c>
    </row>
    <row r="72" spans="1:6">
      <c r="A72" s="55" t="str">
        <f>'Single Summary'!A70</f>
        <v>HD 62559</v>
      </c>
    </row>
    <row r="73" spans="1:6">
      <c r="A73" s="1" t="str">
        <f>'Single Summary'!A71</f>
        <v>M228</v>
      </c>
      <c r="B73" s="1" t="str">
        <f>'Single Summary'!B71</f>
        <v>B9.5 V</v>
      </c>
      <c r="C73" s="1">
        <f>'Single Summary'!C71</f>
        <v>184</v>
      </c>
      <c r="D73" s="1">
        <f>'Isochrone Singles'!H35</f>
        <v>2.7469999999999999</v>
      </c>
      <c r="E73" s="1">
        <f>'Isochrone Singles'!I35</f>
        <v>2.7949999999999999</v>
      </c>
      <c r="F73" s="1">
        <f>'Isochrone Singles'!J35</f>
        <v>2.8660000000000001</v>
      </c>
    </row>
    <row r="74" spans="1:6">
      <c r="A74" s="55" t="str">
        <f>'Single Summary'!A72</f>
        <v>HD 62642</v>
      </c>
    </row>
    <row r="75" spans="1:6">
      <c r="A75" s="1" t="str">
        <f>'Single Summary'!A73</f>
        <v>M233</v>
      </c>
      <c r="B75" s="1" t="str">
        <f>'Single Summary'!B73</f>
        <v>B8 IV</v>
      </c>
      <c r="C75" s="1">
        <f>'Single Summary'!C73</f>
        <v>184</v>
      </c>
      <c r="D75" s="1">
        <f>'Isochrone Singles'!H36</f>
        <v>3.8180000000000001</v>
      </c>
      <c r="E75" s="1">
        <f>'Isochrone Singles'!I36</f>
        <v>3.802</v>
      </c>
      <c r="F75" s="1">
        <f>'Isochrone Singles'!J36</f>
        <v>3.87</v>
      </c>
    </row>
    <row r="76" spans="1:6">
      <c r="A76" s="55" t="str">
        <f>'Single Summary'!A74</f>
        <v>HD 62712</v>
      </c>
    </row>
    <row r="77" spans="1:6">
      <c r="A77" s="1" t="str">
        <f>'Single Summary'!A75</f>
        <v>M237</v>
      </c>
      <c r="B77" s="1" t="str">
        <f>'Single Summary'!B75</f>
        <v>B9 III</v>
      </c>
      <c r="C77" s="1">
        <f>'Single Summary'!C75</f>
        <v>184</v>
      </c>
      <c r="D77" s="1">
        <f>'Isochrone Singles'!H37</f>
        <v>2.2679999999999998</v>
      </c>
      <c r="E77" s="1">
        <f>'Isochrone Singles'!I37</f>
        <v>2.2570000000000001</v>
      </c>
      <c r="F77" s="1">
        <f>'Isochrone Singles'!J37</f>
        <v>2.1829999999999998</v>
      </c>
    </row>
    <row r="78" spans="1:6">
      <c r="A78" s="55" t="str">
        <f>'Single Summary'!A76</f>
        <v>HD 62737</v>
      </c>
    </row>
    <row r="79" spans="1:6">
      <c r="A79" s="1" t="str">
        <f>'Single Summary'!A77</f>
        <v>M239</v>
      </c>
      <c r="B79" s="1" t="str">
        <f>'Single Summary'!B77</f>
        <v>B9 V</v>
      </c>
      <c r="C79" s="1">
        <f>'Single Summary'!C77</f>
        <v>184</v>
      </c>
      <c r="D79" s="1">
        <f>'Isochrone Singles'!H38</f>
        <v>2.7690000000000001</v>
      </c>
      <c r="E79" s="1">
        <f>'Isochrone Singles'!I38</f>
        <v>2.7389999999999999</v>
      </c>
      <c r="F79" s="1">
        <f>'Isochrone Singles'!J38</f>
        <v>2.8079999999999998</v>
      </c>
    </row>
    <row r="80" spans="1:6">
      <c r="A80" s="55" t="str">
        <f>'Single Summary'!A78</f>
        <v>HD 62803</v>
      </c>
    </row>
    <row r="81" spans="1:6">
      <c r="A81" s="1" t="str">
        <f>'Single Summary'!A79</f>
        <v>M243</v>
      </c>
      <c r="B81" s="1" t="str">
        <f>'Single Summary'!B79</f>
        <v>B8 V</v>
      </c>
      <c r="C81" s="1">
        <f>'Single Summary'!C79</f>
        <v>184</v>
      </c>
      <c r="D81" s="1">
        <f>'Isochrone Singles'!H39</f>
        <v>1.8660000000000001</v>
      </c>
      <c r="E81" s="1">
        <f>'Isochrone Singles'!I39</f>
        <v>1.7989999999999999</v>
      </c>
      <c r="F81" s="1">
        <f>'Isochrone Singles'!J39</f>
        <v>1.8129999999999999</v>
      </c>
    </row>
    <row r="82" spans="1:6">
      <c r="A82" s="55" t="str">
        <f>'Single Summary'!A80</f>
        <v>HD 62875</v>
      </c>
    </row>
    <row r="83" spans="1:6">
      <c r="A83" s="1" t="str">
        <f>'Single Summary'!A81</f>
        <v>M246</v>
      </c>
      <c r="B83" s="1" t="str">
        <f>'Single Summary'!B81</f>
        <v>B7 V</v>
      </c>
      <c r="C83" s="1">
        <f>'Single Summary'!C81</f>
        <v>184</v>
      </c>
      <c r="D83" s="1">
        <f>'Isochrone Singles'!H40</f>
        <v>4.6630000000000003</v>
      </c>
      <c r="E83" s="1">
        <f>'Isochrone Singles'!I40</f>
        <v>4.5869999999999997</v>
      </c>
      <c r="F83" s="1">
        <f>'Isochrone Singles'!J40</f>
        <v>4.76</v>
      </c>
    </row>
    <row r="84" spans="1:6">
      <c r="A84" s="55" t="str">
        <f>'Single Summary'!A82</f>
        <v>HD 62893</v>
      </c>
    </row>
    <row r="85" spans="1:6">
      <c r="A85" s="1" t="str">
        <f>'Single Summary'!A83</f>
        <v>M248</v>
      </c>
      <c r="B85" s="1" t="str">
        <f>'Single Summary'!B83</f>
        <v>A0 V</v>
      </c>
      <c r="C85" s="1">
        <f>'Single Summary'!C83</f>
        <v>184</v>
      </c>
      <c r="D85" s="1">
        <f>'Isochrone Singles'!H41</f>
        <v>2.6680000000000001</v>
      </c>
      <c r="E85" s="1">
        <f>'Isochrone Singles'!I41</f>
        <v>2.6</v>
      </c>
      <c r="F85" s="1">
        <f>'Isochrone Singles'!J41</f>
        <v>2.6629999999999998</v>
      </c>
    </row>
    <row r="86" spans="1:6">
      <c r="A86" s="55" t="str">
        <f>'Single Summary'!A84</f>
        <v>HD 62938</v>
      </c>
    </row>
    <row r="87" spans="1:6">
      <c r="A87" s="1" t="str">
        <f>'Single Summary'!A85</f>
        <v>M249</v>
      </c>
      <c r="B87" s="1" t="str">
        <f>'Single Summary'!B85</f>
        <v>A0 V</v>
      </c>
      <c r="C87" s="1">
        <f>'Single Summary'!C85</f>
        <v>184</v>
      </c>
      <c r="D87" s="1">
        <f>'Isochrone Singles'!H42</f>
        <v>2.23</v>
      </c>
      <c r="E87" s="1">
        <f>'Isochrone Singles'!I42</f>
        <v>2.218</v>
      </c>
      <c r="F87" s="1">
        <f>'Isochrone Singles'!J42</f>
        <v>2.3039999999999998</v>
      </c>
    </row>
    <row r="88" spans="1:6">
      <c r="A88" s="55" t="str">
        <f>'Single Summary'!A86</f>
        <v>HD 62961</v>
      </c>
    </row>
    <row r="89" spans="1:6">
      <c r="A89" s="1" t="str">
        <f>'Single Summary'!A87</f>
        <v>M250</v>
      </c>
      <c r="B89" s="1" t="str">
        <f>'Single Summary'!B87</f>
        <v>A7 III</v>
      </c>
      <c r="C89" s="1">
        <f>'Single Summary'!C87</f>
        <v>184</v>
      </c>
      <c r="D89" s="1">
        <f>'Isochrone Singles'!H43</f>
        <v>2.617</v>
      </c>
      <c r="E89" s="1">
        <f>'Isochrone Singles'!I43</f>
        <v>2.6539999999999999</v>
      </c>
      <c r="F89" s="1">
        <f>'Isochrone Singles'!J43</f>
        <v>2.7370000000000001</v>
      </c>
    </row>
    <row r="90" spans="1:6">
      <c r="A90" s="55" t="str">
        <f>'Single Summary'!A88</f>
        <v>HD 62992</v>
      </c>
    </row>
    <row r="91" spans="1:6">
      <c r="A91" s="1" t="str">
        <f>'Single Summary'!A89</f>
        <v>M251</v>
      </c>
      <c r="B91" s="1" t="str">
        <f>'Single Summary'!B89</f>
        <v>B3 IV</v>
      </c>
      <c r="C91" s="1">
        <f>'Single Summary'!C89</f>
        <v>184</v>
      </c>
      <c r="D91" s="1">
        <f>'Isochrone Singles'!H44</f>
        <v>3.73</v>
      </c>
      <c r="E91" s="1">
        <f>'Isochrone Singles'!I44</f>
        <v>3.5960000000000001</v>
      </c>
      <c r="F91" s="1">
        <f>'Isochrone Singles'!J44</f>
        <v>3.774</v>
      </c>
    </row>
    <row r="92" spans="1:6">
      <c r="A92" s="55" t="str">
        <f>'Single Summary'!A90</f>
        <v>HD 62991</v>
      </c>
    </row>
    <row r="93" spans="1:6">
      <c r="A93" s="1" t="str">
        <f>'Single Summary'!A91</f>
        <v>M255</v>
      </c>
      <c r="B93" s="1" t="str">
        <f>'Single Summary'!B91</f>
        <v>A0 IV</v>
      </c>
      <c r="C93" s="1">
        <f>'Single Summary'!C91</f>
        <v>184</v>
      </c>
      <c r="D93" s="1">
        <f>'Isochrone Singles'!H45</f>
        <v>3.0289999999999999</v>
      </c>
      <c r="E93" s="1">
        <f>'Isochrone Singles'!I45</f>
        <v>3.0129999999999999</v>
      </c>
      <c r="F93" s="1">
        <f>'Isochrone Singles'!J45</f>
        <v>3.121</v>
      </c>
    </row>
    <row r="94" spans="1:6">
      <c r="A94" s="55" t="str">
        <f>'Single Summary'!A92</f>
        <v>HD 63080</v>
      </c>
    </row>
    <row r="95" spans="1:6">
      <c r="A95" s="1" t="str">
        <f>'Single Summary'!A93</f>
        <v>M256</v>
      </c>
      <c r="B95" s="1" t="str">
        <f>'Single Summary'!B93</f>
        <v>B9 V</v>
      </c>
      <c r="C95" s="1">
        <f>'Single Summary'!C93</f>
        <v>184</v>
      </c>
      <c r="D95" s="1">
        <f>'Isochrone Singles'!H46</f>
        <v>3.2480000000000002</v>
      </c>
      <c r="E95" s="1">
        <f>'Isochrone Singles'!I46</f>
        <v>3.2559999999999998</v>
      </c>
      <c r="F95" s="1">
        <f>'Isochrone Singles'!J46</f>
        <v>3.28</v>
      </c>
    </row>
    <row r="96" spans="1:6">
      <c r="A96" s="55" t="str">
        <f>'Single Summary'!A94</f>
        <v>HD 63079</v>
      </c>
    </row>
    <row r="97" spans="1:7">
      <c r="A97" s="1" t="str">
        <f>'Single Summary'!A95</f>
        <v>M267</v>
      </c>
      <c r="B97" s="1" t="str">
        <f>'Single Summary'!B95</f>
        <v>B7 V</v>
      </c>
      <c r="C97" s="1">
        <f>'Single Summary'!C95</f>
        <v>184</v>
      </c>
      <c r="D97" s="1">
        <f>'Isochrone Singles'!H47</f>
        <v>4.7060000000000004</v>
      </c>
      <c r="E97" s="1">
        <f>'Isochrone Singles'!I47</f>
        <v>4.6890000000000001</v>
      </c>
      <c r="F97" s="1">
        <f>'Isochrone Singles'!J47</f>
        <v>4.8099999999999996</v>
      </c>
    </row>
    <row r="98" spans="1:7">
      <c r="A98" s="55" t="str">
        <f>'Single Summary'!A96</f>
        <v>HD 63215</v>
      </c>
    </row>
    <row r="99" spans="1:7">
      <c r="A99" s="1" t="str">
        <f>'Single Summary'!A97</f>
        <v>M277</v>
      </c>
      <c r="B99" s="1" t="str">
        <f>'Single Summary'!B97</f>
        <v>B8 III</v>
      </c>
      <c r="C99" s="1">
        <f>'Single Summary'!C97</f>
        <v>184</v>
      </c>
      <c r="D99" s="1">
        <f>'Isochrone Singles'!H48</f>
        <v>3.9660000000000002</v>
      </c>
      <c r="E99" s="1">
        <f>'Isochrone Singles'!I48</f>
        <v>3.879</v>
      </c>
      <c r="F99" s="1">
        <f>'Isochrone Singles'!J48</f>
        <v>3.972</v>
      </c>
    </row>
    <row r="100" spans="1:7">
      <c r="A100" s="55" t="str">
        <f>'Single Summary'!A98</f>
        <v>HD 63401</v>
      </c>
    </row>
    <row r="101" spans="1:7">
      <c r="A101" s="1" t="str">
        <f>'Single Summary'!A99</f>
        <v>M281</v>
      </c>
      <c r="B101" s="1" t="str">
        <f>'Single Summary'!B99</f>
        <v>F3 IV</v>
      </c>
      <c r="C101" s="1">
        <f>'Single Summary'!C99</f>
        <v>184</v>
      </c>
      <c r="D101" s="1">
        <f>'Isochrone Singles'!H49</f>
        <v>4.3</v>
      </c>
      <c r="E101" s="1">
        <f>'Isochrone Singles'!I49</f>
        <v>4.5830000000000002</v>
      </c>
      <c r="F101" s="1">
        <f>'Isochrone Singles'!J49</f>
        <v>4.8220000000000001</v>
      </c>
    </row>
    <row r="102" spans="1:7">
      <c r="A102" s="55" t="str">
        <f>'Single Summary'!A100</f>
        <v>HD 63424</v>
      </c>
    </row>
    <row r="103" spans="1:7">
      <c r="A103" s="1" t="str">
        <f>'Single Summary'!A101</f>
        <v>M283</v>
      </c>
      <c r="B103" s="1" t="str">
        <f>'Single Summary'!B101</f>
        <v>B2 III</v>
      </c>
      <c r="C103" s="1">
        <f>'Single Summary'!C101</f>
        <v>184</v>
      </c>
      <c r="D103" s="1">
        <f>'Isochrone Singles'!H50</f>
        <v>5.6669999999999998</v>
      </c>
      <c r="E103" s="1">
        <f>'Isochrone Singles'!I50</f>
        <v>5.68</v>
      </c>
      <c r="F103" s="1">
        <f>'Isochrone Singles'!J50</f>
        <v>5.79</v>
      </c>
    </row>
    <row r="104" spans="1:7">
      <c r="A104" s="55" t="str">
        <f>'Single Summary'!A102</f>
        <v>HD 63465</v>
      </c>
    </row>
    <row r="105" spans="1:7">
      <c r="A105" s="1" t="str">
        <f>'Single Summary'!A103</f>
        <v>M36</v>
      </c>
      <c r="B105" s="1" t="str">
        <f>'Single Summary'!B103</f>
        <v>A0 V</v>
      </c>
      <c r="C105" s="1">
        <f>'Single Summary'!C103</f>
        <v>184</v>
      </c>
      <c r="D105" s="1">
        <f>'Isochrone Singles'!H51</f>
        <v>1.7849999999999999</v>
      </c>
      <c r="E105" s="1">
        <f>'Isochrone Singles'!I51</f>
        <v>1.718</v>
      </c>
      <c r="F105" s="1">
        <f>'Isochrone Singles'!J51</f>
        <v>1.742</v>
      </c>
    </row>
    <row r="106" spans="1:7">
      <c r="A106" s="55" t="str">
        <f>'Single Summary'!A104</f>
        <v>CD -37 3845</v>
      </c>
    </row>
    <row r="107" spans="1:7">
      <c r="A107" s="1" t="str">
        <f>'Single Summary'!A105</f>
        <v>M209</v>
      </c>
      <c r="B107" s="1" t="str">
        <f>'Single Summary'!B105</f>
        <v>B8 V</v>
      </c>
      <c r="C107" s="1">
        <f>'Single Summary'!C105</f>
        <v>184</v>
      </c>
      <c r="D107" s="1">
        <f>'Isochrone Singles'!H52</f>
        <v>3.7730000000000001</v>
      </c>
      <c r="E107" s="1">
        <f>'Isochrone Singles'!I52</f>
        <v>3.71</v>
      </c>
      <c r="F107" s="1">
        <f>'Isochrone Singles'!J52</f>
        <v>3.8940000000000001</v>
      </c>
    </row>
    <row r="108" spans="1:7">
      <c r="A108" s="55" t="str">
        <f>'Single Summary'!A106</f>
        <v>HD 62376</v>
      </c>
    </row>
    <row r="109" spans="1:7">
      <c r="A109" s="62" t="s">
        <v>94</v>
      </c>
      <c r="B109" s="62" t="s">
        <v>94</v>
      </c>
      <c r="C109" s="62" t="s">
        <v>94</v>
      </c>
      <c r="D109" s="62" t="s">
        <v>94</v>
      </c>
      <c r="E109" s="62" t="s">
        <v>94</v>
      </c>
      <c r="F109" s="62" t="s">
        <v>94</v>
      </c>
      <c r="G109" s="62" t="s">
        <v>94</v>
      </c>
    </row>
    <row r="110" spans="1:7">
      <c r="A110" s="1" t="str">
        <f>'Single Summary'!A108</f>
        <v>M10</v>
      </c>
      <c r="B110" s="1" t="str">
        <f>'Single Summary'!B108</f>
        <v>B8.5 V</v>
      </c>
      <c r="C110" s="1">
        <f>'Single Summary'!C108</f>
        <v>342</v>
      </c>
      <c r="D110" s="1">
        <f>'Isochrone Singles'!H53</f>
        <v>3.8159999999999998</v>
      </c>
      <c r="E110" s="1">
        <f>'Isochrone Singles'!I53</f>
        <v>3.7829999999999999</v>
      </c>
      <c r="F110" s="1">
        <f>'Isochrone Singles'!J53</f>
        <v>3.8559999999999999</v>
      </c>
    </row>
    <row r="111" spans="1:7">
      <c r="A111" s="55" t="str">
        <f>'Single Summary'!A109</f>
        <v>HD 65869</v>
      </c>
    </row>
    <row r="112" spans="1:7">
      <c r="A112" s="1" t="str">
        <f>'Single Summary'!A110</f>
        <v>M11</v>
      </c>
      <c r="B112" s="1" t="str">
        <f>'Single Summary'!B110</f>
        <v>B9.5 V</v>
      </c>
      <c r="C112" s="1">
        <f>'Single Summary'!C110</f>
        <v>342</v>
      </c>
      <c r="D112" s="1">
        <f>'Isochrone Singles'!H54</f>
        <v>3.052</v>
      </c>
      <c r="E112" s="1">
        <f>'Isochrone Singles'!I54</f>
        <v>3.0579999999999998</v>
      </c>
      <c r="F112" s="1">
        <f>'Isochrone Singles'!J54</f>
        <v>3.1259999999999999</v>
      </c>
    </row>
    <row r="113" spans="1:6">
      <c r="A113" s="55" t="str">
        <f>'Single Summary'!A111</f>
        <v>HIP 120403</v>
      </c>
    </row>
    <row r="114" spans="1:6">
      <c r="A114" s="1" t="str">
        <f>'Single Summary'!A112</f>
        <v>M15</v>
      </c>
      <c r="B114" s="1" t="str">
        <f>'Single Summary'!B112</f>
        <v>Apv... C</v>
      </c>
      <c r="C114" s="1">
        <f>'Single Summary'!C112</f>
        <v>342</v>
      </c>
      <c r="D114" s="1">
        <f>'Isochrone Singles'!H55</f>
        <v>3.7</v>
      </c>
      <c r="E114" s="1">
        <f>'Isochrone Singles'!I55</f>
        <v>3.6640000000000001</v>
      </c>
      <c r="F114" s="1">
        <f>'Isochrone Singles'!J55</f>
        <v>3.726</v>
      </c>
    </row>
    <row r="115" spans="1:6">
      <c r="A115" s="55" t="str">
        <f>'Single Summary'!A113</f>
        <v>HD 65987</v>
      </c>
    </row>
    <row r="116" spans="1:6">
      <c r="A116" s="1" t="str">
        <f>'Single Summary'!A114</f>
        <v>M113</v>
      </c>
      <c r="B116" s="1" t="str">
        <f>'Single Summary'!B114</f>
        <v>A2 V</v>
      </c>
      <c r="C116" s="1">
        <f>'Single Summary'!C114</f>
        <v>342</v>
      </c>
      <c r="D116" s="1">
        <f>'Isochrone Singles'!H56</f>
        <v>3.3010000000000002</v>
      </c>
      <c r="E116" s="1">
        <f>'Isochrone Singles'!I56</f>
        <v>3.355</v>
      </c>
      <c r="F116" s="1">
        <f>'Isochrone Singles'!J56</f>
        <v>3.4220000000000002</v>
      </c>
    </row>
    <row r="117" spans="1:6">
      <c r="A117" s="55" t="str">
        <f>'Single Summary'!A115</f>
        <v>HD 65405</v>
      </c>
    </row>
    <row r="118" spans="1:6">
      <c r="A118" s="1" t="str">
        <f>'Single Summary'!A116</f>
        <v>M116</v>
      </c>
      <c r="B118" s="1" t="str">
        <f>'Single Summary'!B116</f>
        <v>B8 V</v>
      </c>
      <c r="C118" s="1">
        <f>'Single Summary'!C116</f>
        <v>342</v>
      </c>
      <c r="D118" s="1">
        <f>'Isochrone Singles'!H57</f>
        <v>3.3759999999999999</v>
      </c>
      <c r="E118" s="1">
        <f>'Isochrone Singles'!I57</f>
        <v>3.411</v>
      </c>
      <c r="F118" s="1">
        <f>'Isochrone Singles'!J57</f>
        <v>3.4980000000000002</v>
      </c>
    </row>
    <row r="119" spans="1:6">
      <c r="A119" s="55" t="str">
        <f>'Single Summary'!A117</f>
        <v>HD 65578</v>
      </c>
    </row>
    <row r="120" spans="1:6">
      <c r="A120" s="1" t="str">
        <f>'Single Summary'!A118</f>
        <v>M120</v>
      </c>
      <c r="B120" s="1" t="str">
        <f>'Single Summary'!B118</f>
        <v>B8 IVe</v>
      </c>
      <c r="C120" s="1">
        <f>'Single Summary'!C118</f>
        <v>342</v>
      </c>
      <c r="D120" s="1">
        <f>'Isochrone Singles'!H58</f>
        <v>4.8479999999999999</v>
      </c>
      <c r="E120" s="1">
        <f>'Isochrone Singles'!I58</f>
        <v>4.8899999999999997</v>
      </c>
      <c r="F120" s="1">
        <f>'Isochrone Singles'!J58</f>
        <v>5.0449999999999999</v>
      </c>
    </row>
    <row r="121" spans="1:6">
      <c r="A121" s="55" t="str">
        <f>'Single Summary'!A119</f>
        <v>HD 65663</v>
      </c>
    </row>
    <row r="122" spans="1:6">
      <c r="A122" s="1" t="str">
        <f>'Single Summary'!A120</f>
        <v>M126</v>
      </c>
      <c r="B122" s="1" t="str">
        <f>'Single Summary'!B120</f>
        <v>B8.5 III</v>
      </c>
      <c r="C122" s="1">
        <f>'Single Summary'!C120</f>
        <v>342</v>
      </c>
      <c r="D122" s="1">
        <f>'Isochrone Singles'!H59</f>
        <v>4.577</v>
      </c>
      <c r="E122" s="1">
        <f>'Isochrone Singles'!I59</f>
        <v>4.5979999999999999</v>
      </c>
      <c r="F122" s="1">
        <f>'Isochrone Singles'!J59</f>
        <v>4.6870000000000003</v>
      </c>
    </row>
    <row r="123" spans="1:6">
      <c r="A123" s="55" t="str">
        <f>'Single Summary'!A121</f>
        <v>HD 65950</v>
      </c>
    </row>
    <row r="124" spans="1:6">
      <c r="A124" s="1" t="str">
        <f>'Single Summary'!A122</f>
        <v>M129</v>
      </c>
      <c r="B124" s="1" t="str">
        <f>'Single Summary'!B122</f>
        <v>B9 IV</v>
      </c>
      <c r="C124" s="1">
        <f>'Single Summary'!C122</f>
        <v>342</v>
      </c>
      <c r="D124" s="1">
        <f>'Isochrone Singles'!H60</f>
        <v>4.3780000000000001</v>
      </c>
      <c r="E124" s="1">
        <f>'Isochrone Singles'!I60</f>
        <v>4.4290000000000003</v>
      </c>
      <c r="F124" s="1">
        <f>'Isochrone Singles'!J60</f>
        <v>4.5659999999999998</v>
      </c>
    </row>
    <row r="125" spans="1:6">
      <c r="A125" s="55" t="str">
        <f>'Single Summary'!A123</f>
        <v>SAO 250045</v>
      </c>
    </row>
    <row r="126" spans="1:6">
      <c r="A126" s="1" t="str">
        <f>'Single Summary'!A124</f>
        <v>M13</v>
      </c>
      <c r="B126" s="1" t="str">
        <f>'Single Summary'!B124</f>
        <v>B8 IV</v>
      </c>
      <c r="C126" s="1">
        <f>'Single Summary'!C124</f>
        <v>342</v>
      </c>
      <c r="D126" s="1">
        <f>'Isochrone Singles'!H61</f>
        <v>3.3370000000000002</v>
      </c>
      <c r="E126" s="1">
        <f>'Isochrone Singles'!I61</f>
        <v>3.3359999999999999</v>
      </c>
      <c r="F126" s="1">
        <f>'Isochrone Singles'!J61</f>
        <v>3.3639999999999999</v>
      </c>
    </row>
    <row r="127" spans="1:6">
      <c r="A127" s="55" t="str">
        <f>'Single Summary'!A125</f>
        <v>SAO 250024</v>
      </c>
    </row>
    <row r="128" spans="1:6">
      <c r="A128" s="1" t="str">
        <f>'Single Summary'!A126</f>
        <v>M130</v>
      </c>
      <c r="B128" s="1" t="str">
        <f>'Single Summary'!B126</f>
        <v>B8.5 IV</v>
      </c>
      <c r="C128" s="1">
        <f>'Single Summary'!C126</f>
        <v>342</v>
      </c>
      <c r="D128" s="1">
        <f>'Isochrone Singles'!H62</f>
        <v>4.266</v>
      </c>
      <c r="E128" s="1">
        <f>'Isochrone Singles'!I62</f>
        <v>4.2350000000000003</v>
      </c>
      <c r="F128" s="1">
        <f>'Isochrone Singles'!J62</f>
        <v>4.3159999999999998</v>
      </c>
    </row>
    <row r="129" spans="1:6">
      <c r="A129" s="55" t="str">
        <f>'Single Summary'!A127</f>
        <v>HD 66066</v>
      </c>
    </row>
    <row r="130" spans="1:6">
      <c r="A130" s="1" t="str">
        <f>'Single Summary'!A128</f>
        <v>M132</v>
      </c>
      <c r="B130" s="1" t="str">
        <f>'Single Summary'!B128</f>
        <v>B9 V</v>
      </c>
      <c r="C130" s="1">
        <f>'Single Summary'!C128</f>
        <v>342</v>
      </c>
      <c r="D130" s="1">
        <f>'Isochrone Singles'!H63</f>
        <v>3.052</v>
      </c>
      <c r="E130" s="1">
        <f>'Isochrone Singles'!I63</f>
        <v>3.1070000000000002</v>
      </c>
      <c r="F130" s="1">
        <f>'Isochrone Singles'!J63</f>
        <v>3.1150000000000002</v>
      </c>
    </row>
    <row r="131" spans="1:6">
      <c r="A131" s="55" t="str">
        <f>'Single Summary'!A129</f>
        <v>CD -60 1975</v>
      </c>
    </row>
    <row r="132" spans="1:6">
      <c r="A132" s="1" t="str">
        <f>'Single Summary'!A130</f>
        <v>M134</v>
      </c>
      <c r="B132" s="1" t="str">
        <f>'Single Summary'!B130</f>
        <v>B3 V</v>
      </c>
      <c r="C132" s="1">
        <f>'Single Summary'!C130</f>
        <v>342</v>
      </c>
      <c r="D132" s="1">
        <f>'Isochrone Singles'!H64</f>
        <v>6.9989999999999997</v>
      </c>
      <c r="E132" s="1">
        <f>'Isochrone Singles'!I64</f>
        <v>6.9989999999999997</v>
      </c>
      <c r="F132" s="1">
        <f>'Isochrone Singles'!J64</f>
        <v>6.9989999999999997</v>
      </c>
    </row>
    <row r="133" spans="1:6">
      <c r="A133" s="55" t="str">
        <f>'Single Summary'!A131</f>
        <v>HD 66194</v>
      </c>
    </row>
    <row r="134" spans="1:6">
      <c r="A134" s="1" t="str">
        <f>'Single Summary'!A132</f>
        <v>M136</v>
      </c>
      <c r="B134" s="1" t="str">
        <f>'Single Summary'!B132</f>
        <v>B7 III</v>
      </c>
      <c r="C134" s="1">
        <f>'Single Summary'!C132</f>
        <v>342</v>
      </c>
      <c r="D134" s="1">
        <f>'Isochrone Singles'!H65</f>
        <v>5.1740000000000004</v>
      </c>
      <c r="E134" s="1">
        <f>'Isochrone Singles'!I65</f>
        <v>5.2039999999999997</v>
      </c>
      <c r="F134" s="1">
        <f>'Isochrone Singles'!J65</f>
        <v>5.375</v>
      </c>
    </row>
    <row r="135" spans="1:6">
      <c r="A135" s="55" t="str">
        <f>'Single Summary'!A133</f>
        <v>HD 66341</v>
      </c>
    </row>
    <row r="136" spans="1:6">
      <c r="A136" s="1" t="str">
        <f>'Single Summary'!A134</f>
        <v>M19</v>
      </c>
      <c r="B136" s="1" t="str">
        <f>'Single Summary'!B134</f>
        <v>B9 V</v>
      </c>
      <c r="C136" s="1">
        <f>'Single Summary'!C134</f>
        <v>342</v>
      </c>
      <c r="D136" s="1">
        <f>'Isochrone Singles'!H66</f>
        <v>3.706</v>
      </c>
      <c r="E136" s="1">
        <f>'Isochrone Singles'!I66</f>
        <v>3.6880000000000002</v>
      </c>
      <c r="F136" s="1">
        <f>'Isochrone Singles'!J66</f>
        <v>3.802</v>
      </c>
    </row>
    <row r="137" spans="1:6">
      <c r="A137" s="55" t="str">
        <f>'Single Summary'!A135</f>
        <v>HD 66137</v>
      </c>
    </row>
    <row r="138" spans="1:6">
      <c r="A138" s="1" t="str">
        <f>'Single Summary'!A136</f>
        <v>M20</v>
      </c>
      <c r="B138" s="1" t="str">
        <f>'Single Summary'!B136</f>
        <v>B9.5 IV</v>
      </c>
      <c r="C138" s="1">
        <f>'Single Summary'!C136</f>
        <v>342</v>
      </c>
      <c r="D138" s="1">
        <f>'Isochrone Singles'!H67</f>
        <v>3.0550000000000002</v>
      </c>
      <c r="E138" s="1">
        <f>'Isochrone Singles'!I67</f>
        <v>3.1520000000000001</v>
      </c>
      <c r="F138" s="1">
        <f>'Isochrone Singles'!J67</f>
        <v>3.23</v>
      </c>
    </row>
    <row r="139" spans="1:6">
      <c r="A139" s="55" t="str">
        <f>'Single Summary'!A137</f>
        <v>HD 66259</v>
      </c>
    </row>
    <row r="140" spans="1:6">
      <c r="A140" s="1" t="str">
        <f>'Single Summary'!A138</f>
        <v>M208</v>
      </c>
      <c r="B140" s="1" t="str">
        <f>'Single Summary'!B138</f>
        <v>B9 IV</v>
      </c>
      <c r="C140" s="1">
        <f>'Single Summary'!C138</f>
        <v>342</v>
      </c>
      <c r="D140" s="1">
        <f>'Isochrone Singles'!H68</f>
        <v>3.17</v>
      </c>
      <c r="E140" s="1">
        <f>'Isochrone Singles'!I68</f>
        <v>3.109</v>
      </c>
      <c r="F140" s="1">
        <f>'Isochrone Singles'!J68</f>
        <v>3.2490000000000001</v>
      </c>
    </row>
    <row r="141" spans="1:6">
      <c r="A141" s="55" t="str">
        <f>'Single Summary'!A139</f>
        <v>CPD -60 944</v>
      </c>
    </row>
    <row r="142" spans="1:6">
      <c r="A142" s="1" t="str">
        <f>'Single Summary'!A140</f>
        <v>M224</v>
      </c>
      <c r="B142" s="1" t="str">
        <f>'Single Summary'!B140</f>
        <v>F1 V</v>
      </c>
      <c r="C142" s="1">
        <f>'Single Summary'!C140</f>
        <v>342</v>
      </c>
      <c r="D142" s="1">
        <f>'Isochrone Singles'!H69</f>
        <v>6.9989999999999997</v>
      </c>
      <c r="E142" s="1">
        <f>'Isochrone Singles'!I69</f>
        <v>6.9989999999999997</v>
      </c>
      <c r="F142" s="1">
        <f>'Isochrone Singles'!J69</f>
        <v>6.9989999999999997</v>
      </c>
    </row>
    <row r="143" spans="1:6">
      <c r="A143" s="55" t="str">
        <f>'Single Summary'!A141</f>
        <v>HD 64185</v>
      </c>
    </row>
    <row r="144" spans="1:6">
      <c r="A144" s="1" t="str">
        <f>'Single Summary'!A142</f>
        <v>M226</v>
      </c>
      <c r="B144" s="1" t="str">
        <f>'Single Summary'!B142</f>
        <v>B8 V</v>
      </c>
      <c r="C144" s="1">
        <f>'Single Summary'!C142</f>
        <v>342</v>
      </c>
      <c r="D144" s="1">
        <f>'Isochrone Singles'!H70</f>
        <v>3.6789999999999998</v>
      </c>
      <c r="E144" s="1">
        <f>'Isochrone Singles'!I70</f>
        <v>3.6749999999999998</v>
      </c>
      <c r="F144" s="1">
        <f>'Isochrone Singles'!J70</f>
        <v>3.758</v>
      </c>
    </row>
    <row r="145" spans="1:7">
      <c r="A145" s="55" t="str">
        <f>'Single Summary'!A143</f>
        <v>HD 65094</v>
      </c>
    </row>
    <row r="146" spans="1:7">
      <c r="A146" s="1" t="str">
        <f>'Single Summary'!A144</f>
        <v>M23</v>
      </c>
      <c r="B146" s="1" t="str">
        <f>'Single Summary'!B144</f>
        <v>B8.5 IV</v>
      </c>
      <c r="C146" s="1">
        <f>'Single Summary'!C144</f>
        <v>342</v>
      </c>
      <c r="D146" s="1">
        <f>'Isochrone Singles'!H71</f>
        <v>3.1040000000000001</v>
      </c>
      <c r="E146" s="1">
        <f>'Isochrone Singles'!I71</f>
        <v>3.1059999999999999</v>
      </c>
      <c r="F146" s="1">
        <f>'Isochrone Singles'!J71</f>
        <v>3.149</v>
      </c>
    </row>
    <row r="147" spans="1:7">
      <c r="A147" s="55" t="str">
        <f>'Single Summary'!A145</f>
        <v>HD 66409</v>
      </c>
    </row>
    <row r="148" spans="1:7">
      <c r="A148" s="1" t="str">
        <f>'Single Summary'!A146</f>
        <v>M29</v>
      </c>
      <c r="B148" s="1" t="str">
        <f>'Single Summary'!B146</f>
        <v>A0 V</v>
      </c>
      <c r="C148" s="1">
        <f>'Single Summary'!C146</f>
        <v>342</v>
      </c>
      <c r="D148" s="1">
        <f>'Isochrone Singles'!H72</f>
        <v>3.2450000000000001</v>
      </c>
      <c r="E148" s="1">
        <f>'Isochrone Singles'!I72</f>
        <v>3.3039999999999998</v>
      </c>
      <c r="F148" s="1">
        <f>'Isochrone Singles'!J72</f>
        <v>3.3490000000000002</v>
      </c>
    </row>
    <row r="149" spans="1:7">
      <c r="A149" s="55" t="str">
        <f>'Single Summary'!A147</f>
        <v>HD 66656</v>
      </c>
    </row>
    <row r="150" spans="1:7">
      <c r="A150" s="1" t="str">
        <f>'Single Summary'!A148</f>
        <v>M37</v>
      </c>
      <c r="B150" s="1" t="str">
        <f>'Single Summary'!B148</f>
        <v>B8.5 V</v>
      </c>
      <c r="C150" s="1">
        <f>'Single Summary'!C148</f>
        <v>342</v>
      </c>
      <c r="D150" s="1">
        <f>'Isochrone Singles'!H73</f>
        <v>3.343</v>
      </c>
      <c r="E150" s="1">
        <f>'Isochrone Singles'!I73</f>
        <v>3.3359999999999999</v>
      </c>
      <c r="F150" s="1">
        <f>'Isochrone Singles'!J73</f>
        <v>3.423</v>
      </c>
    </row>
    <row r="151" spans="1:7">
      <c r="A151" s="55" t="str">
        <f>'Single Summary'!A149</f>
        <v>CPD -60 985</v>
      </c>
    </row>
    <row r="152" spans="1:7">
      <c r="A152" s="1" t="str">
        <f>'Single Summary'!A150</f>
        <v>M5</v>
      </c>
      <c r="B152" s="1" t="str">
        <f>'Single Summary'!B150</f>
        <v>B8.5 IV</v>
      </c>
      <c r="C152" s="1">
        <f>'Single Summary'!C150</f>
        <v>342</v>
      </c>
      <c r="D152" s="1">
        <f>'Isochrone Singles'!H74</f>
        <v>3.121</v>
      </c>
      <c r="E152" s="1">
        <f>'Isochrone Singles'!I74</f>
        <v>3.218</v>
      </c>
      <c r="F152" s="1">
        <f>'Isochrone Singles'!J74</f>
        <v>3.1930000000000001</v>
      </c>
    </row>
    <row r="153" spans="1:7">
      <c r="A153" s="55" t="str">
        <f>'Single Summary'!A151</f>
        <v>CD -60 1929</v>
      </c>
    </row>
    <row r="154" spans="1:7">
      <c r="A154" s="1" t="str">
        <f>'Single Summary'!A152</f>
        <v>M83</v>
      </c>
      <c r="B154" s="1" t="str">
        <f>'Single Summary'!B152</f>
        <v>B8.5 V</v>
      </c>
      <c r="C154" s="1">
        <f>'Single Summary'!C152</f>
        <v>342</v>
      </c>
      <c r="D154" s="1">
        <f>'Isochrone Singles'!H75</f>
        <v>3.1920000000000002</v>
      </c>
      <c r="E154" s="1">
        <f>'Isochrone Singles'!I75</f>
        <v>3.2440000000000002</v>
      </c>
      <c r="F154" s="1">
        <f>'Isochrone Singles'!J75</f>
        <v>3.2519999999999998</v>
      </c>
    </row>
    <row r="155" spans="1:7">
      <c r="A155" s="55" t="str">
        <f>'Single Summary'!A153</f>
        <v>SAO 250042</v>
      </c>
    </row>
    <row r="156" spans="1:7">
      <c r="A156" s="1" t="str">
        <f>'Single Summary'!A154</f>
        <v>M91</v>
      </c>
      <c r="B156" s="1" t="str">
        <f>'Single Summary'!B154</f>
        <v>B9 III</v>
      </c>
      <c r="C156" s="1">
        <f>'Single Summary'!C154</f>
        <v>342</v>
      </c>
      <c r="D156" s="1">
        <f>'Isochrone Singles'!H76</f>
        <v>3.0840000000000001</v>
      </c>
      <c r="E156" s="1">
        <f>'Isochrone Singles'!I76</f>
        <v>3.0910000000000002</v>
      </c>
      <c r="F156" s="1">
        <f>'Isochrone Singles'!J76</f>
        <v>3.1160000000000001</v>
      </c>
    </row>
    <row r="157" spans="1:7">
      <c r="A157" s="55" t="str">
        <f>'Single Summary'!A155</f>
        <v>HD 65949</v>
      </c>
    </row>
    <row r="158" spans="1:7">
      <c r="A158" s="62" t="s">
        <v>95</v>
      </c>
      <c r="B158" s="62" t="s">
        <v>95</v>
      </c>
      <c r="C158" s="62" t="s">
        <v>95</v>
      </c>
      <c r="D158" s="62" t="s">
        <v>95</v>
      </c>
      <c r="E158" s="62" t="s">
        <v>95</v>
      </c>
      <c r="F158" s="62" t="s">
        <v>95</v>
      </c>
      <c r="G158" s="62" t="s">
        <v>95</v>
      </c>
    </row>
    <row r="159" spans="1:7">
      <c r="A159" s="1" t="str">
        <f>'Single Summary'!A157</f>
        <v>M115</v>
      </c>
      <c r="B159" s="1" t="str">
        <f>'Single Summary'!B157</f>
        <v>A E</v>
      </c>
      <c r="C159" s="1">
        <f>'Single Summary'!C157</f>
        <v>412</v>
      </c>
      <c r="D159" s="166">
        <f>'Isochrone Singles'!H77</f>
        <v>2.7069999999999999</v>
      </c>
      <c r="E159" s="166">
        <f>'Isochrone Singles'!I77</f>
        <v>2.6669999999999998</v>
      </c>
      <c r="F159" s="166">
        <f>'Isochrone Singles'!J77</f>
        <v>2.6930000000000001</v>
      </c>
    </row>
    <row r="160" spans="1:7">
      <c r="A160" s="55" t="str">
        <f>'Single Summary'!A158</f>
        <v>HD 96430</v>
      </c>
      <c r="D160" s="91"/>
      <c r="E160" s="91"/>
      <c r="F160" s="91"/>
    </row>
    <row r="161" spans="1:6">
      <c r="A161" s="1" t="str">
        <f>'Single Summary'!A159</f>
        <v>M199</v>
      </c>
      <c r="B161" s="1" t="str">
        <f>'Single Summary'!B159</f>
        <v>A1 V</v>
      </c>
      <c r="C161" s="1">
        <f>'Single Summary'!C159</f>
        <v>412</v>
      </c>
      <c r="D161" s="166">
        <f>'Isochrone Singles'!H78</f>
        <v>3.1829999999999998</v>
      </c>
      <c r="E161" s="166">
        <f>'Isochrone Singles'!I78</f>
        <v>3.19</v>
      </c>
      <c r="F161" s="166">
        <f>'Isochrone Singles'!J78</f>
        <v>3.234</v>
      </c>
    </row>
    <row r="162" spans="1:6">
      <c r="A162" s="55" t="str">
        <f>'Single Summary'!A160</f>
        <v>HD 96489</v>
      </c>
      <c r="D162" s="91"/>
      <c r="E162" s="91"/>
      <c r="F162" s="91"/>
    </row>
    <row r="163" spans="1:6">
      <c r="A163" s="1" t="str">
        <f>'Single Summary'!A161</f>
        <v>M215</v>
      </c>
      <c r="B163" s="1" t="str">
        <f>'Single Summary'!B161</f>
        <v>B9.5 IV</v>
      </c>
      <c r="C163" s="1">
        <f>'Single Summary'!C161</f>
        <v>412</v>
      </c>
      <c r="D163" s="166">
        <f>'Isochrone Singles'!H79</f>
        <v>2.7069999999999999</v>
      </c>
      <c r="E163" s="166">
        <f>'Isochrone Singles'!I79</f>
        <v>2.6669999999999998</v>
      </c>
      <c r="F163" s="166">
        <f>'Isochrone Singles'!J79</f>
        <v>2.6930000000000001</v>
      </c>
    </row>
    <row r="164" spans="1:6">
      <c r="A164" s="55" t="str">
        <f>'Single Summary'!A162</f>
        <v>HD 96430</v>
      </c>
      <c r="D164" s="91"/>
      <c r="E164" s="91"/>
      <c r="F164" s="91"/>
    </row>
    <row r="165" spans="1:6">
      <c r="A165" s="1" t="str">
        <f>'Single Summary'!A163</f>
        <v>M337</v>
      </c>
      <c r="B165" s="1" t="str">
        <f>'Single Summary'!B163</f>
        <v>A0 IV</v>
      </c>
      <c r="C165" s="1">
        <f>'Single Summary'!C163</f>
        <v>412</v>
      </c>
      <c r="D165" s="166">
        <f>'Isochrone Singles'!H80</f>
        <v>2.9380000000000002</v>
      </c>
      <c r="E165" s="166">
        <f>'Isochrone Singles'!I80</f>
        <v>2.915</v>
      </c>
      <c r="F165" s="166">
        <f>'Isochrone Singles'!J80</f>
        <v>2.9209999999999998</v>
      </c>
    </row>
    <row r="166" spans="1:6">
      <c r="A166" s="55" t="str">
        <f>'Single Summary'!A164</f>
        <v>HD 96668</v>
      </c>
      <c r="D166" s="91"/>
      <c r="E166" s="91"/>
      <c r="F166" s="91"/>
    </row>
    <row r="167" spans="1:6">
      <c r="A167" s="1" t="str">
        <f>'Single Summary'!A165</f>
        <v>M40</v>
      </c>
      <c r="B167" s="1" t="str">
        <f>'Single Summary'!B165</f>
        <v>A0 IV</v>
      </c>
      <c r="C167" s="1">
        <f>'Single Summary'!C165</f>
        <v>412</v>
      </c>
      <c r="D167" s="166">
        <f>'Isochrone Singles'!H81</f>
        <v>2.9860000000000002</v>
      </c>
      <c r="E167" s="166">
        <f>'Isochrone Singles'!I81</f>
        <v>2.9620000000000002</v>
      </c>
      <c r="F167" s="166">
        <f>'Isochrone Singles'!J81</f>
        <v>2.9870000000000001</v>
      </c>
    </row>
    <row r="168" spans="1:6">
      <c r="A168" s="55" t="str">
        <f>'Single Summary'!A166</f>
        <v>HD 96227</v>
      </c>
      <c r="D168" s="91"/>
      <c r="E168" s="91"/>
      <c r="F168" s="91"/>
    </row>
    <row r="169" spans="1:6">
      <c r="A169" s="1" t="str">
        <f>'Single Summary'!A167</f>
        <v>M409</v>
      </c>
      <c r="B169" s="1" t="str">
        <f>'Single Summary'!B167</f>
        <v>B8</v>
      </c>
      <c r="C169" s="1">
        <f>'Single Summary'!C167</f>
        <v>412</v>
      </c>
      <c r="D169" s="166">
        <f>'Isochrone Singles'!H82</f>
        <v>2.9350000000000001</v>
      </c>
      <c r="E169" s="166">
        <f>'Isochrone Singles'!I82</f>
        <v>2.9140000000000001</v>
      </c>
      <c r="F169" s="166">
        <f>'Isochrone Singles'!J82</f>
        <v>2.907</v>
      </c>
    </row>
    <row r="170" spans="1:6">
      <c r="A170" s="55" t="str">
        <f>'Single Summary'!A168</f>
        <v>HD 96226</v>
      </c>
      <c r="D170" s="91"/>
      <c r="E170" s="91"/>
      <c r="F170" s="91"/>
    </row>
    <row r="171" spans="1:6">
      <c r="A171" s="1" t="str">
        <f>'Single Summary'!A169</f>
        <v>M49</v>
      </c>
      <c r="B171" s="1" t="str">
        <f>'Single Summary'!B169</f>
        <v>A0 IV</v>
      </c>
      <c r="C171" s="1">
        <f>'Single Summary'!C169</f>
        <v>412</v>
      </c>
      <c r="D171" s="166">
        <f>'Isochrone Singles'!H83</f>
        <v>2.7829999999999999</v>
      </c>
      <c r="E171" s="166">
        <f>'Isochrone Singles'!I83</f>
        <v>2.7570000000000001</v>
      </c>
      <c r="F171" s="166">
        <f>'Isochrone Singles'!J83</f>
        <v>2.79</v>
      </c>
    </row>
    <row r="172" spans="1:6">
      <c r="A172" s="55" t="str">
        <f>'Single Summary'!A170</f>
        <v>HD 96305</v>
      </c>
      <c r="D172" s="91"/>
      <c r="E172" s="91"/>
      <c r="F172" s="91"/>
    </row>
    <row r="173" spans="1:6">
      <c r="A173" s="1" t="str">
        <f>'Single Summary'!A171</f>
        <v>M89</v>
      </c>
      <c r="B173" s="1" t="str">
        <f>'Single Summary'!B171</f>
        <v>A2IV D</v>
      </c>
      <c r="C173" s="1">
        <f>'Single Summary'!C171</f>
        <v>412</v>
      </c>
      <c r="D173" s="166">
        <f>'Isochrone Singles'!H84</f>
        <v>2.895</v>
      </c>
      <c r="E173" s="166">
        <f>'Isochrone Singles'!I84</f>
        <v>2.911</v>
      </c>
      <c r="F173" s="166">
        <f>'Isochrone Singles'!J84</f>
        <v>2.9359999999999999</v>
      </c>
    </row>
    <row r="174" spans="1:6">
      <c r="A174" s="55" t="str">
        <f>'Single Summary'!A172</f>
        <v>CPD -58 3102</v>
      </c>
    </row>
    <row r="175" spans="1:6">
      <c r="A175" s="1" t="str">
        <f>'Single Summary'!A173</f>
        <v>M345</v>
      </c>
      <c r="B175" s="1" t="str">
        <f>'Single Summary'!B173</f>
        <v>A0IV</v>
      </c>
      <c r="C175" s="1">
        <f>'Single Summary'!C173</f>
        <v>412</v>
      </c>
      <c r="D175" s="166">
        <f>'Isochrone Singles'!H85</f>
        <v>4.0819999999999999</v>
      </c>
      <c r="E175" s="38">
        <f>'Isochrone Singles'!I85</f>
        <v>4.274</v>
      </c>
      <c r="F175" s="166">
        <f>'Isochrone Singles'!J85</f>
        <v>4.3819999999999997</v>
      </c>
    </row>
    <row r="176" spans="1:6">
      <c r="A176" s="55" t="str">
        <f>'Single Summary'!A174</f>
        <v>HD 96620</v>
      </c>
    </row>
    <row r="177" spans="1:6">
      <c r="A177" s="1" t="str">
        <f>'Single Summary'!A175</f>
        <v>M361</v>
      </c>
      <c r="B177" s="1" t="str">
        <f>'Single Summary'!B175</f>
        <v>A0 IV</v>
      </c>
      <c r="C177" s="1">
        <f>'Single Summary'!C175</f>
        <v>412</v>
      </c>
      <c r="D177" s="166">
        <f>'Isochrone Singles'!H86</f>
        <v>2.92</v>
      </c>
      <c r="E177" s="38">
        <f>'Isochrone Singles'!I86</f>
        <v>2.93</v>
      </c>
      <c r="F177" s="166">
        <f>'Isochrone Singles'!J86</f>
        <v>2.95</v>
      </c>
    </row>
    <row r="178" spans="1:6">
      <c r="A178" s="55" t="str">
        <f>'Single Summary'!A176</f>
        <v>HD 96653</v>
      </c>
    </row>
    <row r="179" spans="1:6">
      <c r="A179" s="1" t="str">
        <f>'Single Summary'!A177</f>
        <v>M420</v>
      </c>
      <c r="B179" s="1" t="str">
        <f>'Single Summary'!B177</f>
        <v>A0 III</v>
      </c>
      <c r="C179" s="1">
        <f>'Single Summary'!C177</f>
        <v>412</v>
      </c>
      <c r="D179" s="166">
        <f>'Isochrone Singles'!H87</f>
        <v>3.0489999999999999</v>
      </c>
      <c r="E179" s="38">
        <f>'Isochrone Singles'!I87</f>
        <v>3.0369999999999999</v>
      </c>
      <c r="F179" s="166">
        <f>'Isochrone Singles'!J87</f>
        <v>3.0350000000000001</v>
      </c>
    </row>
    <row r="180" spans="1:6">
      <c r="A180" s="55" t="str">
        <f>'Single Summary'!A178</f>
        <v>HD 96059</v>
      </c>
    </row>
    <row r="181" spans="1:6">
      <c r="A181" s="1" t="str">
        <f>'Single Summary'!A179</f>
        <v>M495</v>
      </c>
      <c r="B181" s="1" t="str">
        <f>'Single Summary'!B179</f>
        <v>A0</v>
      </c>
      <c r="C181" s="1">
        <f>'Single Summary'!C179</f>
        <v>412</v>
      </c>
      <c r="D181" s="166">
        <f>'Isochrone Singles'!H88</f>
        <v>2.8839999999999999</v>
      </c>
      <c r="E181" s="38">
        <f>'Isochrone Singles'!I88</f>
        <v>2.875</v>
      </c>
      <c r="F181" s="166">
        <f>'Isochrone Singles'!J88</f>
        <v>2.8660000000000001</v>
      </c>
    </row>
    <row r="182" spans="1:6">
      <c r="A182" s="55" t="str">
        <f>'Single Summary'!A180</f>
        <v>HD 96755</v>
      </c>
    </row>
    <row r="183" spans="1:6">
      <c r="A183" s="1" t="str">
        <f>'Single Summary'!A181</f>
        <v>M586</v>
      </c>
      <c r="B183" s="1" t="str">
        <f>'Single Summary'!B181</f>
        <v>A0 V</v>
      </c>
      <c r="C183" s="1">
        <f>'Single Summary'!C181</f>
        <v>412</v>
      </c>
      <c r="D183" s="166">
        <f>'Isochrone Singles'!H89</f>
        <v>2.9119999999999999</v>
      </c>
      <c r="E183" s="38">
        <f>'Isochrone Singles'!I89</f>
        <v>2.9119999999999999</v>
      </c>
      <c r="F183" s="166">
        <f>'Isochrone Singles'!J89</f>
        <v>2.96</v>
      </c>
    </row>
    <row r="184" spans="1:6">
      <c r="A184" s="55" t="str">
        <f>'Single Summary'!A182</f>
        <v>HD 96058</v>
      </c>
    </row>
    <row r="185" spans="1:6">
      <c r="A185" s="1" t="str">
        <f>'Single Summary'!A183</f>
        <v>M623</v>
      </c>
      <c r="B185" s="1" t="str">
        <f>'Single Summary'!B183</f>
        <v>F0 III</v>
      </c>
      <c r="C185" s="1">
        <f>'Single Summary'!C183</f>
        <v>412</v>
      </c>
      <c r="D185" s="166">
        <f>'Isochrone Singles'!H90</f>
        <v>4.9290000000000003</v>
      </c>
      <c r="E185" s="38">
        <f>'Isochrone Singles'!I90</f>
        <v>5.3929999999999998</v>
      </c>
      <c r="F185" s="166">
        <f>'Isochrone Singles'!J90</f>
        <v>5.8209999999999997</v>
      </c>
    </row>
    <row r="186" spans="1:6">
      <c r="A186" s="55" t="str">
        <f>'Single Summary'!A184</f>
        <v>HD 96898</v>
      </c>
    </row>
    <row r="187" spans="1:6">
      <c r="A187" s="1" t="str">
        <f>'Single Summary'!A185</f>
        <v>M633</v>
      </c>
      <c r="B187" s="1" t="str">
        <f>'Single Summary'!B185</f>
        <v>B0 II</v>
      </c>
      <c r="C187" s="1">
        <f>'Single Summary'!C185</f>
        <v>412</v>
      </c>
      <c r="D187" s="166">
        <f>'Isochrone Singles'!H91</f>
        <v>2.907</v>
      </c>
      <c r="E187" s="38">
        <f>'Isochrone Singles'!I91</f>
        <v>2.9119999999999999</v>
      </c>
      <c r="F187" s="166">
        <f>'Isochrone Singles'!J91</f>
        <v>2.9039999999999999</v>
      </c>
    </row>
    <row r="188" spans="1:6">
      <c r="A188" s="55" t="str">
        <f>'Single Summary'!A186</f>
        <v>HD 96895</v>
      </c>
    </row>
    <row r="189" spans="1:6">
      <c r="A189" s="285" t="str">
        <f>'Complete Binaries w. Flags'!A60</f>
        <v>M278</v>
      </c>
      <c r="B189" s="154" t="str">
        <f>'Complete Binaries w. Flags'!B60</f>
        <v>A0</v>
      </c>
      <c r="C189" s="154">
        <f>'Complete Binaries w. Flags'!C60</f>
        <v>412</v>
      </c>
      <c r="D189" s="101">
        <f>'Complete Binaries w. Flags'!G60</f>
        <v>2.9769999999999999</v>
      </c>
      <c r="E189" s="101">
        <f>'Complete Binaries w. Flags'!H60</f>
        <v>2.9620000000000002</v>
      </c>
      <c r="F189" s="101">
        <f>'Complete Binaries w. Flags'!I60</f>
        <v>2.98</v>
      </c>
    </row>
    <row r="190" spans="1:6">
      <c r="A190" s="286" t="str">
        <f>'Complete Binaries w. Flags'!A61</f>
        <v>HD 96137</v>
      </c>
      <c r="B190" s="154"/>
      <c r="C190" s="154"/>
      <c r="D190" s="154"/>
      <c r="E190" s="154"/>
      <c r="F190" s="154"/>
    </row>
    <row r="191" spans="1:6">
      <c r="A191" s="285" t="str">
        <f>'Complete Binaries w. Flags'!A62</f>
        <v>M50</v>
      </c>
      <c r="B191" s="154" t="str">
        <f>'Complete Binaries w. Flags'!B62</f>
        <v>A0</v>
      </c>
      <c r="C191" s="154">
        <f>'Complete Binaries w. Flags'!C62</f>
        <v>412</v>
      </c>
      <c r="D191" s="101">
        <f>'Complete Binaries w. Flags'!G62</f>
        <v>2.9369999999999998</v>
      </c>
      <c r="E191" s="101">
        <f>'Complete Binaries w. Flags'!H62</f>
        <v>2.9060000000000001</v>
      </c>
      <c r="F191" s="101">
        <f>'Complete Binaries w. Flags'!I62</f>
        <v>2.9849999999999999</v>
      </c>
    </row>
    <row r="192" spans="1:6">
      <c r="A192" s="286" t="str">
        <f>'Complete Binaries w. Flags'!A63</f>
        <v>HD 96246</v>
      </c>
      <c r="B192" s="154"/>
      <c r="C192" s="154"/>
      <c r="D192" s="154"/>
      <c r="E192" s="154"/>
      <c r="F192" s="154"/>
    </row>
    <row r="193" spans="1:7">
      <c r="A193" s="285" t="str">
        <f>'Complete Binaries w. Flags'!A64</f>
        <v>M317 a</v>
      </c>
      <c r="B193" s="154" t="str">
        <f>'Complete Binaries w. Flags'!B64</f>
        <v>B9.5V</v>
      </c>
      <c r="C193" s="154">
        <f>'Complete Binaries w. Flags'!C64</f>
        <v>412</v>
      </c>
      <c r="D193" s="101">
        <f>'Complete Binaries w. Flags'!G64</f>
        <v>2.831</v>
      </c>
      <c r="E193" s="101">
        <f>'Complete Binaries w. Flags'!H64</f>
        <v>2.8119999999999998</v>
      </c>
      <c r="F193" s="101">
        <f>'Complete Binaries w. Flags'!I64</f>
        <v>2.8359999999999999</v>
      </c>
    </row>
    <row r="194" spans="1:7">
      <c r="A194" s="286" t="str">
        <f>'Complete Binaries w. Flags'!A65</f>
        <v>HD 96473</v>
      </c>
      <c r="B194" s="154"/>
      <c r="C194" s="154"/>
      <c r="D194" s="154"/>
      <c r="E194" s="154"/>
      <c r="F194" s="154"/>
    </row>
    <row r="195" spans="1:7">
      <c r="A195" s="285" t="str">
        <f>'Complete Binaries w. Flags'!A68</f>
        <v>M409</v>
      </c>
      <c r="B195" s="154" t="str">
        <f>'Complete Binaries w. Flags'!B68</f>
        <v>B8 E</v>
      </c>
      <c r="C195" s="154">
        <f>'Complete Binaries w. Flags'!C68</f>
        <v>412</v>
      </c>
      <c r="D195" s="101">
        <f>'Complete Binaries w. Flags'!G68</f>
        <v>2.9350000000000001</v>
      </c>
      <c r="E195" s="101">
        <f>'Complete Binaries w. Flags'!H68</f>
        <v>2.9140000000000001</v>
      </c>
      <c r="F195" s="101">
        <f>'Complete Binaries w. Flags'!I68</f>
        <v>2.907</v>
      </c>
    </row>
    <row r="196" spans="1:7">
      <c r="A196" s="286" t="str">
        <f>'Complete Binaries w. Flags'!A69</f>
        <v>HD 96226</v>
      </c>
      <c r="B196" s="154"/>
      <c r="C196" s="154"/>
      <c r="D196" s="154"/>
      <c r="E196" s="154"/>
      <c r="F196" s="154"/>
    </row>
    <row r="197" spans="1:7">
      <c r="A197" s="285" t="str">
        <f>'Complete Binaries w. Flags'!A70</f>
        <v>M49 a</v>
      </c>
      <c r="B197" s="154" t="str">
        <f>'Complete Binaries w. Flags'!B70</f>
        <v>A0/A1IV/V D</v>
      </c>
      <c r="C197" s="154">
        <f>'Complete Binaries w. Flags'!C70</f>
        <v>412</v>
      </c>
      <c r="D197" s="101">
        <f>'Complete Binaries w. Flags'!G70</f>
        <v>2.7829999999999999</v>
      </c>
      <c r="E197" s="101">
        <f>'Complete Binaries w. Flags'!H70</f>
        <v>2.7570000000000001</v>
      </c>
      <c r="F197" s="101">
        <f>'Complete Binaries w. Flags'!I70</f>
        <v>2.79</v>
      </c>
    </row>
    <row r="198" spans="1:7">
      <c r="A198" s="286" t="str">
        <f>'Complete Binaries w. Flags'!A71</f>
        <v>HD 96305</v>
      </c>
      <c r="B198" s="154"/>
      <c r="C198" s="154"/>
      <c r="D198" s="154"/>
      <c r="E198" s="154"/>
      <c r="F198" s="154"/>
    </row>
    <row r="199" spans="1:7">
      <c r="A199" s="285" t="str">
        <f>'Complete Binaries w. Flags'!A74</f>
        <v>M665</v>
      </c>
      <c r="B199" s="154" t="str">
        <f>'Complete Binaries w. Flags'!B74</f>
        <v>A2IV</v>
      </c>
      <c r="C199" s="154">
        <f>'Complete Binaries w. Flags'!C74</f>
        <v>412</v>
      </c>
      <c r="D199" s="101">
        <f>'Complete Binaries w. Flags'!G74</f>
        <v>3.3119999999999998</v>
      </c>
      <c r="E199" s="101">
        <f>'Complete Binaries w. Flags'!H74</f>
        <v>3.3519999999999999</v>
      </c>
      <c r="F199" s="101">
        <f>'Complete Binaries w. Flags'!I74</f>
        <v>3.407</v>
      </c>
    </row>
    <row r="200" spans="1:7">
      <c r="A200" s="286" t="str">
        <f>'Complete Binaries w. Flags'!A75</f>
        <v>HD 97000</v>
      </c>
      <c r="B200" s="154"/>
      <c r="C200" s="154"/>
      <c r="D200" s="154"/>
      <c r="E200" s="154"/>
      <c r="F200" s="154"/>
    </row>
    <row r="201" spans="1:7">
      <c r="A201" s="62" t="s">
        <v>96</v>
      </c>
      <c r="B201" s="62" t="s">
        <v>96</v>
      </c>
      <c r="C201" s="62" t="s">
        <v>96</v>
      </c>
      <c r="D201" s="62" t="s">
        <v>96</v>
      </c>
      <c r="E201" s="62" t="s">
        <v>96</v>
      </c>
      <c r="F201" s="62" t="s">
        <v>96</v>
      </c>
      <c r="G201" s="62" t="s">
        <v>96</v>
      </c>
    </row>
    <row r="202" spans="1:7">
      <c r="A202" s="1" t="str">
        <f>'Single Summary'!A188</f>
        <v>R40</v>
      </c>
      <c r="B202" s="1" t="str">
        <f>'Single Summary'!B188</f>
        <v>B8 V</v>
      </c>
      <c r="C202" s="1">
        <f>'Single Summary'!C188</f>
        <v>149</v>
      </c>
      <c r="D202" s="166">
        <f>'Isochrone Singles'!H92</f>
        <v>3.5070000000000001</v>
      </c>
      <c r="E202" s="166">
        <f>'Isochrone Singles'!I92</f>
        <v>3.4660000000000002</v>
      </c>
      <c r="F202" s="166">
        <f>'Isochrone Singles'!J92</f>
        <v>3.617</v>
      </c>
    </row>
    <row r="203" spans="1:7">
      <c r="A203" s="55" t="str">
        <f>'Single Summary'!A189</f>
        <v>HD 92536</v>
      </c>
      <c r="D203" s="91"/>
      <c r="E203" s="91"/>
      <c r="F203" s="91"/>
    </row>
    <row r="204" spans="1:7">
      <c r="A204" s="1" t="str">
        <f>'Single Summary'!A190</f>
        <v>R47</v>
      </c>
      <c r="B204" s="1" t="str">
        <f>'Single Summary'!B190</f>
        <v>B8 III</v>
      </c>
      <c r="C204" s="1">
        <f>'Single Summary'!C190</f>
        <v>149</v>
      </c>
      <c r="D204" s="166">
        <f>'Isochrone Singles'!H93</f>
        <v>4.5330000000000004</v>
      </c>
      <c r="E204" s="166">
        <f>'Isochrone Singles'!I93</f>
        <v>4.4960000000000004</v>
      </c>
      <c r="F204" s="166">
        <f>'Isochrone Singles'!J93</f>
        <v>4.6280000000000001</v>
      </c>
    </row>
    <row r="205" spans="1:7">
      <c r="A205" s="55" t="str">
        <f>'Single Summary'!A191</f>
        <v>HD 92664</v>
      </c>
      <c r="D205" s="91"/>
      <c r="E205" s="91"/>
      <c r="F205" s="91"/>
    </row>
    <row r="206" spans="1:7">
      <c r="A206" s="1" t="str">
        <f>'Single Summary'!A192</f>
        <v>R51</v>
      </c>
      <c r="B206" s="1" t="str">
        <f>'Single Summary'!B192</f>
        <v>B9.5 V</v>
      </c>
      <c r="C206" s="1">
        <f>'Single Summary'!C192</f>
        <v>149</v>
      </c>
      <c r="D206" s="166">
        <f>'Isochrone Singles'!H94</f>
        <v>3.0510000000000002</v>
      </c>
      <c r="E206" s="166">
        <f>'Isochrone Singles'!I94</f>
        <v>3.0590000000000002</v>
      </c>
      <c r="F206" s="166">
        <f>'Isochrone Singles'!J94</f>
        <v>3.1760000000000002</v>
      </c>
    </row>
    <row r="207" spans="1:7">
      <c r="A207" s="55" t="str">
        <f>'Single Summary'!A193</f>
        <v>HD 92715</v>
      </c>
      <c r="D207" s="91"/>
      <c r="E207" s="91"/>
      <c r="F207" s="91"/>
    </row>
    <row r="208" spans="1:7">
      <c r="A208" s="1" t="str">
        <f>'Single Summary'!A194</f>
        <v>R65</v>
      </c>
      <c r="B208" s="1" t="str">
        <f>'Single Summary'!B194</f>
        <v>B3 V</v>
      </c>
      <c r="C208" s="1">
        <f>'Single Summary'!C194</f>
        <v>149</v>
      </c>
      <c r="D208" s="166">
        <f>'Isochrone Singles'!H95</f>
        <v>5.617</v>
      </c>
      <c r="E208" s="166">
        <f>'Isochrone Singles'!I95</f>
        <v>5.6379999999999999</v>
      </c>
      <c r="F208" s="166">
        <f>'Isochrone Singles'!J95</f>
        <v>5.8120000000000003</v>
      </c>
    </row>
    <row r="209" spans="1:6">
      <c r="A209" s="55" t="str">
        <f>'Single Summary'!A195</f>
        <v>HD 93194</v>
      </c>
      <c r="D209" s="91"/>
      <c r="E209" s="91"/>
      <c r="F209" s="91"/>
    </row>
    <row r="210" spans="1:6">
      <c r="A210" s="1" t="str">
        <f>'Single Summary'!A196</f>
        <v>W12</v>
      </c>
      <c r="B210" s="1" t="str">
        <f>'Single Summary'!B196</f>
        <v>B9 V</v>
      </c>
      <c r="C210" s="1">
        <f>'Single Summary'!C196</f>
        <v>149</v>
      </c>
      <c r="D210" s="166">
        <f>'Isochrone Singles'!H96</f>
        <v>3.0579999999999998</v>
      </c>
      <c r="E210" s="166">
        <f>'Isochrone Singles'!I96</f>
        <v>3.0739999999999998</v>
      </c>
      <c r="F210" s="166">
        <f>'Isochrone Singles'!J96</f>
        <v>3.1349999999999998</v>
      </c>
    </row>
    <row r="211" spans="1:6">
      <c r="A211" s="55" t="str">
        <f>'Single Summary'!A197</f>
        <v>HD 92783</v>
      </c>
      <c r="D211" s="91"/>
      <c r="E211" s="91"/>
      <c r="F211" s="91"/>
    </row>
    <row r="212" spans="1:6">
      <c r="A212" s="1" t="str">
        <f>'Single Summary'!A198</f>
        <v>W15</v>
      </c>
      <c r="B212" s="1" t="str">
        <f>'Single Summary'!B198</f>
        <v>B3 V</v>
      </c>
      <c r="C212" s="1">
        <f>'Single Summary'!C198</f>
        <v>149</v>
      </c>
      <c r="D212" s="166">
        <f>'Isochrone Singles'!H97</f>
        <v>5.5960000000000001</v>
      </c>
      <c r="E212" s="166">
        <f>'Isochrone Singles'!I97</f>
        <v>5.5819999999999999</v>
      </c>
      <c r="F212" s="166">
        <f>'Isochrone Singles'!J97</f>
        <v>5.7539999999999996</v>
      </c>
    </row>
    <row r="213" spans="1:6">
      <c r="A213" s="55" t="str">
        <f>'Single Summary'!A199</f>
        <v>HD 92938</v>
      </c>
      <c r="D213" s="91"/>
      <c r="E213" s="91"/>
      <c r="F213" s="91"/>
    </row>
    <row r="214" spans="1:6">
      <c r="A214" s="1" t="str">
        <f>'Single Summary'!A200</f>
        <v>W16</v>
      </c>
      <c r="B214" s="1" t="str">
        <f>'Single Summary'!B200</f>
        <v>B9.5 V</v>
      </c>
      <c r="C214" s="1">
        <f>'Single Summary'!C200</f>
        <v>149</v>
      </c>
      <c r="D214" s="166">
        <f>'Isochrone Singles'!H98</f>
        <v>2.5880000000000001</v>
      </c>
      <c r="E214" s="166">
        <f>'Isochrone Singles'!I98</f>
        <v>2.544</v>
      </c>
      <c r="F214" s="166">
        <f>'Isochrone Singles'!J98</f>
        <v>2.613</v>
      </c>
    </row>
    <row r="215" spans="1:6">
      <c r="A215" s="55" t="str">
        <f>'Single Summary'!A201</f>
        <v>HD 92966</v>
      </c>
      <c r="D215" s="91"/>
      <c r="E215" s="91"/>
      <c r="F215" s="91"/>
    </row>
    <row r="216" spans="1:6">
      <c r="A216" s="1" t="str">
        <f>'Single Summary'!A202</f>
        <v>W17</v>
      </c>
      <c r="B216" s="1" t="str">
        <f>'Single Summary'!B202</f>
        <v>A0.5 V</v>
      </c>
      <c r="C216" s="1">
        <f>'Single Summary'!C202</f>
        <v>149</v>
      </c>
      <c r="D216" s="166">
        <f>'Isochrone Singles'!H99</f>
        <v>2.331</v>
      </c>
      <c r="E216" s="166">
        <f>'Isochrone Singles'!I99</f>
        <v>2.298</v>
      </c>
      <c r="F216" s="166">
        <f>'Isochrone Singles'!J99</f>
        <v>2.387</v>
      </c>
    </row>
    <row r="217" spans="1:6">
      <c r="A217" s="55" t="str">
        <f>'Single Summary'!A203</f>
        <v>HD 92989</v>
      </c>
      <c r="D217" s="91"/>
      <c r="E217" s="91"/>
      <c r="F217" s="91"/>
    </row>
    <row r="218" spans="1:6">
      <c r="A218" s="1" t="str">
        <f>'Single Summary'!A204</f>
        <v>B10</v>
      </c>
      <c r="B218" s="1" t="str">
        <f>'Single Summary'!B204</f>
        <v>B8 II</v>
      </c>
      <c r="C218" s="1">
        <f>'Single Summary'!C204</f>
        <v>149</v>
      </c>
      <c r="D218" s="166">
        <f>'Isochrone Singles'!H100</f>
        <v>1.395</v>
      </c>
      <c r="E218" s="166">
        <f>'Isochrone Singles'!I100</f>
        <v>1.2809999999999999</v>
      </c>
      <c r="F218" s="166">
        <f>'Isochrone Singles'!J100</f>
        <v>1.272</v>
      </c>
    </row>
    <row r="219" spans="1:6">
      <c r="A219" s="55" t="str">
        <f>'Single Summary'!A205</f>
        <v>HD 91959</v>
      </c>
      <c r="D219" s="91"/>
      <c r="E219" s="91"/>
      <c r="F219" s="91"/>
    </row>
    <row r="220" spans="1:6">
      <c r="A220" s="1" t="str">
        <f>'Single Summary'!A206</f>
        <v>B14</v>
      </c>
      <c r="B220" s="1" t="str">
        <f>'Single Summary'!B206</f>
        <v>G8 III</v>
      </c>
      <c r="C220" s="1">
        <f>'Single Summary'!C206</f>
        <v>149</v>
      </c>
      <c r="D220" s="166">
        <f>'Isochrone Singles'!H101</f>
        <v>3.2440000000000002</v>
      </c>
      <c r="E220" s="166">
        <f>'Isochrone Singles'!I101</f>
        <v>4.2519999999999998</v>
      </c>
      <c r="F220" s="166">
        <f>'Isochrone Singles'!J101</f>
        <v>4.6189999999999998</v>
      </c>
    </row>
    <row r="221" spans="1:6">
      <c r="A221" s="55" t="str">
        <f>'Single Summary'!A207</f>
        <v>HD 92175</v>
      </c>
      <c r="D221" s="91"/>
      <c r="E221" s="91"/>
      <c r="F221" s="91"/>
    </row>
    <row r="222" spans="1:6">
      <c r="A222" s="1" t="str">
        <f>'Single Summary'!A208</f>
        <v>B36</v>
      </c>
      <c r="B222" s="1" t="str">
        <f>'Single Summary'!B208</f>
        <v>A1 IV</v>
      </c>
      <c r="C222" s="1">
        <f>'Single Summary'!C208</f>
        <v>149</v>
      </c>
      <c r="D222" s="166">
        <f>'Isochrone Singles'!H102</f>
        <v>1.5249999999999999</v>
      </c>
      <c r="E222" s="166">
        <f>'Isochrone Singles'!I102</f>
        <v>1.5049999999999999</v>
      </c>
      <c r="F222" s="166">
        <f>'Isochrone Singles'!J102</f>
        <v>1.556</v>
      </c>
    </row>
    <row r="223" spans="1:6">
      <c r="A223" s="55" t="str">
        <f>'Single Summary'!A209</f>
        <v>HD 93012</v>
      </c>
      <c r="D223" s="91"/>
      <c r="E223" s="91"/>
      <c r="F223" s="91"/>
    </row>
    <row r="224" spans="1:6">
      <c r="A224" s="1" t="str">
        <f>'Single Summary'!A210</f>
        <v>B46</v>
      </c>
      <c r="B224" s="1" t="str">
        <f>'Single Summary'!B210</f>
        <v>K4</v>
      </c>
      <c r="C224" s="1">
        <f>'Single Summary'!C210</f>
        <v>149</v>
      </c>
      <c r="D224" s="166">
        <f>'Isochrone Singles'!H103</f>
        <v>4.3310000000000004</v>
      </c>
      <c r="E224" s="166">
        <f>'Isochrone Singles'!I103</f>
        <v>5.5270000000000001</v>
      </c>
      <c r="F224" s="166">
        <f>'Isochrone Singles'!J103</f>
        <v>6.0659999999999998</v>
      </c>
    </row>
    <row r="225" spans="1:6">
      <c r="A225" s="55" t="str">
        <f>'Single Summary'!A211</f>
        <v>HD 93505</v>
      </c>
    </row>
    <row r="226" spans="1:6">
      <c r="A226" s="1" t="str">
        <f>'Single Summary'!A212</f>
        <v>B5</v>
      </c>
      <c r="B226" s="1" t="str">
        <f>'Single Summary'!B212</f>
        <v>A1 V</v>
      </c>
      <c r="C226" s="1">
        <f>'Single Summary'!C212</f>
        <v>149</v>
      </c>
      <c r="D226" s="166">
        <f>'Isochrone Singles'!H104</f>
        <v>1.734</v>
      </c>
      <c r="E226" s="38">
        <f>'Isochrone Singles'!I104</f>
        <v>1.68</v>
      </c>
      <c r="F226" s="166">
        <f>'Isochrone Singles'!J104</f>
        <v>1.7170000000000001</v>
      </c>
    </row>
    <row r="227" spans="1:6">
      <c r="A227" s="55" t="str">
        <f>'Single Summary'!A213</f>
        <v>HD 91839</v>
      </c>
    </row>
    <row r="228" spans="1:6">
      <c r="A228" s="1" t="str">
        <f>'Single Summary'!A214</f>
        <v>R7</v>
      </c>
      <c r="B228" s="1" t="str">
        <f>'Single Summary'!B214</f>
        <v>???</v>
      </c>
      <c r="C228" s="1">
        <f>'Single Summary'!C214</f>
        <v>149</v>
      </c>
      <c r="D228" s="166">
        <f>'Isochrone Singles'!H105</f>
        <v>1.492</v>
      </c>
      <c r="E228" s="38">
        <f>'Isochrone Singles'!I105</f>
        <v>1.4990000000000001</v>
      </c>
      <c r="F228" s="166">
        <f>'Isochrone Singles'!J105</f>
        <v>1.508</v>
      </c>
    </row>
    <row r="229" spans="1:6">
      <c r="A229" s="55" t="str">
        <f>'Single Summary'!A215</f>
        <v>GSC 08960-01942</v>
      </c>
    </row>
    <row r="230" spans="1:6">
      <c r="A230" s="1" t="str">
        <f>'Single Summary'!A216</f>
        <v>R79</v>
      </c>
      <c r="B230" s="1" t="str">
        <f>'Single Summary'!B216</f>
        <v>F2 V</v>
      </c>
      <c r="C230" s="1">
        <f>'Single Summary'!C216</f>
        <v>149</v>
      </c>
      <c r="D230" s="166">
        <f>'Isochrone Singles'!H106</f>
        <v>1.5660000000000001</v>
      </c>
      <c r="E230" s="38">
        <f>'Isochrone Singles'!I106</f>
        <v>1.635</v>
      </c>
      <c r="F230" s="166">
        <f>'Isochrone Singles'!J106</f>
        <v>1.6659999999999999</v>
      </c>
    </row>
    <row r="231" spans="1:6">
      <c r="A231" s="55" t="str">
        <f>'Single Summary'!A217</f>
        <v>HD 93405</v>
      </c>
    </row>
    <row r="232" spans="1:6">
      <c r="A232" s="1" t="str">
        <f>'Single Summary'!A218</f>
        <v>W28</v>
      </c>
      <c r="B232" s="1" t="str">
        <f>'Single Summary'!B218</f>
        <v>F7 V</v>
      </c>
      <c r="C232" s="1">
        <f>'Single Summary'!C218</f>
        <v>149</v>
      </c>
      <c r="D232" s="166">
        <f>'Isochrone Singles'!H107</f>
        <v>2.4409999999999998</v>
      </c>
      <c r="E232" s="38">
        <f>'Isochrone Singles'!I107</f>
        <v>2.734</v>
      </c>
      <c r="F232" s="166">
        <f>'Isochrone Singles'!J107</f>
        <v>2.8740000000000001</v>
      </c>
    </row>
    <row r="233" spans="1:6">
      <c r="A233" s="55" t="str">
        <f>'Single Summary'!A219</f>
        <v>HD 93600</v>
      </c>
    </row>
    <row r="234" spans="1:6">
      <c r="A234" s="1" t="str">
        <f>'Single Summary'!A220</f>
        <v>W29</v>
      </c>
      <c r="B234" s="1" t="str">
        <f>'Single Summary'!B220</f>
        <v>B4 V</v>
      </c>
      <c r="C234" s="1">
        <f>'Single Summary'!C220</f>
        <v>149</v>
      </c>
      <c r="D234" s="166">
        <f>'Isochrone Singles'!H108</f>
        <v>5.42</v>
      </c>
      <c r="E234" s="38">
        <f>'Isochrone Singles'!I108</f>
        <v>5.4450000000000003</v>
      </c>
      <c r="F234" s="166">
        <f>'Isochrone Singles'!J108</f>
        <v>5.59</v>
      </c>
    </row>
    <row r="235" spans="1:6">
      <c r="A235" s="55" t="str">
        <f>'Single Summary'!A221</f>
        <v>HD 93607</v>
      </c>
    </row>
    <row r="236" spans="1:6">
      <c r="A236" s="1" t="str">
        <f>'Single Summary'!A222</f>
        <v>W41</v>
      </c>
      <c r="B236" s="1" t="str">
        <f>'Single Summary'!B222</f>
        <v>G5</v>
      </c>
      <c r="C236" s="1">
        <f>'Single Summary'!C222</f>
        <v>149</v>
      </c>
      <c r="D236" s="166">
        <f>'Isochrone Singles'!H109</f>
        <v>1.6859999999999999</v>
      </c>
      <c r="E236" s="38">
        <f>'Isochrone Singles'!I109</f>
        <v>1.9319999999999999</v>
      </c>
      <c r="F236" s="166">
        <f>'Isochrone Singles'!J109</f>
        <v>2.008</v>
      </c>
    </row>
    <row r="237" spans="1:6">
      <c r="A237" s="55" t="str">
        <f>'Single Summary'!A223</f>
        <v>HD 307842</v>
      </c>
    </row>
    <row r="238" spans="1:6">
      <c r="A238" s="1" t="str">
        <f>'Single Summary'!A224</f>
        <v>W5</v>
      </c>
      <c r="B238" s="1" t="str">
        <f>'Single Summary'!B224</f>
        <v>A5 V</v>
      </c>
      <c r="C238" s="1">
        <f>'Single Summary'!C224</f>
        <v>149</v>
      </c>
      <c r="D238" s="166">
        <f>'Isochrone Singles'!H110</f>
        <v>1.8819999999999999</v>
      </c>
      <c r="E238" s="38">
        <f>'Isochrone Singles'!I110</f>
        <v>1.849</v>
      </c>
      <c r="F238" s="166">
        <f>'Isochrone Singles'!J110</f>
        <v>1.925</v>
      </c>
    </row>
    <row r="239" spans="1:6">
      <c r="A239" s="55" t="str">
        <f>'Single Summary'!A225</f>
        <v>HD 92535</v>
      </c>
    </row>
    <row r="240" spans="1:6">
      <c r="A240" s="1" t="str">
        <f>'Single Summary'!A226</f>
        <v>W62</v>
      </c>
      <c r="B240" s="1" t="str">
        <f>'Single Summary'!B226</f>
        <v>A3 IV</v>
      </c>
      <c r="C240" s="1">
        <f>'Single Summary'!C226</f>
        <v>149</v>
      </c>
      <c r="D240" s="166">
        <f>'Isochrone Singles'!H111</f>
        <v>1.798</v>
      </c>
      <c r="E240" s="38">
        <f>'Isochrone Singles'!I111</f>
        <v>1.7649999999999999</v>
      </c>
      <c r="F240" s="166">
        <f>'Isochrone Singles'!J111</f>
        <v>1.782</v>
      </c>
    </row>
    <row r="241" spans="1:6">
      <c r="A241" s="55" t="str">
        <f>'Single Summary'!A227</f>
        <v>HD 93874</v>
      </c>
    </row>
    <row r="242" spans="1:6">
      <c r="A242" s="1" t="str">
        <f>'Single Summary'!A228</f>
        <v>W63</v>
      </c>
      <c r="B242" s="1" t="str">
        <f>'Single Summary'!B228</f>
        <v>F5 IV</v>
      </c>
      <c r="C242" s="1">
        <f>'Single Summary'!C228</f>
        <v>149</v>
      </c>
      <c r="D242" s="166">
        <f>'Isochrone Singles'!H112</f>
        <v>1.714</v>
      </c>
      <c r="E242" s="38">
        <f>'Isochrone Singles'!I112</f>
        <v>1.8080000000000001</v>
      </c>
      <c r="F242" s="166">
        <f>'Isochrone Singles'!J112</f>
        <v>1.7969999999999999</v>
      </c>
    </row>
    <row r="243" spans="1:6">
      <c r="A243" s="55" t="str">
        <f>'Single Summary'!A229</f>
        <v>HD 93892</v>
      </c>
    </row>
    <row r="244" spans="1:6">
      <c r="A244" s="1" t="str">
        <f>'Single Summary'!A230</f>
        <v>W7</v>
      </c>
      <c r="B244" s="1" t="str">
        <f>'Single Summary'!B230</f>
        <v>A7</v>
      </c>
      <c r="C244" s="1">
        <f>'Single Summary'!C230</f>
        <v>149</v>
      </c>
      <c r="D244" s="166">
        <f>'Isochrone Singles'!H113</f>
        <v>1.9219999999999999</v>
      </c>
      <c r="E244" s="38">
        <f>'Isochrone Singles'!I113</f>
        <v>2.2280000000000002</v>
      </c>
      <c r="F244" s="166">
        <f>'Isochrone Singles'!J113</f>
        <v>2.3039999999999998</v>
      </c>
    </row>
    <row r="245" spans="1:6">
      <c r="A245" s="55" t="str">
        <f>'Single Summary'!A231</f>
        <v>HD 92568</v>
      </c>
    </row>
    <row r="246" spans="1:6">
      <c r="A246" s="1" t="str">
        <f>'Single Summary'!A232</f>
        <v>R41</v>
      </c>
      <c r="B246" s="1" t="str">
        <f>'Single Summary'!B232</f>
        <v>F6 V</v>
      </c>
      <c r="C246" s="1">
        <f>'Single Summary'!C232</f>
        <v>149</v>
      </c>
      <c r="D246" s="166">
        <f>'Isochrone Singles'!H114</f>
        <v>1.472</v>
      </c>
      <c r="E246" s="166">
        <f>'Isochrone Singles'!I114</f>
        <v>1.458</v>
      </c>
      <c r="F246" s="166">
        <f>'Isochrone Singles'!J114</f>
        <v>1.4890000000000001</v>
      </c>
    </row>
    <row r="247" spans="1:6">
      <c r="A247" s="55" t="str">
        <f>'Single Summary'!A233</f>
        <v>HD 92570</v>
      </c>
    </row>
    <row r="248" spans="1:6">
      <c r="A248" s="154" t="str">
        <f>'Complete Binaries w. Flags'!A89</f>
        <v>R90</v>
      </c>
      <c r="B248" s="154" t="str">
        <f>'Complete Binaries w. Flags'!B89</f>
        <v>A0V n</v>
      </c>
      <c r="C248" s="154">
        <f>'Complete Binaries w. Flags'!C89</f>
        <v>149</v>
      </c>
      <c r="D248" s="101">
        <f>'Complete Binaries w. Flags'!G89</f>
        <v>2.2810000000000001</v>
      </c>
      <c r="E248" s="101">
        <f>'Complete Binaries w. Flags'!H89</f>
        <v>2.2450000000000001</v>
      </c>
      <c r="F248" s="101">
        <f>'Complete Binaries w. Flags'!I89</f>
        <v>2.38</v>
      </c>
    </row>
    <row r="249" spans="1:6">
      <c r="A249" s="286" t="str">
        <f>'Complete Binaries w. Flags'!A90</f>
        <v>HD 93648</v>
      </c>
      <c r="B249" s="154"/>
      <c r="C249" s="154"/>
      <c r="D249" s="154"/>
      <c r="E249" s="154"/>
      <c r="F249" s="154"/>
    </row>
    <row r="250" spans="1:6">
      <c r="A250" s="154" t="str">
        <f>'Complete Binaries w. Flags'!A97</f>
        <v>R97</v>
      </c>
      <c r="B250" s="154" t="str">
        <f>'Complete Binaries w. Flags'!B97</f>
        <v>A0V C</v>
      </c>
      <c r="C250" s="154">
        <f>'Complete Binaries w. Flags'!C97</f>
        <v>149</v>
      </c>
      <c r="D250" s="101">
        <f>'Complete Binaries w. Flags'!G97</f>
        <v>2.355</v>
      </c>
      <c r="E250" s="101">
        <f>'Complete Binaries w. Flags'!H97</f>
        <v>2.407</v>
      </c>
      <c r="F250" s="101">
        <f>'Complete Binaries w. Flags'!I97</f>
        <v>2.5190000000000001</v>
      </c>
    </row>
    <row r="251" spans="1:6">
      <c r="A251" s="286" t="str">
        <f>'Complete Binaries w. Flags'!A98</f>
        <v>HD 94174</v>
      </c>
      <c r="B251" s="154"/>
      <c r="C251" s="154"/>
      <c r="D251" s="101"/>
      <c r="E251" s="101"/>
      <c r="F251" s="101"/>
    </row>
    <row r="252" spans="1:6">
      <c r="A252" s="154" t="str">
        <f>'Complete Binaries w. Flags'!A99</f>
        <v>W17</v>
      </c>
      <c r="B252" s="154" t="str">
        <f>'Complete Binaries w. Flags'!B99</f>
        <v>A0V C</v>
      </c>
      <c r="C252" s="154">
        <f>'Complete Binaries w. Flags'!C99</f>
        <v>149</v>
      </c>
      <c r="D252" s="101">
        <f>'Complete Binaries w. Flags'!G99</f>
        <v>2.331</v>
      </c>
      <c r="E252" s="101">
        <f>'Complete Binaries w. Flags'!H99</f>
        <v>2.298</v>
      </c>
      <c r="F252" s="101">
        <f>'Complete Binaries w. Flags'!I99</f>
        <v>2.387</v>
      </c>
    </row>
    <row r="253" spans="1:6">
      <c r="A253" s="286" t="str">
        <f>'Complete Binaries w. Flags'!A100</f>
        <v>HD 92989</v>
      </c>
      <c r="B253" s="154"/>
      <c r="C253" s="154"/>
      <c r="D253" s="101"/>
      <c r="E253" s="101"/>
      <c r="F253" s="101"/>
    </row>
    <row r="254" spans="1:6">
      <c r="A254" s="154" t="str">
        <f>'Complete Binaries w. Flags'!A101</f>
        <v>B62</v>
      </c>
      <c r="B254" s="154" t="str">
        <f>'Complete Binaries w. Flags'!B101</f>
        <v>K1III</v>
      </c>
      <c r="C254" s="154">
        <f>'Complete Binaries w. Flags'!C101</f>
        <v>149</v>
      </c>
      <c r="D254" s="101">
        <f>'Complete Binaries w. Flags'!G101</f>
        <v>3.5830000000000002</v>
      </c>
      <c r="E254" s="101">
        <f>'Complete Binaries w. Flags'!H101</f>
        <v>4.7350000000000003</v>
      </c>
      <c r="F254" s="101">
        <f>'Complete Binaries w. Flags'!I101</f>
        <v>5.15</v>
      </c>
    </row>
    <row r="255" spans="1:6">
      <c r="A255" s="286" t="str">
        <f>'Complete Binaries w. Flags'!A102</f>
        <v>HD 94115</v>
      </c>
      <c r="B255" s="154"/>
      <c r="C255" s="154"/>
      <c r="D255" s="101"/>
      <c r="E255" s="101"/>
      <c r="F255" s="101"/>
    </row>
    <row r="256" spans="1:6">
      <c r="A256" s="154" t="str">
        <f>'Complete Binaries w. Flags'!A109</f>
        <v>W25 a</v>
      </c>
      <c r="B256" s="154" t="str">
        <f>'Complete Binaries w. Flags'!B109</f>
        <v>A1V</v>
      </c>
      <c r="C256" s="154">
        <f>'Complete Binaries w. Flags'!C109</f>
        <v>149</v>
      </c>
      <c r="D256" s="101">
        <f>'Complete Binaries w. Flags'!G109</f>
        <v>2.0880000000000001</v>
      </c>
      <c r="E256" s="101">
        <f>'Complete Binaries w. Flags'!H109</f>
        <v>1.992</v>
      </c>
      <c r="F256" s="101">
        <f>'Complete Binaries w. Flags'!I109</f>
        <v>2.1859999999999999</v>
      </c>
    </row>
    <row r="257" spans="1:6">
      <c r="A257" s="286" t="str">
        <f>'Complete Binaries w. Flags'!A110</f>
        <v>HD 93517</v>
      </c>
      <c r="B257" s="154"/>
      <c r="C257" s="154"/>
      <c r="D257" s="154"/>
      <c r="E257" s="154"/>
      <c r="F257" s="15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242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A11" s="31">
        <v>41688</v>
      </c>
      <c r="B11" s="1" t="s">
        <v>24</v>
      </c>
      <c r="C11" s="1" t="s">
        <v>120</v>
      </c>
      <c r="D11" s="1">
        <v>1.4286622873699999</v>
      </c>
      <c r="E11" s="4">
        <v>1351.95048636</v>
      </c>
      <c r="F11" s="4">
        <v>201.52606229099999</v>
      </c>
      <c r="G11" s="4">
        <v>204544.660278</v>
      </c>
      <c r="H11" s="4">
        <v>5667.9104919399997</v>
      </c>
      <c r="I11" s="1" t="s">
        <v>51</v>
      </c>
      <c r="J11" s="1" t="s">
        <v>51</v>
      </c>
      <c r="K11" s="4">
        <v>3.8934129083200002</v>
      </c>
      <c r="L11" s="4">
        <v>4.5149636591500002</v>
      </c>
      <c r="M11" s="4">
        <v>342.293293302</v>
      </c>
      <c r="N11" s="12"/>
      <c r="O11" t="s">
        <v>150</v>
      </c>
      <c r="P11" s="19"/>
      <c r="Q11" s="19"/>
    </row>
    <row r="12" spans="1:17">
      <c r="A12" s="1"/>
      <c r="B12" s="1"/>
      <c r="C12" s="1" t="s">
        <v>121</v>
      </c>
      <c r="D12" s="1">
        <v>1.5432948498100001</v>
      </c>
      <c r="E12" s="4">
        <v>1334.6046518000001</v>
      </c>
      <c r="F12" s="4">
        <v>196.170741115</v>
      </c>
      <c r="G12" s="4">
        <v>199607.98999</v>
      </c>
      <c r="H12" s="4">
        <v>5561.3985595699996</v>
      </c>
      <c r="I12" s="1" t="s">
        <v>51</v>
      </c>
      <c r="J12" s="1" t="s">
        <v>51</v>
      </c>
      <c r="K12" s="4">
        <v>3.8874847533999999</v>
      </c>
      <c r="L12" s="4">
        <v>4.4863986455899996</v>
      </c>
      <c r="M12" s="4">
        <v>342.44707211500003</v>
      </c>
      <c r="N12" s="12"/>
      <c r="P12" s="19"/>
      <c r="Q12" s="19"/>
    </row>
    <row r="13" spans="1:17">
      <c r="A13" s="1"/>
      <c r="B13" s="1"/>
      <c r="C13" s="1" t="s">
        <v>161</v>
      </c>
      <c r="D13" s="1">
        <v>1.50563518996</v>
      </c>
      <c r="E13" s="4">
        <v>1368.25047541</v>
      </c>
      <c r="F13" s="4">
        <v>202.315444313</v>
      </c>
      <c r="G13" s="4">
        <v>209631.736267</v>
      </c>
      <c r="H13" s="4">
        <v>5770.1067199700001</v>
      </c>
      <c r="I13" s="1" t="s">
        <v>51</v>
      </c>
      <c r="J13" s="1" t="s">
        <v>51</v>
      </c>
      <c r="K13" s="4">
        <v>3.9006829643300001</v>
      </c>
      <c r="L13" s="4">
        <v>4.4941920841799998</v>
      </c>
      <c r="M13" s="4">
        <v>342.24991992600002</v>
      </c>
      <c r="N13" s="12"/>
      <c r="O13" s="2" t="s">
        <v>151</v>
      </c>
      <c r="P13" s="19"/>
      <c r="Q13" s="19"/>
    </row>
    <row r="14" spans="1:17">
      <c r="A14" s="1"/>
      <c r="B14" s="1"/>
      <c r="C14" s="1" t="s">
        <v>120</v>
      </c>
      <c r="D14" s="1">
        <v>1.41485979622</v>
      </c>
      <c r="E14" s="4">
        <v>1454.90558818</v>
      </c>
      <c r="F14" s="4">
        <v>198.427353942</v>
      </c>
      <c r="G14" s="4">
        <v>236609.263855</v>
      </c>
      <c r="H14" s="4">
        <v>5505.7635192899997</v>
      </c>
      <c r="I14" s="1" t="s">
        <v>51</v>
      </c>
      <c r="J14" s="4">
        <v>4.0830354762300001</v>
      </c>
      <c r="K14" s="1" t="s">
        <v>51</v>
      </c>
      <c r="L14" s="4">
        <v>4.5100085717800003</v>
      </c>
      <c r="M14" s="4">
        <v>342.29792333400002</v>
      </c>
      <c r="N14" s="12"/>
      <c r="O14" t="s">
        <v>152</v>
      </c>
    </row>
    <row r="15" spans="1:17">
      <c r="A15" s="1"/>
      <c r="B15" s="1"/>
      <c r="C15" s="1" t="s">
        <v>121</v>
      </c>
      <c r="D15" s="1">
        <v>1.4238445667599999</v>
      </c>
      <c r="E15" s="4">
        <v>1419.7508006600001</v>
      </c>
      <c r="F15" s="4">
        <v>192.88319458699999</v>
      </c>
      <c r="G15" s="4">
        <v>225380.072632</v>
      </c>
      <c r="H15" s="4">
        <v>5265.4108886699996</v>
      </c>
      <c r="I15" s="1" t="s">
        <v>51</v>
      </c>
      <c r="J15" s="4">
        <v>4.0787081182599998</v>
      </c>
      <c r="K15" s="1" t="s">
        <v>51</v>
      </c>
      <c r="L15" s="4">
        <v>4.50683003326</v>
      </c>
      <c r="M15" s="4">
        <v>342.46814638699999</v>
      </c>
      <c r="N15" s="12"/>
      <c r="O15" t="s">
        <v>153</v>
      </c>
    </row>
    <row r="16" spans="1:17">
      <c r="A16" s="1"/>
      <c r="B16" s="1"/>
      <c r="C16" s="1" t="s">
        <v>161</v>
      </c>
      <c r="D16" s="1">
        <v>1.5437141217499999</v>
      </c>
      <c r="E16" s="4">
        <v>1426.9680744699999</v>
      </c>
      <c r="F16" s="4">
        <v>191.44968688</v>
      </c>
      <c r="G16" s="4">
        <v>227909.367371</v>
      </c>
      <c r="H16" s="4">
        <v>5359.9431762699996</v>
      </c>
      <c r="I16" s="1" t="s">
        <v>51</v>
      </c>
      <c r="J16" s="4">
        <v>4.0715049752299999</v>
      </c>
      <c r="K16" s="1" t="s">
        <v>51</v>
      </c>
      <c r="L16" s="4">
        <v>4.5252233041599998</v>
      </c>
      <c r="M16" s="4">
        <v>342.52927489699999</v>
      </c>
      <c r="N16" s="12"/>
      <c r="O16" t="s">
        <v>154</v>
      </c>
    </row>
    <row r="17" spans="1:15">
      <c r="A17" s="1"/>
      <c r="B17" s="1"/>
      <c r="C17" s="1" t="s">
        <v>120</v>
      </c>
      <c r="D17" s="1">
        <v>1.53457698068</v>
      </c>
      <c r="E17" s="4">
        <v>1398.90255185</v>
      </c>
      <c r="F17" s="4">
        <v>127.769615258</v>
      </c>
      <c r="G17" s="4">
        <v>219098.13763400001</v>
      </c>
      <c r="H17" s="4">
        <v>2891.0222168</v>
      </c>
      <c r="I17" s="4">
        <v>4.6989681422</v>
      </c>
      <c r="J17" s="1" t="s">
        <v>51</v>
      </c>
      <c r="K17" s="1" t="s">
        <v>51</v>
      </c>
      <c r="L17" s="4">
        <v>4.4870028346000002</v>
      </c>
      <c r="M17" s="4">
        <v>342.42427739200002</v>
      </c>
      <c r="N17" s="12"/>
    </row>
    <row r="18" spans="1:15">
      <c r="A18" s="1"/>
      <c r="B18" s="1"/>
      <c r="C18" s="1" t="s">
        <v>121</v>
      </c>
      <c r="D18" s="1">
        <v>1.3807114256799999</v>
      </c>
      <c r="E18" s="4">
        <v>1386.3568287200001</v>
      </c>
      <c r="F18" s="4">
        <v>129.87925260200001</v>
      </c>
      <c r="G18" s="4">
        <v>214934.728638</v>
      </c>
      <c r="H18" s="4">
        <v>2777.4023027399999</v>
      </c>
      <c r="I18" s="4">
        <v>4.7216695054500004</v>
      </c>
      <c r="J18" s="1" t="s">
        <v>51</v>
      </c>
      <c r="K18" s="1" t="s">
        <v>51</v>
      </c>
      <c r="L18" s="4">
        <v>4.50704447716</v>
      </c>
      <c r="M18" s="4">
        <v>342.50398167899999</v>
      </c>
      <c r="N18" s="12"/>
      <c r="O18" t="s">
        <v>157</v>
      </c>
    </row>
    <row r="19" spans="1:15">
      <c r="A19" s="1"/>
      <c r="B19" s="1"/>
      <c r="C19" s="1" t="s">
        <v>161</v>
      </c>
      <c r="D19" s="1">
        <v>1.5520137549799999</v>
      </c>
      <c r="E19" s="4">
        <v>1442.4332790000001</v>
      </c>
      <c r="F19" s="4">
        <v>131.65937556599999</v>
      </c>
      <c r="G19" s="4">
        <v>232900.78576699999</v>
      </c>
      <c r="H19" s="4">
        <v>3008.5365095100001</v>
      </c>
      <c r="I19" s="4">
        <v>4.7220391690400003</v>
      </c>
      <c r="J19" s="1" t="s">
        <v>51</v>
      </c>
      <c r="K19" s="1" t="s">
        <v>51</v>
      </c>
      <c r="L19" s="4">
        <v>4.48740407867</v>
      </c>
      <c r="M19" s="4">
        <v>342.43812156199999</v>
      </c>
      <c r="N19" s="12"/>
      <c r="O19" t="s">
        <v>158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2"/>
    </row>
    <row r="21" spans="1:15">
      <c r="A21" s="1"/>
      <c r="B21" s="1"/>
      <c r="C21" s="1"/>
      <c r="D21" s="1"/>
      <c r="E21" s="1"/>
      <c r="F21" s="1"/>
      <c r="G21" s="1"/>
      <c r="H21" s="24" t="s">
        <v>232</v>
      </c>
      <c r="I21" s="4">
        <f>(I17+I18+I19)/3</f>
        <v>4.7142256055633336</v>
      </c>
      <c r="J21" s="4">
        <f>(J14+J15+J16)/3</f>
        <v>4.0777495232400005</v>
      </c>
      <c r="K21" s="4">
        <f>(K11+K12+K13)/3</f>
        <v>3.8938602086833334</v>
      </c>
      <c r="L21" s="4">
        <f>(L11+L12+L13+L14+L15+L16+L17+L18+L19)/9</f>
        <v>4.5021186320611104</v>
      </c>
      <c r="M21" s="4">
        <f>(M11+M12+M13+M14+M15+M16+M17+M18+M19)/9</f>
        <v>342.40577895488889</v>
      </c>
      <c r="N21" s="12"/>
      <c r="O21" t="s">
        <v>160</v>
      </c>
    </row>
    <row r="22" spans="1:15">
      <c r="A22" s="1"/>
      <c r="B22" s="1"/>
      <c r="C22" s="1"/>
      <c r="D22" s="1"/>
      <c r="E22" s="1"/>
      <c r="F22" s="1"/>
      <c r="G22" s="1"/>
      <c r="H22" s="1"/>
      <c r="I22" s="55">
        <f>STDEV(I17,I18,I19)</f>
        <v>1.3214643544380688E-2</v>
      </c>
      <c r="J22" s="55">
        <f>STDEV(J14,J15,J16)</f>
        <v>5.8247138673953583E-3</v>
      </c>
      <c r="K22" s="55">
        <f>STDEV(K11,K12,K13)</f>
        <v>6.6104652748102781E-3</v>
      </c>
      <c r="L22" s="1"/>
      <c r="M22" s="1"/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opLeftCell="B54" workbookViewId="0">
      <selection activeCell="E108" sqref="E108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8.83203125" customWidth="1"/>
    <col min="14" max="14" width="17.33203125" customWidth="1"/>
    <col min="15" max="15" width="56.1640625" customWidth="1"/>
    <col min="16" max="16" width="12" customWidth="1"/>
    <col min="17" max="17" width="13.33203125" customWidth="1"/>
    <col min="18" max="18" width="9.5" customWidth="1"/>
  </cols>
  <sheetData>
    <row r="1" spans="1:15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L1" s="24" t="s">
        <v>165</v>
      </c>
      <c r="M1" s="24" t="s">
        <v>164</v>
      </c>
      <c r="N1" s="24" t="s">
        <v>204</v>
      </c>
      <c r="O1" s="24" t="s">
        <v>64</v>
      </c>
    </row>
    <row r="2" spans="1:15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v>0.57999999999999996</v>
      </c>
      <c r="M2" s="21">
        <v>221</v>
      </c>
      <c r="N2" s="4" t="s">
        <v>205</v>
      </c>
      <c r="O2" s="1"/>
    </row>
    <row r="3" spans="1:15">
      <c r="B3" s="1"/>
      <c r="C3" s="1"/>
      <c r="F3" s="4">
        <v>2.13</v>
      </c>
      <c r="G3" s="4">
        <v>2.09</v>
      </c>
      <c r="H3" s="4">
        <v>2.2400000000000002</v>
      </c>
      <c r="L3" s="4"/>
      <c r="M3" s="21"/>
      <c r="N3" s="4"/>
      <c r="O3" s="1"/>
    </row>
    <row r="4" spans="1:15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>F5-F4</f>
        <v>2.4699999999999998</v>
      </c>
      <c r="J4" s="4">
        <f>G5-G4</f>
        <v>2.0099999999999998</v>
      </c>
      <c r="K4" s="4">
        <f>H5-H4</f>
        <v>1.98</v>
      </c>
      <c r="L4" s="4">
        <v>1.22</v>
      </c>
      <c r="M4" s="21">
        <v>134.30000000000001</v>
      </c>
      <c r="N4" s="4" t="s">
        <v>205</v>
      </c>
      <c r="O4" s="1"/>
    </row>
    <row r="5" spans="1:15">
      <c r="B5" s="1"/>
      <c r="C5" s="1"/>
      <c r="F5" s="4">
        <v>4.5999999999999996</v>
      </c>
      <c r="G5" s="4">
        <v>4.34</v>
      </c>
      <c r="H5" s="4">
        <v>4.3</v>
      </c>
      <c r="L5" s="4"/>
      <c r="M5" s="21"/>
      <c r="N5" s="4"/>
      <c r="O5" s="1"/>
    </row>
    <row r="6" spans="1:15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>F7-F6</f>
        <v>3.7800000000000002</v>
      </c>
      <c r="J6" s="4">
        <f>G7-G6</f>
        <v>3.75</v>
      </c>
      <c r="K6" s="4">
        <f>H7-H6</f>
        <v>3.67</v>
      </c>
      <c r="L6" s="4">
        <v>1.1399999999999999</v>
      </c>
      <c r="M6" s="21">
        <v>205.6</v>
      </c>
      <c r="N6" s="4" t="s">
        <v>205</v>
      </c>
      <c r="O6" s="1"/>
    </row>
    <row r="7" spans="1:15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L7" s="4"/>
      <c r="M7" s="21"/>
      <c r="N7" s="4"/>
      <c r="O7" s="1"/>
    </row>
    <row r="8" spans="1:15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L8" s="4">
        <v>0.57999999999999996</v>
      </c>
      <c r="M8" s="34">
        <v>352.7</v>
      </c>
      <c r="N8" s="4" t="s">
        <v>205</v>
      </c>
      <c r="O8" s="1" t="s">
        <v>227</v>
      </c>
    </row>
    <row r="9" spans="1:15">
      <c r="B9" s="1"/>
      <c r="C9" s="1"/>
      <c r="D9" s="1"/>
      <c r="F9" s="4">
        <v>3.28</v>
      </c>
      <c r="G9" s="4">
        <v>3.12</v>
      </c>
      <c r="H9" s="4">
        <v>3.12</v>
      </c>
      <c r="L9" s="4"/>
      <c r="M9" s="21"/>
      <c r="N9" s="4"/>
      <c r="O9" s="1"/>
    </row>
    <row r="10" spans="1:15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L10" s="4">
        <v>0.57999999999999996</v>
      </c>
      <c r="M10" s="27">
        <v>338.9</v>
      </c>
      <c r="N10" s="4" t="s">
        <v>205</v>
      </c>
    </row>
    <row r="11" spans="1:15">
      <c r="B11" s="1"/>
      <c r="C11" s="1"/>
      <c r="D11" s="1"/>
      <c r="F11" s="4">
        <v>1.39</v>
      </c>
      <c r="G11" s="4">
        <v>1.46</v>
      </c>
      <c r="H11" s="4">
        <v>1.51</v>
      </c>
      <c r="L11" s="4"/>
      <c r="M11" s="21"/>
      <c r="N11" s="4"/>
      <c r="O11" s="1"/>
    </row>
    <row r="12" spans="1:15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>F13-F12</f>
        <v>0.83000000000000007</v>
      </c>
      <c r="J12" s="4">
        <f>G13-G12</f>
        <v>1.2899999999999998</v>
      </c>
      <c r="K12" s="4">
        <f>H13-H12</f>
        <v>1.08</v>
      </c>
      <c r="L12" s="4">
        <v>0.155</v>
      </c>
      <c r="M12" s="21">
        <v>300.89999999999998</v>
      </c>
      <c r="N12" s="4" t="s">
        <v>206</v>
      </c>
      <c r="O12" s="1"/>
    </row>
    <row r="13" spans="1:15">
      <c r="B13" s="1"/>
      <c r="C13" s="1"/>
      <c r="D13" s="1"/>
      <c r="F13" s="4">
        <v>1.77</v>
      </c>
      <c r="G13" s="4">
        <v>2.09</v>
      </c>
      <c r="H13" s="4">
        <v>1.95</v>
      </c>
      <c r="L13" s="4"/>
      <c r="M13" s="21"/>
      <c r="N13" s="4"/>
      <c r="O13" s="1"/>
    </row>
    <row r="14" spans="1:15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L14" s="4">
        <v>5.35</v>
      </c>
      <c r="M14" s="21">
        <v>310.5</v>
      </c>
      <c r="N14" s="4" t="s">
        <v>205</v>
      </c>
      <c r="O14" s="1" t="s">
        <v>237</v>
      </c>
    </row>
    <row r="15" spans="1:15">
      <c r="B15" s="1"/>
      <c r="C15" s="1"/>
      <c r="D15" s="1"/>
      <c r="F15" s="4" t="s">
        <v>51</v>
      </c>
      <c r="G15" s="4" t="s">
        <v>51</v>
      </c>
      <c r="H15" s="4">
        <v>8.65</v>
      </c>
      <c r="L15" s="4"/>
      <c r="M15" s="21"/>
      <c r="N15" s="4"/>
      <c r="O15" s="1"/>
    </row>
    <row r="16" spans="1:15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>F17-F16</f>
        <v>1.47</v>
      </c>
      <c r="J16" s="4">
        <f>G17-G16</f>
        <v>1.3699999999999999</v>
      </c>
      <c r="K16" s="4">
        <f>H17-H16</f>
        <v>1.3399999999999999</v>
      </c>
      <c r="L16" s="4">
        <v>2.93</v>
      </c>
      <c r="M16" s="21">
        <v>230.1</v>
      </c>
      <c r="N16" s="4" t="s">
        <v>205</v>
      </c>
      <c r="O16" s="1"/>
    </row>
    <row r="17" spans="2:15">
      <c r="B17" s="1"/>
      <c r="C17" s="1"/>
      <c r="D17" s="1"/>
      <c r="F17" s="4">
        <v>3.46</v>
      </c>
      <c r="G17" s="4">
        <v>3.3</v>
      </c>
      <c r="H17" s="4">
        <v>3.26</v>
      </c>
      <c r="L17" s="4"/>
      <c r="M17" s="21"/>
      <c r="N17" s="4"/>
      <c r="O17" s="1"/>
    </row>
    <row r="18" spans="2:15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>F19-F18</f>
        <v>3.1</v>
      </c>
      <c r="J18" s="4">
        <f>G19-G18</f>
        <v>3.02</v>
      </c>
      <c r="K18" s="4">
        <f>H19-H18</f>
        <v>3.0700000000000003</v>
      </c>
      <c r="L18" s="4">
        <v>1.1200000000000001</v>
      </c>
      <c r="M18" s="21">
        <v>309.3</v>
      </c>
      <c r="N18" s="4" t="s">
        <v>205</v>
      </c>
      <c r="O18" s="1"/>
    </row>
    <row r="19" spans="2:15">
      <c r="B19" s="1"/>
      <c r="C19" s="1"/>
      <c r="D19" s="1"/>
      <c r="F19" s="4">
        <v>2.75</v>
      </c>
      <c r="G19" s="4">
        <v>2.72</v>
      </c>
      <c r="H19" s="4">
        <v>2.79</v>
      </c>
      <c r="L19" s="4"/>
      <c r="M19" s="21"/>
      <c r="N19" s="4" t="s">
        <v>205</v>
      </c>
      <c r="O19" s="1"/>
    </row>
    <row r="20" spans="2:15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>G20-G18</f>
        <v>4.3199999999999994</v>
      </c>
      <c r="K20" s="33">
        <f>H20-H18</f>
        <v>4.01</v>
      </c>
      <c r="L20" s="4">
        <v>3.58</v>
      </c>
      <c r="M20" s="21">
        <v>86.7</v>
      </c>
      <c r="N20" s="4" t="s">
        <v>205</v>
      </c>
      <c r="O20" s="1" t="s">
        <v>230</v>
      </c>
    </row>
    <row r="21" spans="2:15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>F22-F21</f>
        <v>2.67</v>
      </c>
      <c r="J21" s="4">
        <f>G22-G21</f>
        <v>2.58</v>
      </c>
      <c r="K21" s="4">
        <f>H22-H21</f>
        <v>2.56</v>
      </c>
      <c r="L21" s="4">
        <v>0.75</v>
      </c>
      <c r="M21" s="21">
        <v>189.6</v>
      </c>
      <c r="N21" s="4" t="s">
        <v>205</v>
      </c>
      <c r="O21" s="1"/>
    </row>
    <row r="22" spans="2:15">
      <c r="B22" s="1"/>
      <c r="C22" s="1"/>
      <c r="D22" s="1"/>
      <c r="F22" s="4">
        <v>2.1800000000000002</v>
      </c>
      <c r="G22" s="4">
        <v>2.14</v>
      </c>
      <c r="H22" s="4">
        <v>2.15</v>
      </c>
      <c r="L22" s="4"/>
      <c r="M22" s="21"/>
      <c r="N22" s="4"/>
      <c r="O22" s="1"/>
    </row>
    <row r="23" spans="2:15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>F24-F23</f>
        <v>0.87000000000000011</v>
      </c>
      <c r="J23" s="4">
        <f>G24-G23</f>
        <v>0.73999999999999977</v>
      </c>
      <c r="K23" s="4">
        <f>H24-H23</f>
        <v>0.72</v>
      </c>
      <c r="L23" s="4">
        <v>2.0699999999999998</v>
      </c>
      <c r="M23" s="21">
        <v>19.5</v>
      </c>
      <c r="N23" s="4" t="s">
        <v>205</v>
      </c>
      <c r="O23" s="1"/>
    </row>
    <row r="24" spans="2:15">
      <c r="B24" s="1"/>
      <c r="C24" s="1"/>
      <c r="D24" s="1"/>
      <c r="F24" s="4">
        <v>2.14</v>
      </c>
      <c r="G24" s="4">
        <v>2.0499999999999998</v>
      </c>
      <c r="H24" s="4">
        <v>2.04</v>
      </c>
      <c r="L24" s="4"/>
      <c r="M24" s="21"/>
      <c r="N24" s="4"/>
      <c r="O24" s="1"/>
    </row>
    <row r="25" spans="2:15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>F26-F25</f>
        <v>7.120000000000001</v>
      </c>
      <c r="J25" s="4">
        <f>G26-G25</f>
        <v>6.7399999999999993</v>
      </c>
      <c r="K25" s="4">
        <f>H26-H25</f>
        <v>6.69</v>
      </c>
      <c r="L25" s="4">
        <v>3.94</v>
      </c>
      <c r="M25" s="21">
        <v>12.8</v>
      </c>
      <c r="N25" s="4" t="s">
        <v>205</v>
      </c>
      <c r="O25" s="1"/>
    </row>
    <row r="26" spans="2:15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L26" s="4"/>
      <c r="M26" s="21"/>
      <c r="N26" s="4"/>
      <c r="O26" s="1"/>
    </row>
    <row r="27" spans="2:15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>F28-F27</f>
        <v>5.0000000000000044E-2</v>
      </c>
      <c r="J27" s="4">
        <f>G28-G27</f>
        <v>3.0000000000000027E-2</v>
      </c>
      <c r="K27" s="4">
        <f>H28-H27</f>
        <v>3.0000000000000027E-2</v>
      </c>
      <c r="L27" s="4">
        <v>0.54</v>
      </c>
      <c r="M27" s="21">
        <v>72.8</v>
      </c>
      <c r="N27" s="4" t="s">
        <v>205</v>
      </c>
      <c r="O27" s="1"/>
    </row>
    <row r="28" spans="2:15">
      <c r="B28" s="1"/>
      <c r="C28" s="1"/>
      <c r="D28" s="1"/>
      <c r="F28" s="4">
        <v>1.77</v>
      </c>
      <c r="G28" s="4">
        <v>1.68</v>
      </c>
      <c r="H28" s="4">
        <v>1.67</v>
      </c>
      <c r="L28" s="4"/>
      <c r="M28" s="21"/>
      <c r="N28" s="4"/>
      <c r="O28" s="1"/>
    </row>
    <row r="29" spans="2:15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>F30-F29</f>
        <v>4.7899999999999991</v>
      </c>
      <c r="J29" s="4">
        <f>G30-G29</f>
        <v>4.16</v>
      </c>
      <c r="K29" s="4">
        <f>H30-H29</f>
        <v>3.91</v>
      </c>
      <c r="L29" s="4">
        <v>3.45</v>
      </c>
      <c r="M29" s="21">
        <v>16.7</v>
      </c>
      <c r="N29" s="4" t="s">
        <v>205</v>
      </c>
      <c r="O29" s="1"/>
    </row>
    <row r="30" spans="2:15">
      <c r="B30" s="1"/>
      <c r="C30" s="1"/>
      <c r="D30" s="1"/>
      <c r="F30" s="4">
        <v>6.39</v>
      </c>
      <c r="G30" s="4">
        <v>5.76</v>
      </c>
      <c r="H30" s="4">
        <v>5.53</v>
      </c>
      <c r="L30" s="4"/>
      <c r="M30" s="21"/>
      <c r="N30" s="4"/>
      <c r="O30" s="1"/>
    </row>
    <row r="31" spans="2:15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L31" s="4">
        <v>2.74</v>
      </c>
      <c r="M31" s="21">
        <v>344.8</v>
      </c>
      <c r="N31" s="4" t="s">
        <v>205</v>
      </c>
      <c r="O31" s="1" t="s">
        <v>235</v>
      </c>
    </row>
    <row r="32" spans="2:15">
      <c r="B32" s="1"/>
      <c r="C32" s="1"/>
      <c r="D32" s="1"/>
      <c r="F32" s="4" t="s">
        <v>203</v>
      </c>
      <c r="G32" s="4" t="s">
        <v>203</v>
      </c>
      <c r="H32" s="4" t="s">
        <v>203</v>
      </c>
      <c r="L32" s="4"/>
      <c r="M32" s="21"/>
      <c r="N32" s="4"/>
      <c r="O32" s="1"/>
    </row>
    <row r="33" spans="1:15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L33" s="4">
        <v>2.74</v>
      </c>
      <c r="M33" s="21">
        <v>345</v>
      </c>
      <c r="N33" s="4" t="s">
        <v>205</v>
      </c>
      <c r="O33" s="1" t="s">
        <v>236</v>
      </c>
    </row>
    <row r="34" spans="1:15">
      <c r="B34" s="1"/>
      <c r="C34" s="1"/>
      <c r="D34" s="1"/>
      <c r="F34" s="4" t="s">
        <v>203</v>
      </c>
      <c r="G34" s="4" t="s">
        <v>203</v>
      </c>
      <c r="H34" s="4" t="s">
        <v>203</v>
      </c>
      <c r="L34" s="4"/>
      <c r="M34" s="21"/>
      <c r="N34" s="4"/>
      <c r="O34" s="1"/>
    </row>
    <row r="35" spans="1:15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>F36-F35</f>
        <v>3.4699999999999998</v>
      </c>
      <c r="J35" s="4">
        <f>G36-G35</f>
        <v>3.3500000000000005</v>
      </c>
      <c r="K35" s="4">
        <f>H36-H35</f>
        <v>3.2399999999999993</v>
      </c>
      <c r="L35" s="4">
        <v>1.22</v>
      </c>
      <c r="M35" s="21">
        <v>84.9</v>
      </c>
      <c r="N35" s="4" t="s">
        <v>205</v>
      </c>
      <c r="O35" s="1"/>
    </row>
    <row r="36" spans="1:15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L36" s="4"/>
      <c r="M36" s="21"/>
      <c r="N36" s="4"/>
      <c r="O36" s="1"/>
    </row>
    <row r="37" spans="1:15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2"/>
      <c r="O37" s="23"/>
    </row>
    <row r="38" spans="1:15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>F39-F38</f>
        <v>0.62000000000000011</v>
      </c>
      <c r="J38" s="4">
        <f>G39-G38</f>
        <v>0.54</v>
      </c>
      <c r="K38" s="4">
        <f>H39-H38</f>
        <v>0.38000000000000006</v>
      </c>
      <c r="L38" s="28">
        <v>0.21</v>
      </c>
      <c r="M38" s="34">
        <v>34.1</v>
      </c>
      <c r="N38" s="25" t="s">
        <v>206</v>
      </c>
      <c r="O38" s="25" t="s">
        <v>228</v>
      </c>
    </row>
    <row r="39" spans="1:15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L39" s="4"/>
      <c r="M39" s="21"/>
      <c r="N39" s="1"/>
      <c r="O39" s="25" t="s">
        <v>229</v>
      </c>
    </row>
    <row r="40" spans="1:15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>F41-F40</f>
        <v>0.39000000000000012</v>
      </c>
      <c r="J40" s="4">
        <f>G41-G40</f>
        <v>0.37000000000000011</v>
      </c>
      <c r="K40" s="4">
        <f>H41-H40</f>
        <v>0.35000000000000009</v>
      </c>
      <c r="L40" s="4">
        <v>8.16</v>
      </c>
      <c r="M40" s="21">
        <v>167.9</v>
      </c>
      <c r="N40" s="1" t="s">
        <v>205</v>
      </c>
      <c r="O40" s="1"/>
    </row>
    <row r="41" spans="1:15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L41" s="4"/>
      <c r="M41" s="21"/>
      <c r="N41" s="1"/>
      <c r="O41" s="1"/>
    </row>
    <row r="42" spans="1:15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L42" s="33">
        <v>0.399158497655</v>
      </c>
      <c r="M42" s="34">
        <v>18.434948822900001</v>
      </c>
      <c r="N42" s="1" t="s">
        <v>206</v>
      </c>
      <c r="O42" s="1" t="s">
        <v>215</v>
      </c>
    </row>
    <row r="43" spans="1:15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L43" s="4"/>
      <c r="M43" s="21"/>
      <c r="N43" s="1"/>
      <c r="O43" s="1"/>
    </row>
    <row r="44" spans="1:15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>F45-F44</f>
        <v>7.5900000000000007</v>
      </c>
      <c r="J44" s="4">
        <f>G45-G44</f>
        <v>7.2200000000000006</v>
      </c>
      <c r="K44" s="4">
        <f>H45-H44</f>
        <v>7.1199999999999992</v>
      </c>
      <c r="L44" s="4">
        <v>2.79</v>
      </c>
      <c r="M44" s="21">
        <v>236.3</v>
      </c>
      <c r="N44" s="1" t="s">
        <v>205</v>
      </c>
      <c r="O44" s="1"/>
    </row>
    <row r="45" spans="1:15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L45" s="4"/>
      <c r="M45" s="21"/>
      <c r="N45" s="1"/>
      <c r="O45" s="1"/>
    </row>
    <row r="46" spans="1:15">
      <c r="B46" s="30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L46" s="4">
        <v>4.5047062432049998</v>
      </c>
      <c r="M46" s="21">
        <v>342.41523518399998</v>
      </c>
      <c r="N46" s="1" t="s">
        <v>205</v>
      </c>
      <c r="O46" s="1" t="s">
        <v>222</v>
      </c>
    </row>
    <row r="47" spans="1:15">
      <c r="C47" s="1"/>
      <c r="D47" s="1"/>
      <c r="F47" s="4" t="s">
        <v>51</v>
      </c>
      <c r="G47" s="4" t="s">
        <v>51</v>
      </c>
      <c r="H47" s="4" t="s">
        <v>51</v>
      </c>
      <c r="M47" s="3"/>
      <c r="O47" s="1" t="s">
        <v>226</v>
      </c>
    </row>
    <row r="48" spans="1:15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>F49-F48</f>
        <v>7.2100000000000009</v>
      </c>
      <c r="J48" s="4">
        <f>G49-G48</f>
        <v>6.6999999999999993</v>
      </c>
      <c r="K48" s="4">
        <f>H49-H48</f>
        <v>6.4</v>
      </c>
      <c r="L48" s="4">
        <v>2.62</v>
      </c>
      <c r="M48" s="21">
        <v>64.400000000000006</v>
      </c>
      <c r="N48" s="1" t="s">
        <v>205</v>
      </c>
      <c r="O48" s="1"/>
    </row>
    <row r="49" spans="1:15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L49" s="4"/>
      <c r="M49" s="21"/>
      <c r="N49" s="1"/>
      <c r="O49" s="1"/>
    </row>
    <row r="50" spans="1:15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L50" s="4">
        <v>2.4700000000000002</v>
      </c>
      <c r="M50" s="21">
        <v>159.30000000000001</v>
      </c>
      <c r="N50" s="1" t="s">
        <v>205</v>
      </c>
      <c r="O50" s="1"/>
    </row>
    <row r="51" spans="1:15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L51" s="4"/>
      <c r="M51" s="21"/>
      <c r="N51" s="1"/>
      <c r="O51" s="1"/>
    </row>
    <row r="52" spans="1:15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L52" s="4">
        <v>1.22</v>
      </c>
      <c r="M52" s="21">
        <v>84.7</v>
      </c>
      <c r="N52" s="1" t="s">
        <v>205</v>
      </c>
      <c r="O52" s="1"/>
    </row>
    <row r="53" spans="1:15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L53" s="4"/>
      <c r="M53" s="21"/>
      <c r="N53" s="1"/>
      <c r="O53" s="1"/>
    </row>
    <row r="54" spans="1:15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6"/>
      <c r="N54" s="22"/>
      <c r="O54" s="23"/>
    </row>
    <row r="55" spans="1:15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L55" s="4">
        <v>6.53</v>
      </c>
      <c r="M55" s="21">
        <v>227.5</v>
      </c>
      <c r="N55" s="1" t="s">
        <v>205</v>
      </c>
      <c r="O55" s="1"/>
    </row>
    <row r="56" spans="1:15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L56" s="4"/>
      <c r="M56" s="21"/>
      <c r="N56" s="1"/>
      <c r="O56" s="1"/>
    </row>
    <row r="57" spans="1:15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>F58-F57</f>
        <v>0.76999999999999991</v>
      </c>
      <c r="J57" s="4">
        <f>G58-G57</f>
        <v>0.65999999999999992</v>
      </c>
      <c r="K57" s="4">
        <f>H58-H57</f>
        <v>0.64999999999999991</v>
      </c>
      <c r="L57" s="4">
        <v>0.46</v>
      </c>
      <c r="M57" s="21">
        <v>7</v>
      </c>
      <c r="N57" s="1" t="s">
        <v>206</v>
      </c>
      <c r="O57" s="1"/>
    </row>
    <row r="58" spans="1:15">
      <c r="B58" s="1"/>
      <c r="C58" s="1"/>
      <c r="D58" s="1"/>
      <c r="F58" s="4">
        <v>1.45</v>
      </c>
      <c r="G58" s="4">
        <v>1.38</v>
      </c>
      <c r="H58" s="4">
        <v>1.38</v>
      </c>
      <c r="L58" s="4"/>
      <c r="M58" s="21"/>
      <c r="N58" s="1"/>
      <c r="O58" s="1"/>
    </row>
    <row r="59" spans="1:15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>F60-F59</f>
        <v>5.79</v>
      </c>
      <c r="J59" s="4">
        <f>G60-G59</f>
        <v>5.14</v>
      </c>
      <c r="K59" s="4">
        <f>H60-H59</f>
        <v>4.96</v>
      </c>
      <c r="L59" s="4">
        <v>3.85</v>
      </c>
      <c r="M59" s="21">
        <v>130.4</v>
      </c>
      <c r="N59" s="1" t="s">
        <v>205</v>
      </c>
      <c r="O59" s="1"/>
    </row>
    <row r="60" spans="1:15">
      <c r="B60" s="1"/>
      <c r="C60" s="1"/>
      <c r="D60" s="1"/>
      <c r="F60" s="4">
        <v>5.92</v>
      </c>
      <c r="G60" s="4">
        <v>5.27</v>
      </c>
      <c r="H60" s="4">
        <v>5.08</v>
      </c>
      <c r="L60" s="4"/>
      <c r="M60" s="21"/>
      <c r="N60" s="1"/>
      <c r="O60" s="1"/>
    </row>
    <row r="61" spans="1:15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L61" s="4">
        <v>6.25</v>
      </c>
      <c r="M61" s="21">
        <v>48</v>
      </c>
      <c r="N61" s="1" t="s">
        <v>205</v>
      </c>
      <c r="O61" s="1"/>
    </row>
    <row r="62" spans="1:15">
      <c r="B62" s="1"/>
      <c r="C62" s="1"/>
      <c r="D62" s="1"/>
      <c r="F62" s="4" t="s">
        <v>51</v>
      </c>
      <c r="G62" s="4" t="s">
        <v>51</v>
      </c>
      <c r="H62" s="4">
        <v>5.71</v>
      </c>
      <c r="L62" s="4"/>
      <c r="M62" s="21"/>
      <c r="N62" s="1"/>
      <c r="O62" s="1"/>
    </row>
    <row r="63" spans="1:15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>F64-F63</f>
        <v>8.4599999999999991</v>
      </c>
      <c r="J63" s="4">
        <f>G64-G63</f>
        <v>7.81</v>
      </c>
      <c r="K63" s="4">
        <f>H64-H63</f>
        <v>7.04</v>
      </c>
      <c r="L63" s="4">
        <v>4.8</v>
      </c>
      <c r="M63" s="21">
        <v>203.2</v>
      </c>
      <c r="N63" s="1" t="s">
        <v>205</v>
      </c>
      <c r="O63" s="1"/>
    </row>
    <row r="64" spans="1:15">
      <c r="B64" s="1"/>
      <c r="C64" s="1"/>
      <c r="D64" s="1"/>
      <c r="F64" s="4">
        <v>8.69</v>
      </c>
      <c r="G64" s="4">
        <v>8.01</v>
      </c>
      <c r="H64" s="4">
        <v>7.23</v>
      </c>
      <c r="L64" s="4"/>
      <c r="M64" s="21"/>
      <c r="N64" s="1"/>
      <c r="O64" s="1"/>
    </row>
    <row r="65" spans="1:15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>F66-F65</f>
        <v>0</v>
      </c>
      <c r="J65" s="4">
        <f>G66-G65</f>
        <v>0.28000000000000003</v>
      </c>
      <c r="K65" s="4">
        <f>H66-H65</f>
        <v>0.26</v>
      </c>
      <c r="L65" s="4">
        <v>0.3</v>
      </c>
      <c r="M65" s="34">
        <v>250.1</v>
      </c>
      <c r="N65" s="1" t="s">
        <v>206</v>
      </c>
      <c r="O65" s="1" t="s">
        <v>227</v>
      </c>
    </row>
    <row r="66" spans="1:15">
      <c r="B66" s="1"/>
      <c r="C66" s="1"/>
      <c r="D66" s="1"/>
      <c r="F66" s="4">
        <v>-0.45</v>
      </c>
      <c r="G66" s="4">
        <v>-0.28000000000000003</v>
      </c>
      <c r="H66" s="4">
        <v>-0.27</v>
      </c>
      <c r="L66" s="4"/>
      <c r="M66" s="21"/>
      <c r="N66" s="1"/>
      <c r="O66" s="1"/>
    </row>
    <row r="67" spans="1:15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>F68-F67</f>
        <v>6.96</v>
      </c>
      <c r="J67" s="4">
        <f>G68-G67</f>
        <v>6.1000000000000005</v>
      </c>
      <c r="K67" s="4">
        <f>H68-H67</f>
        <v>5.83</v>
      </c>
      <c r="L67" s="4">
        <v>6.49</v>
      </c>
      <c r="M67" s="21">
        <v>177.2</v>
      </c>
      <c r="N67" s="1" t="s">
        <v>205</v>
      </c>
      <c r="O67" s="1"/>
    </row>
    <row r="68" spans="1:15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L68" s="4"/>
      <c r="M68" s="21"/>
      <c r="N68" s="1"/>
      <c r="O68" s="1"/>
    </row>
    <row r="69" spans="1:15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>F70-F69</f>
        <v>4.1500000000000004</v>
      </c>
      <c r="J69" s="4">
        <f>G70-G69</f>
        <v>5.0699999999999994</v>
      </c>
      <c r="K69" s="4">
        <f>H70-H69</f>
        <v>4.93</v>
      </c>
      <c r="L69" s="4">
        <v>2.11</v>
      </c>
      <c r="M69" s="21">
        <v>135.9</v>
      </c>
      <c r="N69" s="1" t="s">
        <v>207</v>
      </c>
      <c r="O69" s="30" t="s">
        <v>223</v>
      </c>
    </row>
    <row r="70" spans="1:15">
      <c r="B70" s="1"/>
      <c r="C70" s="1"/>
      <c r="D70" s="1"/>
      <c r="F70" s="4">
        <v>3.23</v>
      </c>
      <c r="G70" s="4">
        <v>4.18</v>
      </c>
      <c r="H70" s="4">
        <v>4.04</v>
      </c>
      <c r="L70" s="4"/>
      <c r="M70" s="21"/>
      <c r="N70" s="1" t="s">
        <v>208</v>
      </c>
      <c r="O70" s="1" t="s">
        <v>231</v>
      </c>
    </row>
    <row r="71" spans="1:15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L71" s="4">
        <v>2.2799999999999998</v>
      </c>
      <c r="M71" s="21">
        <v>344.8</v>
      </c>
      <c r="N71" s="1" t="s">
        <v>205</v>
      </c>
      <c r="O71" s="1" t="s">
        <v>235</v>
      </c>
    </row>
    <row r="72" spans="1:15">
      <c r="B72" s="1"/>
      <c r="C72" s="1"/>
      <c r="D72" s="1"/>
      <c r="F72" s="4" t="s">
        <v>203</v>
      </c>
      <c r="G72" s="4" t="s">
        <v>203</v>
      </c>
      <c r="H72" s="4" t="s">
        <v>203</v>
      </c>
      <c r="L72" s="4"/>
      <c r="M72" s="21"/>
      <c r="N72" s="1"/>
      <c r="O72" s="1"/>
    </row>
    <row r="73" spans="1:15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>F74-F73</f>
        <v>2.2800000000000002</v>
      </c>
      <c r="J73" s="4">
        <f>G74-G73</f>
        <v>2.4099999999999997</v>
      </c>
      <c r="K73" s="4">
        <f>H74-H73</f>
        <v>2.63</v>
      </c>
      <c r="L73" s="4">
        <v>1.19</v>
      </c>
      <c r="M73" s="21">
        <v>84.8</v>
      </c>
      <c r="N73" s="1" t="s">
        <v>205</v>
      </c>
      <c r="O73" s="1"/>
    </row>
    <row r="74" spans="1:15">
      <c r="B74" s="1"/>
      <c r="C74" s="1"/>
      <c r="D74" s="1"/>
      <c r="F74" s="4">
        <v>3.74</v>
      </c>
      <c r="G74" s="4">
        <v>3.76</v>
      </c>
      <c r="H74" s="4">
        <v>3.94</v>
      </c>
      <c r="L74" s="4"/>
      <c r="M74" s="21"/>
      <c r="N74" s="1"/>
      <c r="O74" s="1"/>
    </row>
    <row r="75" spans="1:15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6"/>
      <c r="N75" s="22"/>
      <c r="O75" s="23"/>
    </row>
    <row r="76" spans="1:15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>F77-F76</f>
        <v>6.44</v>
      </c>
      <c r="J76" s="4">
        <f>G77-G76</f>
        <v>5.8599999999999994</v>
      </c>
      <c r="K76" s="4">
        <f>H77-H76</f>
        <v>5.8800000000000008</v>
      </c>
      <c r="L76" s="28">
        <v>3.14</v>
      </c>
      <c r="M76" s="27">
        <v>102.7</v>
      </c>
      <c r="N76" s="1" t="s">
        <v>205</v>
      </c>
      <c r="O76" s="1"/>
    </row>
    <row r="77" spans="1:15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N77" s="25"/>
      <c r="O77" s="25"/>
    </row>
    <row r="78" spans="1:15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>F79-F78</f>
        <v>6.9499999999999993</v>
      </c>
      <c r="J78" s="4">
        <f>G79-G78</f>
        <v>6.17</v>
      </c>
      <c r="K78" s="4">
        <f>H79-H78</f>
        <v>6.04</v>
      </c>
      <c r="L78" s="4">
        <v>3.83</v>
      </c>
      <c r="M78" s="21">
        <v>5.7</v>
      </c>
      <c r="N78" s="1" t="s">
        <v>205</v>
      </c>
      <c r="O78" s="1"/>
    </row>
    <row r="79" spans="1:15">
      <c r="B79" s="1"/>
      <c r="C79" s="1"/>
      <c r="D79" s="1"/>
      <c r="F79" s="4">
        <v>8.5399999999999991</v>
      </c>
      <c r="G79" s="4">
        <v>7.82</v>
      </c>
      <c r="H79" s="4">
        <v>7.7</v>
      </c>
      <c r="N79" s="1"/>
      <c r="O79" s="1"/>
    </row>
    <row r="80" spans="1:15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>F81-F80</f>
        <v>2.25</v>
      </c>
      <c r="J80" s="4">
        <f>G81-G80</f>
        <v>2.14</v>
      </c>
      <c r="K80" s="4">
        <f>H81-H80</f>
        <v>2.0499999999999998</v>
      </c>
      <c r="L80" s="4">
        <v>1.29</v>
      </c>
      <c r="M80" s="21">
        <v>149.5</v>
      </c>
      <c r="N80" s="1" t="s">
        <v>207</v>
      </c>
      <c r="O80" s="1"/>
    </row>
    <row r="81" spans="2:15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N81" s="1"/>
      <c r="O81" s="1" t="s">
        <v>213</v>
      </c>
    </row>
    <row r="82" spans="2:15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L82" s="36">
        <v>0.59</v>
      </c>
      <c r="M82" s="37">
        <v>91.1</v>
      </c>
      <c r="O82" s="1" t="s">
        <v>239</v>
      </c>
    </row>
    <row r="83" spans="2:15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>F84-F83</f>
        <v>5.48</v>
      </c>
      <c r="J83" s="4">
        <f>G84-G83</f>
        <v>4.9000000000000004</v>
      </c>
      <c r="K83" s="4">
        <f>H84-H83</f>
        <v>4.78</v>
      </c>
      <c r="L83" s="4">
        <v>4.4400000000000004</v>
      </c>
      <c r="M83" s="21">
        <v>250</v>
      </c>
      <c r="N83" s="1" t="s">
        <v>205</v>
      </c>
      <c r="O83" s="1"/>
    </row>
    <row r="84" spans="2:15">
      <c r="B84" s="1"/>
      <c r="C84" s="1"/>
      <c r="D84" s="1"/>
      <c r="F84" s="4">
        <v>6.9</v>
      </c>
      <c r="G84" s="4">
        <v>6.34</v>
      </c>
      <c r="H84" s="4">
        <v>6.21</v>
      </c>
      <c r="N84" s="1"/>
      <c r="O84" s="1"/>
    </row>
    <row r="85" spans="2:15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>F86-F85</f>
        <v>6.26</v>
      </c>
      <c r="J85" s="4">
        <f>G86-G85</f>
        <v>6.12</v>
      </c>
      <c r="K85" s="4">
        <f>H86-H85</f>
        <v>6.18</v>
      </c>
      <c r="L85" s="4">
        <v>7.48</v>
      </c>
      <c r="M85" s="21">
        <v>154.19999999999999</v>
      </c>
      <c r="N85" s="1" t="s">
        <v>205</v>
      </c>
      <c r="O85" s="1"/>
    </row>
    <row r="86" spans="2:15">
      <c r="B86" s="1"/>
      <c r="C86" s="1"/>
      <c r="D86" s="1"/>
      <c r="F86" s="4">
        <v>7.22</v>
      </c>
      <c r="G86" s="4">
        <v>6.91</v>
      </c>
      <c r="H86" s="4">
        <v>6.93</v>
      </c>
      <c r="N86" s="1"/>
      <c r="O86" s="1"/>
    </row>
    <row r="87" spans="2:15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L87" s="33">
        <v>4.0105619585000003</v>
      </c>
      <c r="M87" s="34">
        <v>4.0999999999999996</v>
      </c>
      <c r="N87" s="1" t="s">
        <v>205</v>
      </c>
      <c r="O87" s="1" t="s">
        <v>221</v>
      </c>
    </row>
    <row r="88" spans="2:15">
      <c r="F88" s="1" t="s">
        <v>51</v>
      </c>
      <c r="G88" s="1" t="s">
        <v>51</v>
      </c>
      <c r="H88" s="1" t="s">
        <v>51</v>
      </c>
      <c r="O88" s="1"/>
    </row>
    <row r="89" spans="2:15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>F90-F89</f>
        <v>4.88</v>
      </c>
      <c r="J89" s="4">
        <f>G90-G89</f>
        <v>4.17</v>
      </c>
      <c r="K89" s="4">
        <f>H90-H89</f>
        <v>3.9899999999999998</v>
      </c>
      <c r="L89" s="4">
        <v>3.27</v>
      </c>
      <c r="M89" s="21">
        <v>267</v>
      </c>
      <c r="N89" s="1" t="s">
        <v>205</v>
      </c>
      <c r="O89" s="1"/>
    </row>
    <row r="90" spans="2:15">
      <c r="B90" s="1"/>
      <c r="C90" s="1"/>
      <c r="D90" s="1"/>
      <c r="F90" s="4">
        <v>5.22</v>
      </c>
      <c r="G90" s="4">
        <v>4.55</v>
      </c>
      <c r="H90" s="4">
        <v>4.38</v>
      </c>
      <c r="N90" s="1"/>
      <c r="O90" s="1"/>
    </row>
    <row r="91" spans="2:15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>F92-F91</f>
        <v>2.1500000000000004</v>
      </c>
      <c r="J91" s="4">
        <f>G92-G91</f>
        <v>2.2999999999999998</v>
      </c>
      <c r="K91" s="4">
        <f>H92-H91</f>
        <v>2.4</v>
      </c>
      <c r="L91" s="4">
        <v>0.48</v>
      </c>
      <c r="M91" s="4">
        <v>64.61</v>
      </c>
      <c r="N91" s="1" t="s">
        <v>206</v>
      </c>
      <c r="O91" s="1"/>
    </row>
    <row r="92" spans="2:15">
      <c r="B92" s="1"/>
      <c r="C92" s="1"/>
      <c r="D92" s="1"/>
      <c r="F92" s="4">
        <v>2.91</v>
      </c>
      <c r="G92" s="4">
        <v>3.04</v>
      </c>
      <c r="H92" s="4">
        <v>3.13</v>
      </c>
      <c r="N92" s="1"/>
      <c r="O92" s="1"/>
    </row>
    <row r="93" spans="2:15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>F94-F93</f>
        <v>2.88</v>
      </c>
      <c r="J93" s="4">
        <f>G94-G93</f>
        <v>3.2</v>
      </c>
      <c r="K93" s="4">
        <f>H94-H93</f>
        <v>3.56</v>
      </c>
      <c r="L93" s="4">
        <v>0.7</v>
      </c>
      <c r="M93" s="21">
        <v>45.3</v>
      </c>
      <c r="N93" s="1" t="s">
        <v>210</v>
      </c>
      <c r="O93" s="1"/>
    </row>
    <row r="94" spans="2:15">
      <c r="B94" s="1"/>
      <c r="C94" s="1"/>
      <c r="D94" s="1"/>
      <c r="F94" s="4">
        <v>4.05</v>
      </c>
      <c r="G94" s="4">
        <v>4.32</v>
      </c>
      <c r="H94" s="4">
        <v>4.66</v>
      </c>
      <c r="N94" s="1" t="s">
        <v>211</v>
      </c>
      <c r="O94" s="1"/>
    </row>
    <row r="95" spans="2:15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>F96-F95</f>
        <v>0.57000000000000006</v>
      </c>
      <c r="J95" s="4">
        <f>G96-G95</f>
        <v>0.57999999999999985</v>
      </c>
      <c r="K95" s="4">
        <f>H96-H95</f>
        <v>0.54999999999999982</v>
      </c>
      <c r="L95" s="4">
        <v>2.17</v>
      </c>
      <c r="M95" s="34">
        <v>207.1</v>
      </c>
      <c r="N95" s="1" t="s">
        <v>205</v>
      </c>
      <c r="O95" s="1" t="s">
        <v>227</v>
      </c>
    </row>
    <row r="96" spans="2:15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N96" s="1"/>
      <c r="O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>F98-F97</f>
        <v>1.89</v>
      </c>
      <c r="J97" s="4">
        <f>G98-G97</f>
        <v>1.62</v>
      </c>
      <c r="K97" s="4">
        <f>H98-H97</f>
        <v>1.49</v>
      </c>
      <c r="L97" s="4">
        <v>0.76</v>
      </c>
      <c r="M97" s="21">
        <v>46.3</v>
      </c>
      <c r="N97" s="1" t="s">
        <v>206</v>
      </c>
      <c r="O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N98" s="1"/>
      <c r="O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>F100-F99</f>
        <v>5.84</v>
      </c>
      <c r="J99" s="4">
        <f>G100-G99</f>
        <v>5.64</v>
      </c>
      <c r="K99" s="4">
        <f>H100-H99</f>
        <v>5.68</v>
      </c>
      <c r="L99" s="4">
        <v>2.62</v>
      </c>
      <c r="M99" s="21">
        <v>300.10000000000002</v>
      </c>
      <c r="N99" s="1" t="s">
        <v>205</v>
      </c>
      <c r="O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N100" s="1"/>
      <c r="O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>F102-F101</f>
        <v>0.26999999999999996</v>
      </c>
      <c r="J101" s="4">
        <f>G102-G101</f>
        <v>0.75</v>
      </c>
      <c r="K101" s="4">
        <f>H102-H101</f>
        <v>1.1600000000000001</v>
      </c>
      <c r="L101" s="4">
        <v>0.21</v>
      </c>
      <c r="M101" s="21">
        <v>98.92</v>
      </c>
      <c r="N101" s="1" t="s">
        <v>206</v>
      </c>
      <c r="O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N102" s="1" t="s">
        <v>212</v>
      </c>
      <c r="O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>F103-F101</f>
        <v>6.18</v>
      </c>
      <c r="J103" s="4">
        <f>G103-G101</f>
        <v>5.44</v>
      </c>
      <c r="K103" s="4">
        <f>H103-H101</f>
        <v>5.3100000000000005</v>
      </c>
      <c r="L103" s="4">
        <v>6.49</v>
      </c>
      <c r="M103" s="21">
        <v>177.2</v>
      </c>
      <c r="N103" s="1"/>
      <c r="O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>F105-F104</f>
        <v>3.52</v>
      </c>
      <c r="J104" s="4">
        <f>G105-G104</f>
        <v>3.36</v>
      </c>
      <c r="K104" s="4">
        <f>H105-H104</f>
        <v>3.3099999999999996</v>
      </c>
      <c r="L104" s="4">
        <v>1.22</v>
      </c>
      <c r="M104" s="21">
        <v>84.8</v>
      </c>
      <c r="N104" s="1" t="s">
        <v>205</v>
      </c>
      <c r="O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I51" sqref="I51"/>
    </sheetView>
  </sheetViews>
  <sheetFormatPr baseColWidth="10" defaultRowHeight="15" x14ac:dyDescent="0"/>
  <cols>
    <col min="1" max="1" width="10.83203125" style="1"/>
    <col min="2" max="2" width="13.5" style="1" customWidth="1"/>
    <col min="3" max="3" width="8.6640625" style="1" customWidth="1"/>
    <col min="4" max="4" width="9.1640625" style="1" customWidth="1"/>
    <col min="5" max="5" width="13.33203125" style="1" customWidth="1"/>
    <col min="6" max="6" width="13.5" style="1" customWidth="1"/>
    <col min="7" max="8" width="11.33203125" style="1" customWidth="1"/>
    <col min="9" max="9" width="9.6640625" style="1" customWidth="1"/>
    <col min="10" max="10" width="9.33203125" style="1" customWidth="1"/>
    <col min="11" max="11" width="9.83203125" style="1" customWidth="1"/>
    <col min="12" max="12" width="11.5" style="1" customWidth="1"/>
    <col min="13" max="13" width="13.6640625" style="1" customWidth="1"/>
    <col min="14" max="15" width="12" style="1" customWidth="1"/>
    <col min="16" max="16" width="10.83203125" style="1"/>
    <col min="17" max="17" width="12" style="1" customWidth="1"/>
    <col min="18" max="18" width="10.33203125" style="1" customWidth="1"/>
    <col min="19" max="19" width="11.33203125" style="1" customWidth="1"/>
    <col min="20" max="20" width="1.83203125" style="1" customWidth="1"/>
    <col min="21" max="21" width="38.5" style="1" customWidth="1"/>
    <col min="22" max="16384" width="10.83203125" style="1"/>
  </cols>
  <sheetData>
    <row r="1" spans="1:21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253</v>
      </c>
      <c r="M1" s="24" t="s">
        <v>254</v>
      </c>
      <c r="N1" s="24" t="s">
        <v>39</v>
      </c>
      <c r="O1" s="24" t="s">
        <v>255</v>
      </c>
      <c r="P1" s="24" t="s">
        <v>61</v>
      </c>
      <c r="Q1" s="24" t="s">
        <v>117</v>
      </c>
      <c r="R1" s="24" t="s">
        <v>256</v>
      </c>
      <c r="S1" s="24" t="s">
        <v>63</v>
      </c>
      <c r="T1" s="15"/>
      <c r="U1" s="24" t="s">
        <v>64</v>
      </c>
    </row>
    <row r="2" spans="1:21">
      <c r="A2" s="31">
        <v>41687</v>
      </c>
      <c r="B2" s="1" t="s">
        <v>249</v>
      </c>
      <c r="C2" s="1" t="s">
        <v>120</v>
      </c>
      <c r="D2" s="4">
        <v>1.4941446513500001</v>
      </c>
      <c r="E2" s="4">
        <v>1219.76078489</v>
      </c>
      <c r="F2" s="4">
        <v>36.327661380199999</v>
      </c>
      <c r="G2" s="4">
        <v>166865.540924</v>
      </c>
      <c r="H2" s="4">
        <v>561.29614257799994</v>
      </c>
      <c r="I2" s="1" t="s">
        <v>51</v>
      </c>
      <c r="J2" s="1" t="s">
        <v>51</v>
      </c>
      <c r="K2" s="4">
        <v>6.18293650757</v>
      </c>
      <c r="L2" s="1">
        <v>5.7759999999999998</v>
      </c>
      <c r="M2" s="4">
        <f t="shared" ref="M2:M12" si="0">ABS(L2-K2)*100/K2</f>
        <v>6.5816057964006687</v>
      </c>
      <c r="N2" s="4">
        <v>2.6294009270899998</v>
      </c>
      <c r="O2" s="4">
        <v>2.6430112686446225</v>
      </c>
      <c r="P2" s="4">
        <f>ABS(O2-N2)*100/N2</f>
        <v>0.5176213872292762</v>
      </c>
      <c r="Q2" s="4">
        <v>176.00291301499999</v>
      </c>
      <c r="R2" s="4">
        <v>175.66519831577341</v>
      </c>
      <c r="S2" s="4">
        <f>ABS(R2-Q2)*100/Q2</f>
        <v>0.19188017598197293</v>
      </c>
      <c r="T2" s="15"/>
    </row>
    <row r="3" spans="1:21">
      <c r="C3" s="1" t="s">
        <v>121</v>
      </c>
      <c r="D3" s="4">
        <v>1.7930180815700001</v>
      </c>
      <c r="E3" s="4">
        <v>1364.9636032999999</v>
      </c>
      <c r="F3" s="4">
        <v>34.702299409399998</v>
      </c>
      <c r="G3" s="4">
        <v>209275.06664999999</v>
      </c>
      <c r="H3" s="4">
        <v>616.98092651399998</v>
      </c>
      <c r="I3" s="1" t="s">
        <v>51</v>
      </c>
      <c r="J3" s="1" t="s">
        <v>51</v>
      </c>
      <c r="K3" s="4">
        <v>6.3261143763799996</v>
      </c>
      <c r="L3" s="1">
        <v>5.7759999999999998</v>
      </c>
      <c r="M3" s="4">
        <f t="shared" si="0"/>
        <v>8.6959283953824507</v>
      </c>
      <c r="N3" s="4">
        <v>2.6321689675600002</v>
      </c>
      <c r="O3" s="4">
        <v>2.6430112686446225</v>
      </c>
      <c r="P3" s="4">
        <f t="shared" ref="P3:P12" si="1">ABS(O3-N3)*100/N3</f>
        <v>0.41191508669267118</v>
      </c>
      <c r="Q3" s="4">
        <v>176.032237262</v>
      </c>
      <c r="R3" s="4">
        <v>175.66519831577341</v>
      </c>
      <c r="S3" s="4">
        <f t="shared" ref="S3:S12" si="2">ABS(R3-Q3)*100/Q3</f>
        <v>0.20850666442436819</v>
      </c>
      <c r="T3" s="15"/>
    </row>
    <row r="4" spans="1:21">
      <c r="D4" s="4"/>
      <c r="E4" s="4"/>
      <c r="F4" s="4"/>
      <c r="G4" s="4"/>
      <c r="H4" s="4"/>
      <c r="K4" s="48">
        <f>0.5*(K3-K2)</f>
        <v>7.1588934404999804E-2</v>
      </c>
      <c r="M4" s="4"/>
      <c r="N4" s="4"/>
      <c r="O4" s="4"/>
      <c r="P4" s="4"/>
      <c r="Q4" s="4"/>
      <c r="R4" s="4"/>
      <c r="S4" s="4"/>
      <c r="T4" s="15"/>
    </row>
    <row r="5" spans="1:21">
      <c r="A5" s="31">
        <v>41688</v>
      </c>
      <c r="B5" s="1" t="s">
        <v>250</v>
      </c>
      <c r="C5" s="1" t="s">
        <v>120</v>
      </c>
      <c r="D5" s="4">
        <v>1.70906350136</v>
      </c>
      <c r="E5" s="4">
        <v>1416.84253577</v>
      </c>
      <c r="F5" s="4">
        <v>7.5798710229799999</v>
      </c>
      <c r="G5" s="4">
        <v>225081.15625</v>
      </c>
      <c r="H5" s="4">
        <v>118.378092408</v>
      </c>
      <c r="I5" s="1" t="s">
        <v>51</v>
      </c>
      <c r="J5" s="1" t="s">
        <v>51</v>
      </c>
      <c r="K5" s="4">
        <v>8.19766950044</v>
      </c>
      <c r="L5" s="1">
        <v>8.2649999999999988</v>
      </c>
      <c r="M5" s="4">
        <f t="shared" si="0"/>
        <v>0.82133708313545617</v>
      </c>
      <c r="N5" s="4">
        <v>3.5479964568</v>
      </c>
      <c r="O5" s="4">
        <v>2.7778992610592397</v>
      </c>
      <c r="P5" s="40">
        <f t="shared" si="1"/>
        <v>21.705128658311132</v>
      </c>
      <c r="Q5" s="4">
        <v>71.846787048099998</v>
      </c>
      <c r="R5" s="4">
        <v>56.18125229843583</v>
      </c>
      <c r="S5" s="40">
        <f t="shared" si="2"/>
        <v>21.804085322808387</v>
      </c>
      <c r="T5" s="15"/>
    </row>
    <row r="6" spans="1:21">
      <c r="C6" s="1" t="s">
        <v>121</v>
      </c>
      <c r="D6" s="4">
        <v>1.58860183528</v>
      </c>
      <c r="E6" s="4">
        <v>1405.0713126400001</v>
      </c>
      <c r="F6" s="4">
        <v>8.3949722299499996</v>
      </c>
      <c r="G6" s="4">
        <v>221071.183594</v>
      </c>
      <c r="H6" s="4">
        <v>122.51529932</v>
      </c>
      <c r="I6" s="1" t="s">
        <v>51</v>
      </c>
      <c r="J6" s="1" t="s">
        <v>51</v>
      </c>
      <c r="K6" s="4">
        <v>8.1408545275499993</v>
      </c>
      <c r="L6" s="1">
        <v>8.2649999999999988</v>
      </c>
      <c r="M6" s="4">
        <f t="shared" si="0"/>
        <v>1.524968564784823</v>
      </c>
      <c r="N6" s="4">
        <v>3.5074457529499998</v>
      </c>
      <c r="O6" s="4">
        <v>2.7778992610592397</v>
      </c>
      <c r="P6" s="40">
        <f t="shared" si="1"/>
        <v>20.799936571425572</v>
      </c>
      <c r="Q6" s="4">
        <v>71.734903000299994</v>
      </c>
      <c r="R6" s="4">
        <v>56.18125229843583</v>
      </c>
      <c r="S6" s="40">
        <f t="shared" si="2"/>
        <v>21.682124114392572</v>
      </c>
      <c r="T6" s="15"/>
    </row>
    <row r="7" spans="1:21">
      <c r="D7" s="4"/>
      <c r="E7" s="4"/>
      <c r="F7" s="4"/>
      <c r="G7" s="4"/>
      <c r="H7" s="4"/>
      <c r="K7" s="48">
        <f>0.5*ABS(K6-K5)</f>
        <v>2.8407486445000352E-2</v>
      </c>
      <c r="M7" s="4"/>
      <c r="N7" s="4"/>
      <c r="O7" s="4"/>
      <c r="P7" s="28"/>
      <c r="Q7" s="28"/>
      <c r="R7" s="28"/>
      <c r="S7" s="28"/>
      <c r="T7" s="15"/>
    </row>
    <row r="8" spans="1:21">
      <c r="A8" s="31">
        <v>41689</v>
      </c>
      <c r="B8" s="1" t="s">
        <v>251</v>
      </c>
      <c r="C8" s="1" t="s">
        <v>120</v>
      </c>
      <c r="D8" s="4">
        <v>1.6829711972100001</v>
      </c>
      <c r="E8" s="4">
        <v>1408.0786488599999</v>
      </c>
      <c r="F8" s="4">
        <v>19.656911610800002</v>
      </c>
      <c r="G8" s="4">
        <v>222294.13745099999</v>
      </c>
      <c r="H8" s="4">
        <v>319.97732543900003</v>
      </c>
      <c r="I8" s="1" t="s">
        <v>51</v>
      </c>
      <c r="J8" s="1" t="s">
        <v>51</v>
      </c>
      <c r="K8" s="4">
        <v>7.1045220131000004</v>
      </c>
      <c r="L8" s="1">
        <v>6.5259999999999998</v>
      </c>
      <c r="M8" s="33">
        <f t="shared" si="0"/>
        <v>8.1430110573697441</v>
      </c>
      <c r="N8" s="4">
        <v>3.1824403554499998</v>
      </c>
      <c r="O8" s="4">
        <v>3.2175896730433799</v>
      </c>
      <c r="P8" s="4">
        <f t="shared" si="1"/>
        <v>1.1044768689281528</v>
      </c>
      <c r="Q8" s="4">
        <v>185.290931148</v>
      </c>
      <c r="R8" s="4">
        <v>185.61057544178556</v>
      </c>
      <c r="S8" s="4">
        <f t="shared" si="2"/>
        <v>0.1725094109059466</v>
      </c>
      <c r="T8" s="15"/>
    </row>
    <row r="9" spans="1:21">
      <c r="C9" s="1" t="s">
        <v>121</v>
      </c>
      <c r="D9" s="4">
        <v>1.7177561108999999</v>
      </c>
      <c r="E9" s="4">
        <v>1425.0915060499999</v>
      </c>
      <c r="F9" s="4">
        <v>20.283081518100001</v>
      </c>
      <c r="G9" s="4">
        <v>227628.41491699999</v>
      </c>
      <c r="H9" s="4">
        <v>335.32360839799998</v>
      </c>
      <c r="I9" s="1" t="s">
        <v>51</v>
      </c>
      <c r="J9" s="1" t="s">
        <v>51</v>
      </c>
      <c r="K9" s="4">
        <v>7.0794058581900003</v>
      </c>
      <c r="L9" s="1">
        <v>6.5259999999999998</v>
      </c>
      <c r="M9" s="33">
        <f t="shared" si="0"/>
        <v>7.8171229235258233</v>
      </c>
      <c r="N9" s="4">
        <v>3.1705998637800001</v>
      </c>
      <c r="O9" s="4">
        <v>3.2175896730433799</v>
      </c>
      <c r="P9" s="4">
        <f t="shared" si="1"/>
        <v>1.4820479178144668</v>
      </c>
      <c r="Q9" s="4">
        <v>185.719061866</v>
      </c>
      <c r="R9" s="4">
        <v>185.61057544178556</v>
      </c>
      <c r="S9" s="4">
        <f t="shared" si="2"/>
        <v>5.8414264601833257E-2</v>
      </c>
      <c r="T9" s="15"/>
    </row>
    <row r="10" spans="1:21">
      <c r="D10" s="4"/>
      <c r="E10" s="4"/>
      <c r="F10" s="4"/>
      <c r="G10" s="4"/>
      <c r="H10" s="4"/>
      <c r="K10" s="48">
        <f>0.5*ABS(K9-K8)</f>
        <v>1.2558077455000038E-2</v>
      </c>
      <c r="M10" s="28"/>
      <c r="N10" s="4"/>
      <c r="O10" s="4"/>
      <c r="P10" s="4"/>
      <c r="Q10" s="4"/>
      <c r="R10" s="4"/>
      <c r="S10" s="4"/>
      <c r="T10" s="15"/>
    </row>
    <row r="11" spans="1:21">
      <c r="B11" s="1" t="s">
        <v>252</v>
      </c>
      <c r="C11" s="1" t="s">
        <v>120</v>
      </c>
      <c r="D11" s="4">
        <v>1.7719598221699999</v>
      </c>
      <c r="E11" s="4">
        <v>1407.3930368700001</v>
      </c>
      <c r="F11" s="4">
        <v>12.060884404199999</v>
      </c>
      <c r="G11" s="4">
        <v>222294.13745099999</v>
      </c>
      <c r="H11" s="4">
        <v>195.78872680699999</v>
      </c>
      <c r="I11" s="1" t="s">
        <v>51</v>
      </c>
      <c r="J11" s="1" t="s">
        <v>51</v>
      </c>
      <c r="K11" s="4">
        <v>7.6378508175100004</v>
      </c>
      <c r="L11" s="1">
        <v>7.8030000000000008</v>
      </c>
      <c r="M11" s="4">
        <f t="shared" si="0"/>
        <v>2.1622467685725284</v>
      </c>
      <c r="N11" s="4">
        <v>3.5853929021400002</v>
      </c>
      <c r="O11" s="4">
        <v>3.6235290172049632</v>
      </c>
      <c r="P11" s="4">
        <f t="shared" si="1"/>
        <v>1.0636523278160366</v>
      </c>
      <c r="Q11" s="4">
        <v>200.75571349500001</v>
      </c>
      <c r="R11" s="4">
        <v>200.98754951042156</v>
      </c>
      <c r="S11" s="4">
        <f t="shared" si="2"/>
        <v>0.11548165249469915</v>
      </c>
      <c r="T11" s="15"/>
    </row>
    <row r="12" spans="1:21">
      <c r="C12" s="1" t="s">
        <v>121</v>
      </c>
      <c r="D12" s="4">
        <v>1.7662763268599999</v>
      </c>
      <c r="E12" s="4">
        <v>1435.2815036300001</v>
      </c>
      <c r="F12" s="4">
        <v>11.826367942599999</v>
      </c>
      <c r="G12" s="4">
        <v>231089.59600799999</v>
      </c>
      <c r="H12" s="4">
        <v>192.417144775</v>
      </c>
      <c r="I12" s="1" t="s">
        <v>51</v>
      </c>
      <c r="J12" s="1" t="s">
        <v>51</v>
      </c>
      <c r="K12" s="4">
        <v>7.6988415683999998</v>
      </c>
      <c r="L12" s="1">
        <v>7.8030000000000008</v>
      </c>
      <c r="M12" s="4">
        <f t="shared" si="0"/>
        <v>1.352910443403859</v>
      </c>
      <c r="N12" s="4">
        <v>3.6013825889</v>
      </c>
      <c r="O12" s="4">
        <v>3.6235290172049632</v>
      </c>
      <c r="P12" s="4">
        <f t="shared" si="1"/>
        <v>0.61494239388011362</v>
      </c>
      <c r="Q12" s="4">
        <v>201.43474696600001</v>
      </c>
      <c r="R12" s="4">
        <v>200.98754951042156</v>
      </c>
      <c r="S12" s="4">
        <f t="shared" si="2"/>
        <v>0.22200611479107379</v>
      </c>
      <c r="T12" s="15"/>
    </row>
    <row r="13" spans="1:21">
      <c r="K13" s="48">
        <f>0.5*ABS(K12-K11)</f>
        <v>3.0495375444999695E-2</v>
      </c>
    </row>
    <row r="14" spans="1:21">
      <c r="U14" s="45" t="s">
        <v>302</v>
      </c>
    </row>
    <row r="15" spans="1:21">
      <c r="U15" s="45" t="s">
        <v>303</v>
      </c>
    </row>
    <row r="21" spans="13:14">
      <c r="M21" s="24"/>
      <c r="N21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opLeftCell="A119" workbookViewId="0">
      <selection activeCell="L12" sqref="L12"/>
    </sheetView>
  </sheetViews>
  <sheetFormatPr baseColWidth="10" defaultRowHeight="15" x14ac:dyDescent="0"/>
  <cols>
    <col min="1" max="2" width="10.83203125" style="1"/>
    <col min="3" max="3" width="9.1640625" style="1" customWidth="1"/>
    <col min="4" max="4" width="14.33203125" style="1" customWidth="1"/>
    <col min="5" max="5" width="13.33203125" style="1" customWidth="1"/>
    <col min="6" max="6" width="12" style="1" customWidth="1"/>
    <col min="7" max="11" width="10.83203125" style="1"/>
    <col min="12" max="12" width="14.5" style="1" customWidth="1"/>
    <col min="13" max="13" width="56.33203125" style="1" customWidth="1"/>
    <col min="14" max="14" width="61.1640625" style="1" customWidth="1"/>
    <col min="15" max="15" width="10.1640625" style="1" customWidth="1"/>
    <col min="16" max="17" width="10.83203125" style="1"/>
    <col min="18" max="18" width="10.83203125" style="1" customWidth="1"/>
    <col min="19" max="19" width="12" style="1" customWidth="1"/>
    <col min="20" max="16384" width="10.83203125" style="1"/>
  </cols>
  <sheetData>
    <row r="1" spans="1:14">
      <c r="A1" s="24" t="s">
        <v>42</v>
      </c>
      <c r="B1" s="24" t="s">
        <v>119</v>
      </c>
      <c r="C1" s="24" t="s">
        <v>99</v>
      </c>
      <c r="D1" s="24" t="s">
        <v>97</v>
      </c>
      <c r="E1" s="24" t="s">
        <v>98</v>
      </c>
      <c r="F1" s="24" t="s">
        <v>104</v>
      </c>
      <c r="G1" s="24" t="s">
        <v>103</v>
      </c>
      <c r="H1" s="24" t="s">
        <v>216</v>
      </c>
      <c r="I1" s="24" t="s">
        <v>217</v>
      </c>
      <c r="J1" s="24" t="s">
        <v>218</v>
      </c>
      <c r="K1" s="24" t="s">
        <v>39</v>
      </c>
      <c r="L1" s="24" t="s">
        <v>117</v>
      </c>
      <c r="M1" s="24" t="s">
        <v>64</v>
      </c>
      <c r="N1" s="24" t="s">
        <v>123</v>
      </c>
    </row>
    <row r="2" spans="1:14">
      <c r="A2" s="47">
        <v>17</v>
      </c>
      <c r="B2" s="47">
        <v>17</v>
      </c>
      <c r="C2" s="47">
        <v>17</v>
      </c>
      <c r="D2" s="47">
        <v>17</v>
      </c>
      <c r="E2" s="47">
        <v>17</v>
      </c>
      <c r="F2" s="47">
        <v>17</v>
      </c>
      <c r="G2" s="47">
        <v>17</v>
      </c>
      <c r="H2" s="47">
        <v>17</v>
      </c>
      <c r="I2" s="47">
        <v>17</v>
      </c>
      <c r="J2" s="47">
        <v>17</v>
      </c>
      <c r="K2" s="47">
        <v>17</v>
      </c>
      <c r="L2" s="47">
        <v>17</v>
      </c>
      <c r="M2" s="47">
        <v>17</v>
      </c>
      <c r="N2" s="47">
        <v>17</v>
      </c>
    </row>
    <row r="3" spans="1:14">
      <c r="A3" s="201" t="s">
        <v>166</v>
      </c>
      <c r="B3" s="147" t="s">
        <v>120</v>
      </c>
      <c r="C3" s="202">
        <v>1.5013197660399999</v>
      </c>
      <c r="D3" s="114">
        <v>1232.3642763400001</v>
      </c>
      <c r="E3" s="202">
        <v>159.179750219</v>
      </c>
      <c r="F3" s="202">
        <v>169333.10376</v>
      </c>
      <c r="G3" s="202">
        <v>1391.22672526</v>
      </c>
      <c r="H3" s="202">
        <v>5.2133598923999998</v>
      </c>
      <c r="I3" s="202"/>
      <c r="J3" s="202"/>
      <c r="K3" s="202">
        <v>1.1357063376800001</v>
      </c>
      <c r="L3" s="202">
        <v>203.04883547200001</v>
      </c>
      <c r="M3" s="203" t="s">
        <v>865</v>
      </c>
      <c r="N3" s="212" t="s">
        <v>866</v>
      </c>
    </row>
    <row r="4" spans="1:14">
      <c r="A4" s="204"/>
      <c r="B4" s="91" t="s">
        <v>121</v>
      </c>
      <c r="C4" s="205">
        <v>1.31245160103</v>
      </c>
      <c r="D4" s="205">
        <v>1203.7544744700001</v>
      </c>
      <c r="E4" s="205">
        <v>166.79502199699999</v>
      </c>
      <c r="F4" s="205">
        <v>161497.32861299999</v>
      </c>
      <c r="G4" s="205">
        <v>1278.33322144</v>
      </c>
      <c r="H4" s="205">
        <v>5.2538031683800002</v>
      </c>
      <c r="I4" s="205"/>
      <c r="J4" s="205"/>
      <c r="K4" s="205">
        <v>1.1329893157099999</v>
      </c>
      <c r="L4" s="205">
        <v>203.356472543</v>
      </c>
      <c r="M4" s="206" t="s">
        <v>865</v>
      </c>
      <c r="N4" s="211"/>
    </row>
    <row r="5" spans="1:14">
      <c r="A5" s="204"/>
      <c r="B5" s="1" t="s">
        <v>161</v>
      </c>
      <c r="C5" s="205">
        <v>1.5084054470099999</v>
      </c>
      <c r="D5" s="205">
        <v>1129.91651422</v>
      </c>
      <c r="E5" s="205">
        <v>162.19853098199999</v>
      </c>
      <c r="F5" s="205">
        <v>142427.88769500001</v>
      </c>
      <c r="G5" s="205">
        <v>1224.36656698</v>
      </c>
      <c r="H5" s="205">
        <v>5.1642089284299999</v>
      </c>
      <c r="J5" s="205"/>
      <c r="K5" s="205">
        <v>1.13288466824</v>
      </c>
      <c r="L5" s="205">
        <v>203.75627194200001</v>
      </c>
      <c r="M5" s="206" t="s">
        <v>865</v>
      </c>
      <c r="N5" s="211"/>
    </row>
    <row r="6" spans="1:14">
      <c r="A6" s="204"/>
      <c r="B6" s="91" t="s">
        <v>120</v>
      </c>
      <c r="C6" s="205">
        <v>1.24355149269</v>
      </c>
      <c r="D6" s="205">
        <v>1015.5265865</v>
      </c>
      <c r="E6" s="205">
        <v>163.25312796899999</v>
      </c>
      <c r="F6" s="205">
        <v>114990.453735</v>
      </c>
      <c r="G6" s="205">
        <v>2421.9835408499998</v>
      </c>
      <c r="H6" s="205"/>
      <c r="I6" s="205">
        <v>4.19122650043</v>
      </c>
      <c r="J6" s="205"/>
      <c r="K6" s="205">
        <v>1.1027406339200001</v>
      </c>
      <c r="L6" s="205">
        <v>206.18526491700001</v>
      </c>
      <c r="M6" s="206" t="s">
        <v>864</v>
      </c>
      <c r="N6" s="211"/>
    </row>
    <row r="7" spans="1:14">
      <c r="A7" s="204"/>
      <c r="B7" s="91" t="s">
        <v>121</v>
      </c>
      <c r="C7" s="205">
        <v>1.4084713459</v>
      </c>
      <c r="D7" s="205">
        <v>1000.73784667</v>
      </c>
      <c r="E7" s="205">
        <v>162.158691519</v>
      </c>
      <c r="F7" s="205">
        <v>111772.827026</v>
      </c>
      <c r="G7" s="205">
        <v>2456.2557474800001</v>
      </c>
      <c r="H7" s="205"/>
      <c r="I7" s="205">
        <v>4.1451566289199997</v>
      </c>
      <c r="K7" s="205">
        <v>1.07635876075</v>
      </c>
      <c r="L7" s="205">
        <v>207.107926142</v>
      </c>
      <c r="N7" s="211"/>
    </row>
    <row r="8" spans="1:14">
      <c r="A8" s="204"/>
      <c r="B8" s="1" t="s">
        <v>161</v>
      </c>
      <c r="C8" s="205">
        <v>1.3679729700100001</v>
      </c>
      <c r="D8" s="205">
        <v>989.12989953700003</v>
      </c>
      <c r="E8" s="205">
        <v>163.19319846499999</v>
      </c>
      <c r="F8" s="205">
        <v>109194.909424</v>
      </c>
      <c r="G8" s="205">
        <v>2429.7614033999998</v>
      </c>
      <c r="H8" s="205"/>
      <c r="I8" s="205">
        <v>4.1315969083799997</v>
      </c>
      <c r="K8" s="205">
        <v>1.0734171377699999</v>
      </c>
      <c r="L8" s="205">
        <v>207.10264936600001</v>
      </c>
      <c r="M8" s="206"/>
      <c r="N8" s="211"/>
    </row>
    <row r="9" spans="1:14">
      <c r="A9" s="204"/>
      <c r="B9" s="91" t="s">
        <v>120</v>
      </c>
      <c r="C9" s="205">
        <v>1.46559453011</v>
      </c>
      <c r="D9" s="205">
        <v>746.26201631599997</v>
      </c>
      <c r="E9" s="205">
        <v>118.440628207</v>
      </c>
      <c r="F9" s="205">
        <v>62434.185485800001</v>
      </c>
      <c r="G9" s="205">
        <v>1504.30207316</v>
      </c>
      <c r="H9" s="205"/>
      <c r="I9" s="205"/>
      <c r="J9" s="4">
        <v>4.0452184906699999</v>
      </c>
      <c r="K9" s="205">
        <v>1.11350142263</v>
      </c>
      <c r="L9" s="205">
        <v>206.19299384499999</v>
      </c>
      <c r="M9" s="206" t="s">
        <v>864</v>
      </c>
      <c r="N9" s="211"/>
    </row>
    <row r="10" spans="1:14">
      <c r="A10" s="204"/>
      <c r="B10" s="91" t="s">
        <v>121</v>
      </c>
      <c r="C10" s="205">
        <v>1.3471145629900001</v>
      </c>
      <c r="D10" s="205">
        <v>752.22392993599999</v>
      </c>
      <c r="E10" s="205">
        <v>119.61171990299999</v>
      </c>
      <c r="F10" s="205">
        <v>63325.234558099997</v>
      </c>
      <c r="G10" s="205">
        <v>1471.0452575700001</v>
      </c>
      <c r="H10" s="205"/>
      <c r="I10" s="205"/>
      <c r="J10" s="4">
        <v>4.0848769321100002</v>
      </c>
      <c r="K10" s="205">
        <v>1.0810204752300001</v>
      </c>
      <c r="L10" s="205">
        <v>207.719607153</v>
      </c>
      <c r="M10" s="206"/>
      <c r="N10" s="211"/>
    </row>
    <row r="11" spans="1:14">
      <c r="A11" s="204"/>
      <c r="B11" s="1" t="s">
        <v>161</v>
      </c>
      <c r="C11" s="205">
        <v>1.6546163559</v>
      </c>
      <c r="D11" s="205">
        <v>790.29472298300004</v>
      </c>
      <c r="E11" s="205">
        <v>115.463479695</v>
      </c>
      <c r="F11" s="205">
        <v>70103.538635300007</v>
      </c>
      <c r="G11" s="205">
        <v>1549.8006897</v>
      </c>
      <c r="H11" s="205"/>
      <c r="I11" s="205"/>
      <c r="J11" s="4">
        <v>4.1386602267299999</v>
      </c>
      <c r="K11" s="205">
        <v>1.12456884241</v>
      </c>
      <c r="L11" s="205">
        <v>207.79011496499999</v>
      </c>
      <c r="M11" s="206"/>
      <c r="N11" s="211"/>
    </row>
    <row r="12" spans="1:14">
      <c r="A12" s="204"/>
      <c r="C12" s="207"/>
      <c r="D12" s="207"/>
      <c r="E12" s="207"/>
      <c r="F12" s="207"/>
      <c r="G12" s="207"/>
      <c r="H12" s="96">
        <f>AVERAGE(H3:H5)</f>
        <v>5.2104573297366663</v>
      </c>
      <c r="I12" s="96">
        <f>AVERAGE(I6:I8)</f>
        <v>4.1559933459100007</v>
      </c>
      <c r="J12" s="96">
        <f>AVERAGE(J9:J11)</f>
        <v>4.0895852165033331</v>
      </c>
      <c r="K12" s="96">
        <f>(K3+K4+K5+K6+K7+K8)/6</f>
        <v>1.109016142345</v>
      </c>
      <c r="L12" s="96">
        <f>(L3+L4+L5+L6+L7+L8)/6</f>
        <v>205.09290339699999</v>
      </c>
      <c r="M12" s="207"/>
      <c r="N12" s="211"/>
    </row>
    <row r="13" spans="1:14">
      <c r="A13" s="208"/>
      <c r="B13" s="209"/>
      <c r="C13" s="209"/>
      <c r="D13" s="209"/>
      <c r="E13" s="209"/>
      <c r="F13" s="209"/>
      <c r="G13" s="209"/>
      <c r="H13" s="187">
        <f>STDEV(H3:H5)</f>
        <v>4.4867589756588076E-2</v>
      </c>
      <c r="I13" s="187">
        <f>STDEV(I6:I8)</f>
        <v>3.1256965437377028E-2</v>
      </c>
      <c r="J13" s="187">
        <f>STDEV(J9:J11)</f>
        <v>4.6898459099666077E-2</v>
      </c>
      <c r="K13" s="187">
        <f>STDEV(K3:K11)</f>
        <v>2.5662928786524319E-2</v>
      </c>
      <c r="L13" s="187">
        <f>STDEV(L3:L11)</f>
        <v>1.9063067639485396</v>
      </c>
      <c r="M13" s="209"/>
      <c r="N13" s="210"/>
    </row>
    <row r="14" spans="1:14">
      <c r="A14" s="1" t="s">
        <v>263</v>
      </c>
      <c r="B14" s="1" t="s">
        <v>120</v>
      </c>
      <c r="C14" s="4">
        <v>1.3647904158999999</v>
      </c>
      <c r="D14" s="4">
        <v>1112.9355988899999</v>
      </c>
      <c r="E14" s="4">
        <v>8.2145665209600001</v>
      </c>
      <c r="F14" s="4">
        <v>138092.87036100001</v>
      </c>
      <c r="G14" s="4">
        <v>67.279449462900004</v>
      </c>
      <c r="H14" s="4">
        <v>8.2807220694900003</v>
      </c>
      <c r="I14" s="4"/>
      <c r="J14" s="4"/>
      <c r="K14" s="4">
        <v>4.7780485586000001</v>
      </c>
      <c r="L14" s="4">
        <v>9.3468484707799995</v>
      </c>
      <c r="M14" s="1" t="s">
        <v>267</v>
      </c>
    </row>
    <row r="15" spans="1:14">
      <c r="B15" s="1" t="s">
        <v>121</v>
      </c>
      <c r="C15" s="4">
        <v>1.38490469293</v>
      </c>
      <c r="D15" s="4">
        <v>1063.1054055</v>
      </c>
      <c r="E15" s="4">
        <v>6.7455453480600003</v>
      </c>
      <c r="F15" s="4">
        <v>126058.49157699999</v>
      </c>
      <c r="G15" s="4">
        <v>52.025390625</v>
      </c>
      <c r="H15" s="4">
        <v>8.4608918907399993</v>
      </c>
      <c r="I15" s="4"/>
      <c r="J15" s="4"/>
      <c r="K15" s="4">
        <v>4.7909740725700001</v>
      </c>
      <c r="L15" s="4">
        <v>8.3127431421000004</v>
      </c>
      <c r="M15" s="1" t="s">
        <v>268</v>
      </c>
    </row>
    <row r="16" spans="1:14">
      <c r="B16" s="1" t="s">
        <v>120</v>
      </c>
      <c r="C16" s="4">
        <v>1.46988155303</v>
      </c>
      <c r="D16" s="4">
        <v>992.70359357999996</v>
      </c>
      <c r="E16" s="4">
        <v>9.1462077340699999</v>
      </c>
      <c r="F16" s="4">
        <v>110037.381104</v>
      </c>
      <c r="G16" s="4">
        <v>75.937164306599996</v>
      </c>
      <c r="H16" s="4"/>
      <c r="I16" s="4">
        <v>7.9027146754900004</v>
      </c>
      <c r="J16" s="4"/>
      <c r="K16" s="4">
        <v>4.7365595195500001</v>
      </c>
      <c r="L16" s="4">
        <v>8.7548314283999993</v>
      </c>
    </row>
    <row r="17" spans="1:14">
      <c r="B17" s="1" t="s">
        <v>121</v>
      </c>
      <c r="C17" s="4">
        <v>1.60851089189</v>
      </c>
      <c r="D17" s="4">
        <v>1176.4085059399999</v>
      </c>
      <c r="E17" s="4">
        <v>12.6856387681</v>
      </c>
      <c r="F17" s="4">
        <v>154443.12219200001</v>
      </c>
      <c r="G17" s="4">
        <v>119.18762219</v>
      </c>
      <c r="H17" s="4"/>
      <c r="I17" s="4">
        <v>7.7813435425800002</v>
      </c>
      <c r="J17" s="4"/>
      <c r="K17" s="4">
        <v>4.8268614410700001</v>
      </c>
      <c r="L17" s="4">
        <v>9.0293033505999993</v>
      </c>
    </row>
    <row r="18" spans="1:14">
      <c r="B18" s="1" t="s">
        <v>120</v>
      </c>
      <c r="C18" s="4">
        <v>1.47116194859</v>
      </c>
      <c r="D18" s="4">
        <v>981.15560721600002</v>
      </c>
      <c r="E18" s="4">
        <v>11.367770005600001</v>
      </c>
      <c r="F18" s="4">
        <v>107505.580017</v>
      </c>
      <c r="G18" s="4">
        <v>97.525512695299994</v>
      </c>
      <c r="H18" s="4"/>
      <c r="I18" s="4"/>
      <c r="J18" s="4">
        <v>7.6057819113900003</v>
      </c>
      <c r="K18" s="4">
        <v>4.8315413071500002</v>
      </c>
      <c r="L18" s="4">
        <v>8.9811180366999999</v>
      </c>
    </row>
    <row r="19" spans="1:14">
      <c r="B19" s="1" t="s">
        <v>121</v>
      </c>
      <c r="C19" s="4">
        <v>1.61570563117</v>
      </c>
      <c r="D19" s="4">
        <v>1012.70297269</v>
      </c>
      <c r="E19" s="4">
        <v>12.211106259599999</v>
      </c>
      <c r="F19" s="4">
        <v>114582.78350799999</v>
      </c>
      <c r="G19" s="4">
        <v>114.85330200200001</v>
      </c>
      <c r="H19" s="4"/>
      <c r="I19" s="4"/>
      <c r="J19" s="4">
        <v>7.4974397064999998</v>
      </c>
      <c r="K19" s="4">
        <v>4.8118394664500004</v>
      </c>
      <c r="L19" s="4">
        <v>8.9307093396900008</v>
      </c>
    </row>
    <row r="20" spans="1:14">
      <c r="H20" s="33">
        <f>0.5*(H14+H15)</f>
        <v>8.3708069801149989</v>
      </c>
      <c r="I20" s="33">
        <f>0.5*(I16+I17)</f>
        <v>7.8420291090349998</v>
      </c>
      <c r="J20" s="33">
        <f>0.5*(J18+J19)</f>
        <v>7.551610808945</v>
      </c>
      <c r="K20" s="33">
        <f>(K14+K15+K16+K17+K18+K19)/6</f>
        <v>4.7959707275649999</v>
      </c>
      <c r="L20" s="33">
        <f>(L14+L15+L16+L17+L18+L19)/6</f>
        <v>8.8925922947116671</v>
      </c>
    </row>
    <row r="21" spans="1:14">
      <c r="H21" s="49">
        <f>ABS(H20-H14)</f>
        <v>9.0084910624998571E-2</v>
      </c>
      <c r="I21" s="49">
        <f>ABS(I20-I17)</f>
        <v>6.0685566454999673E-2</v>
      </c>
      <c r="J21" s="49">
        <f>ABS(J20-J19)</f>
        <v>5.417110244500023E-2</v>
      </c>
      <c r="K21" s="28"/>
      <c r="L21" s="28"/>
    </row>
    <row r="22" spans="1:14">
      <c r="A22" s="1" t="s">
        <v>264</v>
      </c>
      <c r="B22" s="1" t="s">
        <v>120</v>
      </c>
      <c r="C22" s="4">
        <v>1.5322182735100001</v>
      </c>
      <c r="D22" s="4">
        <v>1085.95872958</v>
      </c>
      <c r="E22" s="4">
        <v>33.370706718500003</v>
      </c>
      <c r="F22" s="4">
        <v>131643.949219</v>
      </c>
      <c r="G22" s="4">
        <v>339.410980225</v>
      </c>
      <c r="H22" s="4"/>
      <c r="I22" s="4"/>
      <c r="J22" s="4">
        <v>6.4716875358300001</v>
      </c>
      <c r="K22" s="4">
        <v>4.5358542343500003</v>
      </c>
      <c r="L22" s="4">
        <v>347.95049375000002</v>
      </c>
    </row>
    <row r="23" spans="1:14">
      <c r="B23" s="1" t="s">
        <v>121</v>
      </c>
      <c r="C23" s="4">
        <v>1.4759878393700001</v>
      </c>
      <c r="D23" s="4">
        <v>1082.2144876100001</v>
      </c>
      <c r="E23" s="4">
        <v>35.041689016600003</v>
      </c>
      <c r="F23" s="4">
        <v>130717.592773</v>
      </c>
      <c r="G23" s="4">
        <v>350.27398681599999</v>
      </c>
      <c r="H23" s="4"/>
      <c r="I23" s="4"/>
      <c r="J23" s="4">
        <v>6.4298153899799999</v>
      </c>
      <c r="K23" s="4">
        <v>4.5633994505300004</v>
      </c>
      <c r="L23" s="4">
        <v>348.014215476</v>
      </c>
    </row>
    <row r="24" spans="1:14">
      <c r="J24" s="33">
        <f>0.5*(J22+J23)</f>
        <v>6.450751462905</v>
      </c>
      <c r="K24" s="33">
        <f>0.5*(K22+K23)</f>
        <v>4.5496268424400004</v>
      </c>
      <c r="L24" s="33">
        <f>0.5*(L22+L23)</f>
        <v>347.98235461299998</v>
      </c>
    </row>
    <row r="25" spans="1:14">
      <c r="J25" s="49">
        <f>ABS(J24-J23)</f>
        <v>2.0936072925000104E-2</v>
      </c>
      <c r="K25" s="28"/>
      <c r="L25" s="28"/>
    </row>
    <row r="26" spans="1:14">
      <c r="A26" s="146" t="s">
        <v>306</v>
      </c>
      <c r="B26" s="147" t="s">
        <v>120</v>
      </c>
      <c r="C26" s="114">
        <v>1.4000571966199999</v>
      </c>
      <c r="D26" s="114">
        <v>1026.2998477599999</v>
      </c>
      <c r="E26" s="114">
        <v>75.109373257300007</v>
      </c>
      <c r="F26" s="114">
        <v>117524.268188</v>
      </c>
      <c r="G26" s="114">
        <v>960.64587402300003</v>
      </c>
      <c r="H26" s="114">
        <v>5.2189105844099997</v>
      </c>
      <c r="I26" s="114"/>
      <c r="J26" s="188"/>
      <c r="K26" s="134">
        <v>3.5755894474600001</v>
      </c>
      <c r="L26" s="134">
        <v>92.381030019099995</v>
      </c>
      <c r="M26" s="147"/>
      <c r="N26" s="148"/>
    </row>
    <row r="27" spans="1:14">
      <c r="A27" s="110"/>
      <c r="B27" s="91" t="s">
        <v>121</v>
      </c>
      <c r="C27" s="92">
        <v>1.4832546711000001</v>
      </c>
      <c r="D27" s="92">
        <v>1061.4622855</v>
      </c>
      <c r="E27" s="92">
        <v>71.933650950200004</v>
      </c>
      <c r="F27" s="92">
        <v>125741.10894799999</v>
      </c>
      <c r="G27" s="92">
        <v>929.94534301800002</v>
      </c>
      <c r="H27" s="92">
        <v>5.3275496557400004</v>
      </c>
      <c r="I27" s="92"/>
      <c r="J27" s="186"/>
      <c r="K27" s="101">
        <v>3.5726137523400001</v>
      </c>
      <c r="L27" s="101">
        <v>92.806477747700001</v>
      </c>
      <c r="M27" s="91"/>
      <c r="N27" s="149"/>
    </row>
    <row r="28" spans="1:14">
      <c r="A28" s="110"/>
      <c r="B28" s="91" t="s">
        <v>120</v>
      </c>
      <c r="C28" s="92">
        <v>1.46712994576</v>
      </c>
      <c r="D28" s="92">
        <v>1021.90356824</v>
      </c>
      <c r="E28" s="92">
        <v>128.12971891500001</v>
      </c>
      <c r="F28" s="92">
        <v>116571.78833</v>
      </c>
      <c r="G28" s="92">
        <v>2261.63116455</v>
      </c>
      <c r="H28" s="92"/>
      <c r="I28" s="92">
        <v>4.2804291977000002</v>
      </c>
      <c r="J28" s="186"/>
      <c r="K28" s="101">
        <v>3.5740247371699998</v>
      </c>
      <c r="L28" s="101">
        <v>92.834763796499999</v>
      </c>
      <c r="M28" s="91"/>
      <c r="N28" s="149"/>
    </row>
    <row r="29" spans="1:14">
      <c r="A29" s="110"/>
      <c r="B29" s="91" t="s">
        <v>121</v>
      </c>
      <c r="C29" s="92">
        <v>1.4051721096000001</v>
      </c>
      <c r="D29" s="92">
        <v>982.23087606000001</v>
      </c>
      <c r="E29" s="92">
        <v>125.70826775499999</v>
      </c>
      <c r="F29" s="92">
        <v>107692.787109</v>
      </c>
      <c r="G29" s="92">
        <v>2160.2655944799999</v>
      </c>
      <c r="H29" s="92"/>
      <c r="I29" s="92">
        <v>4.2441986695800002</v>
      </c>
      <c r="J29" s="186"/>
      <c r="K29" s="101">
        <v>3.5732805491800002</v>
      </c>
      <c r="L29" s="101">
        <v>92.379511082199997</v>
      </c>
      <c r="M29" s="91"/>
      <c r="N29" s="149"/>
    </row>
    <row r="30" spans="1:14">
      <c r="A30" s="110"/>
      <c r="B30" s="91" t="s">
        <v>120</v>
      </c>
      <c r="C30" s="92">
        <v>1.39140748978</v>
      </c>
      <c r="D30" s="92">
        <v>1020.53954183</v>
      </c>
      <c r="E30" s="92">
        <v>151.331800335</v>
      </c>
      <c r="F30" s="92">
        <v>116190.882935</v>
      </c>
      <c r="G30" s="92">
        <v>3002.3792724599998</v>
      </c>
      <c r="H30" s="92"/>
      <c r="I30" s="92"/>
      <c r="J30" s="184">
        <v>3.9692662468700002</v>
      </c>
      <c r="K30" s="101">
        <v>3.5514716697600002</v>
      </c>
      <c r="L30" s="101">
        <v>92.830492755099996</v>
      </c>
      <c r="M30" s="91"/>
      <c r="N30" s="149"/>
    </row>
    <row r="31" spans="1:14">
      <c r="A31" s="110"/>
      <c r="B31" s="91" t="s">
        <v>121</v>
      </c>
      <c r="C31" s="92">
        <v>1.39456915855</v>
      </c>
      <c r="D31" s="92">
        <v>1077.09207309</v>
      </c>
      <c r="E31" s="92">
        <v>159.08027765400001</v>
      </c>
      <c r="F31" s="92">
        <v>129391.283203</v>
      </c>
      <c r="G31" s="92">
        <v>3250.8826599099998</v>
      </c>
      <c r="H31" s="92"/>
      <c r="I31" s="92"/>
      <c r="J31" s="184">
        <v>3.9997593147399999</v>
      </c>
      <c r="K31" s="101">
        <v>3.5679230615400002</v>
      </c>
      <c r="L31" s="101">
        <v>92.7686230857</v>
      </c>
      <c r="M31" s="91"/>
      <c r="N31" s="149"/>
    </row>
    <row r="32" spans="1:14">
      <c r="A32" s="110"/>
      <c r="B32" s="91"/>
      <c r="C32" s="91"/>
      <c r="D32" s="91"/>
      <c r="E32" s="91"/>
      <c r="F32" s="91"/>
      <c r="G32" s="91"/>
      <c r="H32" s="96">
        <f>0.5*(H26+H27)</f>
        <v>5.2732301200750005</v>
      </c>
      <c r="I32" s="96">
        <f>0.5*(I28+I29)</f>
        <v>4.2623139336399998</v>
      </c>
      <c r="J32" s="96">
        <f>0.5*(J30+J31)</f>
        <v>3.9845127808049998</v>
      </c>
      <c r="K32" s="96">
        <f>AVERAGE(K26:K31)</f>
        <v>3.5691505362416667</v>
      </c>
      <c r="L32" s="96">
        <f>AVERAGE(L26:L31)</f>
        <v>92.666816414383334</v>
      </c>
      <c r="M32" s="91"/>
      <c r="N32" s="149"/>
    </row>
    <row r="33" spans="1:14">
      <c r="A33" s="156"/>
      <c r="B33" s="157"/>
      <c r="C33" s="157"/>
      <c r="D33" s="157"/>
      <c r="E33" s="157"/>
      <c r="F33" s="157"/>
      <c r="G33" s="157"/>
      <c r="H33" s="187">
        <f>ABS(H32-H26)</f>
        <v>5.4319535665000807E-2</v>
      </c>
      <c r="I33" s="187">
        <f>ABS(I32-I29)</f>
        <v>1.8115264059999525E-2</v>
      </c>
      <c r="J33" s="187">
        <f>ABS(J32-J31)</f>
        <v>1.5246533935000084E-2</v>
      </c>
      <c r="K33" s="119"/>
      <c r="L33" s="119"/>
      <c r="M33" s="157"/>
      <c r="N33" s="158"/>
    </row>
    <row r="34" spans="1:14">
      <c r="A34" s="46">
        <v>18</v>
      </c>
      <c r="B34" s="46">
        <v>18</v>
      </c>
      <c r="C34" s="46">
        <v>18</v>
      </c>
      <c r="D34" s="46">
        <v>18</v>
      </c>
      <c r="E34" s="46">
        <v>18</v>
      </c>
      <c r="F34" s="46">
        <v>18</v>
      </c>
      <c r="G34" s="46">
        <v>18</v>
      </c>
      <c r="H34" s="46">
        <v>18</v>
      </c>
      <c r="I34" s="46">
        <v>18</v>
      </c>
      <c r="J34" s="46">
        <v>18</v>
      </c>
      <c r="K34" s="46">
        <v>18</v>
      </c>
      <c r="L34" s="46">
        <v>18</v>
      </c>
      <c r="M34" s="46">
        <v>18</v>
      </c>
      <c r="N34" s="46">
        <v>18</v>
      </c>
    </row>
    <row r="35" spans="1:14">
      <c r="A35" s="1" t="s">
        <v>531</v>
      </c>
      <c r="B35" s="42" t="s">
        <v>120</v>
      </c>
      <c r="C35" s="60">
        <v>1.2934367395099999</v>
      </c>
      <c r="D35" s="60">
        <v>1120.00369232</v>
      </c>
      <c r="E35" s="60">
        <v>4.5781313463200002</v>
      </c>
      <c r="F35" s="60">
        <v>139813.98474099999</v>
      </c>
      <c r="G35" s="60">
        <v>33.0740356445</v>
      </c>
      <c r="H35" s="60">
        <v>9.0651585582499994</v>
      </c>
      <c r="I35" s="60"/>
      <c r="J35" s="60"/>
      <c r="K35" s="60">
        <v>4.2870400170899998</v>
      </c>
      <c r="L35" s="60">
        <v>206.391456492</v>
      </c>
      <c r="M35" s="1" t="s">
        <v>293</v>
      </c>
    </row>
    <row r="36" spans="1:14">
      <c r="B36" s="42" t="s">
        <v>121</v>
      </c>
      <c r="C36" s="60">
        <v>1.4737278363799999</v>
      </c>
      <c r="D36" s="60">
        <v>1100.95207239</v>
      </c>
      <c r="E36" s="60">
        <v>3.09261304176</v>
      </c>
      <c r="F36" s="60">
        <v>135241.76696800001</v>
      </c>
      <c r="G36" s="60">
        <v>25.080902099599999</v>
      </c>
      <c r="H36" s="60">
        <v>9.32941920833</v>
      </c>
      <c r="I36" s="60"/>
      <c r="J36" s="60"/>
      <c r="K36" s="60">
        <v>4.3155795230500003</v>
      </c>
      <c r="L36" s="60">
        <v>206.47218566399999</v>
      </c>
      <c r="M36" s="1" t="s">
        <v>294</v>
      </c>
      <c r="N36" s="1" t="s">
        <v>270</v>
      </c>
    </row>
    <row r="37" spans="1:14">
      <c r="B37" s="1" t="s">
        <v>161</v>
      </c>
      <c r="C37" s="4">
        <v>1.2170195857799999</v>
      </c>
      <c r="D37" s="4">
        <v>1155.6011296500001</v>
      </c>
      <c r="E37" s="4">
        <v>5.10332719089</v>
      </c>
      <c r="F37" s="4">
        <v>148751.642334</v>
      </c>
      <c r="G37" s="4">
        <v>36.610534668</v>
      </c>
      <c r="H37" s="4">
        <v>9.0221392448</v>
      </c>
      <c r="I37" s="4"/>
      <c r="J37" s="4"/>
      <c r="K37" s="4">
        <v>4.2622550227199998</v>
      </c>
      <c r="L37" s="4">
        <v>207.64159131900001</v>
      </c>
    </row>
    <row r="38" spans="1:14">
      <c r="B38" s="1" t="s">
        <v>120</v>
      </c>
      <c r="C38" s="4">
        <v>1.2861037414900001</v>
      </c>
      <c r="D38" s="4">
        <v>1186.03346259</v>
      </c>
      <c r="E38" s="4">
        <v>8.6322119721299995</v>
      </c>
      <c r="F38" s="4">
        <v>156727.78833000001</v>
      </c>
      <c r="G38" s="4">
        <v>61.975341796899997</v>
      </c>
      <c r="H38" s="4"/>
      <c r="I38" s="4">
        <v>8.5073176861800004</v>
      </c>
      <c r="J38" s="4"/>
      <c r="K38" s="4">
        <v>4.2566241002099998</v>
      </c>
      <c r="L38" s="4">
        <v>207.08480134199999</v>
      </c>
    </row>
    <row r="39" spans="1:14">
      <c r="B39" s="42" t="s">
        <v>121</v>
      </c>
      <c r="C39" s="60">
        <v>1.3452578831199999</v>
      </c>
      <c r="D39" s="60">
        <v>1153.00081273</v>
      </c>
      <c r="E39" s="60">
        <v>5.7089177333099999</v>
      </c>
      <c r="F39" s="60">
        <v>148183.15515100001</v>
      </c>
      <c r="G39" s="60">
        <v>42.489532470699999</v>
      </c>
      <c r="H39" s="60"/>
      <c r="I39" s="60">
        <v>8.8562922131199997</v>
      </c>
      <c r="J39" s="60"/>
      <c r="K39" s="60">
        <v>4.26212185229</v>
      </c>
      <c r="L39" s="60">
        <v>206.905695369</v>
      </c>
    </row>
    <row r="40" spans="1:14">
      <c r="B40" s="1" t="s">
        <v>161</v>
      </c>
      <c r="C40" s="4">
        <v>1.5264971710499999</v>
      </c>
      <c r="D40" s="4">
        <v>1161.74031902</v>
      </c>
      <c r="E40" s="4">
        <v>6.6601098029600001</v>
      </c>
      <c r="F40" s="4">
        <v>150565.796997</v>
      </c>
      <c r="G40" s="4">
        <v>57.268737793</v>
      </c>
      <c r="H40" s="4"/>
      <c r="I40" s="4">
        <v>8.5495217900499991</v>
      </c>
      <c r="J40" s="4"/>
      <c r="K40" s="4">
        <v>4.2324325361600001</v>
      </c>
      <c r="L40" s="4">
        <v>206.80611422999999</v>
      </c>
    </row>
    <row r="41" spans="1:14">
      <c r="B41" s="1" t="s">
        <v>120</v>
      </c>
      <c r="C41" s="4">
        <v>1.5420191837399999</v>
      </c>
      <c r="D41" s="4">
        <v>1089.6781757799999</v>
      </c>
      <c r="E41" s="4">
        <v>4.9503994091000001</v>
      </c>
      <c r="F41" s="4">
        <v>132550.88928199999</v>
      </c>
      <c r="G41" s="4">
        <v>41.777679443399997</v>
      </c>
      <c r="H41" s="4"/>
      <c r="I41" s="4"/>
      <c r="J41" s="4">
        <v>8.7535958312200002</v>
      </c>
      <c r="K41" s="4">
        <v>4.2467645973500003</v>
      </c>
      <c r="L41" s="4">
        <v>207.45662861700001</v>
      </c>
    </row>
    <row r="42" spans="1:14">
      <c r="B42" s="1" t="s">
        <v>121</v>
      </c>
      <c r="C42" s="4">
        <v>1.3686500457799999</v>
      </c>
      <c r="D42" s="4">
        <v>1070.0362263300001</v>
      </c>
      <c r="E42" s="4">
        <v>4.9683380853000001</v>
      </c>
      <c r="F42" s="4">
        <v>127706.766479</v>
      </c>
      <c r="G42" s="4">
        <v>37.379252135800002</v>
      </c>
      <c r="H42" s="4"/>
      <c r="I42" s="4"/>
      <c r="J42" s="4">
        <v>8.8339582518800004</v>
      </c>
      <c r="K42" s="4">
        <v>4.2720515562900001</v>
      </c>
      <c r="L42" s="4">
        <v>205.301500433</v>
      </c>
    </row>
    <row r="43" spans="1:14">
      <c r="B43" s="1" t="s">
        <v>161</v>
      </c>
      <c r="C43" s="4">
        <v>1.35902545428</v>
      </c>
      <c r="D43" s="4">
        <v>1100.5281806999999</v>
      </c>
      <c r="E43" s="4">
        <v>5.8800705752800004</v>
      </c>
      <c r="F43" s="4">
        <v>135053.925781</v>
      </c>
      <c r="G43" s="4">
        <v>44.249725341800001</v>
      </c>
      <c r="H43" s="4"/>
      <c r="I43" s="4"/>
      <c r="J43" s="4">
        <v>8.7114915837800009</v>
      </c>
      <c r="K43" s="4">
        <v>4.2884162344099996</v>
      </c>
      <c r="L43" s="4">
        <v>206.77660873599999</v>
      </c>
    </row>
    <row r="44" spans="1:14">
      <c r="H44" s="33">
        <f>(H37+H35+H36)/3</f>
        <v>9.1389056704599998</v>
      </c>
      <c r="I44" s="33">
        <f>(I40+I38+I39)/3</f>
        <v>8.6377105631166664</v>
      </c>
      <c r="J44" s="33">
        <f>(J41+J42+J43)/3</f>
        <v>8.7663485556266689</v>
      </c>
      <c r="K44" s="33">
        <f>(K35+K36+K37+K38+K39+K40+K41+K42+K43)/9</f>
        <v>4.2692539377300003</v>
      </c>
      <c r="L44" s="33">
        <f>(L35+L36+L37+L38+L39+L40+L41+L42+L43)/9</f>
        <v>206.75962024466668</v>
      </c>
    </row>
    <row r="45" spans="1:14">
      <c r="H45" s="49">
        <f>STDEV(H35,H36,H37)</f>
        <v>0.16638576085781903</v>
      </c>
      <c r="I45" s="49">
        <f>STDEV(I38,I39,I40)</f>
        <v>0.19046981357816828</v>
      </c>
      <c r="J45" s="49">
        <f>STDEV(J41,J42,J43)</f>
        <v>6.2221340259778712E-2</v>
      </c>
      <c r="K45" s="28"/>
      <c r="L45" s="28"/>
      <c r="M45" s="25"/>
    </row>
    <row r="46" spans="1:14">
      <c r="A46" s="1" t="s">
        <v>271</v>
      </c>
      <c r="B46" s="1" t="s">
        <v>120</v>
      </c>
      <c r="C46" s="4">
        <v>1.3745952048100001</v>
      </c>
      <c r="D46" s="4">
        <v>1194.28255074</v>
      </c>
      <c r="E46" s="4">
        <v>8.3860289238500005</v>
      </c>
      <c r="F46" s="4">
        <v>158970.61645500001</v>
      </c>
      <c r="G46" s="4">
        <v>66.106719970699999</v>
      </c>
      <c r="H46" s="4">
        <v>8.4526781227899992</v>
      </c>
      <c r="I46" s="4"/>
      <c r="J46" s="4"/>
      <c r="K46" s="4">
        <v>3.4820965806399999</v>
      </c>
      <c r="L46" s="4">
        <v>84.699657580700006</v>
      </c>
    </row>
    <row r="47" spans="1:14">
      <c r="B47" s="1" t="s">
        <v>121</v>
      </c>
      <c r="C47" s="4">
        <v>1.2155404303299999</v>
      </c>
      <c r="D47" s="4">
        <v>1140.89321111</v>
      </c>
      <c r="E47" s="4">
        <v>6.3002523612100001</v>
      </c>
      <c r="F47" s="4">
        <v>145010.98352099999</v>
      </c>
      <c r="G47" s="4">
        <v>43.504821777300002</v>
      </c>
      <c r="H47" s="4">
        <v>8.8071587606299993</v>
      </c>
      <c r="I47" s="4"/>
      <c r="J47" s="4"/>
      <c r="K47" s="4">
        <v>3.43137656125</v>
      </c>
      <c r="L47" s="4">
        <v>85.195714350200006</v>
      </c>
      <c r="M47" s="1" t="s">
        <v>269</v>
      </c>
    </row>
    <row r="48" spans="1:14">
      <c r="B48" s="1" t="s">
        <v>161</v>
      </c>
      <c r="C48" s="4">
        <v>1.3076563627</v>
      </c>
      <c r="D48" s="4">
        <v>1073.89380179</v>
      </c>
      <c r="E48" s="4">
        <v>6.5727830224600003</v>
      </c>
      <c r="F48" s="4">
        <v>128568.127075</v>
      </c>
      <c r="G48" s="4">
        <v>47.125152587899997</v>
      </c>
      <c r="H48" s="4">
        <v>8.5897013697600002</v>
      </c>
      <c r="I48" s="4"/>
      <c r="J48" s="4"/>
      <c r="K48" s="4">
        <v>3.4807231664799998</v>
      </c>
      <c r="L48" s="4">
        <v>85.506650219600004</v>
      </c>
      <c r="M48" s="1" t="s">
        <v>269</v>
      </c>
    </row>
    <row r="49" spans="1:13">
      <c r="B49" s="1" t="s">
        <v>120</v>
      </c>
      <c r="C49" s="4">
        <v>1.26669385785</v>
      </c>
      <c r="D49" s="4">
        <v>1237.2725813699999</v>
      </c>
      <c r="E49" s="4">
        <v>11.6816851753</v>
      </c>
      <c r="F49" s="4">
        <v>170525.83642599999</v>
      </c>
      <c r="G49" s="4">
        <v>83.4119262695</v>
      </c>
      <c r="H49" s="4"/>
      <c r="I49" s="4">
        <v>8.2764050943599994</v>
      </c>
      <c r="J49" s="4"/>
      <c r="K49" s="4">
        <v>3.48105488203</v>
      </c>
      <c r="L49" s="4">
        <v>85.336844452099996</v>
      </c>
    </row>
    <row r="50" spans="1:13">
      <c r="B50" s="1" t="s">
        <v>121</v>
      </c>
      <c r="C50" s="4">
        <v>1.3471259842700001</v>
      </c>
      <c r="D50" s="4">
        <v>1221.19069485</v>
      </c>
      <c r="E50" s="4">
        <v>9.7148488936799993</v>
      </c>
      <c r="F50" s="4">
        <v>166189.287598</v>
      </c>
      <c r="G50" s="4">
        <v>75.914337158199999</v>
      </c>
      <c r="H50" s="4"/>
      <c r="I50" s="4">
        <v>8.3506980544499996</v>
      </c>
      <c r="J50" s="4"/>
      <c r="K50" s="4">
        <v>3.4634268439100002</v>
      </c>
      <c r="L50" s="4">
        <v>85.155174329600001</v>
      </c>
    </row>
    <row r="51" spans="1:13">
      <c r="B51" s="1" t="s">
        <v>161</v>
      </c>
      <c r="C51" s="4">
        <v>1.4916829927699999</v>
      </c>
      <c r="D51" s="4">
        <v>1256.4506633999999</v>
      </c>
      <c r="E51" s="4">
        <v>11.2166181698</v>
      </c>
      <c r="F51" s="4">
        <v>175986.431152</v>
      </c>
      <c r="G51" s="4">
        <v>95.800567627000007</v>
      </c>
      <c r="H51" s="4"/>
      <c r="I51" s="4">
        <v>8.1602777548900001</v>
      </c>
      <c r="J51" s="4"/>
      <c r="K51" s="4">
        <v>3.4511293266699998</v>
      </c>
      <c r="L51" s="4">
        <v>85.401972658000005</v>
      </c>
    </row>
    <row r="52" spans="1:13">
      <c r="B52" s="1" t="s">
        <v>120</v>
      </c>
      <c r="C52" s="4">
        <v>1.280990404</v>
      </c>
      <c r="D52" s="4">
        <v>1084.1151048700001</v>
      </c>
      <c r="E52" s="4">
        <v>11.1456473015</v>
      </c>
      <c r="F52" s="4">
        <v>131031.066528</v>
      </c>
      <c r="G52" s="4">
        <v>84.097045898399998</v>
      </c>
      <c r="H52" s="4"/>
      <c r="I52" s="4"/>
      <c r="J52" s="4">
        <v>7.98148383876</v>
      </c>
      <c r="K52" s="4">
        <v>3.4608287492200001</v>
      </c>
      <c r="L52" s="4">
        <v>85.231344083699994</v>
      </c>
    </row>
    <row r="53" spans="1:13">
      <c r="B53" s="1" t="s">
        <v>121</v>
      </c>
      <c r="C53" s="4">
        <v>1.37520373839</v>
      </c>
      <c r="D53" s="4">
        <v>1038.2673487100001</v>
      </c>
      <c r="E53" s="4">
        <v>10.694236848099999</v>
      </c>
      <c r="F53" s="4">
        <v>120252.373779</v>
      </c>
      <c r="G53" s="4">
        <v>85.8064575195</v>
      </c>
      <c r="H53" s="4"/>
      <c r="I53" s="4"/>
      <c r="J53" s="4">
        <v>7.8664342135099998</v>
      </c>
      <c r="K53" s="4">
        <v>3.4698129126500001</v>
      </c>
      <c r="L53" s="4">
        <v>85.359321678499995</v>
      </c>
    </row>
    <row r="54" spans="1:13">
      <c r="B54" s="1" t="s">
        <v>161</v>
      </c>
      <c r="C54" s="4">
        <v>1.4886989052599999</v>
      </c>
      <c r="D54" s="4">
        <v>1000.27920107</v>
      </c>
      <c r="E54" s="4">
        <v>9.6089263572799997</v>
      </c>
      <c r="F54" s="4">
        <v>111709.123169</v>
      </c>
      <c r="G54" s="4">
        <v>80.997009277299995</v>
      </c>
      <c r="H54" s="4"/>
      <c r="I54" s="4"/>
      <c r="J54" s="4">
        <v>7.8490491490099998</v>
      </c>
      <c r="K54" s="4">
        <v>3.4439131161300001</v>
      </c>
      <c r="L54" s="4">
        <v>84.622187169599997</v>
      </c>
    </row>
    <row r="55" spans="1:13">
      <c r="B55" s="1" t="s">
        <v>265</v>
      </c>
      <c r="C55" s="4">
        <v>1.5350181940200001</v>
      </c>
      <c r="D55" s="4">
        <v>1040.4864532900001</v>
      </c>
      <c r="E55" s="4">
        <v>7.8101931288699999</v>
      </c>
      <c r="F55" s="4">
        <v>120881.109131</v>
      </c>
      <c r="G55" s="4">
        <v>65.776519775400004</v>
      </c>
      <c r="H55" s="4"/>
      <c r="I55" s="4"/>
      <c r="J55" s="4">
        <v>8.1607188621599995</v>
      </c>
      <c r="K55" s="4">
        <v>3.48221304608</v>
      </c>
      <c r="L55" s="4">
        <v>84.838723892800004</v>
      </c>
    </row>
    <row r="56" spans="1:13">
      <c r="H56" s="33">
        <f>(H46+H47+H48)/3</f>
        <v>8.6165127510600001</v>
      </c>
      <c r="I56" s="33">
        <f>(I49+I50+I51)/3</f>
        <v>8.2624603012333342</v>
      </c>
      <c r="J56" s="33">
        <f>(J52+J53+J54+J55)/4</f>
        <v>7.9644215158599998</v>
      </c>
      <c r="K56" s="33">
        <f>(K46+K47+K48+K49+K50+K51+K52+K53+K54+K55)/10</f>
        <v>3.4646575185059993</v>
      </c>
      <c r="L56" s="33">
        <f>(L46+L47+L48+L49+L50+L51+L52+L53+L54+L55)/10</f>
        <v>85.13475904148001</v>
      </c>
    </row>
    <row r="57" spans="1:13">
      <c r="H57" s="49">
        <f>STDEV(H46,H47,H48)</f>
        <v>0.17875477133848425</v>
      </c>
      <c r="I57" s="49">
        <f>STDEV(I49,I50,I51)</f>
        <v>9.5972993923494579E-2</v>
      </c>
      <c r="J57" s="49">
        <f>STDEV(J52,J53,J54,J55)</f>
        <v>0.14345273958295715</v>
      </c>
      <c r="K57" s="28"/>
      <c r="L57" s="28"/>
    </row>
    <row r="58" spans="1:13">
      <c r="A58" s="1" t="s">
        <v>272</v>
      </c>
      <c r="B58" s="1" t="s">
        <v>120</v>
      </c>
      <c r="C58" s="4">
        <v>1.39435154328</v>
      </c>
      <c r="D58" s="4">
        <v>1194.22908846</v>
      </c>
      <c r="E58" s="4">
        <v>13.8784695306</v>
      </c>
      <c r="F58" s="4">
        <v>158970.61645500001</v>
      </c>
      <c r="G58" s="4">
        <v>111.821594238</v>
      </c>
      <c r="H58" s="4">
        <v>7.8819779466200002</v>
      </c>
      <c r="I58" s="4"/>
      <c r="J58" s="4"/>
      <c r="K58" s="4">
        <v>4.2052524601799997</v>
      </c>
      <c r="L58" s="4">
        <v>182.18998555100001</v>
      </c>
    </row>
    <row r="59" spans="1:13">
      <c r="B59" s="1" t="s">
        <v>121</v>
      </c>
      <c r="C59" s="4">
        <v>1.64083877581</v>
      </c>
      <c r="D59" s="4">
        <v>1139.6512695500001</v>
      </c>
      <c r="E59" s="4">
        <v>10.8576971942</v>
      </c>
      <c r="F59" s="4">
        <v>145010.98352099999</v>
      </c>
      <c r="G59" s="4">
        <v>99.354064941399997</v>
      </c>
      <c r="H59" s="4">
        <v>7.9105381442700002</v>
      </c>
      <c r="I59" s="4"/>
      <c r="J59" s="4"/>
      <c r="K59" s="4">
        <v>4.2342023414399996</v>
      </c>
      <c r="L59" s="4">
        <v>181.776539544</v>
      </c>
    </row>
    <row r="60" spans="1:13">
      <c r="B60" s="1" t="s">
        <v>161</v>
      </c>
      <c r="C60" s="4">
        <v>1.25516515766</v>
      </c>
      <c r="D60" s="4">
        <v>1074.0349371699999</v>
      </c>
      <c r="E60" s="4">
        <v>12.130580459899999</v>
      </c>
      <c r="F60" s="4">
        <v>128568.127075</v>
      </c>
      <c r="G60" s="4">
        <v>90.575469970699999</v>
      </c>
      <c r="H60" s="4">
        <v>7.8803068029799999</v>
      </c>
      <c r="I60" s="4"/>
      <c r="J60" s="4"/>
      <c r="K60" s="4">
        <v>4.2220880489599999</v>
      </c>
      <c r="L60" s="4">
        <v>181.92413960100001</v>
      </c>
    </row>
    <row r="61" spans="1:13">
      <c r="B61" s="42" t="s">
        <v>120</v>
      </c>
      <c r="C61" s="60">
        <v>1.3636118994499999</v>
      </c>
      <c r="D61" s="60">
        <v>1237.0235885699999</v>
      </c>
      <c r="E61" s="60">
        <v>23.310685060600001</v>
      </c>
      <c r="F61" s="60">
        <v>170525.83642599999</v>
      </c>
      <c r="G61" s="60">
        <v>204.00656127900001</v>
      </c>
      <c r="H61" s="60"/>
      <c r="I61" s="60">
        <v>7.3053651323500004</v>
      </c>
      <c r="J61" s="60"/>
      <c r="K61" s="60">
        <v>4.2898098881999998</v>
      </c>
      <c r="L61" s="60">
        <v>181.600978846</v>
      </c>
      <c r="M61" s="1" t="s">
        <v>532</v>
      </c>
    </row>
    <row r="62" spans="1:13">
      <c r="B62" s="1" t="s">
        <v>121</v>
      </c>
      <c r="C62" s="4">
        <v>1.39730818743</v>
      </c>
      <c r="D62" s="4">
        <v>1221.0544984799999</v>
      </c>
      <c r="E62" s="4">
        <v>23.599752494899999</v>
      </c>
      <c r="F62" s="4">
        <v>166189.287598</v>
      </c>
      <c r="G62" s="4">
        <v>201.91066503499999</v>
      </c>
      <c r="H62" s="4"/>
      <c r="I62" s="4">
        <v>7.28860941729</v>
      </c>
      <c r="J62" s="4"/>
      <c r="K62" s="4">
        <v>4.2138358978500001</v>
      </c>
      <c r="L62" s="4">
        <v>181.59665106099999</v>
      </c>
    </row>
    <row r="63" spans="1:13">
      <c r="B63" s="42" t="s">
        <v>161</v>
      </c>
      <c r="C63" s="60">
        <v>1.48864735073</v>
      </c>
      <c r="D63" s="60">
        <v>1256.45906507</v>
      </c>
      <c r="E63" s="60">
        <v>22.292620314600001</v>
      </c>
      <c r="F63" s="60">
        <v>175986.431152</v>
      </c>
      <c r="G63" s="60">
        <v>208.4402771</v>
      </c>
      <c r="H63" s="60"/>
      <c r="I63" s="60">
        <v>7.3162438560799998</v>
      </c>
      <c r="J63" s="60"/>
      <c r="K63" s="60">
        <v>4.2841031147399997</v>
      </c>
      <c r="L63" s="60">
        <v>181.285571836</v>
      </c>
    </row>
    <row r="64" spans="1:13">
      <c r="B64" s="1" t="s">
        <v>120</v>
      </c>
      <c r="C64" s="4">
        <v>1.65439549264</v>
      </c>
      <c r="D64" s="4">
        <v>1082.8970078</v>
      </c>
      <c r="E64" s="4">
        <v>19.6521733487</v>
      </c>
      <c r="F64" s="4">
        <v>131031.066528</v>
      </c>
      <c r="G64" s="4">
        <v>194.828582764</v>
      </c>
      <c r="H64" s="4"/>
      <c r="I64" s="4"/>
      <c r="J64" s="4">
        <v>7.0693040115399999</v>
      </c>
      <c r="K64" s="4">
        <v>4.2523662820999997</v>
      </c>
      <c r="L64" s="4">
        <v>181.238031412</v>
      </c>
    </row>
    <row r="65" spans="1:14">
      <c r="B65" s="1" t="s">
        <v>121</v>
      </c>
      <c r="C65" s="4">
        <v>1.70735471072</v>
      </c>
      <c r="D65" s="4">
        <v>1031.59025559</v>
      </c>
      <c r="E65" s="4">
        <v>17.518234568800001</v>
      </c>
      <c r="F65" s="4">
        <v>118972.137817</v>
      </c>
      <c r="G65" s="4">
        <v>179.01861572300001</v>
      </c>
      <c r="H65" s="4"/>
      <c r="I65" s="4"/>
      <c r="J65" s="4">
        <v>7.0563676773399999</v>
      </c>
      <c r="K65" s="4">
        <v>4.2804339956100002</v>
      </c>
      <c r="L65" s="4">
        <v>181.22451690700001</v>
      </c>
    </row>
    <row r="66" spans="1:14">
      <c r="B66" s="1" t="s">
        <v>161</v>
      </c>
      <c r="C66" s="4">
        <v>1.4689173047399999</v>
      </c>
      <c r="D66" s="4">
        <v>1007.03535847</v>
      </c>
      <c r="E66" s="4">
        <v>17.901002356599999</v>
      </c>
      <c r="F66" s="4">
        <v>113240.401245</v>
      </c>
      <c r="G66" s="4">
        <v>158.077362061</v>
      </c>
      <c r="H66" s="4"/>
      <c r="I66" s="4"/>
      <c r="J66" s="4">
        <v>7.1378292989599998</v>
      </c>
      <c r="K66" s="4">
        <v>4.2880938659399996</v>
      </c>
      <c r="L66" s="4">
        <v>181.352102965</v>
      </c>
    </row>
    <row r="67" spans="1:14">
      <c r="B67" s="1" t="s">
        <v>265</v>
      </c>
      <c r="C67" s="4">
        <v>1.6935433249</v>
      </c>
      <c r="D67" s="4">
        <v>1039.9345258599999</v>
      </c>
      <c r="E67" s="4">
        <v>18.156741373399999</v>
      </c>
      <c r="F67" s="4">
        <v>120881.109131</v>
      </c>
      <c r="G67" s="4">
        <v>184.91427612300001</v>
      </c>
      <c r="H67" s="4"/>
      <c r="I67" s="4"/>
      <c r="J67" s="4">
        <v>7.0384699861</v>
      </c>
      <c r="K67" s="4">
        <v>4.2311195127500003</v>
      </c>
      <c r="L67" s="4">
        <v>181.29711206299999</v>
      </c>
    </row>
    <row r="68" spans="1:14">
      <c r="H68" s="33">
        <f>(H58+H59+H60)/3</f>
        <v>7.8909409646233328</v>
      </c>
      <c r="I68" s="33">
        <f>(I61+I62+I63)/3</f>
        <v>7.3034061352400004</v>
      </c>
      <c r="J68" s="33">
        <f>(J64+J65+J66+J67)/4</f>
        <v>7.0754927434850003</v>
      </c>
      <c r="K68" s="33">
        <f>(K58+K59+K60+K61+K62+K63+K64+K65+K66+K67)/10</f>
        <v>4.2501305407769987</v>
      </c>
      <c r="L68" s="33">
        <f>(L58+L59+L60+L61+L62+L63+L64+L65+L66+L67)/10</f>
        <v>181.54856297860002</v>
      </c>
    </row>
    <row r="69" spans="1:14">
      <c r="H69" s="49">
        <f>STDEV(H58,H59,H60)</f>
        <v>1.6992211976201845E-2</v>
      </c>
      <c r="I69" s="49">
        <f>STDEV(I61,I62,I63)</f>
        <v>1.3920984306696995E-2</v>
      </c>
      <c r="J69" s="49">
        <f>STDEV(J64,J65,J66,J67)</f>
        <v>4.3438075736286177E-2</v>
      </c>
      <c r="K69" s="28"/>
      <c r="L69" s="28"/>
    </row>
    <row r="70" spans="1:14">
      <c r="A70" s="47">
        <v>19</v>
      </c>
      <c r="B70" s="47">
        <v>19</v>
      </c>
      <c r="C70" s="47">
        <v>19</v>
      </c>
      <c r="D70" s="47">
        <v>19</v>
      </c>
      <c r="E70" s="47">
        <v>19</v>
      </c>
      <c r="F70" s="47">
        <v>19</v>
      </c>
      <c r="G70" s="47">
        <v>19</v>
      </c>
      <c r="H70" s="47">
        <v>19</v>
      </c>
      <c r="I70" s="47">
        <v>19</v>
      </c>
      <c r="J70" s="47">
        <v>19</v>
      </c>
      <c r="K70" s="47">
        <v>19</v>
      </c>
      <c r="L70" s="47">
        <v>19</v>
      </c>
      <c r="M70" s="47">
        <v>19</v>
      </c>
      <c r="N70" s="47">
        <v>19</v>
      </c>
    </row>
    <row r="71" spans="1:14">
      <c r="A71" s="1" t="s">
        <v>274</v>
      </c>
      <c r="B71" s="1" t="s">
        <v>120</v>
      </c>
      <c r="C71" s="4">
        <v>1.49192274926</v>
      </c>
      <c r="D71" s="4">
        <v>1139.56264672</v>
      </c>
      <c r="E71" s="4">
        <v>11.5169963821</v>
      </c>
      <c r="F71" s="4">
        <v>144847.97143599999</v>
      </c>
      <c r="G71" s="4">
        <v>98.588165283199999</v>
      </c>
      <c r="H71" s="4">
        <v>7.9177190821799996</v>
      </c>
      <c r="I71" s="4"/>
      <c r="J71" s="4"/>
      <c r="K71" s="4">
        <v>3.3275536743599998</v>
      </c>
      <c r="L71" s="4">
        <v>134.181730187</v>
      </c>
      <c r="M71" s="1" t="s">
        <v>269</v>
      </c>
    </row>
    <row r="72" spans="1:14">
      <c r="B72" s="1" t="s">
        <v>121</v>
      </c>
      <c r="C72" s="4">
        <v>1.3715640141200001</v>
      </c>
      <c r="D72" s="4">
        <v>1192.8866284400001</v>
      </c>
      <c r="E72" s="4">
        <v>15.853908755100001</v>
      </c>
      <c r="F72" s="4">
        <v>158631.84375</v>
      </c>
      <c r="G72" s="4">
        <v>131.891845703</v>
      </c>
      <c r="H72" s="4">
        <v>7.7004310653600001</v>
      </c>
      <c r="I72" s="4"/>
      <c r="J72" s="4"/>
      <c r="K72" s="4">
        <v>3.4812106677200001</v>
      </c>
      <c r="L72" s="4">
        <v>135.463172485</v>
      </c>
    </row>
    <row r="73" spans="1:14">
      <c r="B73" s="1" t="s">
        <v>120</v>
      </c>
      <c r="C73" s="4">
        <v>1.65732144543</v>
      </c>
      <c r="D73" s="4">
        <v>951.87409822400002</v>
      </c>
      <c r="E73" s="4">
        <v>10.370908784599999</v>
      </c>
      <c r="F73" s="4">
        <v>101385.669922</v>
      </c>
      <c r="G73" s="4">
        <v>97.121368408199999</v>
      </c>
      <c r="H73" s="4"/>
      <c r="I73" s="4">
        <v>7.5466544558399997</v>
      </c>
      <c r="J73" s="4"/>
      <c r="K73" s="4">
        <v>3.45058264665</v>
      </c>
      <c r="L73" s="4">
        <v>134.74955877400001</v>
      </c>
    </row>
    <row r="74" spans="1:14">
      <c r="B74" s="1" t="s">
        <v>120</v>
      </c>
      <c r="C74" s="4">
        <v>1.5994669296499999</v>
      </c>
      <c r="D74" s="4">
        <v>1093.14746691</v>
      </c>
      <c r="E74" s="4">
        <v>15.8336320226</v>
      </c>
      <c r="F74" s="4">
        <v>133507.34326200001</v>
      </c>
      <c r="G74" s="4">
        <v>153.338256836</v>
      </c>
      <c r="H74" s="4"/>
      <c r="I74" s="4"/>
      <c r="J74" s="4">
        <v>7.3496365796800003</v>
      </c>
      <c r="K74" s="4">
        <v>3.4988879049400001</v>
      </c>
      <c r="L74" s="4">
        <v>134.83429806800001</v>
      </c>
    </row>
    <row r="75" spans="1:14">
      <c r="B75" s="1" t="s">
        <v>121</v>
      </c>
      <c r="C75" s="4">
        <v>1.7555993213000001</v>
      </c>
      <c r="D75" s="4">
        <v>1117.09632809</v>
      </c>
      <c r="E75" s="4">
        <v>16.1708257865</v>
      </c>
      <c r="F75" s="4">
        <v>139538.06506299999</v>
      </c>
      <c r="G75" s="4">
        <v>160.01324462900001</v>
      </c>
      <c r="H75" s="4"/>
      <c r="I75" s="4"/>
      <c r="J75" s="4">
        <v>7.3513419120999997</v>
      </c>
      <c r="K75" s="4">
        <v>3.5182147371900001</v>
      </c>
      <c r="L75" s="4">
        <v>135.19417270400001</v>
      </c>
    </row>
    <row r="76" spans="1:14">
      <c r="H76" s="33">
        <f>(H71+H72)/2</f>
        <v>7.8090750737699999</v>
      </c>
      <c r="I76" s="33">
        <f>I73</f>
        <v>7.5466544558399997</v>
      </c>
      <c r="J76" s="33">
        <f>(J74+J75)/2</f>
        <v>7.3504892458899995</v>
      </c>
      <c r="K76" s="33">
        <f>(K71+K72+K73+K74+K75)/5</f>
        <v>3.455289926172</v>
      </c>
      <c r="L76" s="33">
        <f>(L71+L72+L73+L74+L75)/5</f>
        <v>134.88458644360003</v>
      </c>
    </row>
    <row r="77" spans="1:14">
      <c r="H77" s="49">
        <f>ABS(H76-H72)</f>
        <v>0.10864400840999977</v>
      </c>
      <c r="I77" s="49">
        <f>(H77+J77)/2</f>
        <v>5.474833730999995E-2</v>
      </c>
      <c r="J77" s="49">
        <f>ABS(J76-J75)</f>
        <v>8.5266621000013032E-4</v>
      </c>
      <c r="K77" s="28"/>
      <c r="L77" s="28"/>
      <c r="M77" s="25"/>
    </row>
    <row r="78" spans="1:14">
      <c r="A78" s="1" t="s">
        <v>273</v>
      </c>
      <c r="B78" s="1" t="s">
        <v>120</v>
      </c>
      <c r="C78" s="4">
        <v>1.4189465301799999</v>
      </c>
      <c r="D78" s="4">
        <v>1139.77246427</v>
      </c>
      <c r="E78" s="4">
        <v>79.106565947700005</v>
      </c>
      <c r="F78" s="4">
        <v>144847.97143599999</v>
      </c>
      <c r="G78" s="4">
        <v>1044.9781189</v>
      </c>
      <c r="H78" s="4">
        <v>5.3545130516499997</v>
      </c>
      <c r="I78" s="4"/>
      <c r="J78" s="4"/>
      <c r="K78" s="4">
        <v>2.74594773392</v>
      </c>
      <c r="L78" s="4">
        <v>344.55781326099998</v>
      </c>
      <c r="M78" s="1" t="s">
        <v>269</v>
      </c>
    </row>
    <row r="79" spans="1:14">
      <c r="B79" s="1" t="s">
        <v>121</v>
      </c>
      <c r="C79" s="4">
        <v>1.40477245194</v>
      </c>
      <c r="D79" s="4">
        <v>1192.7902419</v>
      </c>
      <c r="E79" s="4">
        <v>79.832000765700002</v>
      </c>
      <c r="F79" s="4">
        <v>158631.84375</v>
      </c>
      <c r="G79" s="4">
        <v>1054.1244201699999</v>
      </c>
      <c r="H79" s="4">
        <v>5.4437462438599997</v>
      </c>
      <c r="I79" s="4"/>
      <c r="J79" s="4"/>
      <c r="K79" s="4">
        <v>2.71019729576</v>
      </c>
      <c r="L79" s="4">
        <v>345.090066595</v>
      </c>
    </row>
    <row r="80" spans="1:14">
      <c r="B80" s="1" t="s">
        <v>120</v>
      </c>
      <c r="C80" s="4">
        <v>1.3745677519399999</v>
      </c>
      <c r="D80" s="4">
        <v>952.91879318700001</v>
      </c>
      <c r="E80" s="4">
        <v>65.343500928599994</v>
      </c>
      <c r="F80" s="4">
        <v>101385.669922</v>
      </c>
      <c r="G80" s="4">
        <v>783.37109375</v>
      </c>
      <c r="H80" s="4"/>
      <c r="I80" s="4">
        <v>5.28002258264</v>
      </c>
      <c r="J80" s="4"/>
      <c r="K80" s="4">
        <v>2.7127877686700002</v>
      </c>
      <c r="L80" s="4">
        <v>345.01907954000001</v>
      </c>
    </row>
    <row r="81" spans="1:14">
      <c r="B81" s="1" t="s">
        <v>120</v>
      </c>
      <c r="C81" s="4">
        <v>1.8994513041500001</v>
      </c>
      <c r="D81" s="4">
        <v>1091.9187674699999</v>
      </c>
      <c r="E81" s="4">
        <v>69.323807185899994</v>
      </c>
      <c r="F81" s="4">
        <v>133507.34326200001</v>
      </c>
      <c r="G81" s="4">
        <v>1024.68908691</v>
      </c>
      <c r="H81" s="4"/>
      <c r="I81" s="4"/>
      <c r="J81" s="4">
        <v>5.2872826069599999</v>
      </c>
      <c r="K81" s="4">
        <v>2.71480571711</v>
      </c>
      <c r="L81" s="4">
        <v>344.99205268499998</v>
      </c>
    </row>
    <row r="82" spans="1:14">
      <c r="B82" s="1" t="s">
        <v>121</v>
      </c>
      <c r="C82" s="4">
        <v>1.68748359278</v>
      </c>
      <c r="D82" s="4">
        <v>1117.36508402</v>
      </c>
      <c r="E82" s="4">
        <v>74.970579770399993</v>
      </c>
      <c r="F82" s="4">
        <v>139538.06506299999</v>
      </c>
      <c r="G82" s="4">
        <v>1061.69042969</v>
      </c>
      <c r="H82" s="4"/>
      <c r="I82" s="4"/>
      <c r="J82" s="4">
        <v>5.2967369847299999</v>
      </c>
      <c r="K82" s="4">
        <v>2.7136220600100001</v>
      </c>
      <c r="L82" s="4">
        <v>344.993126012</v>
      </c>
    </row>
    <row r="83" spans="1:14">
      <c r="H83" s="33">
        <f>(H78+H79)/2</f>
        <v>5.3991296477550001</v>
      </c>
      <c r="I83" s="33">
        <f>I80</f>
        <v>5.28002258264</v>
      </c>
      <c r="J83" s="33">
        <f>(J81+J82)/2</f>
        <v>5.2920097958449999</v>
      </c>
      <c r="K83" s="33">
        <f>(K78+K79+K80+K81+K82)/5</f>
        <v>2.7194721150939998</v>
      </c>
      <c r="L83" s="33">
        <f>(L78+L79+L80+L81+L82)/5</f>
        <v>344.93042761859999</v>
      </c>
    </row>
    <row r="84" spans="1:14">
      <c r="H84" s="49">
        <f>ABS(H83-H79)</f>
        <v>4.4616596104999573E-2</v>
      </c>
      <c r="I84" s="49">
        <f>(H84+J84)/2</f>
        <v>2.4671892494999792E-2</v>
      </c>
      <c r="J84" s="49">
        <f>ABS(J83-J82)</f>
        <v>4.727188885000011E-3</v>
      </c>
      <c r="K84" s="28"/>
      <c r="L84" s="28"/>
    </row>
    <row r="85" spans="1:14">
      <c r="A85" s="146" t="s">
        <v>78</v>
      </c>
      <c r="B85" s="147" t="s">
        <v>120</v>
      </c>
      <c r="C85" s="114">
        <v>1.39751219749</v>
      </c>
      <c r="D85" s="114">
        <v>1260.56638335</v>
      </c>
      <c r="E85" s="114">
        <v>21.149597337599999</v>
      </c>
      <c r="F85" s="114">
        <v>177049.42480499999</v>
      </c>
      <c r="G85" s="114">
        <v>193.88555908199999</v>
      </c>
      <c r="H85" s="183">
        <v>7.4013726421400001</v>
      </c>
      <c r="I85" s="183"/>
      <c r="J85" s="183"/>
      <c r="K85" s="134">
        <v>4.6964988809400001</v>
      </c>
      <c r="L85" s="134">
        <v>203.10250626499999</v>
      </c>
      <c r="M85" s="147" t="s">
        <v>869</v>
      </c>
      <c r="N85" s="148"/>
    </row>
    <row r="86" spans="1:14">
      <c r="A86" s="110"/>
      <c r="B86" s="91" t="s">
        <v>121</v>
      </c>
      <c r="C86" s="92">
        <v>1.43502116203</v>
      </c>
      <c r="D86" s="92">
        <v>1279.0879203300001</v>
      </c>
      <c r="E86" s="92">
        <v>22.345561876000001</v>
      </c>
      <c r="F86" s="92">
        <v>182302.56787100001</v>
      </c>
      <c r="G86" s="92">
        <v>211.243784428</v>
      </c>
      <c r="H86" s="184">
        <v>7.3400221170100002</v>
      </c>
      <c r="I86" s="184"/>
      <c r="J86" s="184"/>
      <c r="K86" s="101">
        <v>4.6980950183500001</v>
      </c>
      <c r="L86" s="101">
        <v>203.14891606500001</v>
      </c>
      <c r="M86" s="91"/>
      <c r="N86" s="149"/>
    </row>
    <row r="87" spans="1:14">
      <c r="A87" s="110"/>
      <c r="B87" s="91" t="s">
        <v>120</v>
      </c>
      <c r="C87" s="92">
        <v>1.56261277199</v>
      </c>
      <c r="D87" s="92">
        <v>1183.2771554799999</v>
      </c>
      <c r="E87" s="92">
        <v>28.1221346934</v>
      </c>
      <c r="F87" s="92">
        <v>156184.55590800001</v>
      </c>
      <c r="G87" s="92">
        <v>280.58065795900001</v>
      </c>
      <c r="H87" s="184"/>
      <c r="I87" s="184">
        <v>6.8639508943900003</v>
      </c>
      <c r="J87" s="184"/>
      <c r="K87" s="101">
        <v>4.7243473862999998</v>
      </c>
      <c r="L87" s="101">
        <v>202.671999024</v>
      </c>
      <c r="M87" s="91"/>
      <c r="N87" s="149"/>
    </row>
    <row r="88" spans="1:14">
      <c r="A88" s="110"/>
      <c r="B88" s="91" t="s">
        <v>121</v>
      </c>
      <c r="C88" s="92">
        <v>1.5366432666800001</v>
      </c>
      <c r="D88" s="92">
        <v>1120.3165104100001</v>
      </c>
      <c r="E88" s="92">
        <v>29.262883310599999</v>
      </c>
      <c r="F88" s="92">
        <v>140028.01245099999</v>
      </c>
      <c r="G88" s="92">
        <v>306.35311889600001</v>
      </c>
      <c r="H88" s="184"/>
      <c r="I88" s="184">
        <v>6.6499815459600002</v>
      </c>
      <c r="J88" s="184"/>
      <c r="K88" s="101">
        <v>4.70500184513</v>
      </c>
      <c r="L88" s="101">
        <v>203.16823572600001</v>
      </c>
      <c r="M88" s="91"/>
      <c r="N88" s="149"/>
    </row>
    <row r="89" spans="1:14">
      <c r="A89" s="110"/>
      <c r="B89" s="91" t="s">
        <v>120</v>
      </c>
      <c r="C89" s="92">
        <v>1.65877020359</v>
      </c>
      <c r="D89" s="92">
        <v>1151.8993072999999</v>
      </c>
      <c r="E89" s="92">
        <v>33.2575663346</v>
      </c>
      <c r="F89" s="92">
        <v>148120.37573199999</v>
      </c>
      <c r="G89" s="92">
        <v>379.51004028300002</v>
      </c>
      <c r="H89" s="184"/>
      <c r="I89" s="184"/>
      <c r="J89" s="184">
        <v>6.4784788375</v>
      </c>
      <c r="K89" s="101">
        <v>4.70640585631</v>
      </c>
      <c r="L89" s="101">
        <v>203.235536067</v>
      </c>
      <c r="M89" s="91"/>
      <c r="N89" s="149"/>
    </row>
    <row r="90" spans="1:14">
      <c r="A90" s="110"/>
      <c r="B90" s="91" t="s">
        <v>121</v>
      </c>
      <c r="C90" s="92">
        <v>1.54367375374</v>
      </c>
      <c r="D90" s="92">
        <v>1055.1662543800001</v>
      </c>
      <c r="E90" s="92">
        <v>27.930270823000001</v>
      </c>
      <c r="F90" s="92">
        <v>124306.036011</v>
      </c>
      <c r="G90" s="92">
        <v>279.53164672899999</v>
      </c>
      <c r="H90" s="184"/>
      <c r="I90" s="184"/>
      <c r="J90" s="184">
        <v>6.6201530862900002</v>
      </c>
      <c r="K90" s="101">
        <v>4.7107460631700002</v>
      </c>
      <c r="L90" s="101">
        <v>203.20846542999999</v>
      </c>
      <c r="M90" s="91"/>
      <c r="N90" s="149"/>
    </row>
    <row r="91" spans="1:14">
      <c r="A91" s="110"/>
      <c r="B91" s="91"/>
      <c r="C91" s="91"/>
      <c r="D91" s="91"/>
      <c r="E91" s="91"/>
      <c r="F91" s="91"/>
      <c r="G91" s="91"/>
      <c r="H91" s="96">
        <f>(H85+H86)/2</f>
        <v>7.3706973795750006</v>
      </c>
      <c r="I91" s="96">
        <f>AVERAGE(I87:I88)</f>
        <v>6.7569662201750003</v>
      </c>
      <c r="J91" s="96">
        <f>(J89+J90)/2</f>
        <v>6.5493159618950001</v>
      </c>
      <c r="K91" s="96">
        <f>AVERAGE(K85:K90)</f>
        <v>4.7068491750333328</v>
      </c>
      <c r="L91" s="96">
        <f>AVERAGE(L85:L90)</f>
        <v>203.08927642950002</v>
      </c>
      <c r="M91" s="91"/>
      <c r="N91" s="149"/>
    </row>
    <row r="92" spans="1:14">
      <c r="A92" s="156"/>
      <c r="B92" s="157"/>
      <c r="C92" s="157"/>
      <c r="D92" s="157"/>
      <c r="E92" s="157"/>
      <c r="F92" s="157"/>
      <c r="G92" s="157"/>
      <c r="H92" s="187">
        <v>0.1</v>
      </c>
      <c r="I92" s="187">
        <f>ABS(I91-I88)</f>
        <v>0.10698467421500002</v>
      </c>
      <c r="J92" s="187">
        <f>ABS(J91-J90)</f>
        <v>7.0837124395000117E-2</v>
      </c>
      <c r="K92" s="119"/>
      <c r="L92" s="119"/>
      <c r="M92" s="157"/>
      <c r="N92" s="158"/>
    </row>
    <row r="93" spans="1:14">
      <c r="A93" s="35" t="s">
        <v>266</v>
      </c>
      <c r="B93" s="1" t="s">
        <v>120</v>
      </c>
      <c r="C93" s="4">
        <v>1.7618780039299999</v>
      </c>
      <c r="D93" s="4">
        <v>935.34369903599998</v>
      </c>
      <c r="E93" s="40">
        <v>148.92984400899999</v>
      </c>
      <c r="F93" s="4">
        <v>98011.094604500002</v>
      </c>
      <c r="G93" s="4">
        <v>614.81065601800003</v>
      </c>
      <c r="I93" s="4"/>
      <c r="J93" s="4">
        <v>5.5063346333199998</v>
      </c>
      <c r="K93" s="4">
        <v>0.99130319799599997</v>
      </c>
      <c r="L93" s="4">
        <v>274.733869459</v>
      </c>
      <c r="M93" s="1" t="s">
        <v>671</v>
      </c>
    </row>
    <row r="94" spans="1:14">
      <c r="B94" s="1" t="s">
        <v>121</v>
      </c>
      <c r="C94" s="4">
        <v>1.8541657362399999</v>
      </c>
      <c r="D94" s="4">
        <v>855.10575858599998</v>
      </c>
      <c r="E94" s="40">
        <v>138.31002651</v>
      </c>
      <c r="F94" s="4">
        <v>82162.966918899998</v>
      </c>
      <c r="G94" s="4">
        <v>614.81065601800003</v>
      </c>
      <c r="I94" s="4"/>
      <c r="J94" s="4">
        <v>5.3148368178799998</v>
      </c>
      <c r="K94" s="4">
        <v>0.98670339173699995</v>
      </c>
      <c r="L94" s="4">
        <v>274.56915461599999</v>
      </c>
    </row>
    <row r="95" spans="1:14">
      <c r="E95" s="25" t="s">
        <v>646</v>
      </c>
      <c r="G95" s="1" t="s">
        <v>670</v>
      </c>
      <c r="J95" s="68">
        <v>5.4326913184154897</v>
      </c>
      <c r="K95" s="33">
        <f>(K93+K94)/2</f>
        <v>0.98900329486649996</v>
      </c>
      <c r="L95" s="33">
        <f>(L93+L94)/2</f>
        <v>274.65151203749997</v>
      </c>
    </row>
    <row r="96" spans="1:14">
      <c r="E96" s="25"/>
      <c r="J96" s="69">
        <v>0.135366875323502</v>
      </c>
      <c r="K96" s="28"/>
      <c r="L96" s="28"/>
    </row>
    <row r="97" spans="1:14">
      <c r="A97" s="35" t="s">
        <v>54</v>
      </c>
      <c r="B97" s="1" t="s">
        <v>120</v>
      </c>
      <c r="C97" s="4">
        <v>1.44364795138</v>
      </c>
      <c r="D97" s="4">
        <v>1349.1718504200001</v>
      </c>
      <c r="E97" s="4">
        <v>109.95801353900001</v>
      </c>
      <c r="F97" s="4">
        <v>202812.78662100001</v>
      </c>
      <c r="G97" s="4">
        <v>414.59010823599999</v>
      </c>
      <c r="H97" s="4">
        <v>6.7236909906299998</v>
      </c>
      <c r="I97" s="4"/>
      <c r="J97" s="4"/>
      <c r="K97" s="4">
        <v>2.1659013711399999</v>
      </c>
      <c r="L97" s="4">
        <v>153.46166276700001</v>
      </c>
      <c r="M97" s="1" t="s">
        <v>281</v>
      </c>
      <c r="N97" s="1" t="s">
        <v>285</v>
      </c>
    </row>
    <row r="98" spans="1:14">
      <c r="B98" s="1" t="s">
        <v>121</v>
      </c>
      <c r="C98" s="4">
        <v>1.49906998503</v>
      </c>
      <c r="D98" s="4">
        <v>1247.93776256</v>
      </c>
      <c r="E98" s="4">
        <v>109.350928336</v>
      </c>
      <c r="F98" s="4">
        <v>173683.53393599999</v>
      </c>
      <c r="G98" s="4">
        <v>289.00065104200002</v>
      </c>
      <c r="H98" s="4">
        <v>6.9471495650300001</v>
      </c>
      <c r="I98" s="4"/>
      <c r="J98" s="4"/>
      <c r="K98" s="4">
        <v>2.1641774170099999</v>
      </c>
      <c r="L98" s="4">
        <v>153.48088401499999</v>
      </c>
      <c r="M98" s="1" t="s">
        <v>284</v>
      </c>
      <c r="N98" s="1" t="s">
        <v>285</v>
      </c>
    </row>
    <row r="99" spans="1:14">
      <c r="B99" s="1" t="s">
        <v>161</v>
      </c>
      <c r="C99" s="4">
        <v>1.6508020050200001</v>
      </c>
      <c r="D99" s="4">
        <v>1371.72384031</v>
      </c>
      <c r="E99" s="4">
        <v>104.163224693</v>
      </c>
      <c r="F99" s="4">
        <v>209778.44824200001</v>
      </c>
      <c r="G99" s="4">
        <v>359.01599121100003</v>
      </c>
      <c r="H99" s="4">
        <v>6.9166176882399997</v>
      </c>
      <c r="I99" s="4"/>
      <c r="J99" s="4"/>
      <c r="K99" s="4">
        <v>2.16530281534</v>
      </c>
      <c r="L99" s="4">
        <v>153.446520908</v>
      </c>
      <c r="M99" s="1" t="s">
        <v>286</v>
      </c>
      <c r="N99" s="1" t="s">
        <v>285</v>
      </c>
    </row>
    <row r="100" spans="1:14">
      <c r="B100" s="1" t="s">
        <v>120</v>
      </c>
      <c r="C100" s="4">
        <v>1.4312082259700001</v>
      </c>
      <c r="D100" s="4">
        <v>1261.8788082200001</v>
      </c>
      <c r="E100" s="4">
        <v>95.943998156000006</v>
      </c>
      <c r="F100" s="4">
        <v>177441.14721699999</v>
      </c>
      <c r="G100" s="4">
        <v>734.61367797900004</v>
      </c>
      <c r="H100" s="4"/>
      <c r="I100" s="4">
        <v>5.95748831585</v>
      </c>
      <c r="J100" s="4"/>
      <c r="K100" s="4">
        <v>2.1727847438799999</v>
      </c>
      <c r="L100" s="4">
        <v>153.62583732300001</v>
      </c>
    </row>
    <row r="101" spans="1:14">
      <c r="B101" s="1" t="s">
        <v>121</v>
      </c>
      <c r="C101" s="4">
        <v>1.53339261909</v>
      </c>
      <c r="D101" s="4">
        <v>1400.4282295200001</v>
      </c>
      <c r="E101" s="4">
        <v>97.829565900999995</v>
      </c>
      <c r="F101" s="4">
        <v>218501.94848600001</v>
      </c>
      <c r="G101" s="4">
        <v>850.23456827799998</v>
      </c>
      <c r="H101" s="4"/>
      <c r="I101" s="4">
        <v>6.0247913897099998</v>
      </c>
      <c r="J101" s="4"/>
      <c r="K101" s="4">
        <v>2.16909580016</v>
      </c>
      <c r="L101" s="4">
        <v>153.38299263799999</v>
      </c>
    </row>
    <row r="102" spans="1:14">
      <c r="B102" s="1" t="s">
        <v>161</v>
      </c>
      <c r="C102" s="4">
        <v>1.57253632234</v>
      </c>
      <c r="D102" s="4">
        <v>1404.6945139699999</v>
      </c>
      <c r="E102" s="4">
        <v>96.385225007900004</v>
      </c>
      <c r="F102" s="4">
        <v>219884.27221699999</v>
      </c>
      <c r="G102" s="4">
        <v>860.33884684199995</v>
      </c>
      <c r="H102" s="4"/>
      <c r="I102" s="4">
        <v>6.0188115835699998</v>
      </c>
      <c r="J102" s="4"/>
      <c r="K102" s="4">
        <v>2.1699649446399998</v>
      </c>
      <c r="L102" s="4">
        <v>153.450296845</v>
      </c>
    </row>
    <row r="103" spans="1:14">
      <c r="B103" s="1" t="s">
        <v>120</v>
      </c>
      <c r="C103" s="4">
        <v>1.85471607438</v>
      </c>
      <c r="D103" s="4">
        <v>1195.5158274800001</v>
      </c>
      <c r="E103" s="4">
        <v>92.697231423800005</v>
      </c>
      <c r="F103" s="4">
        <v>159699.26806599999</v>
      </c>
      <c r="G103" s="4">
        <v>760.61015828500001</v>
      </c>
      <c r="I103" s="4"/>
      <c r="J103" s="4">
        <v>5.8053520109400001</v>
      </c>
      <c r="K103" s="4">
        <v>2.1703570607599998</v>
      </c>
      <c r="L103" s="4">
        <v>153.60912237599999</v>
      </c>
    </row>
    <row r="104" spans="1:14">
      <c r="B104" s="1" t="s">
        <v>121</v>
      </c>
      <c r="C104" s="4">
        <v>1.60416075423</v>
      </c>
      <c r="D104" s="4">
        <v>1386.37542968</v>
      </c>
      <c r="E104" s="4">
        <v>103.26666821400001</v>
      </c>
      <c r="F104" s="4">
        <v>214229.18847699999</v>
      </c>
      <c r="G104" s="4">
        <v>1031.2509256999999</v>
      </c>
      <c r="I104" s="4"/>
      <c r="J104" s="4">
        <v>5.7937857280999996</v>
      </c>
      <c r="K104" s="4">
        <v>2.1737789279999999</v>
      </c>
      <c r="L104" s="4">
        <v>153.50973077099999</v>
      </c>
    </row>
    <row r="105" spans="1:14">
      <c r="B105" s="1" t="s">
        <v>161</v>
      </c>
      <c r="C105" s="4">
        <v>1.46674888659</v>
      </c>
      <c r="D105" s="4">
        <v>1371.1764011800001</v>
      </c>
      <c r="E105" s="4">
        <v>105.656017311</v>
      </c>
      <c r="F105" s="4">
        <v>209462.74877899999</v>
      </c>
      <c r="G105" s="4">
        <v>1047.5517069499999</v>
      </c>
      <c r="I105" s="4"/>
      <c r="J105" s="4">
        <v>5.7523283240499996</v>
      </c>
      <c r="K105" s="4">
        <v>2.1703417811799999</v>
      </c>
      <c r="L105" s="4">
        <v>153.42854485500001</v>
      </c>
    </row>
    <row r="106" spans="1:14">
      <c r="H106" s="33">
        <f>(H97+H98+H99)/3</f>
        <v>6.8624860812999993</v>
      </c>
      <c r="I106" s="33">
        <f>(I100+I101+I102)/3</f>
        <v>6.0003637630433326</v>
      </c>
      <c r="J106" s="33">
        <f>(J103+J104+J105)/3</f>
        <v>5.7838220210300006</v>
      </c>
      <c r="K106" s="33">
        <f>(K103+K104+K105+K100+K101+K102+K97+K98+K99)/9</f>
        <v>2.1690783180122222</v>
      </c>
      <c r="L106" s="33">
        <f>(L103+L104+L105+L100+L101+L102+L97+L98+L99)/9</f>
        <v>153.48839916644445</v>
      </c>
    </row>
    <row r="107" spans="1:14">
      <c r="H107" s="49">
        <f>STDEV(H97,H98,H99)</f>
        <v>0.12116561711413888</v>
      </c>
      <c r="I107" s="49">
        <f>STDEV(I100,I101,I102)</f>
        <v>3.7251409361113062E-2</v>
      </c>
      <c r="J107" s="49">
        <f>STDEV(J103,J104,J105)</f>
        <v>2.7880718010567365E-2</v>
      </c>
      <c r="K107" s="28"/>
      <c r="L107" s="28"/>
    </row>
    <row r="108" spans="1:14">
      <c r="A108" s="1" t="s">
        <v>275</v>
      </c>
      <c r="B108" s="1" t="s">
        <v>120</v>
      </c>
      <c r="C108" s="4">
        <v>1.6405844493399999</v>
      </c>
      <c r="D108" s="4">
        <v>1103.12593881</v>
      </c>
      <c r="E108" s="4">
        <v>44.741205311199998</v>
      </c>
      <c r="F108" s="4">
        <v>135908.52221699999</v>
      </c>
      <c r="G108" s="4">
        <v>515.22259521499996</v>
      </c>
      <c r="H108" s="4"/>
      <c r="I108" s="4"/>
      <c r="J108" s="4">
        <v>6.0531294734800003</v>
      </c>
      <c r="K108" s="4">
        <v>4.6129939822599999</v>
      </c>
      <c r="L108" s="4">
        <v>21.112177656</v>
      </c>
    </row>
    <row r="109" spans="1:14">
      <c r="B109" s="1" t="s">
        <v>121</v>
      </c>
      <c r="C109" s="4">
        <v>1.76237326647</v>
      </c>
      <c r="D109" s="4">
        <v>1056.44387267</v>
      </c>
      <c r="E109" s="4">
        <v>40.7407878697</v>
      </c>
      <c r="F109" s="4">
        <v>124813.608276</v>
      </c>
      <c r="G109" s="4">
        <v>489.712646484</v>
      </c>
      <c r="H109" s="4"/>
      <c r="I109" s="4"/>
      <c r="J109" s="4">
        <v>6.0158015475399997</v>
      </c>
      <c r="K109" s="4">
        <v>4.6271414273699998</v>
      </c>
      <c r="L109" s="4">
        <v>20.763840582</v>
      </c>
    </row>
    <row r="110" spans="1:14">
      <c r="J110" s="33">
        <f>(J108+J109)/2</f>
        <v>6.0344655105099996</v>
      </c>
      <c r="K110" s="33">
        <f>(K108+K109)/2</f>
        <v>4.6200677048149998</v>
      </c>
      <c r="L110" s="33">
        <f>(L108+L109)/2</f>
        <v>20.938009119</v>
      </c>
    </row>
    <row r="111" spans="1:14">
      <c r="J111" s="49">
        <f>ABS(J110-J109)</f>
        <v>1.8663962969999837E-2</v>
      </c>
      <c r="K111" s="28"/>
      <c r="L111" s="28"/>
    </row>
    <row r="112" spans="1:14">
      <c r="A112" s="1" t="s">
        <v>276</v>
      </c>
      <c r="B112" s="1" t="s">
        <v>120</v>
      </c>
      <c r="C112" s="4">
        <v>1.66801981092</v>
      </c>
      <c r="D112" s="4">
        <v>1103.03029674</v>
      </c>
      <c r="E112" s="4">
        <v>8.9792737390500008</v>
      </c>
      <c r="F112" s="4">
        <v>135908.52221699999</v>
      </c>
      <c r="G112" s="4">
        <v>82.434020996100003</v>
      </c>
      <c r="H112" s="4"/>
      <c r="I112" s="4"/>
      <c r="J112" s="4">
        <v>8.0428505143100004</v>
      </c>
      <c r="K112" s="4">
        <v>2.6848558150700002</v>
      </c>
      <c r="L112" s="4">
        <v>136.64036742299999</v>
      </c>
    </row>
    <row r="113" spans="1:14">
      <c r="B113" s="1" t="s">
        <v>121</v>
      </c>
      <c r="C113" s="4">
        <v>1.6243031860399999</v>
      </c>
      <c r="D113" s="4">
        <v>1056.9574114899999</v>
      </c>
      <c r="E113" s="4">
        <v>10.487738499500001</v>
      </c>
      <c r="F113" s="4">
        <v>124813.608276</v>
      </c>
      <c r="G113" s="4">
        <v>96.459747314500007</v>
      </c>
      <c r="H113" s="4"/>
      <c r="I113" s="4"/>
      <c r="J113" s="4">
        <v>7.77978954654</v>
      </c>
      <c r="K113" s="4">
        <v>2.7857361753599998</v>
      </c>
      <c r="L113" s="4">
        <v>137.695592111</v>
      </c>
    </row>
    <row r="114" spans="1:14">
      <c r="J114" s="33">
        <f>(J112+J113)/2</f>
        <v>7.9113200304250002</v>
      </c>
      <c r="K114" s="33">
        <f>(K112+K113)/2</f>
        <v>2.735295995215</v>
      </c>
      <c r="L114" s="33">
        <f>(L112+L113)/2</f>
        <v>137.16797976699999</v>
      </c>
    </row>
    <row r="115" spans="1:14">
      <c r="J115" s="49">
        <f>ABS(J114-J113)</f>
        <v>0.13153048388500022</v>
      </c>
      <c r="K115" s="28"/>
      <c r="L115" s="28"/>
    </row>
    <row r="116" spans="1:14">
      <c r="A116" s="1" t="s">
        <v>290</v>
      </c>
      <c r="B116" s="1" t="s">
        <v>120</v>
      </c>
      <c r="C116" s="4">
        <v>1.47943647783</v>
      </c>
      <c r="D116" s="4">
        <v>1414.3815937700001</v>
      </c>
      <c r="E116" s="4">
        <v>73.933751301900003</v>
      </c>
      <c r="F116" s="4">
        <v>222903.60986299999</v>
      </c>
      <c r="G116" s="4">
        <v>975.34851074200003</v>
      </c>
      <c r="H116" s="4">
        <v>5.89739319159</v>
      </c>
      <c r="I116" s="4"/>
      <c r="J116" s="4"/>
      <c r="K116" s="4">
        <v>2.67267753448</v>
      </c>
      <c r="L116" s="4">
        <v>152.545649844</v>
      </c>
      <c r="M116" s="1" t="s">
        <v>282</v>
      </c>
    </row>
    <row r="117" spans="1:14">
      <c r="B117" s="1" t="s">
        <v>121</v>
      </c>
      <c r="C117" s="4">
        <v>1.3128555317499999</v>
      </c>
      <c r="D117" s="4">
        <v>1434.0853643999999</v>
      </c>
      <c r="E117" s="4">
        <v>72.160947857500005</v>
      </c>
      <c r="F117" s="4">
        <v>228975.628906</v>
      </c>
      <c r="G117" s="4">
        <v>883.37701416000004</v>
      </c>
      <c r="H117" s="4">
        <v>6.0341079149599999</v>
      </c>
      <c r="I117" s="4"/>
      <c r="J117" s="4"/>
      <c r="K117" s="4">
        <v>2.8217969054099998</v>
      </c>
      <c r="L117" s="4">
        <v>152.850205829</v>
      </c>
    </row>
    <row r="118" spans="1:14">
      <c r="B118" s="1" t="s">
        <v>120</v>
      </c>
      <c r="C118" s="4">
        <v>1.52238263432</v>
      </c>
      <c r="D118" s="4">
        <v>1130.13108257</v>
      </c>
      <c r="E118" s="4">
        <v>46.260391342299997</v>
      </c>
      <c r="F118" s="4">
        <v>142492.359375</v>
      </c>
      <c r="G118" s="4">
        <v>534.64163208000002</v>
      </c>
      <c r="H118" s="4"/>
      <c r="I118" s="4">
        <v>6.0643220091599996</v>
      </c>
      <c r="J118" s="4"/>
      <c r="K118" s="4">
        <v>2.8291303914200001</v>
      </c>
      <c r="L118" s="4">
        <v>152.91974086900001</v>
      </c>
    </row>
    <row r="119" spans="1:14">
      <c r="B119" s="1" t="s">
        <v>121</v>
      </c>
      <c r="C119" s="4">
        <v>1.4761489797</v>
      </c>
      <c r="D119" s="4">
        <v>1127.4208628599999</v>
      </c>
      <c r="E119" s="4">
        <v>46.942544223799999</v>
      </c>
      <c r="F119" s="4">
        <v>141816.77050799999</v>
      </c>
      <c r="G119" s="4">
        <v>533.08175659200003</v>
      </c>
      <c r="H119" s="4"/>
      <c r="I119" s="4">
        <v>6.0623344278799998</v>
      </c>
      <c r="J119" s="4"/>
      <c r="K119" s="4">
        <v>2.7976025344700002</v>
      </c>
      <c r="L119" s="4">
        <v>152.59773383999999</v>
      </c>
    </row>
    <row r="120" spans="1:14">
      <c r="B120" s="1" t="s">
        <v>120</v>
      </c>
      <c r="C120" s="4">
        <v>1.58909603725</v>
      </c>
      <c r="D120" s="4">
        <v>1034.7872775000001</v>
      </c>
      <c r="E120" s="4">
        <v>35.953799268099999</v>
      </c>
      <c r="F120" s="4">
        <v>119654.026855</v>
      </c>
      <c r="G120" s="4">
        <v>392.88601684600002</v>
      </c>
      <c r="H120" s="4"/>
      <c r="I120" s="4"/>
      <c r="J120" s="4">
        <v>6.2091518671000001</v>
      </c>
      <c r="K120" s="4">
        <v>2.8511176901900002</v>
      </c>
      <c r="L120" s="4">
        <v>152.32180997899999</v>
      </c>
    </row>
    <row r="121" spans="1:14">
      <c r="B121" s="1" t="s">
        <v>121</v>
      </c>
      <c r="C121" s="4">
        <v>1.44097664664</v>
      </c>
      <c r="D121" s="4">
        <v>1053.8017609399999</v>
      </c>
      <c r="E121" s="4">
        <v>38.772106556399997</v>
      </c>
      <c r="F121" s="4">
        <v>123946.790771</v>
      </c>
      <c r="G121" s="4">
        <v>400.71798706099997</v>
      </c>
      <c r="H121" s="4"/>
      <c r="I121" s="4"/>
      <c r="J121" s="4">
        <v>6.2259911235500001</v>
      </c>
      <c r="K121" s="4">
        <v>2.8029537691400002</v>
      </c>
      <c r="L121" s="4">
        <v>152.59246853400001</v>
      </c>
    </row>
    <row r="122" spans="1:14">
      <c r="H122" s="33">
        <f>0.5*(H116+H117)</f>
        <v>5.9657505532749999</v>
      </c>
      <c r="I122" s="33">
        <f>0.5*(I118+I119)</f>
        <v>6.0633282185199997</v>
      </c>
      <c r="J122" s="33">
        <f>0.5*(J120+J121)</f>
        <v>6.2175714953250001</v>
      </c>
      <c r="K122" s="33">
        <f>(K116+K117+K118+K119+K120+K121)/6</f>
        <v>2.7958798041850002</v>
      </c>
      <c r="L122" s="33">
        <f>(L116+L117+L118+L119+L120+L121)/6</f>
        <v>152.63793481583335</v>
      </c>
    </row>
    <row r="123" spans="1:14">
      <c r="H123" s="49">
        <f>ABS(H122-H116)</f>
        <v>6.8357361684999951E-2</v>
      </c>
      <c r="I123" s="49">
        <f>ABS(I122-I119)</f>
        <v>9.9379063999993633E-4</v>
      </c>
      <c r="J123" s="49">
        <f>ABS(J122-J121)</f>
        <v>8.4196282249999754E-3</v>
      </c>
      <c r="K123" s="28"/>
      <c r="L123" s="28"/>
    </row>
    <row r="124" spans="1:14">
      <c r="A124" s="47">
        <v>20</v>
      </c>
      <c r="B124" s="47">
        <v>20</v>
      </c>
      <c r="C124" s="47">
        <v>20</v>
      </c>
      <c r="D124" s="47">
        <v>20</v>
      </c>
      <c r="E124" s="47">
        <v>20</v>
      </c>
      <c r="F124" s="47">
        <v>20</v>
      </c>
      <c r="G124" s="47">
        <v>20</v>
      </c>
      <c r="H124" s="47">
        <v>20</v>
      </c>
      <c r="I124" s="47">
        <v>20</v>
      </c>
      <c r="J124" s="47">
        <v>20</v>
      </c>
      <c r="K124" s="47">
        <v>20</v>
      </c>
      <c r="L124" s="47">
        <v>20</v>
      </c>
      <c r="M124" s="47">
        <v>20</v>
      </c>
      <c r="N124" s="47">
        <v>20</v>
      </c>
    </row>
    <row r="125" spans="1:14">
      <c r="A125" s="1" t="s">
        <v>277</v>
      </c>
      <c r="B125" s="1" t="s">
        <v>120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1" t="s">
        <v>287</v>
      </c>
    </row>
    <row r="126" spans="1:14">
      <c r="B126" s="1" t="s">
        <v>120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4">
      <c r="B127" s="1" t="s">
        <v>121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4">
      <c r="B128" s="1" t="s">
        <v>120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3">
      <c r="B129" s="1" t="s">
        <v>121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3">
      <c r="H130" s="32"/>
      <c r="I130" s="32"/>
      <c r="J130" s="32"/>
      <c r="K130" s="32"/>
      <c r="L130" s="32"/>
    </row>
    <row r="131" spans="1:13">
      <c r="A131" s="1" t="s">
        <v>278</v>
      </c>
      <c r="B131" s="1" t="s">
        <v>120</v>
      </c>
      <c r="C131" s="4">
        <v>1.35974793317</v>
      </c>
      <c r="D131" s="4">
        <v>1037.9228253000001</v>
      </c>
      <c r="E131" s="4">
        <v>24.326223531699998</v>
      </c>
      <c r="F131" s="4">
        <v>120211.842041</v>
      </c>
      <c r="G131" s="4">
        <v>210.96646118199999</v>
      </c>
      <c r="H131" s="4">
        <v>6.8893345852000003</v>
      </c>
      <c r="I131" s="4"/>
      <c r="J131" s="4"/>
      <c r="K131" s="4">
        <v>1.8511126732400001</v>
      </c>
      <c r="L131" s="4">
        <v>230.937615099</v>
      </c>
      <c r="M131" s="1" t="s">
        <v>279</v>
      </c>
    </row>
    <row r="132" spans="1:13">
      <c r="B132" s="1" t="s">
        <v>120</v>
      </c>
      <c r="C132" s="4">
        <v>1.4484515361300001</v>
      </c>
      <c r="D132" s="4">
        <v>1107.04335569</v>
      </c>
      <c r="E132" s="4">
        <v>27.352296921299999</v>
      </c>
      <c r="F132" s="4">
        <v>136735.79186999999</v>
      </c>
      <c r="G132" s="4">
        <v>258.92669677700002</v>
      </c>
      <c r="H132" s="4"/>
      <c r="I132" s="4">
        <v>6.8067634479299999</v>
      </c>
      <c r="J132" s="4"/>
      <c r="K132" s="4">
        <v>1.97319687335</v>
      </c>
      <c r="L132" s="4">
        <v>233.2499713</v>
      </c>
    </row>
    <row r="133" spans="1:13">
      <c r="B133" s="1" t="s">
        <v>121</v>
      </c>
      <c r="C133" s="4">
        <v>1.45605722344</v>
      </c>
      <c r="D133" s="4">
        <v>1095.42628442</v>
      </c>
      <c r="E133" s="4">
        <v>31.039046052</v>
      </c>
      <c r="F133" s="4">
        <v>133898.74035599999</v>
      </c>
      <c r="G133" s="4">
        <v>306.78497314499998</v>
      </c>
      <c r="H133" s="4"/>
      <c r="I133" s="4">
        <v>6.5998560203199998</v>
      </c>
      <c r="J133" s="4"/>
      <c r="K133" s="4">
        <v>1.9931684676700001</v>
      </c>
      <c r="L133" s="4">
        <v>232.101662495</v>
      </c>
    </row>
    <row r="134" spans="1:13">
      <c r="B134" s="1" t="s">
        <v>120</v>
      </c>
      <c r="C134" s="4">
        <v>1.50648690748</v>
      </c>
      <c r="D134" s="4">
        <v>1117.9673000400001</v>
      </c>
      <c r="E134" s="4">
        <v>29.7349548089</v>
      </c>
      <c r="F134" s="4">
        <v>139482.406006</v>
      </c>
      <c r="G134" s="4">
        <v>295.300872803</v>
      </c>
      <c r="H134" s="4"/>
      <c r="I134" s="4"/>
      <c r="J134" s="4">
        <v>6.6856367489000004</v>
      </c>
      <c r="K134" s="4">
        <v>1.9754259536900001</v>
      </c>
      <c r="L134" s="4">
        <v>233.02924743400001</v>
      </c>
    </row>
    <row r="135" spans="1:13">
      <c r="B135" s="1" t="s">
        <v>121</v>
      </c>
      <c r="C135" s="4">
        <v>1.18621187314</v>
      </c>
      <c r="D135" s="4">
        <v>1085.42262119</v>
      </c>
      <c r="E135" s="4">
        <v>35.762529439200001</v>
      </c>
      <c r="F135" s="4">
        <v>131270.92443799999</v>
      </c>
      <c r="G135" s="4">
        <v>321.32595825200002</v>
      </c>
      <c r="H135" s="4"/>
      <c r="I135" s="4"/>
      <c r="J135" s="4">
        <v>6.5280568307299998</v>
      </c>
      <c r="K135" s="4">
        <v>1.9490411271100001</v>
      </c>
      <c r="L135" s="4">
        <v>232.33042198999999</v>
      </c>
    </row>
    <row r="136" spans="1:13">
      <c r="H136" s="33">
        <f>H131</f>
        <v>6.8893345852000003</v>
      </c>
      <c r="I136" s="33">
        <f>(I132+I133)/2</f>
        <v>6.7033097341249999</v>
      </c>
      <c r="J136" s="33">
        <f>(J134+J135)/2</f>
        <v>6.6068467898150001</v>
      </c>
      <c r="K136" s="33">
        <f>(K131+K132+K133+K134+K135)/5</f>
        <v>1.9483890190120001</v>
      </c>
      <c r="L136" s="33">
        <f>(L131+L132+L133+L134+L135)/5</f>
        <v>232.32978366360004</v>
      </c>
    </row>
    <row r="137" spans="1:13">
      <c r="H137" s="49">
        <f>ABS(H136-H131)</f>
        <v>0</v>
      </c>
      <c r="I137" s="49">
        <f>ABS(I136-I133)</f>
        <v>0.10345371380500001</v>
      </c>
      <c r="J137" s="49">
        <f>ABS(J136-J135)</f>
        <v>7.8789959085000305E-2</v>
      </c>
      <c r="K137" s="28"/>
      <c r="L137" s="28"/>
      <c r="M137" s="25"/>
    </row>
    <row r="138" spans="1:13">
      <c r="A138" s="1" t="s">
        <v>291</v>
      </c>
      <c r="B138" s="1" t="s">
        <v>120</v>
      </c>
      <c r="C138" s="4">
        <v>1.5676775974199999</v>
      </c>
      <c r="D138" s="4">
        <v>1252.13816049</v>
      </c>
      <c r="E138" s="4">
        <v>10.513623217199999</v>
      </c>
      <c r="F138" s="4">
        <v>174822.68481400001</v>
      </c>
      <c r="G138" s="4">
        <v>93.571228027299995</v>
      </c>
      <c r="H138" s="4">
        <v>8.17863864095</v>
      </c>
      <c r="I138" s="4"/>
      <c r="J138" s="4"/>
      <c r="K138" s="4">
        <v>3.4730342065499999</v>
      </c>
      <c r="L138" s="4">
        <v>29.560777347599998</v>
      </c>
    </row>
    <row r="139" spans="1:13">
      <c r="B139" s="1" t="s">
        <v>121</v>
      </c>
      <c r="C139" s="4">
        <v>1.4660288539199999</v>
      </c>
      <c r="D139" s="4">
        <v>1250.5785818100001</v>
      </c>
      <c r="E139" s="4">
        <v>11.649917910199999</v>
      </c>
      <c r="F139" s="4">
        <v>174331.01806599999</v>
      </c>
      <c r="G139" s="4">
        <v>98.228210449200006</v>
      </c>
      <c r="H139" s="4">
        <v>8.1228460859199991</v>
      </c>
      <c r="I139" s="4"/>
      <c r="J139" s="4"/>
      <c r="K139" s="4">
        <v>3.4830176848500001</v>
      </c>
      <c r="L139" s="4">
        <v>29.838649993200001</v>
      </c>
    </row>
    <row r="140" spans="1:13">
      <c r="B140" s="1" t="s">
        <v>120</v>
      </c>
      <c r="C140" s="4">
        <v>1.3964172371000001</v>
      </c>
      <c r="D140" s="4">
        <v>1152.9384018799999</v>
      </c>
      <c r="E140" s="4">
        <v>20.6543893811</v>
      </c>
      <c r="F140" s="4">
        <v>148220.96008300001</v>
      </c>
      <c r="G140" s="4">
        <v>180.81771850600001</v>
      </c>
      <c r="H140" s="4"/>
      <c r="I140" s="4">
        <v>7.2841715921499999</v>
      </c>
      <c r="J140" s="4"/>
      <c r="K140" s="4">
        <v>3.4820573162700001</v>
      </c>
      <c r="L140" s="4">
        <v>29.694970292200001</v>
      </c>
    </row>
    <row r="141" spans="1:13">
      <c r="B141" s="1" t="s">
        <v>121</v>
      </c>
      <c r="C141" s="4">
        <v>1.54140139161</v>
      </c>
      <c r="D141" s="4">
        <v>1187.8753231200001</v>
      </c>
      <c r="E141" s="4">
        <v>18.338196987100002</v>
      </c>
      <c r="F141" s="4">
        <v>157464.390869</v>
      </c>
      <c r="G141" s="4">
        <v>169.41741943400001</v>
      </c>
      <c r="H141" s="4"/>
      <c r="I141" s="4">
        <v>7.4205607380599998</v>
      </c>
      <c r="J141" s="4"/>
      <c r="K141" s="4">
        <v>3.4912751019499999</v>
      </c>
      <c r="L141" s="4">
        <v>29.7155721787</v>
      </c>
    </row>
    <row r="142" spans="1:13">
      <c r="B142" s="1" t="s">
        <v>120</v>
      </c>
      <c r="C142" s="4">
        <v>1.71657164338</v>
      </c>
      <c r="D142" s="4">
        <v>1107.54233417</v>
      </c>
      <c r="E142" s="4">
        <v>18.088896944999998</v>
      </c>
      <c r="F142" s="4">
        <v>137006.75244099999</v>
      </c>
      <c r="G142" s="4">
        <v>180.544189453</v>
      </c>
      <c r="H142" s="4"/>
      <c r="I142" s="4"/>
      <c r="J142" s="4">
        <v>7.2003961405599997</v>
      </c>
      <c r="K142" s="4">
        <v>3.50126198778</v>
      </c>
      <c r="L142" s="4">
        <v>29.6863467525</v>
      </c>
    </row>
    <row r="143" spans="1:13">
      <c r="B143" s="1" t="s">
        <v>121</v>
      </c>
      <c r="C143" s="4">
        <v>1.6440711966299999</v>
      </c>
      <c r="D143" s="4">
        <v>1117.2100523199999</v>
      </c>
      <c r="E143" s="4">
        <v>18.2140230053</v>
      </c>
      <c r="F143" s="4">
        <v>139386.178223</v>
      </c>
      <c r="G143" s="4">
        <v>177.95370483400001</v>
      </c>
      <c r="H143" s="4"/>
      <c r="I143" s="4"/>
      <c r="J143" s="4">
        <v>7.2347816911200002</v>
      </c>
      <c r="K143" s="4">
        <v>3.4965207775799998</v>
      </c>
      <c r="L143" s="4">
        <v>29.8471723147</v>
      </c>
    </row>
    <row r="144" spans="1:13">
      <c r="H144" s="33">
        <f>0.5*(H138+H139)</f>
        <v>8.1507423634350005</v>
      </c>
      <c r="I144" s="33">
        <f>0.5*(I140+I141)</f>
        <v>7.3523661651049999</v>
      </c>
      <c r="J144" s="33">
        <f>0.5*(J142+J143)</f>
        <v>7.2175889158400004</v>
      </c>
      <c r="K144" s="33">
        <f>(K138+K139+K140+K141+K142+K143)/6</f>
        <v>3.4878611791633332</v>
      </c>
      <c r="L144" s="33">
        <f>(L138+L139+L140+L141+L142+L143)/6</f>
        <v>29.723914813150003</v>
      </c>
    </row>
    <row r="145" spans="1:13">
      <c r="H145" s="49">
        <f>ABS(H144-H138)</f>
        <v>2.7896277514999568E-2</v>
      </c>
      <c r="I145" s="49">
        <f>ABS(I144-I141)</f>
        <v>6.8194572954999977E-2</v>
      </c>
      <c r="J145" s="49">
        <f>ABS(J144-J143)</f>
        <v>1.719277527999985E-2</v>
      </c>
      <c r="K145" s="28"/>
      <c r="L145" s="28"/>
    </row>
    <row r="146" spans="1:13">
      <c r="A146" s="1" t="s">
        <v>292</v>
      </c>
      <c r="B146" s="1" t="s">
        <v>120</v>
      </c>
      <c r="C146" s="4">
        <v>1.2714163037299999</v>
      </c>
      <c r="D146" s="4">
        <v>1278.57076714</v>
      </c>
      <c r="E146" s="4">
        <v>13.8229759749</v>
      </c>
      <c r="F146" s="4">
        <v>182059.06494099999</v>
      </c>
      <c r="G146" s="4">
        <v>102.551269531</v>
      </c>
      <c r="H146" s="4">
        <v>8.1231781669499998</v>
      </c>
      <c r="I146" s="4"/>
      <c r="J146" s="4"/>
      <c r="K146" s="4">
        <v>3.4774699185600002</v>
      </c>
      <c r="L146" s="4">
        <v>113.684786624</v>
      </c>
      <c r="M146" s="1" t="s">
        <v>269</v>
      </c>
    </row>
    <row r="147" spans="1:13">
      <c r="B147" s="1" t="s">
        <v>121</v>
      </c>
      <c r="C147" s="4">
        <v>1.7149702172500001</v>
      </c>
      <c r="D147" s="4">
        <v>1312.41753679</v>
      </c>
      <c r="E147" s="4">
        <v>11.384336382800001</v>
      </c>
      <c r="F147" s="4">
        <v>192120.513672</v>
      </c>
      <c r="G147" s="4">
        <v>112.58529663100001</v>
      </c>
      <c r="H147" s="4">
        <v>8.0802301568400008</v>
      </c>
      <c r="I147" s="4"/>
      <c r="J147" s="4"/>
      <c r="K147" s="4">
        <v>3.5340925585899998</v>
      </c>
      <c r="L147" s="4">
        <v>113.78107633400001</v>
      </c>
      <c r="M147" s="1" t="s">
        <v>269</v>
      </c>
    </row>
    <row r="148" spans="1:13">
      <c r="B148" s="1" t="s">
        <v>120</v>
      </c>
      <c r="C148" s="4">
        <v>1.4609781739300001</v>
      </c>
      <c r="D148" s="4">
        <v>1108.1971891999999</v>
      </c>
      <c r="E148" s="4">
        <v>15.9562566863</v>
      </c>
      <c r="F148" s="4">
        <v>137010.50512700001</v>
      </c>
      <c r="G148" s="4">
        <v>136.09896850600001</v>
      </c>
      <c r="H148" s="4"/>
      <c r="I148" s="4">
        <v>7.50724758445</v>
      </c>
      <c r="J148" s="4"/>
      <c r="K148" s="4">
        <v>3.5418157090700002</v>
      </c>
      <c r="L148" s="4">
        <v>114.14045819899999</v>
      </c>
    </row>
    <row r="149" spans="1:13">
      <c r="B149" s="1" t="s">
        <v>121</v>
      </c>
      <c r="C149" s="4">
        <v>1.3891031982299999</v>
      </c>
      <c r="D149" s="4">
        <v>1135.9325226999999</v>
      </c>
      <c r="E149" s="4">
        <v>17.003906063799999</v>
      </c>
      <c r="F149" s="4">
        <v>143873.281494</v>
      </c>
      <c r="G149" s="4">
        <v>142.07713827500001</v>
      </c>
      <c r="H149" s="4"/>
      <c r="I149" s="4">
        <v>7.5136398706599996</v>
      </c>
      <c r="J149" s="4"/>
      <c r="K149" s="4">
        <v>3.5460956046400001</v>
      </c>
      <c r="L149" s="4">
        <v>113.895900619</v>
      </c>
    </row>
    <row r="150" spans="1:13">
      <c r="B150" s="1" t="s">
        <v>120</v>
      </c>
      <c r="C150" s="4">
        <v>1.4594830949399999</v>
      </c>
      <c r="D150" s="4">
        <v>1148.6582893</v>
      </c>
      <c r="E150" s="4">
        <v>19.802071268500001</v>
      </c>
      <c r="F150" s="4">
        <v>147174.648682</v>
      </c>
      <c r="G150" s="4">
        <v>176.256958008</v>
      </c>
      <c r="H150" s="4"/>
      <c r="I150" s="4"/>
      <c r="J150" s="4">
        <v>7.3042168433999999</v>
      </c>
      <c r="K150" s="4">
        <v>3.6040135230199999</v>
      </c>
      <c r="L150" s="4">
        <v>113.66786424599999</v>
      </c>
    </row>
    <row r="151" spans="1:13">
      <c r="B151" s="1" t="s">
        <v>121</v>
      </c>
      <c r="C151" s="4">
        <v>1.2809271391399999</v>
      </c>
      <c r="D151" s="4">
        <v>1132.4689790299999</v>
      </c>
      <c r="E151" s="4">
        <v>20.4280733885</v>
      </c>
      <c r="F151" s="4">
        <v>142910.72546399999</v>
      </c>
      <c r="G151" s="4">
        <v>161.11309814500001</v>
      </c>
      <c r="H151" s="4"/>
      <c r="I151" s="4"/>
      <c r="J151" s="4">
        <v>7.3698349370100003</v>
      </c>
      <c r="K151" s="4">
        <v>3.5478741742</v>
      </c>
      <c r="L151" s="4">
        <v>113.969323041</v>
      </c>
    </row>
    <row r="152" spans="1:13">
      <c r="H152" s="33">
        <f>0.5*(H146+H147)</f>
        <v>8.1017041618950003</v>
      </c>
      <c r="I152" s="33">
        <f>0.5*(I148+I149)</f>
        <v>7.5104437275549998</v>
      </c>
      <c r="J152" s="33">
        <f>0.5*(J150+J151)</f>
        <v>7.3370258902050001</v>
      </c>
      <c r="K152" s="33">
        <f>(K146+K147+K148+K149+K150+K151)/6</f>
        <v>3.5418935813466668</v>
      </c>
      <c r="L152" s="33">
        <f>(L146+L147+L148+L149+L150+L151)/6</f>
        <v>113.85656817716669</v>
      </c>
    </row>
    <row r="153" spans="1:13">
      <c r="H153" s="49">
        <f>ABS(H152-H146)</f>
        <v>2.1474005054999523E-2</v>
      </c>
      <c r="I153" s="49">
        <f>ABS(I152-I149)</f>
        <v>3.1961431049998268E-3</v>
      </c>
      <c r="J153" s="49">
        <f>ABS(J152-J151)</f>
        <v>3.2809046805000186E-2</v>
      </c>
    </row>
    <row r="154" spans="1:13">
      <c r="A154" s="1" t="s">
        <v>304</v>
      </c>
      <c r="B154" s="1" t="s">
        <v>120</v>
      </c>
      <c r="C154" s="4">
        <v>1.50576810149</v>
      </c>
      <c r="D154" s="4">
        <v>1325.8455315599999</v>
      </c>
      <c r="E154" s="4">
        <v>32.057080137</v>
      </c>
      <c r="F154" s="4">
        <v>195969.310547</v>
      </c>
      <c r="G154" s="4">
        <v>327.57458496100003</v>
      </c>
      <c r="H154" s="4">
        <v>6.9421946631599996</v>
      </c>
      <c r="I154" s="4"/>
      <c r="J154" s="4"/>
      <c r="K154" s="4">
        <v>6.4436155333</v>
      </c>
      <c r="L154" s="4">
        <v>177.30253430499999</v>
      </c>
      <c r="M154" s="1" t="s">
        <v>649</v>
      </c>
    </row>
    <row r="155" spans="1:13">
      <c r="B155" s="1" t="s">
        <v>121</v>
      </c>
      <c r="C155" s="4">
        <v>1.60951387244</v>
      </c>
      <c r="D155" s="4">
        <v>1325.4995811599999</v>
      </c>
      <c r="E155" s="4">
        <v>30.222023340700002</v>
      </c>
      <c r="F155" s="4">
        <v>195890.375</v>
      </c>
      <c r="G155" s="4">
        <v>308.541259766</v>
      </c>
      <c r="H155" s="4">
        <v>7.0067496230500002</v>
      </c>
      <c r="I155" s="4"/>
      <c r="J155" s="4"/>
      <c r="K155" s="4">
        <v>6.43679658803</v>
      </c>
      <c r="L155" s="4">
        <v>177.573238363</v>
      </c>
    </row>
    <row r="156" spans="1:13">
      <c r="B156" s="1" t="s">
        <v>120</v>
      </c>
      <c r="C156" s="4">
        <v>1.4933763492900001</v>
      </c>
      <c r="D156" s="4">
        <v>1121.1212231100001</v>
      </c>
      <c r="E156" s="4">
        <v>53.502825787500001</v>
      </c>
      <c r="F156" s="4">
        <v>140256.55004900001</v>
      </c>
      <c r="G156" s="4">
        <v>617.75323486299999</v>
      </c>
      <c r="H156" s="4"/>
      <c r="I156" s="4">
        <v>5.89027030976</v>
      </c>
      <c r="J156" s="4"/>
      <c r="K156" s="4">
        <v>6.4414358198099997</v>
      </c>
      <c r="L156" s="4">
        <v>177.11424187399999</v>
      </c>
    </row>
    <row r="157" spans="1:13">
      <c r="B157" s="1" t="s">
        <v>121</v>
      </c>
      <c r="C157" s="4">
        <v>1.4519725885799999</v>
      </c>
      <c r="D157" s="4">
        <v>1135.74917215</v>
      </c>
      <c r="E157" s="4">
        <v>54.439287747400002</v>
      </c>
      <c r="F157" s="4">
        <v>143873.281494</v>
      </c>
      <c r="G157" s="4">
        <v>621.04620361299999</v>
      </c>
      <c r="H157" s="4"/>
      <c r="I157" s="4">
        <v>5.9121405946800003</v>
      </c>
      <c r="J157" s="4"/>
      <c r="K157" s="4">
        <v>6.4398584874399996</v>
      </c>
      <c r="L157" s="4">
        <v>177.395132227</v>
      </c>
    </row>
    <row r="158" spans="1:13">
      <c r="B158" s="1" t="s">
        <v>120</v>
      </c>
      <c r="C158" s="4">
        <v>1.54493469747</v>
      </c>
      <c r="D158" s="4">
        <v>1163.20183765</v>
      </c>
      <c r="E158" s="4">
        <v>65.199308519599995</v>
      </c>
      <c r="F158" s="4">
        <v>151021.90319800001</v>
      </c>
      <c r="G158" s="4">
        <v>827.78460693399995</v>
      </c>
      <c r="H158" s="4"/>
      <c r="I158" s="4"/>
      <c r="J158" s="4">
        <v>5.6528064819599999</v>
      </c>
      <c r="K158" s="4">
        <v>6.43892740115</v>
      </c>
      <c r="L158" s="4">
        <v>177.24797567300001</v>
      </c>
    </row>
    <row r="159" spans="1:13">
      <c r="B159" s="1" t="s">
        <v>121</v>
      </c>
      <c r="C159" s="4">
        <v>1.54689530388</v>
      </c>
      <c r="D159" s="4">
        <v>1138.8142249299999</v>
      </c>
      <c r="E159" s="4">
        <v>65.537823556099994</v>
      </c>
      <c r="F159" s="4">
        <v>144721.619263</v>
      </c>
      <c r="G159" s="4">
        <v>825.75366210899995</v>
      </c>
      <c r="H159" s="4"/>
      <c r="I159" s="4"/>
      <c r="J159" s="4">
        <v>5.60920726178</v>
      </c>
      <c r="K159" s="4">
        <v>6.4482845922700003</v>
      </c>
      <c r="L159" s="4">
        <v>177.23951346000001</v>
      </c>
    </row>
    <row r="160" spans="1:13">
      <c r="H160" s="33">
        <f>0.5*(H154+H155)</f>
        <v>6.9744721431050003</v>
      </c>
      <c r="I160" s="33">
        <f>0.5*(I156+I157)</f>
        <v>5.9012054522200001</v>
      </c>
      <c r="J160" s="33">
        <f>0.5*(J158+J159)</f>
        <v>5.6310068718699995</v>
      </c>
      <c r="K160" s="33">
        <f>(K154+K155+K156+K157+K158+K159)/6</f>
        <v>6.4414864036666657</v>
      </c>
      <c r="L160" s="33">
        <f>(L154+L155+L156+L157+L158+L159)/6</f>
        <v>177.31210598366667</v>
      </c>
    </row>
    <row r="161" spans="8:10">
      <c r="H161" s="49">
        <f>ABS(H160-H154)</f>
        <v>3.2277479945000742E-2</v>
      </c>
      <c r="I161" s="49">
        <f>ABS(I160-I157)</f>
        <v>1.0935142460000158E-2</v>
      </c>
      <c r="J161" s="49">
        <f>ABS(J160-J159)</f>
        <v>2.1799610089999533E-2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H57" sqref="H57"/>
    </sheetView>
  </sheetViews>
  <sheetFormatPr baseColWidth="10" defaultRowHeight="15" x14ac:dyDescent="0"/>
  <cols>
    <col min="1" max="1" width="16.1640625" style="1" customWidth="1"/>
    <col min="2" max="13" width="10.83203125" style="1"/>
    <col min="14" max="14" width="35.1640625" style="1" customWidth="1"/>
    <col min="15" max="16384" width="10.83203125" style="1"/>
  </cols>
  <sheetData>
    <row r="1" spans="1:14">
      <c r="B1" s="24" t="s">
        <v>42</v>
      </c>
      <c r="C1" s="24" t="s">
        <v>300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156</v>
      </c>
      <c r="K1" s="24" t="s">
        <v>155</v>
      </c>
      <c r="L1" s="24" t="s">
        <v>41</v>
      </c>
    </row>
    <row r="2" spans="1:14">
      <c r="A2" s="59" t="s">
        <v>312</v>
      </c>
      <c r="B2" s="1" t="s">
        <v>66</v>
      </c>
      <c r="C2" s="1">
        <v>145</v>
      </c>
      <c r="D2" s="1">
        <v>8.7081</v>
      </c>
      <c r="E2" s="1">
        <v>8.4504200000000012</v>
      </c>
      <c r="F2" s="1">
        <v>8.3973999999999993</v>
      </c>
      <c r="G2" s="25">
        <v>4.58</v>
      </c>
      <c r="H2" s="28">
        <v>3.4</v>
      </c>
      <c r="I2" s="25">
        <v>3.12</v>
      </c>
      <c r="J2" s="4">
        <f>D2-(5*LOG(C2, 10)-5)</f>
        <v>2.901259988825128</v>
      </c>
      <c r="K2" s="4">
        <f>E2-(5*LOG(C2, 10)-5)</f>
        <v>2.6435799888251292</v>
      </c>
      <c r="L2" s="4">
        <f>F2-(5*LOG(C2, 10)-5)</f>
        <v>2.5905599888251274</v>
      </c>
      <c r="M2" s="1">
        <v>2.6435799888251292</v>
      </c>
    </row>
    <row r="3" spans="1:14">
      <c r="J3" s="4">
        <f>G2+J2</f>
        <v>7.4812599888251281</v>
      </c>
      <c r="K3" s="4">
        <f>H2+K2</f>
        <v>6.0435799888251296</v>
      </c>
      <c r="L3" s="4">
        <f>I2+L2</f>
        <v>5.7105599888251275</v>
      </c>
    </row>
    <row r="4" spans="1:14">
      <c r="B4" s="1" t="s">
        <v>263</v>
      </c>
      <c r="C4" s="1">
        <v>149</v>
      </c>
      <c r="D4" s="1">
        <v>7.4891000000000014</v>
      </c>
      <c r="E4" s="1">
        <v>7.4318399999999993</v>
      </c>
      <c r="F4" s="4">
        <v>7.40876</v>
      </c>
      <c r="G4" s="4">
        <v>8.3708069801149989</v>
      </c>
      <c r="H4" s="4">
        <v>7.8420291090349998</v>
      </c>
      <c r="I4" s="4">
        <v>7.551610808945</v>
      </c>
      <c r="J4" s="4">
        <f>D4-(5*LOG(C4, 10)-5)</f>
        <v>1.6231686579386322</v>
      </c>
      <c r="K4" s="4">
        <f>E4-(5*LOG(C4, 10)-5)</f>
        <v>1.5659086579386301</v>
      </c>
      <c r="L4" s="4">
        <f>F4-(5*LOG(C4, 10)-5)</f>
        <v>1.5428286579386308</v>
      </c>
    </row>
    <row r="5" spans="1:14">
      <c r="J5" s="4">
        <f>G4+J4</f>
        <v>9.9939756380536302</v>
      </c>
      <c r="K5" s="4">
        <f>H4+K4</f>
        <v>9.4079377669736299</v>
      </c>
      <c r="L5" s="4">
        <f>I4+L4</f>
        <v>9.0944394668836317</v>
      </c>
    </row>
    <row r="6" spans="1:14">
      <c r="B6" s="1" t="s">
        <v>264</v>
      </c>
      <c r="C6" s="1">
        <v>149</v>
      </c>
      <c r="F6" s="4">
        <v>7.5364600000000008</v>
      </c>
      <c r="I6" s="4">
        <v>6.450751462905</v>
      </c>
      <c r="L6" s="4">
        <f>F6-(5*LOG(C6, 10)-5)</f>
        <v>1.6705286579386316</v>
      </c>
    </row>
    <row r="7" spans="1:14">
      <c r="L7" s="4">
        <f>I6+L6</f>
        <v>8.1212801208436325</v>
      </c>
    </row>
    <row r="8" spans="1:14">
      <c r="B8" s="1" t="s">
        <v>266</v>
      </c>
      <c r="C8" s="1">
        <v>412</v>
      </c>
      <c r="F8" s="44">
        <v>8.3608666666666664</v>
      </c>
      <c r="I8" s="4">
        <v>5.6641830027349993</v>
      </c>
      <c r="L8" s="4">
        <f>F8-(5*LOG(C8, 10)-5)</f>
        <v>0.28638058650099296</v>
      </c>
    </row>
    <row r="9" spans="1:14">
      <c r="F9" s="4"/>
      <c r="L9" s="4">
        <f>I8+L8</f>
        <v>5.9505635892359923</v>
      </c>
    </row>
    <row r="10" spans="1:14">
      <c r="B10" s="1" t="s">
        <v>275</v>
      </c>
      <c r="C10" s="1">
        <v>412</v>
      </c>
      <c r="F10" s="4">
        <v>8.5383666666666684</v>
      </c>
      <c r="I10" s="4">
        <v>6.0344655105099996</v>
      </c>
      <c r="L10" s="4">
        <f>F10-(5*LOG(C10, 10)-5)</f>
        <v>0.46388058650099495</v>
      </c>
    </row>
    <row r="11" spans="1:14">
      <c r="F11" s="4"/>
      <c r="L11" s="4">
        <f>I10+L10</f>
        <v>6.4983460970109945</v>
      </c>
    </row>
    <row r="12" spans="1:14">
      <c r="B12" s="1" t="s">
        <v>276</v>
      </c>
      <c r="C12" s="1">
        <v>412</v>
      </c>
      <c r="F12" s="4">
        <v>8.5383666666666684</v>
      </c>
      <c r="I12" s="4">
        <v>7.9113200304250002</v>
      </c>
      <c r="L12" s="4">
        <f>F12-(5*LOG(C12, 10)-5)</f>
        <v>0.46388058650099495</v>
      </c>
    </row>
    <row r="13" spans="1:14">
      <c r="F13" s="4"/>
      <c r="L13" s="4">
        <f>I12+L12</f>
        <v>8.3752006169259943</v>
      </c>
      <c r="N13" s="45" t="s">
        <v>313</v>
      </c>
    </row>
    <row r="14" spans="1:14">
      <c r="B14" s="1" t="s">
        <v>277</v>
      </c>
      <c r="C14" s="56">
        <v>270</v>
      </c>
      <c r="D14" s="1">
        <v>6.1680000000000001</v>
      </c>
      <c r="E14" s="1">
        <v>6.1440000000000001</v>
      </c>
      <c r="F14" s="1">
        <v>6.0880000000000001</v>
      </c>
      <c r="G14" s="4">
        <v>3.5</v>
      </c>
      <c r="H14" s="4">
        <v>3.09</v>
      </c>
      <c r="I14" s="4">
        <v>2.74</v>
      </c>
      <c r="J14" s="4">
        <f>D14-(5*LOG(C14, 10)-5)</f>
        <v>-0.9888188207949371</v>
      </c>
      <c r="K14" s="4">
        <f>E14-(5*LOG(C14, 10)-5)</f>
        <v>-1.0128188207949371</v>
      </c>
      <c r="L14" s="4">
        <f>F14-(5*LOG(C14, 10)-5)</f>
        <v>-1.0688188207949372</v>
      </c>
    </row>
    <row r="15" spans="1:14">
      <c r="J15" s="4">
        <f>G14+J14</f>
        <v>2.5111811792050629</v>
      </c>
      <c r="K15" s="4">
        <f>H14+K14</f>
        <v>2.0771811792050627</v>
      </c>
      <c r="L15" s="4">
        <f>I14+L14</f>
        <v>1.671181179205063</v>
      </c>
    </row>
    <row r="16" spans="1:14">
      <c r="B16" s="1" t="s">
        <v>278</v>
      </c>
      <c r="C16" s="56">
        <v>270</v>
      </c>
      <c r="D16" s="1">
        <v>6.1680000000000001</v>
      </c>
      <c r="E16" s="1">
        <v>6.1440000000000001</v>
      </c>
      <c r="F16" s="1">
        <v>6.0880000000000001</v>
      </c>
      <c r="G16" s="4">
        <v>7.9</v>
      </c>
      <c r="H16" s="4">
        <v>7.39</v>
      </c>
      <c r="I16" s="4">
        <v>7.05</v>
      </c>
      <c r="J16" s="4">
        <f>D16-(5*LOG(C16, 10)-5)</f>
        <v>-0.9888188207949371</v>
      </c>
      <c r="K16" s="4">
        <f>E16-(5*LOG(C16, 10)-5)</f>
        <v>-1.0128188207949371</v>
      </c>
      <c r="L16" s="4">
        <f>F16-(5*LOG(C16, 10)-5)</f>
        <v>-1.0688188207949372</v>
      </c>
    </row>
    <row r="17" spans="1:12">
      <c r="J17" s="4">
        <f>G16+J16</f>
        <v>6.9111811792050633</v>
      </c>
      <c r="K17" s="4">
        <f>H16+K16</f>
        <v>6.3771811792050626</v>
      </c>
      <c r="L17" s="4">
        <f>I16+L16</f>
        <v>5.9811811792050626</v>
      </c>
    </row>
    <row r="18" spans="1:12">
      <c r="B18" s="1" t="s">
        <v>305</v>
      </c>
      <c r="C18" s="1">
        <v>270</v>
      </c>
      <c r="D18" s="1">
        <v>6.048</v>
      </c>
      <c r="E18" s="1">
        <v>6.0309999999999997</v>
      </c>
      <c r="F18" s="4">
        <v>6.0350000000000001</v>
      </c>
      <c r="G18" s="1">
        <v>1.7</v>
      </c>
      <c r="H18" s="1">
        <v>1.5</v>
      </c>
      <c r="I18" s="1">
        <v>1.6</v>
      </c>
      <c r="J18" s="4">
        <f>D18-(5*LOG(C18, 10)-5)</f>
        <v>-1.1088188207949372</v>
      </c>
      <c r="K18" s="4">
        <f>E18-(5*LOG(C18, 10)-5)</f>
        <v>-1.1258188207949376</v>
      </c>
      <c r="L18" s="4">
        <f>F18-(5*LOG(C18, 10)-5)</f>
        <v>-1.1218188207949371</v>
      </c>
    </row>
    <row r="19" spans="1:12">
      <c r="F19" s="4"/>
      <c r="J19" s="4">
        <f>G18+J18</f>
        <v>0.59118117920506275</v>
      </c>
      <c r="K19" s="4">
        <f>H18+K18</f>
        <v>0.37418117920506244</v>
      </c>
      <c r="L19" s="4">
        <f>I18+L18</f>
        <v>0.47818117920506298</v>
      </c>
    </row>
    <row r="20" spans="1:12">
      <c r="F20" s="4"/>
      <c r="J20" s="4"/>
      <c r="K20" s="4"/>
      <c r="L20" s="4"/>
    </row>
    <row r="21" spans="1:12">
      <c r="F21" s="4"/>
      <c r="J21" s="4"/>
      <c r="K21" s="4"/>
      <c r="L21" s="4"/>
    </row>
    <row r="22" spans="1:12">
      <c r="A22" s="25"/>
    </row>
  </sheetData>
  <phoneticPr fontId="10" type="noConversion"/>
  <pageMargins left="0.75" right="0.75" top="1" bottom="1" header="0.5" footer="0.5"/>
  <pageSetup scale="96"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U194"/>
  <sheetViews>
    <sheetView workbookViewId="0">
      <selection activeCell="P191" sqref="P191"/>
    </sheetView>
  </sheetViews>
  <sheetFormatPr baseColWidth="10" defaultRowHeight="15" x14ac:dyDescent="0"/>
  <cols>
    <col min="1" max="1" width="12.83203125" style="1" customWidth="1"/>
    <col min="2" max="2" width="13.1640625" style="1" customWidth="1"/>
    <col min="3" max="3" width="14" style="1" customWidth="1"/>
    <col min="4" max="4" width="13.1640625" style="1" customWidth="1"/>
    <col min="5" max="5" width="8.33203125" style="1" customWidth="1"/>
    <col min="6" max="6" width="8.5" style="1" customWidth="1"/>
    <col min="7" max="10" width="8.1640625" style="1" customWidth="1"/>
    <col min="11" max="11" width="10.33203125" style="1" customWidth="1"/>
    <col min="12" max="12" width="9.83203125" style="1" customWidth="1"/>
    <col min="13" max="13" width="10.1640625" style="1" customWidth="1"/>
    <col min="14" max="14" width="15.1640625" style="1" customWidth="1"/>
    <col min="15" max="15" width="15.33203125" style="1" customWidth="1"/>
    <col min="16" max="16" width="7.6640625" style="1" customWidth="1"/>
    <col min="17" max="17" width="20.83203125" style="1" customWidth="1"/>
    <col min="18" max="18" width="52" style="1" customWidth="1"/>
    <col min="19" max="19" width="44" style="1" customWidth="1"/>
    <col min="20" max="20" width="16.5" style="1" customWidth="1"/>
    <col min="21" max="21" width="13.5" style="1" customWidth="1"/>
    <col min="22" max="22" width="43.1640625" style="1" customWidth="1"/>
    <col min="23" max="16384" width="10.83203125" style="1"/>
  </cols>
  <sheetData>
    <row r="1" spans="1:21">
      <c r="A1" s="24" t="s">
        <v>42</v>
      </c>
      <c r="B1" s="24" t="s">
        <v>163</v>
      </c>
      <c r="C1" s="41" t="s">
        <v>241</v>
      </c>
      <c r="D1" s="41" t="s">
        <v>240</v>
      </c>
      <c r="E1" s="41" t="s">
        <v>156</v>
      </c>
      <c r="F1" s="41" t="s">
        <v>155</v>
      </c>
      <c r="G1" s="41" t="s">
        <v>41</v>
      </c>
      <c r="H1" s="41" t="s">
        <v>216</v>
      </c>
      <c r="I1" s="41" t="s">
        <v>217</v>
      </c>
      <c r="J1" s="41" t="s">
        <v>218</v>
      </c>
      <c r="K1" s="41" t="s">
        <v>243</v>
      </c>
      <c r="L1" s="41" t="s">
        <v>244</v>
      </c>
      <c r="M1" s="41" t="s">
        <v>245</v>
      </c>
      <c r="N1" s="41" t="s">
        <v>308</v>
      </c>
      <c r="O1" s="41" t="s">
        <v>309</v>
      </c>
      <c r="P1" s="24" t="s">
        <v>164</v>
      </c>
      <c r="Q1" s="24" t="s">
        <v>204</v>
      </c>
      <c r="R1" s="24" t="s">
        <v>64</v>
      </c>
      <c r="S1" s="24" t="s">
        <v>123</v>
      </c>
    </row>
    <row r="2" spans="1:21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I2" s="46">
        <v>17</v>
      </c>
      <c r="J2" s="46">
        <v>17</v>
      </c>
      <c r="K2" s="46">
        <v>17</v>
      </c>
      <c r="L2" s="46">
        <v>17</v>
      </c>
      <c r="M2" s="46">
        <v>17</v>
      </c>
      <c r="N2" s="46">
        <v>17</v>
      </c>
      <c r="O2" s="46">
        <v>17</v>
      </c>
      <c r="P2" s="46">
        <v>17</v>
      </c>
      <c r="Q2" s="46">
        <v>17</v>
      </c>
      <c r="R2" s="46">
        <v>17</v>
      </c>
      <c r="S2" s="46">
        <v>17</v>
      </c>
      <c r="T2" s="46">
        <v>17</v>
      </c>
      <c r="U2" s="46">
        <v>17</v>
      </c>
    </row>
    <row r="3" spans="1:21">
      <c r="A3" s="1" t="s">
        <v>28</v>
      </c>
      <c r="B3" s="1" t="s">
        <v>173</v>
      </c>
      <c r="C3" s="1">
        <v>160</v>
      </c>
      <c r="D3" s="1">
        <v>145</v>
      </c>
      <c r="E3" s="28">
        <v>0.12817458340748278</v>
      </c>
      <c r="F3" s="28">
        <v>0.18040404306363378</v>
      </c>
      <c r="G3" s="28">
        <v>0.20865924952350223</v>
      </c>
      <c r="H3" s="4">
        <f>E4-E3</f>
        <v>2.0300000000000029</v>
      </c>
      <c r="I3" s="4">
        <f>F4-F3</f>
        <v>1.9439999999999982</v>
      </c>
      <c r="J3" s="4">
        <f>G4-G3</f>
        <v>2.0654999999999841</v>
      </c>
      <c r="K3" s="4">
        <f>(E3+(5*LOG(C3, 10)-5))-(5*LOG(D3, 10)-5)</f>
        <v>0.34193448551223415</v>
      </c>
      <c r="L3" s="4">
        <f>(F3+(5*LOG(C3, 10)-5))-(5*LOG(D3, 10)-5)</f>
        <v>0.39416394516838515</v>
      </c>
      <c r="M3" s="4">
        <f>(G3+(5*LOG(C3, 10)-5))-(5*LOG(D3, 10)-5)</f>
        <v>0.42241915162825361</v>
      </c>
      <c r="N3" s="4">
        <v>0.57738199300819559</v>
      </c>
      <c r="O3" s="4">
        <f>N3*(0.0495/0.05)</f>
        <v>0.57160817307811362</v>
      </c>
      <c r="P3" s="21">
        <v>220.95558371663049</v>
      </c>
      <c r="Q3" s="4" t="s">
        <v>205</v>
      </c>
    </row>
    <row r="4" spans="1:21">
      <c r="A4" s="55" t="s">
        <v>526</v>
      </c>
      <c r="E4" s="28">
        <v>2.1581745834074857</v>
      </c>
      <c r="F4" s="28">
        <v>2.124404043063632</v>
      </c>
      <c r="G4" s="28">
        <v>2.2741592495234864</v>
      </c>
      <c r="H4" s="4"/>
      <c r="I4" s="4"/>
      <c r="J4" s="4"/>
      <c r="K4" s="4">
        <f>(E4+(5*LOG(C3, 10)-5))-(5*LOG(D3, 10)-5)</f>
        <v>2.3719344855122362</v>
      </c>
      <c r="L4" s="4">
        <f>(F4+(5*LOG(C3, 10)-5))-(5*LOG(D3, 10)-5)</f>
        <v>2.3381639451683842</v>
      </c>
      <c r="M4" s="4">
        <f>(G4+(5*LOG(C3, 10)-5))-(5*LOG(D3, 10)-5)</f>
        <v>2.4879191516282386</v>
      </c>
      <c r="N4" s="4"/>
      <c r="O4" s="28"/>
      <c r="P4" s="21"/>
      <c r="Q4" s="4"/>
      <c r="R4" s="240"/>
      <c r="S4" s="154"/>
    </row>
    <row r="5" spans="1:21">
      <c r="E5" s="28"/>
      <c r="F5" s="28"/>
      <c r="G5" s="28"/>
      <c r="H5" s="48">
        <f>SQRT(0.03^2 + 0.002^2)</f>
        <v>3.0066592756745815E-2</v>
      </c>
      <c r="I5" s="48">
        <f>SQRT(0.03^2 + 0.002^2)</f>
        <v>3.0066592756745815E-2</v>
      </c>
      <c r="J5" s="48">
        <f>SQRT(0.03^2 + 0.003^2)</f>
        <v>3.0149626863362672E-2</v>
      </c>
      <c r="K5" s="48"/>
      <c r="L5" s="48"/>
      <c r="M5" s="48"/>
      <c r="N5" s="48"/>
      <c r="O5" s="51">
        <f>0.006*O3</f>
        <v>3.4296490384686817E-3</v>
      </c>
      <c r="P5" s="48">
        <v>0.5</v>
      </c>
      <c r="Q5" s="4"/>
      <c r="R5" s="241"/>
      <c r="S5" s="154"/>
    </row>
    <row r="6" spans="1:21">
      <c r="A6" s="1" t="s">
        <v>29</v>
      </c>
      <c r="B6" s="1" t="s">
        <v>174</v>
      </c>
      <c r="C6" s="1">
        <v>160</v>
      </c>
      <c r="D6" s="38">
        <v>145</v>
      </c>
      <c r="E6" s="28">
        <v>2.3356946371171974</v>
      </c>
      <c r="F6" s="28">
        <v>2.3570655014328024</v>
      </c>
      <c r="G6" s="28">
        <v>2.3462237895484934</v>
      </c>
      <c r="H6" s="4">
        <f>E7-E6</f>
        <v>2.2960000000000154</v>
      </c>
      <c r="I6" s="4">
        <f>F7-F6</f>
        <v>2.0140000000000011</v>
      </c>
      <c r="J6" s="4">
        <f>G7-G6</f>
        <v>1.9844999999999953</v>
      </c>
      <c r="K6" s="4">
        <f>(E6+(5*LOG(C6, 10)-5))-(5*LOG(D6, 10)-5)</f>
        <v>2.5494545392219496</v>
      </c>
      <c r="L6" s="4">
        <f>(F6+(5*LOG(C6, 10)-5))-(5*LOG(D6, 10)-5)</f>
        <v>2.5708254035375528</v>
      </c>
      <c r="M6" s="4">
        <f>(G6+(5*LOG(C6, 10)-5))-(5*LOG(D6, 10)-5)</f>
        <v>2.5599836916532457</v>
      </c>
      <c r="N6" s="4">
        <v>1.2150349323604965</v>
      </c>
      <c r="O6" s="4">
        <f>N6*(0.0495/0.05)</f>
        <v>1.2028845830368915</v>
      </c>
      <c r="P6" s="21">
        <v>134.34707643263948</v>
      </c>
      <c r="Q6" s="4" t="s">
        <v>205</v>
      </c>
      <c r="R6" s="154"/>
      <c r="S6" s="154"/>
    </row>
    <row r="7" spans="1:21">
      <c r="A7" s="55" t="s">
        <v>527</v>
      </c>
      <c r="E7" s="28">
        <v>4.6316946371172127</v>
      </c>
      <c r="F7" s="28">
        <v>4.3710655014328035</v>
      </c>
      <c r="G7" s="28">
        <v>4.3307237895484887</v>
      </c>
      <c r="H7" s="4"/>
      <c r="I7" s="4"/>
      <c r="J7" s="4"/>
      <c r="K7" s="4">
        <f>(E7+(5*LOG(C6, 10)-5))-(5*LOG(D6,10)-5)</f>
        <v>4.8454545392219632</v>
      </c>
      <c r="L7" s="4">
        <f>(F7+(5*LOG(C6, 10)-5))-(5*LOG(D6, 10)-5)</f>
        <v>4.5848254035375557</v>
      </c>
      <c r="M7" s="4">
        <f>(G7+(5*LOG(C6, 10)-5))-(5*LOG(D6, 10)-5)</f>
        <v>4.5444836916532392</v>
      </c>
      <c r="N7" s="4"/>
      <c r="O7" s="28"/>
      <c r="P7" s="21"/>
      <c r="Q7" s="4"/>
    </row>
    <row r="8" spans="1:21">
      <c r="E8" s="28"/>
      <c r="F8" s="28"/>
      <c r="G8" s="28"/>
      <c r="H8" s="48">
        <f>SQRT(0.03^2 + 0.002^2)</f>
        <v>3.0066592756745815E-2</v>
      </c>
      <c r="I8" s="48">
        <f>SQRT(0.03^2 + 0.002^2)</f>
        <v>3.0066592756745815E-2</v>
      </c>
      <c r="J8" s="48">
        <f>SQRT(0.03^2 + 0.002^2)</f>
        <v>3.0066592756745815E-2</v>
      </c>
      <c r="K8" s="48"/>
      <c r="L8" s="48"/>
      <c r="M8" s="48"/>
      <c r="N8" s="48"/>
      <c r="O8" s="51">
        <f>0.006*O6</f>
        <v>7.2173074982213488E-3</v>
      </c>
      <c r="P8" s="48">
        <v>0.5</v>
      </c>
      <c r="Q8" s="4"/>
    </row>
    <row r="9" spans="1:21">
      <c r="A9" s="32" t="s">
        <v>166</v>
      </c>
      <c r="B9" s="32" t="s">
        <v>175</v>
      </c>
      <c r="C9" s="32">
        <v>160</v>
      </c>
      <c r="D9" s="32">
        <v>145</v>
      </c>
      <c r="E9" s="33" t="s">
        <v>51</v>
      </c>
      <c r="F9" s="33" t="s">
        <v>51</v>
      </c>
      <c r="G9" s="33" t="s">
        <v>51</v>
      </c>
      <c r="H9" s="33">
        <f>'Final Missed Binaries'!H12</f>
        <v>5.2104573297366663</v>
      </c>
      <c r="I9" s="33">
        <f>'Final Missed Binaries'!I12</f>
        <v>4.1559933459100007</v>
      </c>
      <c r="J9" s="33">
        <f>'Final Missed Binaries'!J12</f>
        <v>4.0895852165033331</v>
      </c>
      <c r="K9" s="33">
        <f>'2MASS Binaries'!J8</f>
        <v>0.77115998882512837</v>
      </c>
      <c r="L9" s="33">
        <f>'2MASS Binaries'!K8</f>
        <v>0.79315998882512773</v>
      </c>
      <c r="M9" s="33">
        <f>'2MASS Binaries'!L8</f>
        <v>0.8031599888251284</v>
      </c>
      <c r="N9" s="33"/>
      <c r="O9" s="33">
        <f>'Final Missed Binaries'!$K$12</f>
        <v>1.109016142345</v>
      </c>
      <c r="P9" s="34">
        <f>'Final Missed Binaries'!$L$12</f>
        <v>205.09290339699999</v>
      </c>
      <c r="Q9" s="4" t="s">
        <v>205</v>
      </c>
    </row>
    <row r="10" spans="1:21">
      <c r="A10" s="70" t="s">
        <v>528</v>
      </c>
      <c r="B10" s="32"/>
      <c r="C10" s="32"/>
      <c r="D10" s="32"/>
      <c r="E10" s="33" t="s">
        <v>51</v>
      </c>
      <c r="F10" s="33" t="s">
        <v>51</v>
      </c>
      <c r="G10" s="33" t="s">
        <v>51</v>
      </c>
      <c r="H10" s="33"/>
      <c r="I10" s="33"/>
      <c r="J10" s="33"/>
      <c r="K10" s="33">
        <f>'2MASS Binaries'!J9</f>
        <v>5.9816173185617947</v>
      </c>
      <c r="L10" s="33">
        <f>'2MASS Binaries'!K9</f>
        <v>4.9491533347351284</v>
      </c>
      <c r="M10" s="33">
        <f>'2MASS Binaries'!L9</f>
        <v>4.8927452053284615</v>
      </c>
      <c r="N10" s="33"/>
      <c r="O10" s="33"/>
      <c r="P10" s="34"/>
      <c r="Q10" s="4"/>
    </row>
    <row r="11" spans="1:21">
      <c r="A11" s="32"/>
      <c r="B11" s="32"/>
      <c r="C11" s="32"/>
      <c r="D11" s="32"/>
      <c r="E11" s="33"/>
      <c r="F11" s="33"/>
      <c r="G11" s="33"/>
      <c r="H11" s="64">
        <f>SQRT('Final Missed Binaries'!H13^2 + 0.03^2)</f>
        <v>5.3973147124894309E-2</v>
      </c>
      <c r="I11" s="64">
        <f>SQRT('Final Missed Binaries'!I13^2 + 0.03^2)</f>
        <v>4.3324333674661195E-2</v>
      </c>
      <c r="J11" s="64">
        <f>SQRT('Final Missed Binaries'!J13^2 + 0.03^2)</f>
        <v>5.5672843163638158E-2</v>
      </c>
      <c r="K11" s="64"/>
      <c r="L11" s="64"/>
      <c r="M11" s="64"/>
      <c r="N11" s="64"/>
      <c r="O11" s="238">
        <f>0.006*O9</f>
        <v>6.6540968540700005E-3</v>
      </c>
      <c r="P11" s="64">
        <v>0.5</v>
      </c>
      <c r="Q11" s="4"/>
    </row>
    <row r="12" spans="1:21">
      <c r="A12" s="1" t="s">
        <v>31</v>
      </c>
      <c r="B12" s="1" t="s">
        <v>176</v>
      </c>
      <c r="C12" s="1">
        <v>160</v>
      </c>
      <c r="D12" s="1">
        <v>145</v>
      </c>
      <c r="E12" s="28">
        <v>1.3358836516168795</v>
      </c>
      <c r="F12" s="28">
        <v>1.3470069023273092</v>
      </c>
      <c r="G12" s="28">
        <v>1.3447455935687209</v>
      </c>
      <c r="H12" s="4">
        <f>E13-E12</f>
        <v>1.9700000000000024</v>
      </c>
      <c r="I12" s="4">
        <f>F13-F12</f>
        <v>1.8050000000000033</v>
      </c>
      <c r="J12" s="4">
        <f>G13-G12</f>
        <v>1.8005000000000022</v>
      </c>
      <c r="K12" s="4">
        <f>(E12+(5*LOG(C12, 10)-5))-(5*LOG(D12, 10)-5)</f>
        <v>1.5496435537216309</v>
      </c>
      <c r="L12" s="4">
        <f>(F12+(5*LOG(C12, 10)-5))-(5*LOG(D12, 10)-5)</f>
        <v>1.5607668044320606</v>
      </c>
      <c r="M12" s="4">
        <f>(G12+(5*LOG(C12, 10)-5))-(5*LOG(D12, 10)-5)</f>
        <v>1.5585054956734723</v>
      </c>
      <c r="N12" s="4">
        <v>0.57914827645216038</v>
      </c>
      <c r="O12" s="4">
        <f>N12*(0.0495/0.05)</f>
        <v>0.57335679368763881</v>
      </c>
      <c r="P12" s="34">
        <v>352.70535172623102</v>
      </c>
      <c r="Q12" s="4" t="s">
        <v>205</v>
      </c>
      <c r="R12" s="1" t="s">
        <v>227</v>
      </c>
    </row>
    <row r="13" spans="1:21">
      <c r="A13" s="55" t="s">
        <v>529</v>
      </c>
      <c r="E13" s="28">
        <v>3.3058836516168819</v>
      </c>
      <c r="F13" s="28">
        <v>3.1520069023273125</v>
      </c>
      <c r="G13" s="28">
        <v>3.1452455935687231</v>
      </c>
      <c r="H13" s="4"/>
      <c r="I13" s="4"/>
      <c r="J13" s="4"/>
      <c r="K13" s="4">
        <f>(E13+(5*LOG(C12, 10)-5))-(5*LOG(D12,10)-5)</f>
        <v>3.5196435537216342</v>
      </c>
      <c r="L13" s="4">
        <f>(F13+(5*LOG(C12, 10)-5))-(5*LOG(D12, 10)-5)</f>
        <v>3.3657668044320648</v>
      </c>
      <c r="M13" s="4">
        <f>(G13+(5*LOG(C12, 10)-5))-(5*LOG(D12, 10)-5)</f>
        <v>3.3590054956734736</v>
      </c>
      <c r="N13" s="4"/>
      <c r="O13" s="28"/>
      <c r="P13" s="21"/>
      <c r="Q13" s="4"/>
    </row>
    <row r="14" spans="1:21">
      <c r="E14" s="28"/>
      <c r="F14" s="28"/>
      <c r="G14" s="28"/>
      <c r="H14" s="48">
        <f>SQRT(0.03^2 + 0.002^2)</f>
        <v>3.0066592756745815E-2</v>
      </c>
      <c r="I14" s="48">
        <f>SQRT(0.03^2 + 0.002^2)</f>
        <v>3.0066592756745815E-2</v>
      </c>
      <c r="J14" s="48">
        <f>SQRT(0.03^2 + 0.002^2)</f>
        <v>3.0066592756745815E-2</v>
      </c>
      <c r="K14" s="48"/>
      <c r="L14" s="48"/>
      <c r="M14" s="48"/>
      <c r="N14" s="48"/>
      <c r="O14" s="51">
        <f>0.006*O12</f>
        <v>3.4401407621258329E-3</v>
      </c>
      <c r="P14" s="48">
        <v>0.5</v>
      </c>
      <c r="Q14" s="4"/>
    </row>
    <row r="15" spans="1:21">
      <c r="A15" s="1" t="s">
        <v>32</v>
      </c>
      <c r="B15" s="1" t="s">
        <v>177</v>
      </c>
      <c r="C15" s="1">
        <v>160</v>
      </c>
      <c r="D15" s="1">
        <v>145</v>
      </c>
      <c r="E15" s="28">
        <v>-2.3820818672275479E-2</v>
      </c>
      <c r="F15" s="28">
        <v>2.163414485374382E-2</v>
      </c>
      <c r="G15" s="28">
        <v>6.0317702943719631E-2</v>
      </c>
      <c r="H15" s="4">
        <f>E16-E15</f>
        <v>1.4444999999999988</v>
      </c>
      <c r="I15" s="4">
        <f>F16-F15</f>
        <v>1.4705000000000057</v>
      </c>
      <c r="J15" s="4">
        <f>G16-G15</f>
        <v>1.4785000000000021</v>
      </c>
      <c r="K15" s="4">
        <f>(E15+(5*LOG(C15, 10)-5))-(5*LOG(D15, 10)-5)</f>
        <v>0.1899390834324759</v>
      </c>
      <c r="L15" s="4">
        <f>(F15+(5*LOG(C15, 10)-5))-(5*LOG(D15, 10)-5)</f>
        <v>0.2353940469584952</v>
      </c>
      <c r="M15" s="4">
        <f>(G15+(5*LOG(C15, 10)-5))-(5*LOG(D15, 10)-5)</f>
        <v>0.27407760504847101</v>
      </c>
      <c r="N15" s="4">
        <v>0.57730267462357776</v>
      </c>
      <c r="O15" s="4">
        <f>N15*(0.0495/0.05)</f>
        <v>0.57152964787734195</v>
      </c>
      <c r="P15" s="27">
        <v>158.91550380481891</v>
      </c>
      <c r="Q15" s="4" t="s">
        <v>205</v>
      </c>
    </row>
    <row r="16" spans="1:21">
      <c r="A16" s="55" t="s">
        <v>525</v>
      </c>
      <c r="E16" s="28">
        <v>1.4206791813277233</v>
      </c>
      <c r="F16" s="28">
        <v>1.4921341448537495</v>
      </c>
      <c r="G16" s="28">
        <v>1.5388177029437218</v>
      </c>
      <c r="H16" s="4"/>
      <c r="I16" s="4"/>
      <c r="J16" s="4"/>
      <c r="K16" s="4">
        <f>(E16+(5*LOG(C15, 10)-5))-(5*LOG(D15,10)-5)</f>
        <v>1.6344390834324747</v>
      </c>
      <c r="L16" s="4">
        <f>(F16+(5*LOG(C15, 10)-5))-(5*LOG(D15, 10)-5)</f>
        <v>1.7058940469585009</v>
      </c>
      <c r="M16" s="4">
        <f>(G16+(5*LOG(C15, 10)-5))-(5*LOG(D15, 10)-5)</f>
        <v>1.7525776050484732</v>
      </c>
      <c r="N16" s="4"/>
      <c r="O16" s="28"/>
      <c r="P16" s="21"/>
      <c r="Q16" s="4"/>
    </row>
    <row r="17" spans="1:18">
      <c r="E17" s="28"/>
      <c r="F17" s="28"/>
      <c r="G17" s="28"/>
      <c r="H17" s="48">
        <f>SQRT(0.03^2 + 0.001^2)</f>
        <v>3.0016662039607268E-2</v>
      </c>
      <c r="I17" s="48">
        <f>SQRT(0.03^2 + 0.001^2)</f>
        <v>3.0016662039607268E-2</v>
      </c>
      <c r="J17" s="48">
        <f>SQRT(0.03^2 + 0.002^2)</f>
        <v>3.0066592756745815E-2</v>
      </c>
      <c r="K17" s="48"/>
      <c r="L17" s="48"/>
      <c r="M17" s="48"/>
      <c r="N17" s="48"/>
      <c r="O17" s="51">
        <f>0.006*O15</f>
        <v>3.429177887264052E-3</v>
      </c>
      <c r="P17" s="48">
        <v>0.5</v>
      </c>
      <c r="Q17" s="4"/>
    </row>
    <row r="18" spans="1:18">
      <c r="A18" s="1" t="s">
        <v>71</v>
      </c>
      <c r="B18" s="1" t="s">
        <v>178</v>
      </c>
      <c r="C18" s="1">
        <v>150</v>
      </c>
      <c r="D18" s="1">
        <v>149</v>
      </c>
      <c r="E18" s="101" t="s">
        <v>51</v>
      </c>
      <c r="F18" s="101" t="s">
        <v>51</v>
      </c>
      <c r="G18" s="101" t="s">
        <v>51</v>
      </c>
      <c r="H18" s="180">
        <v>1.25</v>
      </c>
      <c r="I18" s="33">
        <v>1.35</v>
      </c>
      <c r="J18" s="33">
        <v>1.05</v>
      </c>
      <c r="K18" s="33">
        <f>'2MASS Binaries'!J70</f>
        <v>0.523068657938631</v>
      </c>
      <c r="L18" s="33">
        <f>'2MASS Binaries'!K70</f>
        <v>0.54306865793863057</v>
      </c>
      <c r="M18" s="33">
        <f>'2MASS Binaries'!L70</f>
        <v>0.48706865793863052</v>
      </c>
      <c r="N18" s="4">
        <v>0.15509694444444447</v>
      </c>
      <c r="O18" s="4">
        <f>N18*(0.0495/0.05)</f>
        <v>0.15354597500000003</v>
      </c>
      <c r="P18" s="21">
        <v>300.91838055555559</v>
      </c>
      <c r="Q18" s="4" t="s">
        <v>206</v>
      </c>
    </row>
    <row r="19" spans="1:18">
      <c r="A19" s="55" t="s">
        <v>524</v>
      </c>
      <c r="E19" s="101" t="s">
        <v>51</v>
      </c>
      <c r="F19" s="101" t="s">
        <v>51</v>
      </c>
      <c r="G19" s="101" t="s">
        <v>51</v>
      </c>
      <c r="H19" s="4"/>
      <c r="I19" s="4"/>
      <c r="J19" s="4"/>
      <c r="K19" s="33">
        <f>'2MASS Binaries'!J71</f>
        <v>1.773068657938631</v>
      </c>
      <c r="L19" s="33">
        <f>'2MASS Binaries'!K71</f>
        <v>1.8930686579386307</v>
      </c>
      <c r="M19" s="33">
        <f>'2MASS Binaries'!L71</f>
        <v>1.5370686579386306</v>
      </c>
      <c r="N19" s="4"/>
      <c r="O19" s="28"/>
      <c r="P19" s="21"/>
      <c r="Q19" s="4"/>
    </row>
    <row r="20" spans="1:18">
      <c r="E20" s="4"/>
      <c r="F20" s="4"/>
      <c r="G20" s="4"/>
      <c r="H20" s="239" t="s">
        <v>209</v>
      </c>
      <c r="I20" s="239">
        <v>0.15</v>
      </c>
      <c r="J20" s="239">
        <v>0.1</v>
      </c>
      <c r="K20" s="48"/>
      <c r="L20" s="48"/>
      <c r="M20" s="48"/>
      <c r="N20" s="48"/>
      <c r="O20" s="51">
        <v>8.4732730534508444E-3</v>
      </c>
      <c r="P20" s="165">
        <v>2.7317430040700641</v>
      </c>
      <c r="Q20" s="4"/>
    </row>
    <row r="21" spans="1:18">
      <c r="A21" s="25" t="s">
        <v>74</v>
      </c>
      <c r="B21" s="1" t="s">
        <v>174</v>
      </c>
      <c r="C21" s="1">
        <v>150</v>
      </c>
      <c r="D21" s="1">
        <v>149</v>
      </c>
      <c r="E21" s="4" t="s">
        <v>51</v>
      </c>
      <c r="F21" s="4" t="s">
        <v>51</v>
      </c>
      <c r="G21" s="4">
        <v>1.5034037047215936</v>
      </c>
      <c r="H21" s="4" t="s">
        <v>51</v>
      </c>
      <c r="I21" s="4" t="s">
        <v>51</v>
      </c>
      <c r="J21" s="4">
        <f>G22-G21</f>
        <v>7.1769999999999978</v>
      </c>
      <c r="K21" s="4" t="s">
        <v>51</v>
      </c>
      <c r="L21" s="4" t="s">
        <v>51</v>
      </c>
      <c r="M21" s="4">
        <f>(G21+(5*LOG(C21, 10)-5))-(5*LOG(D21, 10)-5)</f>
        <v>1.5179286579386293</v>
      </c>
      <c r="N21" s="4">
        <v>5.3489249318791448</v>
      </c>
      <c r="O21" s="4">
        <f>N21*(0.0495/0.05)</f>
        <v>5.2954356825603535</v>
      </c>
      <c r="P21" s="21">
        <v>310.51904000501747</v>
      </c>
      <c r="Q21" s="4" t="s">
        <v>205</v>
      </c>
      <c r="R21" s="1" t="s">
        <v>258</v>
      </c>
    </row>
    <row r="22" spans="1:18">
      <c r="A22" s="55" t="s">
        <v>523</v>
      </c>
      <c r="E22" s="4" t="s">
        <v>51</v>
      </c>
      <c r="F22" s="4" t="s">
        <v>51</v>
      </c>
      <c r="G22" s="4">
        <v>8.6804037047215914</v>
      </c>
      <c r="H22" s="4"/>
      <c r="I22" s="4"/>
      <c r="J22" s="4"/>
      <c r="K22" s="4" t="s">
        <v>51</v>
      </c>
      <c r="L22" s="4" t="s">
        <v>51</v>
      </c>
      <c r="M22" s="4">
        <f>(G22+(5*LOG(C21, 10)-5))-(5*LOG(D21, 10)-5)</f>
        <v>8.6949286579386271</v>
      </c>
      <c r="N22" s="4"/>
      <c r="O22" s="4"/>
      <c r="P22" s="21"/>
      <c r="Q22" s="4"/>
    </row>
    <row r="23" spans="1:18">
      <c r="E23" s="4"/>
      <c r="F23" s="4"/>
      <c r="G23" s="4"/>
      <c r="H23" s="48"/>
      <c r="I23" s="48"/>
      <c r="J23" s="48">
        <f>0.03</f>
        <v>0.03</v>
      </c>
      <c r="K23" s="48"/>
      <c r="L23" s="48"/>
      <c r="M23" s="48"/>
      <c r="N23" s="48"/>
      <c r="O23" s="51">
        <f>0.006*O21</f>
        <v>3.1772614095362119E-2</v>
      </c>
      <c r="P23" s="48">
        <v>0.5</v>
      </c>
      <c r="Q23" s="4"/>
    </row>
    <row r="24" spans="1:18">
      <c r="A24" s="1" t="s">
        <v>33</v>
      </c>
      <c r="B24" s="1" t="s">
        <v>179</v>
      </c>
      <c r="C24" s="1">
        <v>150</v>
      </c>
      <c r="D24" s="1">
        <v>149</v>
      </c>
      <c r="E24" s="4">
        <v>2.0241437047215944</v>
      </c>
      <c r="F24" s="4">
        <v>1.9641837047215942</v>
      </c>
      <c r="G24" s="4">
        <v>1.9489037047215945</v>
      </c>
      <c r="H24" s="4">
        <f>E25-E24</f>
        <v>1.4634999999999989</v>
      </c>
      <c r="I24" s="4">
        <f>F25-F24</f>
        <v>1.3639999999999981</v>
      </c>
      <c r="J24" s="4">
        <f>G25-G24</f>
        <v>1.3429999999999982</v>
      </c>
      <c r="K24" s="4">
        <f>(E24+(5*LOG(C24, 10)-5))-(5*LOG(D24, 10)-5)</f>
        <v>2.0386686579386302</v>
      </c>
      <c r="L24" s="4">
        <f>(F24+(5*LOG(C24, 10)-5))-(5*LOG(D24, 10)-5)</f>
        <v>1.9787086579386299</v>
      </c>
      <c r="M24" s="4">
        <f>(G24+(5*LOG(C24, 10)-5))-(5*LOG(D24, 10)-5)</f>
        <v>1.9634286579386302</v>
      </c>
      <c r="N24" s="4">
        <v>2.925411389061884</v>
      </c>
      <c r="O24" s="4">
        <f>N24*(0.0495/0.05)</f>
        <v>2.896157275171265</v>
      </c>
      <c r="P24" s="21">
        <v>230.0698203483272</v>
      </c>
      <c r="Q24" s="4" t="s">
        <v>205</v>
      </c>
    </row>
    <row r="25" spans="1:18">
      <c r="A25" s="55" t="s">
        <v>522</v>
      </c>
      <c r="E25" s="4">
        <v>3.4876437047215934</v>
      </c>
      <c r="F25" s="4">
        <v>3.3281837047215923</v>
      </c>
      <c r="G25" s="4">
        <v>3.2919037047215927</v>
      </c>
      <c r="H25" s="4"/>
      <c r="I25" s="4"/>
      <c r="J25" s="4"/>
      <c r="K25" s="4">
        <f>(E25+(5*LOG(C24, 10)-5))-(5*LOG(D24,10)-5)</f>
        <v>3.5021686579386291</v>
      </c>
      <c r="L25" s="4">
        <f>(F25+(5*LOG(C24, 10)-5))-(5*LOG(D24, 10)-5)</f>
        <v>3.342708657938628</v>
      </c>
      <c r="M25" s="4">
        <f>(G25+(5*LOG(C24, 10)-5))-(5*LOG(D24, 10)-5)</f>
        <v>3.3064286579386284</v>
      </c>
      <c r="N25" s="4"/>
      <c r="O25" s="28"/>
      <c r="P25" s="21"/>
      <c r="Q25" s="4"/>
    </row>
    <row r="26" spans="1:18">
      <c r="E26" s="4"/>
      <c r="F26" s="4"/>
      <c r="G26" s="4"/>
      <c r="H26" s="48">
        <f>SQRT(0.03^2 + 0.001^2)</f>
        <v>3.0016662039607268E-2</v>
      </c>
      <c r="I26" s="48">
        <f>SQRT(0.03^2 + 0.001^2)</f>
        <v>3.0016662039607268E-2</v>
      </c>
      <c r="J26" s="48">
        <f>SQRT(0.03^2 + 0.001^2)</f>
        <v>3.0016662039607268E-2</v>
      </c>
      <c r="K26" s="48"/>
      <c r="L26" s="48"/>
      <c r="M26" s="48"/>
      <c r="N26" s="48"/>
      <c r="O26" s="51">
        <f>0.006*O24</f>
        <v>1.7376943651027592E-2</v>
      </c>
      <c r="P26" s="48">
        <v>0.5</v>
      </c>
      <c r="Q26" s="4"/>
    </row>
    <row r="27" spans="1:18">
      <c r="A27" s="1" t="s">
        <v>307</v>
      </c>
      <c r="B27" s="1" t="s">
        <v>180</v>
      </c>
      <c r="C27" s="1">
        <v>150</v>
      </c>
      <c r="D27" s="1">
        <v>149</v>
      </c>
      <c r="E27" s="4">
        <v>-0.3246373882014808</v>
      </c>
      <c r="F27" s="4">
        <v>-0.26817459341452476</v>
      </c>
      <c r="G27" s="4">
        <v>-0.24515651850267695</v>
      </c>
      <c r="H27" s="4">
        <f>E28-E27</f>
        <v>3.1005000000000003</v>
      </c>
      <c r="I27" s="4">
        <f>F28-F27</f>
        <v>3.0185000000000137</v>
      </c>
      <c r="J27" s="4">
        <f>G28-G27</f>
        <v>3.0675000000000185</v>
      </c>
      <c r="K27" s="4">
        <f>(E27+(5*LOG(C27, 10)-5))-(5*LOG(D27, 10)-5)</f>
        <v>-0.31011243498444507</v>
      </c>
      <c r="L27" s="4">
        <f>(F27+(5*LOG(C27, 10)-5))-(5*LOG(D27, 10)-5)</f>
        <v>-0.25364964019748903</v>
      </c>
      <c r="M27" s="4">
        <f>(G27+(5*LOG(C27, 10)-5))-(5*LOG(D27, 10)-5)</f>
        <v>-0.23063156528564122</v>
      </c>
      <c r="N27" s="4">
        <v>1.1163951624372979</v>
      </c>
      <c r="O27" s="4">
        <f>N27*(0.0495/0.05)</f>
        <v>1.105231210812925</v>
      </c>
      <c r="P27" s="21">
        <v>309.29731899795195</v>
      </c>
      <c r="Q27" s="4" t="s">
        <v>205</v>
      </c>
    </row>
    <row r="28" spans="1:18">
      <c r="A28" s="55" t="s">
        <v>521</v>
      </c>
      <c r="E28" s="4">
        <v>2.7758626117985195</v>
      </c>
      <c r="F28" s="4">
        <v>2.750325406585489</v>
      </c>
      <c r="G28" s="4">
        <v>2.8223434814973416</v>
      </c>
      <c r="H28" s="4"/>
      <c r="I28" s="4"/>
      <c r="J28" s="4"/>
      <c r="K28" s="4">
        <f>(E28+(5*LOG(C27, 10)-5))-(5*LOG(D27,10)-5)</f>
        <v>2.7903875650155552</v>
      </c>
      <c r="L28" s="4">
        <f>(F28+(5*LOG(C27, 10)-5))-(5*LOG(D27, 10)-5)</f>
        <v>2.7648503598025247</v>
      </c>
      <c r="M28" s="4">
        <f>(G28+(5*LOG(C27, 10)-5))-(5*LOG(D27, 10)-5)</f>
        <v>2.8368684347143773</v>
      </c>
      <c r="N28" s="4"/>
      <c r="O28" s="28"/>
      <c r="P28" s="21"/>
      <c r="Q28" s="4"/>
    </row>
    <row r="29" spans="1:18">
      <c r="E29" s="4"/>
      <c r="F29" s="4"/>
      <c r="G29" s="4"/>
      <c r="H29" s="48">
        <f>SQRT(0.03^2 + 0.02^2)</f>
        <v>3.605551275463989E-2</v>
      </c>
      <c r="I29" s="48">
        <f>SQRT(0.03^2 + 0.002^2)</f>
        <v>3.0066592756745815E-2</v>
      </c>
      <c r="J29" s="48">
        <f>SQRT(0.03^2 + 0.003^2)</f>
        <v>3.0149626863362672E-2</v>
      </c>
      <c r="K29" s="48"/>
      <c r="L29" s="48"/>
      <c r="M29" s="48"/>
      <c r="N29" s="48"/>
      <c r="O29" s="51">
        <f>0.006*O27</f>
        <v>6.6313872648775503E-3</v>
      </c>
      <c r="P29" s="48">
        <v>0.5</v>
      </c>
      <c r="Q29" s="4"/>
    </row>
    <row r="30" spans="1:18">
      <c r="A30" s="190" t="s">
        <v>306</v>
      </c>
      <c r="B30" s="214" t="s">
        <v>180</v>
      </c>
      <c r="C30" s="214">
        <v>150</v>
      </c>
      <c r="D30" s="214">
        <v>149</v>
      </c>
      <c r="E30" s="193" t="s">
        <v>51</v>
      </c>
      <c r="F30" s="193" t="s">
        <v>51</v>
      </c>
      <c r="G30" s="193" t="s">
        <v>51</v>
      </c>
      <c r="H30" s="193">
        <f>'Final Missed Binaries'!H32</f>
        <v>5.2732301200750005</v>
      </c>
      <c r="I30" s="193">
        <f>'Final Missed Binaries'!I32</f>
        <v>4.2623139336399998</v>
      </c>
      <c r="J30" s="193">
        <f>'Final Missed Binaries'!J32</f>
        <v>3.9845127808049998</v>
      </c>
      <c r="K30" s="193">
        <f>'2MASS Binaries'!J76</f>
        <v>-0.38993134206136926</v>
      </c>
      <c r="L30" s="193">
        <f>'2MASS Binaries'!K76</f>
        <v>-0.37393134206136924</v>
      </c>
      <c r="M30" s="193">
        <f>'2MASS Binaries'!L76</f>
        <v>-0.38693134206136914</v>
      </c>
      <c r="N30" s="193"/>
      <c r="O30" s="193">
        <f>'Final Missed Binaries'!$K$32</f>
        <v>3.5691505362416667</v>
      </c>
      <c r="P30" s="200">
        <f>'Final Missed Binaries'!$L$32</f>
        <v>92.666816414383334</v>
      </c>
      <c r="Q30" s="4" t="s">
        <v>205</v>
      </c>
    </row>
    <row r="31" spans="1:18">
      <c r="A31" s="218" t="s">
        <v>521</v>
      </c>
      <c r="B31" s="151"/>
      <c r="C31" s="151"/>
      <c r="D31" s="151"/>
      <c r="E31" s="96" t="s">
        <v>51</v>
      </c>
      <c r="F31" s="96" t="s">
        <v>51</v>
      </c>
      <c r="G31" s="96" t="s">
        <v>51</v>
      </c>
      <c r="H31" s="96"/>
      <c r="I31" s="96"/>
      <c r="J31" s="96"/>
      <c r="K31" s="96">
        <f>'2MASS Binaries'!J77</f>
        <v>4.8832987780136312</v>
      </c>
      <c r="L31" s="96">
        <f>'2MASS Binaries'!K77</f>
        <v>3.8883825915786305</v>
      </c>
      <c r="M31" s="96">
        <f>'2MASS Binaries'!L77</f>
        <v>3.5975814387436307</v>
      </c>
      <c r="N31" s="96"/>
      <c r="O31" s="96"/>
      <c r="P31" s="152"/>
    </row>
    <row r="32" spans="1:18">
      <c r="A32" s="195"/>
      <c r="B32" s="197"/>
      <c r="C32" s="197"/>
      <c r="D32" s="197"/>
      <c r="E32" s="185"/>
      <c r="F32" s="185"/>
      <c r="G32" s="185"/>
      <c r="H32" s="198">
        <f>SQRT('Final Missed Binaries'!H33^2 + 0.03^2)</f>
        <v>6.205329930681603E-2</v>
      </c>
      <c r="I32" s="198">
        <f>SQRT('Final Missed Binaries'!I33^2 + 0.03^2)</f>
        <v>3.5045153615921136E-2</v>
      </c>
      <c r="J32" s="198">
        <f>SQRT('Final Missed Binaries'!J33^2 + 0.03^2)</f>
        <v>3.3651995439068827E-2</v>
      </c>
      <c r="K32" s="198"/>
      <c r="L32" s="198"/>
      <c r="M32" s="198"/>
      <c r="N32" s="198"/>
      <c r="O32" s="216">
        <f>0.006*O30</f>
        <v>2.1414903217450001E-2</v>
      </c>
      <c r="P32" s="217">
        <v>0.5</v>
      </c>
      <c r="Q32" s="4"/>
    </row>
    <row r="33" spans="1:18">
      <c r="A33" s="1" t="s">
        <v>35</v>
      </c>
      <c r="B33" s="1" t="s">
        <v>181</v>
      </c>
      <c r="C33" s="1">
        <v>150</v>
      </c>
      <c r="D33" s="1">
        <v>149</v>
      </c>
      <c r="E33" s="4">
        <v>-0.4593537908808365</v>
      </c>
      <c r="F33" s="4">
        <v>-0.40839842555153272</v>
      </c>
      <c r="G33" s="4">
        <v>-0.3785811282667666</v>
      </c>
      <c r="H33" s="4">
        <f>E34-E33</f>
        <v>2.6709999999999994</v>
      </c>
      <c r="I33" s="4">
        <f>F34-F33</f>
        <v>2.5779999999999967</v>
      </c>
      <c r="J33" s="4">
        <f>G34-G33</f>
        <v>2.5579999999999963</v>
      </c>
      <c r="K33" s="4">
        <f>(E33+(5*LOG(C33, 10)-5))-(5*LOG(D33, 10)-5)</f>
        <v>-0.44482883766380077</v>
      </c>
      <c r="L33" s="4">
        <f>(F33+(5*LOG(C33, 10)-5))-(5*LOG(D33, 10)-5)</f>
        <v>-0.39387347233449699</v>
      </c>
      <c r="M33" s="4">
        <f>(G33+(5*LOG(C33, 10)-5))-(5*LOG(D33, 10)-5)</f>
        <v>-0.36405617504973087</v>
      </c>
      <c r="N33" s="4">
        <v>0.75236452641049956</v>
      </c>
      <c r="O33" s="4">
        <f>N33*(0.0495/0.05)</f>
        <v>0.74484088114639457</v>
      </c>
      <c r="P33" s="21">
        <v>189.6</v>
      </c>
      <c r="Q33" s="4" t="s">
        <v>205</v>
      </c>
    </row>
    <row r="34" spans="1:18">
      <c r="A34" s="55" t="s">
        <v>498</v>
      </c>
      <c r="E34" s="4">
        <v>2.2116462091191629</v>
      </c>
      <c r="F34" s="4">
        <v>2.169601574448464</v>
      </c>
      <c r="G34" s="4">
        <v>2.1794188717332297</v>
      </c>
      <c r="H34" s="4"/>
      <c r="I34" s="4"/>
      <c r="J34" s="4"/>
      <c r="K34" s="4">
        <f>(E34+(5*LOG(C33, 10)-5))-(5*LOG(D33, 10)-5)</f>
        <v>2.2261711623361986</v>
      </c>
      <c r="L34" s="4">
        <f>(F34+(5*LOG(C33, 10)-5))-(5*LOG(D33, 10)-5)</f>
        <v>2.1841265276654998</v>
      </c>
      <c r="M34" s="4">
        <f>(G34+(5*LOG(C33, 10)-5))-(5*LOG(D33, 10)-5)</f>
        <v>2.1939438249502654</v>
      </c>
      <c r="N34" s="4"/>
      <c r="O34" s="28"/>
      <c r="P34" s="21"/>
      <c r="Q34" s="4"/>
    </row>
    <row r="35" spans="1:18">
      <c r="E35" s="4"/>
      <c r="F35" s="4"/>
      <c r="G35" s="4"/>
      <c r="H35" s="48">
        <f>SQRT(0.03^2 + 0.002^2)</f>
        <v>3.0066592756745815E-2</v>
      </c>
      <c r="I35" s="48">
        <f>SQRT(0.03^2 + 0.002^2)</f>
        <v>3.0066592756745815E-2</v>
      </c>
      <c r="J35" s="48">
        <f>SQRT(0.03^2 + 0.002^2)</f>
        <v>3.0066592756745815E-2</v>
      </c>
      <c r="K35" s="48"/>
      <c r="L35" s="48"/>
      <c r="M35" s="48"/>
      <c r="N35" s="48"/>
      <c r="O35" s="51">
        <f>0.006*O33</f>
        <v>4.4690452868783679E-3</v>
      </c>
      <c r="P35" s="48">
        <v>0.5</v>
      </c>
      <c r="Q35" s="4"/>
    </row>
    <row r="36" spans="1:18">
      <c r="A36" s="1" t="s">
        <v>34</v>
      </c>
      <c r="B36" s="1" t="s">
        <v>182</v>
      </c>
      <c r="C36" s="1">
        <v>150</v>
      </c>
      <c r="D36" s="1">
        <v>149</v>
      </c>
      <c r="E36" s="4">
        <v>1.3011437047215955</v>
      </c>
      <c r="F36" s="4">
        <v>1.3351837047215946</v>
      </c>
      <c r="G36" s="4">
        <v>1.3494037047215937</v>
      </c>
      <c r="H36" s="4">
        <f>E37-E36</f>
        <v>0.87349999999999905</v>
      </c>
      <c r="I36" s="4">
        <f>F37-F36</f>
        <v>0.74299999999999766</v>
      </c>
      <c r="J36" s="4">
        <f>G37-G36</f>
        <v>0.72300000000000075</v>
      </c>
      <c r="K36" s="4">
        <f>(E36+(5*LOG(C36, 10)-5))-(5*LOG(D36, 10)-5)</f>
        <v>1.3156686579386312</v>
      </c>
      <c r="L36" s="4">
        <f>(F36+(5*LOG(C36, 10)-5))-(5*LOG(D36, 10)-5)</f>
        <v>1.3497086579386304</v>
      </c>
      <c r="M36" s="4">
        <f>(G36+(5*LOG(C36, 10)-5))-(5*LOG(D36, 10)-5)</f>
        <v>1.3639286579386294</v>
      </c>
      <c r="N36" s="4">
        <v>2.0701370313535974</v>
      </c>
      <c r="O36" s="4">
        <f>N36*(0.0495/0.05)</f>
        <v>2.0494356610400613</v>
      </c>
      <c r="P36" s="21">
        <v>19.464085108451002</v>
      </c>
      <c r="Q36" s="4" t="s">
        <v>205</v>
      </c>
    </row>
    <row r="37" spans="1:18">
      <c r="A37" s="55" t="s">
        <v>499</v>
      </c>
      <c r="E37" s="4">
        <v>2.1746437047215945</v>
      </c>
      <c r="F37" s="4">
        <v>2.0781837047215923</v>
      </c>
      <c r="G37" s="4">
        <v>2.0724037047215944</v>
      </c>
      <c r="H37" s="4"/>
      <c r="I37" s="4"/>
      <c r="J37" s="4"/>
      <c r="K37" s="4">
        <f>(E37+(5*LOG(C36, 10)-5))-(5*LOG(D36, 10)-5)</f>
        <v>2.1891686579386302</v>
      </c>
      <c r="L37" s="4">
        <f>(F37+(5*LOG(C36, 10)-5))-(5*LOG(D36, 10)-5)</f>
        <v>2.092708657938628</v>
      </c>
      <c r="M37" s="4">
        <f>(G37+(5*LOG(C36, 10)-5))-(5*LOG(D36, 10)-5)</f>
        <v>2.0869286579386301</v>
      </c>
      <c r="N37" s="4"/>
      <c r="O37" s="28"/>
      <c r="P37" s="21"/>
      <c r="Q37" s="4"/>
    </row>
    <row r="38" spans="1:18">
      <c r="E38" s="4"/>
      <c r="F38" s="4"/>
      <c r="G38" s="4"/>
      <c r="H38" s="48">
        <f>SQRT(0.03^2 + 0.001^2)</f>
        <v>3.0016662039607268E-2</v>
      </c>
      <c r="I38" s="48">
        <f>SQRT(0.03^2 + 0.001^2)</f>
        <v>3.0016662039607268E-2</v>
      </c>
      <c r="J38" s="48">
        <f>SQRT(0.03^2 + 0.001^2)</f>
        <v>3.0016662039607268E-2</v>
      </c>
      <c r="K38" s="48"/>
      <c r="L38" s="48"/>
      <c r="M38" s="48"/>
      <c r="N38" s="48"/>
      <c r="O38" s="51">
        <f>0.006*O36</f>
        <v>1.2296613966240369E-2</v>
      </c>
      <c r="P38" s="48">
        <v>0.5</v>
      </c>
      <c r="Q38" s="4"/>
    </row>
    <row r="39" spans="1:18">
      <c r="A39" s="1" t="s">
        <v>76</v>
      </c>
      <c r="B39" s="1" t="s">
        <v>197</v>
      </c>
      <c r="C39" s="1">
        <v>150</v>
      </c>
      <c r="D39" s="1">
        <v>149</v>
      </c>
      <c r="E39" s="4">
        <v>1.7076437047215949</v>
      </c>
      <c r="F39" s="4">
        <v>1.6574837047215931</v>
      </c>
      <c r="G39" s="4">
        <v>1.6430037047215933</v>
      </c>
      <c r="H39" s="4">
        <f>E40-E39</f>
        <v>7.1234999999999991</v>
      </c>
      <c r="I39" s="4">
        <f>F40-F39</f>
        <v>6.7410000000000005</v>
      </c>
      <c r="J39" s="4">
        <f>G40-G39</f>
        <v>6.6850000000000005</v>
      </c>
      <c r="K39" s="4">
        <f>(E39+(5*LOG(C39, 10)-5))-(5*LOG(D39, 10)-5)</f>
        <v>1.7221686579386306</v>
      </c>
      <c r="L39" s="4">
        <f>(F39+(5*LOG(C39, 10)-5))-(5*LOG(D39, 10)-5)</f>
        <v>1.6720086579386289</v>
      </c>
      <c r="M39" s="4">
        <f>(G39+(5*LOG(C39, 10)-5))-(5*LOG(D39, 10)-5)</f>
        <v>1.657528657938629</v>
      </c>
      <c r="N39" s="4">
        <v>3.9420451280694366</v>
      </c>
      <c r="O39" s="4">
        <f>N39*(0.0495/0.05)</f>
        <v>3.9026246767887423</v>
      </c>
      <c r="P39" s="21">
        <v>12.787338361015387</v>
      </c>
      <c r="Q39" s="4" t="s">
        <v>205</v>
      </c>
    </row>
    <row r="40" spans="1:18">
      <c r="A40" s="55" t="s">
        <v>520</v>
      </c>
      <c r="E40" s="4">
        <v>8.8311437047215939</v>
      </c>
      <c r="F40" s="4">
        <v>8.3984837047215937</v>
      </c>
      <c r="G40" s="4">
        <v>8.3280037047215938</v>
      </c>
      <c r="H40" s="4"/>
      <c r="I40" s="4"/>
      <c r="J40" s="4"/>
      <c r="K40" s="4">
        <f>(E40+(5*LOG(C39, 10)-5))-(5*LOG(D39, 10)-5)</f>
        <v>8.8456686579386297</v>
      </c>
      <c r="L40" s="4">
        <f>(F40+(5*LOG(C39, 10)-5))-(5*LOG(D39, 10)-5)</f>
        <v>8.4130086579386294</v>
      </c>
      <c r="M40" s="4">
        <f>(G40+(5*LOG(C39, 10)-5))-(5*LOG(D39, 10)-5)</f>
        <v>8.3425286579386295</v>
      </c>
      <c r="N40" s="4"/>
      <c r="O40" s="28"/>
      <c r="P40" s="21"/>
      <c r="Q40" s="4"/>
    </row>
    <row r="41" spans="1:18">
      <c r="E41" s="4"/>
      <c r="F41" s="4"/>
      <c r="G41" s="4"/>
      <c r="H41" s="48">
        <f>SQRT(0.03^2 + 0.025^2)</f>
        <v>3.9051248379533277E-2</v>
      </c>
      <c r="I41" s="48">
        <f>SQRT(0.03^2 + 0.019^2)</f>
        <v>3.5510561809129405E-2</v>
      </c>
      <c r="J41" s="48">
        <f>SQRT(0.03^2 + 0.026^2)</f>
        <v>3.9698866482558416E-2</v>
      </c>
      <c r="K41" s="48"/>
      <c r="L41" s="48"/>
      <c r="M41" s="48"/>
      <c r="N41" s="48"/>
      <c r="O41" s="51">
        <f>0.006*O39</f>
        <v>2.3415748060732454E-2</v>
      </c>
      <c r="P41" s="48">
        <v>0.5</v>
      </c>
      <c r="Q41" s="4"/>
    </row>
    <row r="42" spans="1:18">
      <c r="A42" s="1" t="s">
        <v>36</v>
      </c>
      <c r="B42" s="1" t="s">
        <v>183</v>
      </c>
      <c r="C42" s="1">
        <v>150</v>
      </c>
      <c r="D42" s="1">
        <v>149</v>
      </c>
      <c r="E42" s="4">
        <v>1.7450543761918391</v>
      </c>
      <c r="F42" s="4">
        <v>1.6771555147066657</v>
      </c>
      <c r="G42" s="4">
        <v>1.6692565193981626</v>
      </c>
      <c r="H42" s="4">
        <f>E43-E42</f>
        <v>5.3999999999999382E-2</v>
      </c>
      <c r="I42" s="4">
        <f>F43-F42</f>
        <v>2.9000000000000803E-2</v>
      </c>
      <c r="J42" s="4">
        <f>G43-G42</f>
        <v>2.6000000000002466E-2</v>
      </c>
      <c r="K42" s="4">
        <f>(E42+(5*LOG(C42, 10)-5))-(5*LOG(D42, 10)-5)</f>
        <v>1.7595793294088748</v>
      </c>
      <c r="L42" s="4">
        <f>(F42+(5*LOG(C42, 10)-5))-(5*LOG(D42, 10)-5)</f>
        <v>1.6916804679237014</v>
      </c>
      <c r="M42" s="4">
        <f>(G42+(5*LOG(C42, 10)-5))-(5*LOG(D42, 10)-5)</f>
        <v>1.6837814726151983</v>
      </c>
      <c r="N42" s="4">
        <v>0.53504125235887168</v>
      </c>
      <c r="O42" s="4">
        <f>N42*(0.0495/0.05)</f>
        <v>0.52969083983528298</v>
      </c>
      <c r="P42" s="21">
        <v>72.79333652951108</v>
      </c>
      <c r="Q42" s="4" t="s">
        <v>205</v>
      </c>
    </row>
    <row r="43" spans="1:18">
      <c r="A43" s="55" t="s">
        <v>519</v>
      </c>
      <c r="E43" s="4">
        <v>1.7990543761918385</v>
      </c>
      <c r="F43" s="4">
        <v>1.7061555147066665</v>
      </c>
      <c r="G43" s="4">
        <v>1.695256519398165</v>
      </c>
      <c r="H43" s="4"/>
      <c r="I43" s="4"/>
      <c r="J43" s="4"/>
      <c r="K43" s="4">
        <f>(E43+(5*LOG(C42, 10)-5))-(5*LOG(D42, 10)-5)</f>
        <v>1.8135793294088742</v>
      </c>
      <c r="L43" s="4">
        <f>(F43+(5*LOG(C42, 10)-5))-(5*LOG(D42, 10)-5)</f>
        <v>1.7206804679237022</v>
      </c>
      <c r="M43" s="4">
        <f>(G43+(5*LOG(C42, 10)-5))-(5*LOG(D42, 10)-5)</f>
        <v>1.7097814726152007</v>
      </c>
      <c r="N43" s="4"/>
      <c r="O43" s="28"/>
      <c r="P43" s="21"/>
      <c r="Q43" s="4"/>
    </row>
    <row r="44" spans="1:18">
      <c r="E44" s="4"/>
      <c r="F44" s="4"/>
      <c r="G44" s="4"/>
      <c r="H44" s="48">
        <f>SQRT(0.03^2 + 0.001^2)</f>
        <v>3.0016662039607268E-2</v>
      </c>
      <c r="I44" s="48">
        <f>SQRT(0.03^2 + 0.001^2)</f>
        <v>3.0016662039607268E-2</v>
      </c>
      <c r="J44" s="48">
        <f>SQRT(0.03^2 + 0.001^2)</f>
        <v>3.0016662039607268E-2</v>
      </c>
      <c r="K44" s="48"/>
      <c r="L44" s="48"/>
      <c r="M44" s="48"/>
      <c r="N44" s="48"/>
      <c r="O44" s="51">
        <f>0.006*O42</f>
        <v>3.1781450390116978E-3</v>
      </c>
      <c r="P44" s="48">
        <v>0.5</v>
      </c>
      <c r="Q44" s="4"/>
    </row>
    <row r="45" spans="1:18">
      <c r="A45" s="1" t="s">
        <v>168</v>
      </c>
      <c r="B45" s="1" t="s">
        <v>174</v>
      </c>
      <c r="C45" s="1">
        <v>150</v>
      </c>
      <c r="D45" s="1">
        <v>149</v>
      </c>
      <c r="E45" s="4">
        <v>1.6331437047215944</v>
      </c>
      <c r="F45" s="4">
        <v>1.6265837047215941</v>
      </c>
      <c r="G45" s="4">
        <v>1.6466037047215938</v>
      </c>
      <c r="H45" s="4">
        <f>E46-E45</f>
        <v>4.7864999999999993</v>
      </c>
      <c r="I45" s="4">
        <f>F46-F45</f>
        <v>4.1664999999999983</v>
      </c>
      <c r="J45" s="4">
        <f>G46-G45</f>
        <v>3.9104999999999972</v>
      </c>
      <c r="K45" s="4">
        <f>(E45+(5*LOG(C45, 10)-5))-(5*LOG(D45, 10)-5)</f>
        <v>1.6476686579386302</v>
      </c>
      <c r="L45" s="4">
        <f>(F45+(5*LOG(C45, 10)-5))-(5*LOG(D45, 10)-5)</f>
        <v>1.6411086579386298</v>
      </c>
      <c r="M45" s="4">
        <f>(G45+(5*LOG(C45, 10)-5))-(5*LOG(D45, 10)-5)</f>
        <v>1.6611286579386295</v>
      </c>
      <c r="N45" s="4">
        <v>3.4511192339468786</v>
      </c>
      <c r="O45" s="4">
        <f>N45*(0.0495/0.05)</f>
        <v>3.4166080416074096</v>
      </c>
      <c r="P45" s="21">
        <v>16.707349630115999</v>
      </c>
      <c r="Q45" s="4" t="s">
        <v>205</v>
      </c>
    </row>
    <row r="46" spans="1:18">
      <c r="A46" s="55" t="s">
        <v>518</v>
      </c>
      <c r="E46" s="4">
        <v>6.4196437047215937</v>
      </c>
      <c r="F46" s="4">
        <v>5.7930837047215924</v>
      </c>
      <c r="G46" s="4">
        <v>5.557103704721591</v>
      </c>
      <c r="H46" s="4"/>
      <c r="I46" s="4"/>
      <c r="J46" s="4"/>
      <c r="K46" s="4">
        <f>(E46+(5*LOG(C45, 10)-5))-(5*LOG(D45, 10)-5)</f>
        <v>6.4341686579386295</v>
      </c>
      <c r="L46" s="4">
        <f>(F46+(5*LOG(C45, 10)-5))-(5*LOG(D45, 10)-5)</f>
        <v>5.8076086579386281</v>
      </c>
      <c r="M46" s="4">
        <f>(G46+(5*LOG(C45, 10)-5))-(5*LOG(D45, 10)-5)</f>
        <v>5.5716286579386267</v>
      </c>
      <c r="N46" s="4"/>
      <c r="O46" s="28"/>
      <c r="P46" s="21"/>
      <c r="Q46" s="4"/>
    </row>
    <row r="47" spans="1:18">
      <c r="E47" s="4"/>
      <c r="F47" s="4"/>
      <c r="G47" s="4"/>
      <c r="H47" s="48">
        <f>SQRT(0.03^2 + 0.004^2)</f>
        <v>3.026549190084311E-2</v>
      </c>
      <c r="I47" s="48">
        <f>SQRT(0.03^2 + 0.004^2)</f>
        <v>3.026549190084311E-2</v>
      </c>
      <c r="J47" s="48">
        <f>SQRT(0.03^2 + 0.004^2)</f>
        <v>3.026549190084311E-2</v>
      </c>
      <c r="K47" s="48"/>
      <c r="L47" s="48"/>
      <c r="M47" s="48"/>
      <c r="N47" s="48"/>
      <c r="O47" s="51">
        <f>0.006*O45</f>
        <v>2.0499648249644457E-2</v>
      </c>
      <c r="P47" s="48">
        <v>0.5</v>
      </c>
      <c r="Q47" s="4"/>
    </row>
    <row r="48" spans="1:18">
      <c r="A48" s="25" t="s">
        <v>249</v>
      </c>
      <c r="B48" s="25" t="s">
        <v>191</v>
      </c>
      <c r="C48" s="1">
        <v>150</v>
      </c>
      <c r="D48" s="25">
        <v>149</v>
      </c>
      <c r="E48" s="28" t="s">
        <v>51</v>
      </c>
      <c r="F48" s="28" t="s">
        <v>51</v>
      </c>
      <c r="G48" s="28">
        <v>1.311903704721594</v>
      </c>
      <c r="H48" s="28" t="s">
        <v>51</v>
      </c>
      <c r="I48" s="28" t="s">
        <v>51</v>
      </c>
      <c r="J48" s="28">
        <f>G49-G48</f>
        <v>5.7759999999999998</v>
      </c>
      <c r="K48" s="28" t="s">
        <v>51</v>
      </c>
      <c r="L48" s="28" t="s">
        <v>51</v>
      </c>
      <c r="M48" s="4">
        <f>(G48+(5*LOG(C48, 10)-5))-(5*LOG(D48, 10)-5)</f>
        <v>1.3264286579386297</v>
      </c>
      <c r="N48" s="28">
        <v>2.6430112686446225</v>
      </c>
      <c r="O48" s="4">
        <f>N48*(0.0495/0.05)</f>
        <v>2.6165811559581762</v>
      </c>
      <c r="P48" s="27">
        <v>175.66519831577341</v>
      </c>
      <c r="Q48" s="1" t="s">
        <v>205</v>
      </c>
      <c r="R48" s="1" t="s">
        <v>315</v>
      </c>
    </row>
    <row r="49" spans="1:21">
      <c r="A49" s="55" t="s">
        <v>517</v>
      </c>
      <c r="B49" s="25"/>
      <c r="C49" s="25"/>
      <c r="D49" s="25"/>
      <c r="E49" s="28" t="s">
        <v>51</v>
      </c>
      <c r="F49" s="28" t="s">
        <v>51</v>
      </c>
      <c r="G49" s="28">
        <v>7.0879037047215938</v>
      </c>
      <c r="H49" s="28"/>
      <c r="I49" s="28"/>
      <c r="J49" s="28"/>
      <c r="K49" s="28" t="s">
        <v>51</v>
      </c>
      <c r="L49" s="28" t="s">
        <v>51</v>
      </c>
      <c r="M49" s="4">
        <f>(G49+(5*LOG(C48, 10)-5))-(5*LOG(D48, 10)-5)</f>
        <v>7.1024286579386295</v>
      </c>
      <c r="N49" s="28"/>
      <c r="O49" s="28"/>
      <c r="P49" s="25"/>
    </row>
    <row r="50" spans="1:21">
      <c r="E50" s="4"/>
      <c r="F50" s="28"/>
      <c r="G50" s="28"/>
      <c r="H50" s="48"/>
      <c r="I50" s="48"/>
      <c r="J50" s="48">
        <f>SQRT(0.03^2 + 0.016^2)</f>
        <v>3.3999999999999996E-2</v>
      </c>
      <c r="K50" s="49"/>
      <c r="L50" s="49"/>
      <c r="M50" s="49"/>
      <c r="N50" s="49"/>
      <c r="O50" s="51">
        <f>0.006*O48</f>
        <v>1.5699486935749057E-2</v>
      </c>
      <c r="P50" s="48">
        <v>0.5</v>
      </c>
    </row>
    <row r="51" spans="1:21">
      <c r="A51" s="42" t="s">
        <v>263</v>
      </c>
      <c r="B51" s="32" t="s">
        <v>659</v>
      </c>
      <c r="C51" s="1" t="s">
        <v>51</v>
      </c>
      <c r="D51" s="1">
        <v>149</v>
      </c>
      <c r="E51" s="4" t="s">
        <v>51</v>
      </c>
      <c r="F51" s="4" t="s">
        <v>51</v>
      </c>
      <c r="G51" s="4" t="s">
        <v>51</v>
      </c>
      <c r="H51" s="4">
        <v>8.3708069801149989</v>
      </c>
      <c r="I51" s="4">
        <v>7.8420291090349998</v>
      </c>
      <c r="J51" s="4">
        <v>7.551610808945</v>
      </c>
      <c r="K51" s="33">
        <f>1.62316865793863 + 0.03</f>
        <v>1.65316865793863</v>
      </c>
      <c r="L51" s="33">
        <f>1.56590865793863 + 0.03</f>
        <v>1.5959086579386301</v>
      </c>
      <c r="M51" s="33">
        <f>1.54282865793863 + 0.03</f>
        <v>1.5728286579386301</v>
      </c>
      <c r="N51" s="4"/>
      <c r="O51" s="4">
        <v>4.7959707275649999</v>
      </c>
      <c r="P51" s="21">
        <v>8.8925922947116671</v>
      </c>
      <c r="Q51" s="1" t="s">
        <v>205</v>
      </c>
      <c r="R51" s="1" t="s">
        <v>533</v>
      </c>
    </row>
    <row r="52" spans="1:21">
      <c r="A52" s="55" t="s">
        <v>516</v>
      </c>
      <c r="E52" s="4" t="s">
        <v>51</v>
      </c>
      <c r="F52" s="4" t="s">
        <v>51</v>
      </c>
      <c r="G52" s="4" t="s">
        <v>51</v>
      </c>
      <c r="H52" s="4"/>
      <c r="I52" s="4"/>
      <c r="J52" s="4"/>
      <c r="K52" s="33">
        <f>9.99397563805363 + 0.03</f>
        <v>10.02397563805363</v>
      </c>
      <c r="L52" s="33">
        <f>9.40793776697363 + 0.03</f>
        <v>9.4379377669736293</v>
      </c>
      <c r="M52" s="33">
        <f>9.09443946688363 + 0.03</f>
        <v>9.1244394668836293</v>
      </c>
      <c r="N52" s="4"/>
      <c r="O52" s="4"/>
      <c r="P52" s="21"/>
    </row>
    <row r="53" spans="1:21">
      <c r="E53" s="4"/>
      <c r="F53" s="4"/>
      <c r="G53" s="4"/>
      <c r="H53" s="48">
        <f>SQRT(0.0900849106249986^2 + 0.03^2)</f>
        <v>9.4948886893496467E-2</v>
      </c>
      <c r="I53" s="48">
        <f>SQRT(0.0606855664549997^2 + 0.03^2)</f>
        <v>6.7695922890261162E-2</v>
      </c>
      <c r="J53" s="48">
        <f>SQRT(0.0541711024450002^2 + 0.03^2)</f>
        <v>6.1923407045371033E-2</v>
      </c>
      <c r="K53" s="48"/>
      <c r="L53" s="48"/>
      <c r="M53" s="48"/>
      <c r="N53" s="48"/>
      <c r="O53" s="51">
        <f>0.006*O51</f>
        <v>2.8775824365390001E-2</v>
      </c>
      <c r="P53" s="48">
        <v>0.5</v>
      </c>
    </row>
    <row r="54" spans="1:21">
      <c r="A54" s="42" t="s">
        <v>264</v>
      </c>
      <c r="B54" s="32" t="s">
        <v>659</v>
      </c>
      <c r="C54" s="1" t="s">
        <v>51</v>
      </c>
      <c r="D54" s="1">
        <v>149</v>
      </c>
      <c r="E54" s="4" t="s">
        <v>51</v>
      </c>
      <c r="F54" s="4" t="s">
        <v>51</v>
      </c>
      <c r="G54" s="4" t="s">
        <v>51</v>
      </c>
      <c r="H54" s="4" t="s">
        <v>51</v>
      </c>
      <c r="I54" s="4" t="s">
        <v>51</v>
      </c>
      <c r="J54" s="4">
        <v>6.450751462905</v>
      </c>
      <c r="K54" s="4" t="s">
        <v>51</v>
      </c>
      <c r="L54" s="4" t="s">
        <v>51</v>
      </c>
      <c r="M54" s="61">
        <f>1.67052865793863 + 0.03</f>
        <v>1.7005286579386301</v>
      </c>
      <c r="N54" s="43"/>
      <c r="O54" s="4">
        <v>4.5496268424400004</v>
      </c>
      <c r="P54" s="21">
        <v>347.98235461299998</v>
      </c>
      <c r="Q54" s="1" t="s">
        <v>205</v>
      </c>
      <c r="R54" s="1" t="s">
        <v>533</v>
      </c>
    </row>
    <row r="55" spans="1:21">
      <c r="A55" s="55" t="s">
        <v>515</v>
      </c>
      <c r="E55" s="4" t="s">
        <v>51</v>
      </c>
      <c r="F55" s="4" t="s">
        <v>51</v>
      </c>
      <c r="G55" s="4" t="s">
        <v>51</v>
      </c>
      <c r="H55" s="4"/>
      <c r="I55" s="4"/>
      <c r="J55" s="4"/>
      <c r="K55" s="4" t="s">
        <v>51</v>
      </c>
      <c r="L55" s="4" t="s">
        <v>51</v>
      </c>
      <c r="M55" s="61">
        <f>8.12128012084363 + 0.03</f>
        <v>8.1512801208436301</v>
      </c>
      <c r="N55" s="43"/>
      <c r="O55" s="4"/>
    </row>
    <row r="56" spans="1:21">
      <c r="E56" s="4"/>
      <c r="F56" s="4"/>
      <c r="G56" s="4"/>
      <c r="H56" s="48"/>
      <c r="I56" s="48"/>
      <c r="J56" s="48">
        <f>SQRT(0.02^2 + 0.03^2)</f>
        <v>3.605551275463989E-2</v>
      </c>
      <c r="K56" s="48"/>
      <c r="L56" s="48"/>
      <c r="M56" s="48"/>
      <c r="N56" s="48"/>
      <c r="O56" s="51">
        <f>0.006*O54</f>
        <v>2.7297761054640001E-2</v>
      </c>
      <c r="P56" s="48">
        <v>0.5</v>
      </c>
    </row>
    <row r="57" spans="1:21">
      <c r="A57" s="46">
        <v>18</v>
      </c>
      <c r="B57" s="46">
        <v>18</v>
      </c>
      <c r="C57" s="46">
        <v>18</v>
      </c>
      <c r="D57" s="46">
        <v>18</v>
      </c>
      <c r="E57" s="46">
        <v>18</v>
      </c>
      <c r="F57" s="46">
        <v>18</v>
      </c>
      <c r="G57" s="46">
        <v>18</v>
      </c>
      <c r="H57" s="46">
        <v>18</v>
      </c>
      <c r="I57" s="46">
        <v>18</v>
      </c>
      <c r="J57" s="46">
        <v>18</v>
      </c>
      <c r="K57" s="46">
        <v>18</v>
      </c>
      <c r="L57" s="46">
        <v>18</v>
      </c>
      <c r="M57" s="46">
        <v>18</v>
      </c>
      <c r="N57" s="46">
        <v>18</v>
      </c>
      <c r="O57" s="46">
        <v>18</v>
      </c>
      <c r="P57" s="46">
        <v>18</v>
      </c>
      <c r="Q57" s="46">
        <v>18</v>
      </c>
      <c r="R57" s="46">
        <v>18</v>
      </c>
      <c r="S57" s="46">
        <v>18</v>
      </c>
      <c r="T57" s="46">
        <v>18</v>
      </c>
      <c r="U57" s="46">
        <v>18</v>
      </c>
    </row>
    <row r="58" spans="1:21">
      <c r="A58" s="1" t="s">
        <v>169</v>
      </c>
      <c r="B58" s="1" t="s">
        <v>186</v>
      </c>
      <c r="C58" s="25">
        <v>150</v>
      </c>
      <c r="D58" s="1">
        <v>149</v>
      </c>
      <c r="E58" s="28">
        <v>1.0048928357446778</v>
      </c>
      <c r="F58" s="28">
        <v>0.36152839480121735</v>
      </c>
      <c r="G58" s="28">
        <v>0.28656600816727895</v>
      </c>
      <c r="H58" s="4">
        <f>E59-E58</f>
        <v>0.61031286081877134</v>
      </c>
      <c r="I58" s="4">
        <f>F59-F58</f>
        <v>0.53667541247308215</v>
      </c>
      <c r="J58" s="4">
        <f>G59-G58</f>
        <v>0.38725489996435769</v>
      </c>
      <c r="K58" s="4">
        <f>(E58+(5*LOG(C58, 10)-5))-(5*LOG(D58, 10)-5)</f>
        <v>1.0194177889617135</v>
      </c>
      <c r="L58" s="4">
        <f>(F58+(5*LOG(C58, 10)-5))-(5*LOG(D58, 10)-5)</f>
        <v>0.37605334801825308</v>
      </c>
      <c r="M58" s="4">
        <f>(G58+(5*LOG(C58, 10)-5))-(5*LOG(D58, 10)-5)</f>
        <v>0.30109096138431468</v>
      </c>
      <c r="N58" s="4">
        <v>0.21347766666666665</v>
      </c>
      <c r="O58" s="4">
        <f>N58*(0.0495/0.05)</f>
        <v>0.21134288999999998</v>
      </c>
      <c r="P58" s="34">
        <f>214.055024444444-180</f>
        <v>34.055024444444001</v>
      </c>
      <c r="Q58" s="25" t="s">
        <v>206</v>
      </c>
      <c r="R58" s="25" t="s">
        <v>228</v>
      </c>
    </row>
    <row r="59" spans="1:21">
      <c r="A59" s="55" t="s">
        <v>514</v>
      </c>
      <c r="E59" s="4">
        <v>1.6152056965634491</v>
      </c>
      <c r="F59" s="4">
        <v>0.89820380727429949</v>
      </c>
      <c r="G59" s="4">
        <v>0.67382090813163664</v>
      </c>
      <c r="H59" s="4"/>
      <c r="I59" s="4"/>
      <c r="J59" s="4"/>
      <c r="K59" s="4">
        <f>(E59+(5*LOG(C58, 10)-5))-(5*LOG(D58, 10)-5)</f>
        <v>1.6297306497804849</v>
      </c>
      <c r="L59" s="4">
        <f>(F59+(5*LOG(C58, 10)-5))-(5*LOG(D58, 10)-5)</f>
        <v>0.91272876049133522</v>
      </c>
      <c r="M59" s="4">
        <f>(G59+(5*LOG(C58, 10)-5))-(5*LOG(D58, 10)-5)</f>
        <v>0.68834586134867237</v>
      </c>
      <c r="N59" s="4"/>
      <c r="O59" s="28"/>
      <c r="P59" s="21"/>
      <c r="R59" s="25" t="s">
        <v>229</v>
      </c>
    </row>
    <row r="60" spans="1:21">
      <c r="E60" s="4"/>
      <c r="F60" s="4"/>
      <c r="G60" s="4"/>
      <c r="H60" s="48">
        <f>SQRT(0.250399108092794^2 + 0.05^2)</f>
        <v>0.2553423453594541</v>
      </c>
      <c r="I60" s="48">
        <f>SQRT(0.106099320047303^2 + 0.05^2)</f>
        <v>0.11729051843392983</v>
      </c>
      <c r="J60" s="48">
        <f>SQRT(0.0325137333621173^2 + 0.05^2)</f>
        <v>5.9641787843280315E-2</v>
      </c>
      <c r="K60" s="48"/>
      <c r="L60" s="48"/>
      <c r="M60" s="48"/>
      <c r="N60" s="48"/>
      <c r="O60" s="51">
        <v>6.2958793082084595E-3</v>
      </c>
      <c r="P60" s="165">
        <v>1.011491489572983</v>
      </c>
      <c r="R60" s="25"/>
    </row>
    <row r="61" spans="1:21">
      <c r="A61" s="1" t="s">
        <v>19</v>
      </c>
      <c r="B61" s="1" t="s">
        <v>187</v>
      </c>
      <c r="C61" s="1">
        <v>160</v>
      </c>
      <c r="D61" s="38">
        <v>145</v>
      </c>
      <c r="E61" s="4">
        <v>2.6329332948964277</v>
      </c>
      <c r="F61" s="4">
        <v>2.4027574124100992</v>
      </c>
      <c r="G61" s="4">
        <v>2.3829481663315102</v>
      </c>
      <c r="H61" s="4">
        <f>E62-E61</f>
        <v>0.38649999999999807</v>
      </c>
      <c r="I61" s="4">
        <f>F62-F61</f>
        <v>0.37149999999999928</v>
      </c>
      <c r="J61" s="4">
        <f>G62-G61</f>
        <v>0.34849999999999959</v>
      </c>
      <c r="K61" s="4">
        <f>(E61+(5*LOG(C61, 10)-5))-(5*LOG(D61, 10)-5)</f>
        <v>2.8466931970011782</v>
      </c>
      <c r="L61" s="4">
        <f>(F61+(5*LOG(C61, 10)-5))-(5*LOG(D61, 10)-5)</f>
        <v>2.6165173145148497</v>
      </c>
      <c r="M61" s="4">
        <f>(G61+(5*LOG(C61, 10)-5))-(5*LOG(D61, 10)-5)</f>
        <v>2.5967080684362625</v>
      </c>
      <c r="N61" s="4">
        <v>0.40781733082684424</v>
      </c>
      <c r="O61" s="4">
        <f>N61*(0.0495/0.05)</f>
        <v>0.40373915751857581</v>
      </c>
      <c r="P61" s="21">
        <v>167.89833985404863</v>
      </c>
      <c r="Q61" s="1" t="s">
        <v>205</v>
      </c>
    </row>
    <row r="62" spans="1:21">
      <c r="A62" s="55" t="s">
        <v>513</v>
      </c>
      <c r="E62" s="4">
        <v>3.0194332948964258</v>
      </c>
      <c r="F62" s="4">
        <v>2.7742574124100985</v>
      </c>
      <c r="G62" s="4">
        <v>2.7314481663315098</v>
      </c>
      <c r="H62" s="4"/>
      <c r="I62" s="4"/>
      <c r="J62" s="4"/>
      <c r="K62" s="4">
        <f>(E62+(5*LOG(C61, 10)-5))-(5*LOG(D61, 10)-5)</f>
        <v>3.2331931970011762</v>
      </c>
      <c r="L62" s="4">
        <f>(F62+(5*LOG(C61, 10)-5))-(5*LOG(D61, 10)-5)</f>
        <v>2.9880173145148508</v>
      </c>
      <c r="M62" s="4">
        <f>(G62+(5*LOG(C61, 10)-5))-(5*LOG(D61, 10)-5)</f>
        <v>2.9452080684362603</v>
      </c>
      <c r="N62" s="4"/>
      <c r="O62" s="28"/>
      <c r="P62" s="21"/>
    </row>
    <row r="63" spans="1:21">
      <c r="E63" s="4"/>
      <c r="F63" s="4"/>
      <c r="G63" s="4"/>
      <c r="H63" s="48">
        <f>SQRT(0.03^2 + 0.001^2)</f>
        <v>3.0016662039607268E-2</v>
      </c>
      <c r="I63" s="48">
        <f>SQRT(0.03^2 + 0.001^2)</f>
        <v>3.0016662039607268E-2</v>
      </c>
      <c r="J63" s="48">
        <f>SQRT(0.03^2 + 0.001^2)</f>
        <v>3.0016662039607268E-2</v>
      </c>
      <c r="K63" s="48"/>
      <c r="L63" s="48"/>
      <c r="M63" s="48"/>
      <c r="N63" s="48"/>
      <c r="O63" s="51">
        <f>0.006*O61</f>
        <v>2.422434945111455E-3</v>
      </c>
      <c r="P63" s="48">
        <v>0.5</v>
      </c>
    </row>
    <row r="64" spans="1:21">
      <c r="A64" s="32" t="s">
        <v>66</v>
      </c>
      <c r="B64" s="1" t="s">
        <v>187</v>
      </c>
      <c r="C64" s="1">
        <v>160</v>
      </c>
      <c r="D64" s="1">
        <v>145</v>
      </c>
      <c r="E64" s="28" t="s">
        <v>51</v>
      </c>
      <c r="F64" s="28" t="s">
        <v>51</v>
      </c>
      <c r="G64" s="28" t="s">
        <v>51</v>
      </c>
      <c r="H64" s="96">
        <v>4</v>
      </c>
      <c r="I64" s="96">
        <v>3.4000000000000004</v>
      </c>
      <c r="J64" s="96">
        <v>3.23</v>
      </c>
      <c r="K64" s="33">
        <f>'2MASS Binaries'!J14</f>
        <v>2.8941599888251286</v>
      </c>
      <c r="L64" s="33">
        <f>'2MASS Binaries'!K14</f>
        <v>2.6681599888251277</v>
      </c>
      <c r="M64" s="33">
        <f>'2MASS Binaries'!L14</f>
        <v>2.5571599888251288</v>
      </c>
      <c r="N64" s="28"/>
      <c r="O64" s="33">
        <v>0.399158497655</v>
      </c>
      <c r="P64" s="34">
        <v>18.434948822900001</v>
      </c>
      <c r="Q64" s="1" t="s">
        <v>206</v>
      </c>
      <c r="R64" s="1" t="s">
        <v>215</v>
      </c>
      <c r="S64" s="1" t="s">
        <v>262</v>
      </c>
    </row>
    <row r="65" spans="1:19">
      <c r="A65" s="55" t="s">
        <v>322</v>
      </c>
      <c r="E65" s="28" t="s">
        <v>51</v>
      </c>
      <c r="F65" s="28" t="s">
        <v>51</v>
      </c>
      <c r="G65" s="28" t="s">
        <v>51</v>
      </c>
      <c r="H65" s="4"/>
      <c r="J65" s="4"/>
      <c r="K65" s="33">
        <f>'2MASS Binaries'!J15</f>
        <v>6.8941599888251286</v>
      </c>
      <c r="L65" s="33">
        <f>'2MASS Binaries'!K15</f>
        <v>6.0681599888251281</v>
      </c>
      <c r="M65" s="33">
        <f>'2MASS Binaries'!L15</f>
        <v>5.7871599888251293</v>
      </c>
      <c r="N65" s="28"/>
      <c r="O65" s="4"/>
      <c r="P65" s="21"/>
    </row>
    <row r="66" spans="1:19">
      <c r="E66" s="28"/>
      <c r="F66" s="28"/>
      <c r="G66" s="28"/>
      <c r="H66" s="239">
        <v>0.25</v>
      </c>
      <c r="I66" s="239">
        <v>0.15811388300841897</v>
      </c>
      <c r="J66" s="239">
        <v>0.13</v>
      </c>
      <c r="K66" s="49"/>
      <c r="L66" s="49"/>
      <c r="M66" s="49"/>
      <c r="N66" s="49"/>
      <c r="O66" s="51">
        <f>0.006*O64</f>
        <v>2.3949509859300003E-3</v>
      </c>
      <c r="P66" s="48">
        <f>0.5</f>
        <v>0.5</v>
      </c>
    </row>
    <row r="67" spans="1:19">
      <c r="A67" s="42" t="s">
        <v>220</v>
      </c>
      <c r="B67" s="1" t="s">
        <v>188</v>
      </c>
      <c r="C67" s="1">
        <v>150</v>
      </c>
      <c r="D67" s="1">
        <v>149</v>
      </c>
      <c r="E67" s="4">
        <v>1.96</v>
      </c>
      <c r="F67" s="4">
        <v>1.91</v>
      </c>
      <c r="G67" s="4">
        <v>1.9</v>
      </c>
      <c r="H67" s="4">
        <v>9.1389056704599998</v>
      </c>
      <c r="I67" s="4">
        <v>8.6377105631166664</v>
      </c>
      <c r="J67" s="4">
        <v>8.7663485556266689</v>
      </c>
      <c r="K67" s="4">
        <f>(E67+(5*LOG(C67, 10)-5))-(5*LOG(D67, 10)-5)</f>
        <v>1.9745249532170357</v>
      </c>
      <c r="L67" s="4">
        <f>(F67+(5*LOG(C67, 10)-5))-(5*LOG(D67, 10)-5)</f>
        <v>1.9245249532170359</v>
      </c>
      <c r="M67" s="4">
        <f>(G67+(5*LOG(C67, 10)-5))-(5*LOG(D67, 10)-5)</f>
        <v>1.9145249532170361</v>
      </c>
      <c r="N67" s="4"/>
      <c r="O67" s="4">
        <v>4.2692539377300003</v>
      </c>
      <c r="P67" s="21">
        <v>206.75962024466668</v>
      </c>
      <c r="Q67" s="1" t="s">
        <v>205</v>
      </c>
    </row>
    <row r="68" spans="1:19" ht="16" customHeight="1">
      <c r="A68" s="55" t="s">
        <v>323</v>
      </c>
      <c r="E68" s="4">
        <f>H67+E67</f>
        <v>11.098905670459999</v>
      </c>
      <c r="F68" s="4">
        <f>I67+F67</f>
        <v>10.547710563116667</v>
      </c>
      <c r="G68" s="4">
        <f>J67+G67</f>
        <v>10.666348555626669</v>
      </c>
      <c r="H68" s="4"/>
      <c r="I68" s="4"/>
      <c r="J68" s="4"/>
      <c r="K68" s="4">
        <f>(E68+(5*LOG(C67, 10)-5))-(5*LOG(D67, 10)-5)</f>
        <v>11.113430623677036</v>
      </c>
      <c r="L68" s="4">
        <f>(F68+(5*LOG(C67, 10)-5))-(5*LOG(D67, 10)-5)</f>
        <v>10.562235516333704</v>
      </c>
      <c r="M68" s="4">
        <f>(G68+(5*LOG(C67, 10)-5))-(5*LOG(D67, 10)-5)</f>
        <v>10.680873508843707</v>
      </c>
      <c r="N68" s="4"/>
      <c r="O68" s="4"/>
      <c r="P68" s="21"/>
    </row>
    <row r="69" spans="1:19" ht="16" customHeight="1">
      <c r="E69" s="4"/>
      <c r="F69" s="4"/>
      <c r="G69" s="4"/>
      <c r="H69" s="48">
        <f>SQRT(0.166385760857819^2 + 0.03^2)</f>
        <v>0.16906868845600989</v>
      </c>
      <c r="I69" s="48">
        <f>SQRT(0.190469813578168^2 + 0.03^2)</f>
        <v>0.19281791899225048</v>
      </c>
      <c r="J69" s="48">
        <f>SQRT(0.0622213402597787^2 + 0.03^2)</f>
        <v>6.9076010189668288E-2</v>
      </c>
      <c r="K69" s="48"/>
      <c r="L69" s="48"/>
      <c r="M69" s="48"/>
      <c r="N69" s="48"/>
      <c r="O69" s="51">
        <f>0.006*O67</f>
        <v>2.5615523626380001E-2</v>
      </c>
      <c r="P69" s="48">
        <v>0.5</v>
      </c>
    </row>
    <row r="70" spans="1:19">
      <c r="A70" s="1" t="s">
        <v>219</v>
      </c>
      <c r="B70" s="1" t="s">
        <v>188</v>
      </c>
      <c r="C70" s="1">
        <v>150</v>
      </c>
      <c r="D70" s="1">
        <v>149</v>
      </c>
      <c r="E70" s="4">
        <v>1.9554770380549265</v>
      </c>
      <c r="F70" s="4">
        <v>1.9071303713882592</v>
      </c>
      <c r="G70" s="4">
        <v>1.9014770380549271</v>
      </c>
      <c r="H70" s="4">
        <f>E71-E70</f>
        <v>7.5933333333333337</v>
      </c>
      <c r="I70" s="4">
        <f>F71-F70</f>
        <v>7.2226666666666688</v>
      </c>
      <c r="J70" s="4">
        <f>G71-G70</f>
        <v>7.1186666666666687</v>
      </c>
      <c r="K70" s="4">
        <f>(E70+(5*LOG(C70, 10)-5))-(5*LOG(D70, 10)-5)</f>
        <v>1.9700019912719622</v>
      </c>
      <c r="L70" s="4">
        <f>(F70+(5*LOG(C70, 10)-5))-(5*LOG(D70, 10)-5)</f>
        <v>1.921655324605295</v>
      </c>
      <c r="M70" s="4">
        <f>(G70+(5*LOG(C70, 10)-5))-(5*LOG(D70, 10)-5)</f>
        <v>1.9160019912719628</v>
      </c>
      <c r="N70" s="4">
        <v>2.7851645717646591</v>
      </c>
      <c r="O70" s="4">
        <f>N70*(0.0495/0.05)</f>
        <v>2.7573129260470126</v>
      </c>
      <c r="P70" s="21">
        <v>236.28137622235892</v>
      </c>
      <c r="Q70" s="1" t="s">
        <v>205</v>
      </c>
    </row>
    <row r="71" spans="1:19">
      <c r="A71" s="55" t="s">
        <v>323</v>
      </c>
      <c r="E71" s="4">
        <v>9.5488103713882602</v>
      </c>
      <c r="F71" s="4">
        <v>9.129797038054928</v>
      </c>
      <c r="G71" s="4">
        <v>9.0201437047215958</v>
      </c>
      <c r="H71" s="4"/>
      <c r="I71" s="4"/>
      <c r="J71" s="4"/>
      <c r="K71" s="4">
        <f>(E71+(5*LOG(C70, 10)-5))-(5*LOG(D70, 10)-5)</f>
        <v>9.5633353246052959</v>
      </c>
      <c r="L71" s="4">
        <f>(F71+(5*LOG(C70, 10)-5))-(5*LOG(D70, 10)-5)</f>
        <v>9.1443219912719638</v>
      </c>
      <c r="M71" s="4">
        <f>(G71+(5*LOG(C70, 10)-5))-(5*LOG(D70, 10)-5)</f>
        <v>9.0346686579386315</v>
      </c>
      <c r="N71" s="4"/>
      <c r="O71" s="28"/>
      <c r="P71" s="21"/>
    </row>
    <row r="72" spans="1:19">
      <c r="E72" s="4"/>
      <c r="F72" s="4"/>
      <c r="G72" s="4"/>
      <c r="H72" s="48">
        <f>SQRT(0.0432627630493785^2 + 0.03^2)</f>
        <v>5.2646620657613628E-2</v>
      </c>
      <c r="I72" s="48">
        <f>SQRT(0.0300333148353624^2 + 0.03^2)</f>
        <v>4.2449970553582239E-2</v>
      </c>
      <c r="J72" s="48">
        <f>SQRT(0.032949456242352^2 + 0.03^2)</f>
        <v>4.4560819860800016E-2</v>
      </c>
      <c r="K72" s="48"/>
      <c r="L72" s="48"/>
      <c r="M72" s="48"/>
      <c r="N72" s="48"/>
      <c r="O72" s="51">
        <f>0.006*O70</f>
        <v>1.6543877556282074E-2</v>
      </c>
      <c r="P72" s="48">
        <v>0.5</v>
      </c>
    </row>
    <row r="73" spans="1:19">
      <c r="A73" s="25" t="s">
        <v>288</v>
      </c>
      <c r="B73" s="1" t="s">
        <v>188</v>
      </c>
      <c r="C73" s="1">
        <v>150</v>
      </c>
      <c r="D73" s="1">
        <v>149</v>
      </c>
      <c r="E73" s="4">
        <v>1.9554770380549265</v>
      </c>
      <c r="F73" s="4">
        <v>1.9071303713882592</v>
      </c>
      <c r="G73" s="4">
        <v>1.9014770380549271</v>
      </c>
      <c r="H73" s="33">
        <v>4.71</v>
      </c>
      <c r="I73" s="33">
        <v>4.08</v>
      </c>
      <c r="J73" s="33">
        <v>3.89</v>
      </c>
      <c r="K73" s="4">
        <f>(E73+(5*LOG(C73, 10)-5))-(5*LOG(D73, 10)-5)</f>
        <v>1.9700019912719622</v>
      </c>
      <c r="L73" s="4">
        <f>(F73+(5*LOG(C73, 10)-5))-(5*LOG(D73, 10)-5)</f>
        <v>1.921655324605295</v>
      </c>
      <c r="M73" s="4">
        <f>(G73+(5*LOG(C73, 10)-5))-(5*LOG(D73, 10)-5)</f>
        <v>1.9160019912719628</v>
      </c>
      <c r="N73" s="4"/>
      <c r="O73" s="33">
        <v>4.5047062432049998</v>
      </c>
      <c r="P73" s="34">
        <v>342.41</v>
      </c>
      <c r="Q73" s="1" t="s">
        <v>205</v>
      </c>
      <c r="R73" s="1" t="s">
        <v>298</v>
      </c>
      <c r="S73" s="25" t="s">
        <v>645</v>
      </c>
    </row>
    <row r="74" spans="1:19">
      <c r="A74" s="58" t="s">
        <v>323</v>
      </c>
      <c r="E74" s="33">
        <f>H73+E73</f>
        <v>6.6654770380549264</v>
      </c>
      <c r="F74" s="33">
        <f>I73+F73</f>
        <v>5.9871303713882593</v>
      </c>
      <c r="G74" s="33">
        <f>J73+G73</f>
        <v>5.7914770380549268</v>
      </c>
      <c r="H74" s="4"/>
      <c r="I74" s="4"/>
      <c r="J74" s="4"/>
      <c r="K74" s="4">
        <f>(E74+(5*LOG(C73, 10)-5))-(5*LOG(D73, 10)-5)</f>
        <v>6.6800019912719613</v>
      </c>
      <c r="L74" s="4">
        <f>(F74+(5*LOG(C73, 10)-5))-(5*LOG(D73, 10)-5)</f>
        <v>6.001655324605295</v>
      </c>
      <c r="M74" s="4">
        <f>(G74+(5*LOG(C73, 10)-5))-(5*LOG(D73, 10)-5)</f>
        <v>5.8060019912719625</v>
      </c>
      <c r="N74" s="4"/>
      <c r="O74" s="4"/>
      <c r="P74" s="4"/>
      <c r="R74" s="1" t="s">
        <v>226</v>
      </c>
    </row>
    <row r="75" spans="1:19">
      <c r="E75" s="28"/>
      <c r="F75" s="28"/>
      <c r="G75" s="28"/>
      <c r="H75" s="48">
        <f>SQRT(0.0132146435443807^2 + 0.03^2)</f>
        <v>3.2781500941919096E-2</v>
      </c>
      <c r="I75" s="48">
        <f>SQRT(0.00582471386739536^2 + 0.03^2)</f>
        <v>3.0560224011564899E-2</v>
      </c>
      <c r="J75" s="48">
        <f>SQRT(0.00661046527481028^2 + 0.03^2)</f>
        <v>3.0719672054718823E-2</v>
      </c>
      <c r="K75" s="48"/>
      <c r="L75" s="48"/>
      <c r="M75" s="48"/>
      <c r="N75" s="48"/>
      <c r="O75" s="51">
        <f>0.006*O73</f>
        <v>2.7028237459229998E-2</v>
      </c>
      <c r="P75" s="48">
        <v>0.5</v>
      </c>
    </row>
    <row r="76" spans="1:19">
      <c r="A76" s="1" t="s">
        <v>289</v>
      </c>
      <c r="B76" s="1" t="s">
        <v>189</v>
      </c>
      <c r="C76" s="1">
        <v>150</v>
      </c>
      <c r="D76" s="1">
        <v>149</v>
      </c>
      <c r="E76" s="4">
        <v>1.765477038054927</v>
      </c>
      <c r="F76" s="4">
        <v>1.7416637047215948</v>
      </c>
      <c r="G76" s="4">
        <v>1.7372103713882607</v>
      </c>
      <c r="H76" s="4">
        <f>E77-E76</f>
        <v>7.2099999999999973</v>
      </c>
      <c r="I76" s="4">
        <f>F77-F76</f>
        <v>6.7009999999999996</v>
      </c>
      <c r="J76" s="4">
        <f>G77-G76</f>
        <v>6.400333333333335</v>
      </c>
      <c r="K76" s="4">
        <f>(E76+(5*LOG(C76, 10)-5))-(5*LOG(D76, 10)-5)</f>
        <v>1.7800019912719627</v>
      </c>
      <c r="L76" s="4">
        <f>(F76+(5*LOG(C76, 10)-5))-(5*LOG(D76, 10)-5)</f>
        <v>1.7561886579386305</v>
      </c>
      <c r="M76" s="4">
        <f>(G76+(5*LOG(C76, 10)-5))-(5*LOG(D76, 10)-5)</f>
        <v>1.7517353246052965</v>
      </c>
      <c r="N76" s="4">
        <v>2.617140289395639</v>
      </c>
      <c r="O76" s="4">
        <f>N76*(0.0495/0.05)</f>
        <v>2.5909688865016824</v>
      </c>
      <c r="P76" s="21">
        <v>64.353255912549784</v>
      </c>
      <c r="Q76" s="1" t="s">
        <v>205</v>
      </c>
    </row>
    <row r="77" spans="1:19">
      <c r="A77" s="55" t="s">
        <v>324</v>
      </c>
      <c r="E77" s="4">
        <v>8.9754770380549243</v>
      </c>
      <c r="F77" s="4">
        <v>8.4426637047215944</v>
      </c>
      <c r="G77" s="4">
        <v>8.1375437047215957</v>
      </c>
      <c r="H77" s="4"/>
      <c r="I77" s="4"/>
      <c r="J77" s="4"/>
      <c r="K77" s="4">
        <f>(E77+(5*LOG(C76, 10)-5))-(5*LOG(D76, 10)-5)</f>
        <v>8.99000199127196</v>
      </c>
      <c r="L77" s="4">
        <f>(F77+(5*LOG(C76, 10)-5))-(5*LOG(D76, 10)-5)</f>
        <v>8.4571886579386302</v>
      </c>
      <c r="M77" s="4">
        <f>(G77+(5*LOG(C76, 10)-5))-(5*LOG(D76, 10)-5)</f>
        <v>8.1520686579386314</v>
      </c>
      <c r="N77" s="4"/>
      <c r="O77" s="28"/>
      <c r="P77" s="21"/>
    </row>
    <row r="78" spans="1:19">
      <c r="E78" s="4"/>
      <c r="F78" s="4"/>
      <c r="G78" s="4"/>
      <c r="H78" s="48">
        <f>SQRT(0.0283019433961698^2 + 0.03^2)</f>
        <v>4.1243181254602551E-2</v>
      </c>
      <c r="I78" s="48">
        <f>SQRT(0.0179040653359944^2 + 0.03^2)</f>
        <v>3.4936450242627058E-2</v>
      </c>
      <c r="J78" s="48">
        <f>SQRT(0.0251947966409292^2 + 0.03^2)</f>
        <v>3.9176239964776829E-2</v>
      </c>
      <c r="K78" s="48"/>
      <c r="L78" s="48"/>
      <c r="M78" s="48"/>
      <c r="N78" s="48"/>
      <c r="O78" s="51">
        <f>0.006*O76</f>
        <v>1.5545813319010095E-2</v>
      </c>
      <c r="P78" s="48">
        <v>0.5</v>
      </c>
    </row>
    <row r="79" spans="1:19">
      <c r="A79" s="42" t="s">
        <v>271</v>
      </c>
      <c r="B79" s="1" t="s">
        <v>189</v>
      </c>
      <c r="C79" s="1">
        <v>150</v>
      </c>
      <c r="D79" s="1">
        <v>149</v>
      </c>
      <c r="E79" s="4">
        <v>1.765477038054927</v>
      </c>
      <c r="F79" s="4">
        <v>1.7416637047215948</v>
      </c>
      <c r="G79" s="4">
        <v>1.7372103713882607</v>
      </c>
      <c r="H79" s="4">
        <v>8.6165127510600001</v>
      </c>
      <c r="I79" s="4">
        <v>8.2624603012333342</v>
      </c>
      <c r="J79" s="4">
        <v>7.9644215158599998</v>
      </c>
      <c r="K79" s="4">
        <f>(E79+(5*LOG(C79, 10)-5))-(5*LOG(D79, 10)-5)</f>
        <v>1.7800019912719627</v>
      </c>
      <c r="L79" s="4">
        <f>(F79+(5*LOG(C79, 10)-5))-(5*LOG(D79, 10)-5)</f>
        <v>1.7561886579386305</v>
      </c>
      <c r="M79" s="4">
        <f>(G79+(5*LOG(C79, 10)-5))-(5*LOG(D79, 10)-5)</f>
        <v>1.7517353246052965</v>
      </c>
      <c r="N79" s="4"/>
      <c r="O79" s="4">
        <v>3.4646575185059993</v>
      </c>
      <c r="P79" s="21">
        <v>85.13475904148001</v>
      </c>
      <c r="Q79" s="1" t="s">
        <v>205</v>
      </c>
    </row>
    <row r="80" spans="1:19">
      <c r="A80" s="55" t="s">
        <v>324</v>
      </c>
      <c r="E80" s="4">
        <f>H79+E79</f>
        <v>10.381989789114927</v>
      </c>
      <c r="F80" s="4">
        <f>I79+F79</f>
        <v>10.004124005954928</v>
      </c>
      <c r="G80" s="4">
        <f>J79+G79</f>
        <v>9.7016318872482614</v>
      </c>
      <c r="H80" s="4"/>
      <c r="I80" s="4"/>
      <c r="J80" s="4"/>
      <c r="K80" s="4">
        <f>(E80+(5*LOG(C79, 10)-5))-(5*LOG(D79, 10)-5)</f>
        <v>10.396514742331963</v>
      </c>
      <c r="L80" s="4">
        <f>(F80+(5*LOG(C79, 10)-5))-(5*LOG(D79, 10)-5)</f>
        <v>10.018648959171964</v>
      </c>
      <c r="M80" s="4">
        <f>(G80+(5*LOG(C79, 10)-5))-(5*LOG(D79, 10)-5)</f>
        <v>9.7161568404652972</v>
      </c>
      <c r="N80" s="4"/>
      <c r="O80" s="4"/>
    </row>
    <row r="81" spans="1:21">
      <c r="E81" s="4"/>
      <c r="F81" s="4"/>
      <c r="G81" s="4"/>
      <c r="H81" s="48">
        <f>SQRT(0.178754771338484^2 + 0.03^2)</f>
        <v>0.18125470552863918</v>
      </c>
      <c r="I81" s="48">
        <f>SQRT(0.0959729939234946^2 + 0.03^2)</f>
        <v>0.100552551248783</v>
      </c>
      <c r="J81" s="48">
        <f>SQRT(0.143452739582957^2 + 0.03^2)</f>
        <v>0.14655609333581351</v>
      </c>
      <c r="K81" s="48"/>
      <c r="L81" s="48"/>
      <c r="M81" s="48"/>
      <c r="N81" s="48"/>
      <c r="O81" s="51">
        <f>0.006*O79</f>
        <v>2.0787945111035995E-2</v>
      </c>
      <c r="P81" s="48">
        <v>0.5</v>
      </c>
    </row>
    <row r="82" spans="1:21">
      <c r="A82" s="42" t="s">
        <v>272</v>
      </c>
      <c r="B82" s="1" t="s">
        <v>189</v>
      </c>
      <c r="C82" s="1">
        <v>150</v>
      </c>
      <c r="D82" s="1">
        <v>149</v>
      </c>
      <c r="E82" s="4">
        <v>1.765477038054927</v>
      </c>
      <c r="F82" s="4">
        <v>1.7416637047215948</v>
      </c>
      <c r="G82" s="4">
        <v>1.7372103713882607</v>
      </c>
      <c r="H82" s="4">
        <v>7.8909409646233328</v>
      </c>
      <c r="I82" s="4">
        <v>6.8297564570600002</v>
      </c>
      <c r="J82" s="4">
        <v>7.0754927434850003</v>
      </c>
      <c r="K82" s="4">
        <f>(E82+(5*LOG(C82, 10)-5))-(5*LOG(D82, 10)-5)</f>
        <v>1.7800019912719627</v>
      </c>
      <c r="L82" s="4">
        <f>(F82+(5*LOG(C82, 10)-5))-(5*LOG(D82, 10)-5)</f>
        <v>1.7561886579386305</v>
      </c>
      <c r="M82" s="4">
        <f>(G82+(5*LOG(C82, 10)-5))-(5*LOG(D82, 10)-5)</f>
        <v>1.7517353246052965</v>
      </c>
      <c r="N82" s="4"/>
      <c r="O82" s="4">
        <v>4.2342255378969993</v>
      </c>
      <c r="P82" s="21">
        <v>181.50030710890002</v>
      </c>
      <c r="Q82" s="1" t="s">
        <v>205</v>
      </c>
    </row>
    <row r="83" spans="1:21">
      <c r="A83" s="55" t="s">
        <v>324</v>
      </c>
      <c r="E83" s="4">
        <f>H82+E82</f>
        <v>9.6564180026782598</v>
      </c>
      <c r="F83" s="4">
        <f>I82+F82</f>
        <v>8.5714201617815959</v>
      </c>
      <c r="G83" s="4">
        <f>J82+G82</f>
        <v>8.812703114873262</v>
      </c>
      <c r="H83" s="4"/>
      <c r="I83" s="4"/>
      <c r="J83" s="4"/>
      <c r="K83" s="4">
        <f>(E83+(5*LOG(C82, 10)-5))-(5*LOG(D82, 10)-5)</f>
        <v>9.6709429558952955</v>
      </c>
      <c r="L83" s="4">
        <f>(F83+(5*LOG(C82, 10)-5))-(5*LOG(D82, 10)-5)</f>
        <v>8.5859451149986317</v>
      </c>
      <c r="M83" s="4">
        <f>(G83+(5*LOG(C82, 10)-5))-(5*LOG(D82, 10)-5)</f>
        <v>8.8272280680902977</v>
      </c>
      <c r="N83" s="4"/>
      <c r="O83" s="4"/>
    </row>
    <row r="84" spans="1:21">
      <c r="E84" s="4"/>
      <c r="F84" s="4"/>
      <c r="G84" s="4"/>
      <c r="H84" s="48">
        <f>SQRT(0.0169922119762018^2 + 0.03^2)</f>
        <v>3.4478040371288154E-2</v>
      </c>
      <c r="I84" s="48">
        <f>SQRT(0.013920984306697^2 + 0.03^2)</f>
        <v>3.307255363692535E-2</v>
      </c>
      <c r="J84" s="48">
        <f>SQRT(0.0434380757362862^2 + 0.03^2)</f>
        <v>5.2790779722138373E-2</v>
      </c>
      <c r="K84" s="48"/>
      <c r="L84" s="48"/>
      <c r="M84" s="48"/>
      <c r="N84" s="48"/>
      <c r="O84" s="51">
        <f>0.006*O82</f>
        <v>2.5405353227381997E-2</v>
      </c>
      <c r="P84" s="48">
        <v>0.5</v>
      </c>
    </row>
    <row r="85" spans="1:21">
      <c r="A85" s="25" t="s">
        <v>250</v>
      </c>
      <c r="B85" s="25" t="s">
        <v>180</v>
      </c>
      <c r="C85" s="25">
        <v>150</v>
      </c>
      <c r="D85" s="25">
        <v>149</v>
      </c>
      <c r="E85" s="28" t="s">
        <v>51</v>
      </c>
      <c r="F85" s="28" t="s">
        <v>51</v>
      </c>
      <c r="G85" s="28">
        <v>2.1387437047215929</v>
      </c>
      <c r="H85" s="28" t="s">
        <v>51</v>
      </c>
      <c r="I85" s="28" t="s">
        <v>51</v>
      </c>
      <c r="J85" s="28">
        <f>G86-G85</f>
        <v>8.2649999999999988</v>
      </c>
      <c r="K85" s="28" t="s">
        <v>51</v>
      </c>
      <c r="L85" s="28" t="s">
        <v>51</v>
      </c>
      <c r="M85" s="28">
        <f>(G85+(5*LOG(C85, 10)-5))-(5*LOG(D85, 10)-5)</f>
        <v>2.1532686579386286</v>
      </c>
      <c r="N85" s="28">
        <v>3.6403705870031602</v>
      </c>
      <c r="O85" s="28">
        <f>N85*(0.0495/0.05)</f>
        <v>3.6039668811331285</v>
      </c>
      <c r="P85" s="27">
        <v>70.531358802751384</v>
      </c>
      <c r="Q85" s="25" t="s">
        <v>205</v>
      </c>
      <c r="R85" s="25" t="s">
        <v>310</v>
      </c>
      <c r="S85" s="25" t="s">
        <v>311</v>
      </c>
    </row>
    <row r="86" spans="1:21">
      <c r="A86" s="58" t="s">
        <v>325</v>
      </c>
      <c r="B86" s="25"/>
      <c r="C86" s="25"/>
      <c r="D86" s="25"/>
      <c r="E86" s="28" t="s">
        <v>51</v>
      </c>
      <c r="F86" s="28" t="s">
        <v>51</v>
      </c>
      <c r="G86" s="28">
        <v>10.403743704721592</v>
      </c>
      <c r="H86" s="28"/>
      <c r="I86" s="28"/>
      <c r="J86" s="28"/>
      <c r="K86" s="28" t="s">
        <v>51</v>
      </c>
      <c r="L86" s="28" t="s">
        <v>51</v>
      </c>
      <c r="M86" s="28">
        <f>(G86+(5*LOG(C85, 10)-5))-(5*LOG(D85, 10)-5)</f>
        <v>10.418268657938629</v>
      </c>
      <c r="N86" s="28"/>
      <c r="O86" s="28"/>
      <c r="P86" s="25"/>
      <c r="Q86" s="25"/>
      <c r="R86" s="25" t="s">
        <v>849</v>
      </c>
      <c r="S86" s="25"/>
    </row>
    <row r="87" spans="1:21">
      <c r="A87" s="25" t="s">
        <v>321</v>
      </c>
      <c r="B87" s="25"/>
      <c r="C87" s="25"/>
      <c r="D87" s="25"/>
      <c r="E87" s="28"/>
      <c r="F87" s="28"/>
      <c r="G87" s="28"/>
      <c r="H87" s="49"/>
      <c r="I87" s="49"/>
      <c r="J87" s="49">
        <f>SQRT(0.0284074864450004^2 + 0.03^2)</f>
        <v>4.131567845410361E-2</v>
      </c>
      <c r="K87" s="49"/>
      <c r="L87" s="49"/>
      <c r="M87" s="49"/>
      <c r="N87" s="49"/>
      <c r="O87" s="53">
        <f>0.006*O85</f>
        <v>2.162380128679877E-2</v>
      </c>
      <c r="P87" s="49">
        <v>0.5</v>
      </c>
      <c r="Q87" s="25"/>
      <c r="R87" s="25"/>
      <c r="S87" s="25"/>
    </row>
    <row r="88" spans="1:21">
      <c r="A88" s="47">
        <v>19</v>
      </c>
      <c r="B88" s="47">
        <v>19</v>
      </c>
      <c r="C88" s="47">
        <v>19</v>
      </c>
      <c r="D88" s="47">
        <v>19</v>
      </c>
      <c r="E88" s="47">
        <v>19</v>
      </c>
      <c r="F88" s="47">
        <v>19</v>
      </c>
      <c r="G88" s="47">
        <v>19</v>
      </c>
      <c r="H88" s="47">
        <v>19</v>
      </c>
      <c r="I88" s="47">
        <v>19</v>
      </c>
      <c r="J88" s="47">
        <v>19</v>
      </c>
      <c r="K88" s="47">
        <v>19</v>
      </c>
      <c r="L88" s="47">
        <v>19</v>
      </c>
      <c r="M88" s="47">
        <v>19</v>
      </c>
      <c r="N88" s="47">
        <v>19</v>
      </c>
      <c r="O88" s="47">
        <v>19</v>
      </c>
      <c r="P88" s="47">
        <v>19</v>
      </c>
      <c r="Q88" s="47">
        <v>19</v>
      </c>
      <c r="R88" s="47">
        <v>19</v>
      </c>
      <c r="S88" s="47">
        <v>19</v>
      </c>
      <c r="T88" s="47">
        <v>19</v>
      </c>
      <c r="U88" s="47">
        <v>19</v>
      </c>
    </row>
    <row r="89" spans="1:21">
      <c r="A89" s="30" t="s">
        <v>49</v>
      </c>
      <c r="B89" s="32" t="s">
        <v>660</v>
      </c>
      <c r="C89" s="1">
        <v>380</v>
      </c>
      <c r="D89" s="1">
        <v>342</v>
      </c>
      <c r="E89" s="4" t="s">
        <v>51</v>
      </c>
      <c r="F89" s="4" t="s">
        <v>51</v>
      </c>
      <c r="G89" s="4">
        <v>-0.22215131641738495</v>
      </c>
      <c r="H89" s="4" t="s">
        <v>51</v>
      </c>
      <c r="I89" s="4" t="s">
        <v>51</v>
      </c>
      <c r="J89" s="4">
        <f>G90-G89</f>
        <v>6.2114999999999991</v>
      </c>
      <c r="K89" s="4" t="s">
        <v>51</v>
      </c>
      <c r="L89" s="4" t="s">
        <v>51</v>
      </c>
      <c r="M89" s="4">
        <f>(G89+(5*LOG(C89, 10)-5))-(5*LOG(D89, 10)-5)</f>
        <v>6.6361363859925859E-3</v>
      </c>
      <c r="N89" s="4">
        <v>6.5282613557600149</v>
      </c>
      <c r="O89" s="4">
        <f>N89*(0.0495/0.05)</f>
        <v>6.4629787422024148</v>
      </c>
      <c r="P89" s="21">
        <v>227.50955927956215</v>
      </c>
      <c r="Q89" s="1" t="s">
        <v>205</v>
      </c>
      <c r="R89" s="1" t="s">
        <v>258</v>
      </c>
    </row>
    <row r="90" spans="1:21">
      <c r="A90" s="55" t="s">
        <v>512</v>
      </c>
      <c r="E90" s="4" t="s">
        <v>51</v>
      </c>
      <c r="F90" s="4" t="s">
        <v>51</v>
      </c>
      <c r="G90" s="4">
        <v>5.9893486835826142</v>
      </c>
      <c r="H90" s="4"/>
      <c r="I90" s="4"/>
      <c r="J90" s="4"/>
      <c r="K90" s="4" t="s">
        <v>51</v>
      </c>
      <c r="L90" s="4" t="s">
        <v>51</v>
      </c>
      <c r="M90" s="4">
        <f>(G90+(5*LOG(C89, 10)-5))-(5*LOG(D89, 10)-5)</f>
        <v>6.2181361363859917</v>
      </c>
      <c r="N90" s="4"/>
      <c r="O90" s="4"/>
      <c r="P90" s="21"/>
    </row>
    <row r="91" spans="1:21">
      <c r="E91" s="4"/>
      <c r="F91" s="4"/>
      <c r="G91" s="4"/>
      <c r="H91" s="48"/>
      <c r="I91" s="48"/>
      <c r="J91" s="48">
        <f>SQRT(0.0322024843762092^2 + 0.03^2)</f>
        <v>4.4011362169330749E-2</v>
      </c>
      <c r="K91" s="48"/>
      <c r="L91" s="48"/>
      <c r="M91" s="48"/>
      <c r="N91" s="48"/>
      <c r="O91" s="51">
        <f>0.006*O89</f>
        <v>3.8777872453214492E-2</v>
      </c>
      <c r="P91" s="48">
        <v>0.5</v>
      </c>
    </row>
    <row r="92" spans="1:21">
      <c r="A92" s="1" t="s">
        <v>2</v>
      </c>
      <c r="B92" s="1" t="s">
        <v>191</v>
      </c>
      <c r="C92" s="1">
        <v>400</v>
      </c>
      <c r="D92" s="1">
        <v>412</v>
      </c>
      <c r="E92" s="4">
        <v>0.68444588215416857</v>
      </c>
      <c r="F92" s="4">
        <v>0.72180696704803893</v>
      </c>
      <c r="G92" s="4">
        <v>0.72578791942899024</v>
      </c>
      <c r="H92" s="4">
        <f>E93-E92</f>
        <v>0.7634870026660785</v>
      </c>
      <c r="I92" s="4">
        <f>F93-F92</f>
        <v>0.65900874430839451</v>
      </c>
      <c r="J92" s="4">
        <f>G93-G92</f>
        <v>0.65900874430839451</v>
      </c>
      <c r="K92" s="4">
        <f>(E92+(5*LOG(C92, 10)-5))-(5*LOG(D92, 10)-5)</f>
        <v>0.62025975862830585</v>
      </c>
      <c r="L92" s="4">
        <f>(F92+(5*LOG(C92, 10)-5))-(5*LOG(D92, 10)-5)</f>
        <v>0.6576208435221762</v>
      </c>
      <c r="M92" s="4">
        <f>(G92+(5*LOG(C92, 10)-5))-(5*LOG(D92, 10)-5)</f>
        <v>0.66160179590312751</v>
      </c>
      <c r="N92" s="4">
        <v>0.46435749999999998</v>
      </c>
      <c r="O92" s="4">
        <f>N92*(0.0495/0.05)</f>
        <v>0.45971392499999997</v>
      </c>
      <c r="P92" s="21">
        <v>6.9779549999999801</v>
      </c>
      <c r="Q92" s="1" t="s">
        <v>206</v>
      </c>
    </row>
    <row r="93" spans="1:21">
      <c r="A93" s="55" t="s">
        <v>511</v>
      </c>
      <c r="E93" s="4">
        <v>1.4479328848202471</v>
      </c>
      <c r="F93" s="4">
        <v>1.3808157113564334</v>
      </c>
      <c r="G93" s="4">
        <v>1.3847966637373847</v>
      </c>
      <c r="H93" s="4"/>
      <c r="I93" s="4"/>
      <c r="J93" s="4"/>
      <c r="K93" s="4">
        <f>(E93+(5*LOG(C92, 10)-5))-(5*LOG(D92, 10)-5)</f>
        <v>1.3837467612943843</v>
      </c>
      <c r="L93" s="4">
        <f>(F93+(5*LOG(C92, 10)-5))-(5*LOG(D92, 10)-5)</f>
        <v>1.3166295878305707</v>
      </c>
      <c r="M93" s="4">
        <f>(G93+(5*LOG(C92, 10)-5))-(5*LOG(D92, 10)-5)</f>
        <v>1.320610540211522</v>
      </c>
      <c r="N93" s="4"/>
      <c r="O93" s="28"/>
      <c r="P93" s="21"/>
    </row>
    <row r="94" spans="1:21">
      <c r="E94" s="4"/>
      <c r="F94" s="4"/>
      <c r="G94" s="4"/>
      <c r="H94" s="48">
        <f>SQRT(0.188584956224736^2 + 0.05^2)</f>
        <v>0.19510070659606951</v>
      </c>
      <c r="I94" s="48">
        <f>SQRT(0.0891126894924139^2 + 0.05^2)</f>
        <v>0.10218156109871963</v>
      </c>
      <c r="J94" s="48">
        <f>SQRT(0.0505505404803662^2 + 0.05^2)</f>
        <v>7.1101034752365899E-2</v>
      </c>
      <c r="K94" s="48"/>
      <c r="L94" s="48"/>
      <c r="M94" s="48"/>
      <c r="N94" s="48"/>
      <c r="O94" s="51">
        <v>4.7837580449322011E-3</v>
      </c>
      <c r="P94" s="48">
        <v>0.66335017659819584</v>
      </c>
    </row>
    <row r="95" spans="1:21">
      <c r="A95" s="1" t="s">
        <v>69</v>
      </c>
      <c r="B95" s="1" t="s">
        <v>192</v>
      </c>
      <c r="C95" s="1">
        <v>400</v>
      </c>
      <c r="D95" s="1">
        <v>412</v>
      </c>
      <c r="E95" s="4">
        <v>0.13134290050304642</v>
      </c>
      <c r="F95" s="4">
        <v>0.12618575764590467</v>
      </c>
      <c r="G95" s="4">
        <v>0.11706671002685454</v>
      </c>
      <c r="H95" s="4">
        <f>E96-E95</f>
        <v>5.7925000000000004</v>
      </c>
      <c r="I95" s="4">
        <f>F96-F95</f>
        <v>5.142000000000003</v>
      </c>
      <c r="J95" s="4">
        <f>G96-G95</f>
        <v>4.9629999999999992</v>
      </c>
      <c r="K95" s="4">
        <f>(E95+(5*LOG(C95, 10)-5))-(5*LOG(D95, 10)-5)</f>
        <v>6.7156776977183696E-2</v>
      </c>
      <c r="L95" s="4">
        <f>(F95+(5*LOG(C95, 10)-5))-(5*LOG(D95, 10)-5)</f>
        <v>6.1999634120041947E-2</v>
      </c>
      <c r="M95" s="4">
        <f>(G95+(5*LOG(C95, 10)-5))-(5*LOG(D95, 10)-5)</f>
        <v>5.2880586500991811E-2</v>
      </c>
      <c r="N95" s="4">
        <v>3.8522306195146521</v>
      </c>
      <c r="O95" s="4">
        <f>N95*(0.0495/0.05)</f>
        <v>3.8137083133195055</v>
      </c>
      <c r="P95" s="21">
        <v>130.37474193196957</v>
      </c>
      <c r="Q95" s="1" t="s">
        <v>205</v>
      </c>
    </row>
    <row r="96" spans="1:21">
      <c r="A96" s="55" t="s">
        <v>510</v>
      </c>
      <c r="E96" s="4">
        <v>5.9238429005030468</v>
      </c>
      <c r="F96" s="4">
        <v>5.2681857576459077</v>
      </c>
      <c r="G96" s="4">
        <v>5.0800667100268537</v>
      </c>
      <c r="H96" s="4"/>
      <c r="I96" s="4"/>
      <c r="J96" s="4"/>
      <c r="K96" s="4">
        <f>(E96+(5*LOG(C95, 10)-5))-(5*LOG(D95, 10)-5)</f>
        <v>5.8596567769771841</v>
      </c>
      <c r="L96" s="4">
        <f>(F96+(5*LOG(C95, 10)-5))-(5*LOG(D95, 10)-5)</f>
        <v>5.203999634120045</v>
      </c>
      <c r="M96" s="4">
        <f>(G96+(5*LOG(C95, 10)-5))-(5*LOG(D95, 10)-5)</f>
        <v>5.015880586500991</v>
      </c>
      <c r="N96" s="4"/>
      <c r="O96" s="28"/>
      <c r="P96" s="21"/>
    </row>
    <row r="97" spans="1:19">
      <c r="E97" s="4"/>
      <c r="F97" s="4"/>
      <c r="G97" s="4"/>
      <c r="H97" s="48">
        <f>SQRT(0.0106066017177982^2+0.03^2)</f>
        <v>3.1819805153394637E-2</v>
      </c>
      <c r="I97" s="48">
        <f>SQRT(0.00884590300647707^2+0.03^2)</f>
        <v>3.1276988346066827E-2</v>
      </c>
      <c r="J97" s="48">
        <f>SQRT(0.00743303437365925^2+0.03^2)</f>
        <v>3.0907118921051181E-2</v>
      </c>
      <c r="K97" s="48"/>
      <c r="L97" s="48"/>
      <c r="M97" s="48"/>
      <c r="N97" s="48"/>
      <c r="O97" s="51">
        <f>0.006*O95</f>
        <v>2.2882249879917035E-2</v>
      </c>
      <c r="P97" s="48">
        <v>0.5</v>
      </c>
    </row>
    <row r="98" spans="1:19">
      <c r="A98" s="30" t="s">
        <v>77</v>
      </c>
      <c r="B98" s="1" t="s">
        <v>191</v>
      </c>
      <c r="C98" s="1">
        <v>400</v>
      </c>
      <c r="D98" s="1">
        <v>412</v>
      </c>
      <c r="E98" s="4" t="s">
        <v>51</v>
      </c>
      <c r="F98" s="4" t="s">
        <v>51</v>
      </c>
      <c r="G98" s="4">
        <v>-0.78843328997314366</v>
      </c>
      <c r="H98" s="4" t="s">
        <v>51</v>
      </c>
      <c r="I98" s="4" t="s">
        <v>51</v>
      </c>
      <c r="J98" s="4">
        <f>G99-G98</f>
        <v>6.4994999999999994</v>
      </c>
      <c r="K98" s="4" t="s">
        <v>51</v>
      </c>
      <c r="L98" s="4" t="s">
        <v>51</v>
      </c>
      <c r="M98" s="4">
        <f>(G98+(5*LOG(C98, 10)-5))-(5*LOG(D98, 10)-5)</f>
        <v>-0.85261941349900638</v>
      </c>
      <c r="N98" s="4">
        <v>6.2451178774830991</v>
      </c>
      <c r="O98" s="4">
        <f>N98*(0.0495/0.05)</f>
        <v>6.1826666987082683</v>
      </c>
      <c r="P98" s="21">
        <v>47.956468979376368</v>
      </c>
      <c r="Q98" s="1" t="s">
        <v>205</v>
      </c>
      <c r="R98" s="1" t="s">
        <v>258</v>
      </c>
    </row>
    <row r="99" spans="1:19">
      <c r="A99" s="55" t="s">
        <v>326</v>
      </c>
      <c r="E99" s="4" t="s">
        <v>51</v>
      </c>
      <c r="F99" s="4" t="s">
        <v>51</v>
      </c>
      <c r="G99" s="4">
        <v>5.7110667100268557</v>
      </c>
      <c r="H99" s="4"/>
      <c r="I99" s="4"/>
      <c r="J99" s="4"/>
      <c r="K99" s="4" t="s">
        <v>51</v>
      </c>
      <c r="L99" s="4" t="s">
        <v>51</v>
      </c>
      <c r="M99" s="4">
        <f>(G99+(5*LOG(C98, 10)-5))-(5*LOG(D98, 10)-5)</f>
        <v>5.646880586500993</v>
      </c>
      <c r="N99" s="4"/>
      <c r="O99" s="4"/>
      <c r="P99" s="21"/>
    </row>
    <row r="100" spans="1:19">
      <c r="E100" s="4"/>
      <c r="F100" s="4"/>
      <c r="G100" s="4"/>
      <c r="H100" s="48"/>
      <c r="I100" s="48"/>
      <c r="J100" s="48">
        <f>SQRT(0.0244182308941496^2 + 0.03^2)</f>
        <v>3.8681390874682905E-2</v>
      </c>
      <c r="K100" s="48"/>
      <c r="L100" s="48"/>
      <c r="M100" s="48"/>
      <c r="N100" s="48"/>
      <c r="O100" s="51">
        <f>0.006*O98</f>
        <v>3.7096000192249609E-2</v>
      </c>
      <c r="P100" s="48">
        <v>0.5</v>
      </c>
    </row>
    <row r="101" spans="1:19">
      <c r="A101" s="190" t="s">
        <v>78</v>
      </c>
      <c r="B101" s="214" t="s">
        <v>192</v>
      </c>
      <c r="C101" s="214">
        <v>400</v>
      </c>
      <c r="D101" s="214">
        <v>412</v>
      </c>
      <c r="E101" s="193" t="s">
        <v>51</v>
      </c>
      <c r="F101" s="193" t="s">
        <v>51</v>
      </c>
      <c r="G101" s="193" t="s">
        <v>51</v>
      </c>
      <c r="H101" s="193">
        <f>'Final Missed Binaries'!H91</f>
        <v>7.3706973795750006</v>
      </c>
      <c r="I101" s="193">
        <f>'Final Missed Binaries'!I91</f>
        <v>6.7569662201750003</v>
      </c>
      <c r="J101" s="193">
        <f>'Final Missed Binaries'!J91</f>
        <v>6.5493159618950001</v>
      </c>
      <c r="K101" s="193">
        <f>'2MASS Binaries'!J56</f>
        <v>0.13551391983432737</v>
      </c>
      <c r="L101" s="193">
        <f>'2MASS Binaries'!K56</f>
        <v>0.21051391983432666</v>
      </c>
      <c r="M101" s="193">
        <f>'2MASS Binaries'!L56</f>
        <v>4.9513919834327069E-2</v>
      </c>
      <c r="N101" s="193"/>
      <c r="O101" s="193">
        <f>'Final Missed Binaries'!$K$91</f>
        <v>4.7068491750333328</v>
      </c>
      <c r="P101" s="200">
        <f>'Final Missed Binaries'!$L$91</f>
        <v>203.08927642950002</v>
      </c>
      <c r="Q101" s="1" t="s">
        <v>205</v>
      </c>
      <c r="R101" s="1" t="s">
        <v>869</v>
      </c>
    </row>
    <row r="102" spans="1:19">
      <c r="A102" s="218" t="s">
        <v>509</v>
      </c>
      <c r="B102" s="151"/>
      <c r="C102" s="151"/>
      <c r="D102" s="151"/>
      <c r="E102" s="96" t="s">
        <v>51</v>
      </c>
      <c r="F102" s="96" t="s">
        <v>51</v>
      </c>
      <c r="G102" s="96" t="s">
        <v>51</v>
      </c>
      <c r="H102" s="96"/>
      <c r="I102" s="96"/>
      <c r="J102" s="96"/>
      <c r="K102" s="96">
        <f>'2MASS Binaries'!J57</f>
        <v>7.506211299409328</v>
      </c>
      <c r="L102" s="96">
        <f>'2MASS Binaries'!K57</f>
        <v>6.9674801400093269</v>
      </c>
      <c r="M102" s="96">
        <f>'2MASS Binaries'!L57</f>
        <v>6.5988298817293272</v>
      </c>
      <c r="N102" s="96"/>
      <c r="O102" s="96"/>
      <c r="P102" s="219"/>
    </row>
    <row r="103" spans="1:19">
      <c r="A103" s="195"/>
      <c r="B103" s="197"/>
      <c r="C103" s="197"/>
      <c r="D103" s="197"/>
      <c r="E103" s="185"/>
      <c r="F103" s="185"/>
      <c r="G103" s="185"/>
      <c r="H103" s="198">
        <f>SQRT(0.1^2 + 0.03^2)</f>
        <v>0.1044030650891055</v>
      </c>
      <c r="I103" s="198">
        <f>SQRT(0.106984674215^2 + 0.03^2)</f>
        <v>0.11111129788140217</v>
      </c>
      <c r="J103" s="198">
        <f>SQRT(0.070837124^2 + 0.03^2)</f>
        <v>7.6927876199667539E-2</v>
      </c>
      <c r="K103" s="198"/>
      <c r="L103" s="198"/>
      <c r="M103" s="198"/>
      <c r="N103" s="198"/>
      <c r="O103" s="216">
        <f>0.006*O101</f>
        <v>2.8241095050199998E-2</v>
      </c>
      <c r="P103" s="217">
        <v>0.5</v>
      </c>
    </row>
    <row r="104" spans="1:19">
      <c r="A104" s="25" t="s">
        <v>251</v>
      </c>
      <c r="B104" s="25" t="s">
        <v>178</v>
      </c>
      <c r="C104" s="1">
        <v>400</v>
      </c>
      <c r="D104" s="25">
        <v>412</v>
      </c>
      <c r="E104" s="28" t="s">
        <v>51</v>
      </c>
      <c r="F104" s="28" t="s">
        <v>51</v>
      </c>
      <c r="G104" s="28">
        <v>-0.40249995663981153</v>
      </c>
      <c r="H104" s="28" t="s">
        <v>51</v>
      </c>
      <c r="I104" s="28" t="s">
        <v>51</v>
      </c>
      <c r="J104" s="28">
        <f>G105-G104</f>
        <v>6.5259999999999998</v>
      </c>
      <c r="K104" s="28" t="s">
        <v>51</v>
      </c>
      <c r="L104" s="28" t="s">
        <v>51</v>
      </c>
      <c r="M104" s="28">
        <f>(G104+(5*LOG(C104, 10)-5))-(5*LOG(D104, 10)-5)</f>
        <v>-0.46668608016567426</v>
      </c>
      <c r="N104" s="28">
        <v>3.2175896730433799</v>
      </c>
      <c r="O104" s="4">
        <f>N104*(0.0495/0.05)</f>
        <v>3.185413776312946</v>
      </c>
      <c r="P104" s="27">
        <v>185.61057544178556</v>
      </c>
      <c r="Q104" s="1" t="s">
        <v>257</v>
      </c>
      <c r="R104" s="1" t="s">
        <v>248</v>
      </c>
    </row>
    <row r="105" spans="1:19">
      <c r="A105" s="58" t="s">
        <v>508</v>
      </c>
      <c r="B105" s="25"/>
      <c r="C105" s="25"/>
      <c r="D105" s="25"/>
      <c r="E105" s="28" t="s">
        <v>51</v>
      </c>
      <c r="F105" s="28" t="s">
        <v>51</v>
      </c>
      <c r="G105" s="28">
        <v>6.1235000433601883</v>
      </c>
      <c r="H105" s="28"/>
      <c r="I105" s="28"/>
      <c r="J105" s="28"/>
      <c r="K105" s="28" t="s">
        <v>51</v>
      </c>
      <c r="L105" s="28" t="s">
        <v>51</v>
      </c>
      <c r="M105" s="28">
        <f>(G105+(5*LOG(C104, 10)-5))-(5*LOG(D104, 10)-5)</f>
        <v>6.0593139198343255</v>
      </c>
      <c r="N105" s="28"/>
      <c r="O105" s="28"/>
      <c r="P105" s="25"/>
    </row>
    <row r="106" spans="1:19">
      <c r="A106" s="25"/>
      <c r="B106" s="25"/>
      <c r="C106" s="25"/>
      <c r="D106" s="25"/>
      <c r="E106" s="28"/>
      <c r="F106" s="28"/>
      <c r="G106" s="28"/>
      <c r="H106" s="49"/>
      <c r="I106" s="49"/>
      <c r="J106" s="49">
        <f>SQRT(0.012558077455^2 + 0.03^2)</f>
        <v>3.2522381668103263E-2</v>
      </c>
      <c r="K106" s="49"/>
      <c r="L106" s="49"/>
      <c r="M106" s="49"/>
      <c r="N106" s="49"/>
      <c r="O106" s="53">
        <f>0.006*O104</f>
        <v>1.9112482657877676E-2</v>
      </c>
      <c r="P106" s="49">
        <v>0.5</v>
      </c>
    </row>
    <row r="107" spans="1:19">
      <c r="A107" s="25" t="s">
        <v>252</v>
      </c>
      <c r="B107" s="25" t="s">
        <v>178</v>
      </c>
      <c r="C107" s="1">
        <v>400</v>
      </c>
      <c r="D107" s="25">
        <v>412</v>
      </c>
      <c r="E107" s="28" t="s">
        <v>51</v>
      </c>
      <c r="F107" s="28" t="s">
        <v>51</v>
      </c>
      <c r="G107" s="28">
        <v>-0.40249995663981153</v>
      </c>
      <c r="H107" s="28" t="s">
        <v>51</v>
      </c>
      <c r="I107" s="28" t="s">
        <v>51</v>
      </c>
      <c r="J107" s="28">
        <f>G108-G107</f>
        <v>7.8030000000000008</v>
      </c>
      <c r="K107" s="28" t="s">
        <v>51</v>
      </c>
      <c r="L107" s="28" t="s">
        <v>51</v>
      </c>
      <c r="M107" s="28">
        <f>(G107+(5*LOG(C107, 10)-5))-(5*LOG(D107, 10)-5)</f>
        <v>-0.46668608016567426</v>
      </c>
      <c r="N107" s="28">
        <v>3.6235290172049632</v>
      </c>
      <c r="O107" s="4">
        <f>N107*(0.0495/0.05)</f>
        <v>3.5872937270329137</v>
      </c>
      <c r="P107" s="27">
        <v>200.98754951042156</v>
      </c>
      <c r="Q107" s="38" t="s">
        <v>257</v>
      </c>
    </row>
    <row r="108" spans="1:19">
      <c r="A108" s="58" t="s">
        <v>508</v>
      </c>
      <c r="B108" s="25"/>
      <c r="C108" s="25"/>
      <c r="D108" s="25"/>
      <c r="E108" s="28" t="s">
        <v>51</v>
      </c>
      <c r="F108" s="28" t="s">
        <v>51</v>
      </c>
      <c r="G108" s="28">
        <v>7.4005000433601893</v>
      </c>
      <c r="H108" s="28"/>
      <c r="I108" s="28"/>
      <c r="J108" s="28"/>
      <c r="K108" s="28" t="s">
        <v>51</v>
      </c>
      <c r="L108" s="28" t="s">
        <v>51</v>
      </c>
      <c r="M108" s="28">
        <f>(G108+(5*LOG(C104, 10)-5))-(5*LOG(D104, 10)-5)</f>
        <v>7.3363139198343266</v>
      </c>
      <c r="N108" s="28"/>
      <c r="O108" s="28"/>
      <c r="P108" s="25"/>
    </row>
    <row r="109" spans="1:19">
      <c r="A109" s="25"/>
      <c r="B109" s="25"/>
      <c r="C109" s="25"/>
      <c r="D109" s="25"/>
      <c r="E109" s="28"/>
      <c r="F109" s="28"/>
      <c r="G109" s="28"/>
      <c r="H109" s="49"/>
      <c r="I109" s="49"/>
      <c r="J109" s="49">
        <f>SQRT(0.0304953754449997^2 + 0.03^2)</f>
        <v>4.2778124357333511E-2</v>
      </c>
      <c r="K109" s="49"/>
      <c r="L109" s="49"/>
      <c r="M109" s="49"/>
      <c r="N109" s="49"/>
      <c r="O109" s="53">
        <f>0.006*O107</f>
        <v>2.1523762362197482E-2</v>
      </c>
      <c r="P109" s="49">
        <v>0.5</v>
      </c>
      <c r="Q109" s="38"/>
    </row>
    <row r="110" spans="1:19">
      <c r="A110" s="25" t="s">
        <v>290</v>
      </c>
      <c r="B110" s="1" t="s">
        <v>175</v>
      </c>
      <c r="C110" s="1">
        <v>300</v>
      </c>
      <c r="D110" s="1">
        <v>270</v>
      </c>
      <c r="E110" s="4">
        <v>-0.45288897016374108</v>
      </c>
      <c r="F110" s="4">
        <v>-0.56148739340808174</v>
      </c>
      <c r="G110" s="4">
        <v>-0.52924405581111511</v>
      </c>
      <c r="H110" s="180">
        <v>5.9657505532749999</v>
      </c>
      <c r="I110" s="4">
        <v>6.0633282185199997</v>
      </c>
      <c r="J110" s="4">
        <v>6.2175714953250001</v>
      </c>
      <c r="K110" s="4">
        <f>(E110+(5*LOG(C110, 10)-5))-(5*LOG(D110, 10)-5)</f>
        <v>-0.2241015173603671</v>
      </c>
      <c r="L110" s="4">
        <f>(F110+(5*LOG(C110, 10)-5))-(5*LOG(D110, 10)-5)</f>
        <v>-0.33269994060470776</v>
      </c>
      <c r="M110" s="4">
        <f>(G110+(5*LOG(C110, 10)-5))-(5*LOG(D110, 10)-5)</f>
        <v>-0.30045660300774113</v>
      </c>
      <c r="N110" s="4">
        <v>2.883951426487962</v>
      </c>
      <c r="O110" s="4">
        <f>N110*(0.0495/0.05)</f>
        <v>2.8551119122230824</v>
      </c>
      <c r="P110" s="21">
        <v>152.77032046661162</v>
      </c>
      <c r="Q110" s="1" t="s">
        <v>205</v>
      </c>
      <c r="R110" s="1" t="s">
        <v>316</v>
      </c>
      <c r="S110" s="1" t="s">
        <v>317</v>
      </c>
    </row>
    <row r="111" spans="1:19">
      <c r="A111" s="55" t="s">
        <v>507</v>
      </c>
      <c r="E111" s="4">
        <v>5.3016110298362582</v>
      </c>
      <c r="F111" s="4">
        <v>5.4560126065919183</v>
      </c>
      <c r="G111" s="4">
        <v>5.557255944188884</v>
      </c>
      <c r="H111" s="4"/>
      <c r="I111" s="4"/>
      <c r="J111" s="4"/>
      <c r="K111" s="4">
        <f>(E111+(5*LOG(C110, 10)-5))-(5*LOG(D110, 10)-5)</f>
        <v>5.5303984826396313</v>
      </c>
      <c r="L111" s="4">
        <f>(F111+(5*LOG(C110, 10)-5))-(5*LOG(D110, 10)-5)</f>
        <v>5.6848000593952914</v>
      </c>
      <c r="M111" s="4">
        <f>(G111+(5*LOG(C110, 10)-5))-(5*LOG(D110, 10)-5)</f>
        <v>5.7860433969922571</v>
      </c>
      <c r="N111" s="4"/>
      <c r="O111" s="4"/>
    </row>
    <row r="112" spans="1:19">
      <c r="E112" s="4"/>
      <c r="F112" s="4"/>
      <c r="G112" s="4"/>
      <c r="H112" s="48" t="s">
        <v>209</v>
      </c>
      <c r="I112" s="48">
        <f>SQRT(0.05^2 + 0.001^2)</f>
        <v>5.0009999000199958E-2</v>
      </c>
      <c r="J112" s="48">
        <f>SQRT(0.05^2 + 0.001^2)</f>
        <v>5.0009999000199958E-2</v>
      </c>
      <c r="K112" s="48"/>
      <c r="L112" s="48"/>
      <c r="M112" s="48"/>
      <c r="N112" s="48"/>
      <c r="O112" s="51">
        <f>0.006*O110</f>
        <v>1.7130671473338493E-2</v>
      </c>
      <c r="P112" s="48">
        <v>0.5</v>
      </c>
    </row>
    <row r="113" spans="1:18">
      <c r="A113" s="1" t="s">
        <v>283</v>
      </c>
      <c r="B113" s="1" t="s">
        <v>175</v>
      </c>
      <c r="C113" s="1">
        <v>300</v>
      </c>
      <c r="D113" s="1">
        <v>270</v>
      </c>
      <c r="E113" s="96" t="s">
        <v>51</v>
      </c>
      <c r="F113" s="96" t="s">
        <v>51</v>
      </c>
      <c r="G113" s="96" t="s">
        <v>51</v>
      </c>
      <c r="H113" s="96">
        <v>0.15</v>
      </c>
      <c r="I113" s="96">
        <v>0.25</v>
      </c>
      <c r="J113" s="96">
        <v>0.3</v>
      </c>
      <c r="K113" s="4">
        <f>'2MASS Binaries'!J18</f>
        <v>-0.94881882079493707</v>
      </c>
      <c r="L113" s="4">
        <f>'2MASS Binaries'!K18</f>
        <v>-0.95581882079493763</v>
      </c>
      <c r="M113" s="4">
        <f>'2MASS Binaries'!L18</f>
        <v>-0.98281882079493688</v>
      </c>
      <c r="N113" s="4">
        <v>0.29975116666666662</v>
      </c>
      <c r="O113" s="4">
        <f>N113*(0.0495/0.05)</f>
        <v>0.29675365499999995</v>
      </c>
      <c r="P113" s="34">
        <f>70.086195+180</f>
        <v>250.086195</v>
      </c>
      <c r="Q113" s="1" t="s">
        <v>206</v>
      </c>
      <c r="R113" s="1" t="s">
        <v>227</v>
      </c>
    </row>
    <row r="114" spans="1:18">
      <c r="A114" s="55" t="s">
        <v>507</v>
      </c>
      <c r="E114" s="96" t="s">
        <v>51</v>
      </c>
      <c r="F114" s="96" t="s">
        <v>51</v>
      </c>
      <c r="G114" s="96" t="s">
        <v>51</v>
      </c>
      <c r="H114" s="92"/>
      <c r="I114" s="92"/>
      <c r="J114" s="92"/>
      <c r="K114" s="4">
        <f>'2MASS Binaries'!J19</f>
        <v>-0.79881882079493705</v>
      </c>
      <c r="L114" s="4">
        <f>'2MASS Binaries'!K19</f>
        <v>-0.70581882079493763</v>
      </c>
      <c r="M114" s="4">
        <f>'2MASS Binaries'!L19</f>
        <v>-0.68281882079493683</v>
      </c>
      <c r="N114" s="4"/>
      <c r="O114" s="28"/>
      <c r="P114" s="21"/>
    </row>
    <row r="115" spans="1:18">
      <c r="E115" s="4"/>
      <c r="F115" s="4"/>
      <c r="G115" s="4"/>
      <c r="H115" s="239">
        <v>0.15</v>
      </c>
      <c r="I115" s="239">
        <v>0.1</v>
      </c>
      <c r="J115" s="239">
        <v>0.1</v>
      </c>
      <c r="K115" s="48"/>
      <c r="L115" s="48"/>
      <c r="M115" s="48"/>
      <c r="N115" s="48"/>
      <c r="O115" s="51">
        <v>2.6398821639920297E-3</v>
      </c>
      <c r="P115" s="48">
        <v>0.60059088235640279</v>
      </c>
    </row>
    <row r="116" spans="1:18">
      <c r="A116" s="1" t="s">
        <v>53</v>
      </c>
      <c r="B116" s="1" t="s">
        <v>193</v>
      </c>
      <c r="C116" s="1">
        <v>300</v>
      </c>
      <c r="D116" s="1">
        <v>270</v>
      </c>
      <c r="E116" s="4">
        <v>-1.5044634164554553</v>
      </c>
      <c r="F116" s="4">
        <v>-1.4864205593125979</v>
      </c>
      <c r="G116" s="4">
        <v>-1.4807396069316452</v>
      </c>
      <c r="H116" s="4">
        <f>E117-E116</f>
        <v>6.9620000000000015</v>
      </c>
      <c r="I116" s="4">
        <f>F117-F116</f>
        <v>6.0920000000000005</v>
      </c>
      <c r="J116" s="4">
        <f>G117-G116</f>
        <v>5.8294999999999995</v>
      </c>
      <c r="K116" s="4">
        <f>(E116+(5*LOG(C116, 10)-5))-(5*LOG(D116, 10)-5)</f>
        <v>-1.2756759636520814</v>
      </c>
      <c r="L116" s="4">
        <f>(F116+(5*LOG(C116, 10)-5))-(5*LOG(D116, 10)-5)</f>
        <v>-1.2576331065092239</v>
      </c>
      <c r="M116" s="4">
        <f>(G116+(5*LOG(C116, 10)-5))-(5*LOG(D116, 10)-5)</f>
        <v>-1.2519521541282712</v>
      </c>
      <c r="N116" s="4">
        <v>6.4850255237769776</v>
      </c>
      <c r="O116" s="4">
        <f>N116*(0.0495/0.05)</f>
        <v>6.4201752685392082</v>
      </c>
      <c r="P116" s="21">
        <v>177.21252050000564</v>
      </c>
      <c r="Q116" s="1" t="s">
        <v>205</v>
      </c>
    </row>
    <row r="117" spans="1:18">
      <c r="A117" s="55" t="s">
        <v>501</v>
      </c>
      <c r="E117" s="4">
        <v>5.4575365835445462</v>
      </c>
      <c r="F117" s="4">
        <v>4.6055794406874027</v>
      </c>
      <c r="G117" s="4">
        <v>4.3487603930683543</v>
      </c>
      <c r="H117" s="4"/>
      <c r="I117" s="4"/>
      <c r="J117" s="4"/>
      <c r="K117" s="4">
        <f>(E117+(5*LOG(C116, 10)-5))-(5*LOG(D116, 10)-5)</f>
        <v>5.6863240363479211</v>
      </c>
      <c r="L117" s="4">
        <f>(F117+(5*LOG(C116, 10)-5))-(5*LOG(D116, 10)-5)</f>
        <v>4.8343668934907758</v>
      </c>
      <c r="M117" s="4">
        <f>(G117+(5*LOG(C116, 10)-5))-(5*LOG(D116, 10)-5)</f>
        <v>4.5775478458717291</v>
      </c>
      <c r="N117" s="4"/>
      <c r="O117" s="28"/>
      <c r="P117" s="21"/>
    </row>
    <row r="118" spans="1:18">
      <c r="E118" s="4"/>
      <c r="F118" s="4"/>
      <c r="G118" s="4"/>
      <c r="H118" s="48">
        <f>SQRT(0.017^2 + 0.03^2)</f>
        <v>3.4481879299133336E-2</v>
      </c>
      <c r="I118" s="48">
        <f>SQRT(0.0120415945787923^2 + 0.03^2)</f>
        <v>3.2326459750489228E-2</v>
      </c>
      <c r="J118" s="48">
        <f>SQRT(0.00989949493661167^2 + 0.03^2)</f>
        <v>3.1591137997862631E-2</v>
      </c>
      <c r="K118" s="48"/>
      <c r="L118" s="48"/>
      <c r="M118" s="48"/>
      <c r="N118" s="48"/>
      <c r="O118" s="51">
        <f>0.006*O116</f>
        <v>3.8521051611235251E-2</v>
      </c>
      <c r="P118" s="48">
        <v>0.5</v>
      </c>
    </row>
    <row r="119" spans="1:18">
      <c r="A119" s="32" t="s">
        <v>266</v>
      </c>
      <c r="B119" s="32" t="s">
        <v>661</v>
      </c>
      <c r="C119" s="1" t="s">
        <v>51</v>
      </c>
      <c r="D119" s="1">
        <v>412</v>
      </c>
      <c r="E119" s="4" t="s">
        <v>51</v>
      </c>
      <c r="F119" s="4" t="s">
        <v>51</v>
      </c>
      <c r="G119" s="4" t="s">
        <v>51</v>
      </c>
      <c r="H119" s="4" t="s">
        <v>51</v>
      </c>
      <c r="I119" s="4" t="s">
        <v>51</v>
      </c>
      <c r="J119" s="33">
        <v>5.4326913184154897</v>
      </c>
      <c r="K119" s="4" t="s">
        <v>51</v>
      </c>
      <c r="L119" s="4" t="s">
        <v>51</v>
      </c>
      <c r="M119" s="4">
        <v>0.28638058650099296</v>
      </c>
      <c r="N119" s="4"/>
      <c r="O119" s="4">
        <v>0.98900329486649996</v>
      </c>
      <c r="P119" s="21">
        <v>274.65151203749997</v>
      </c>
      <c r="Q119" s="1" t="s">
        <v>295</v>
      </c>
      <c r="R119" s="1" t="s">
        <v>672</v>
      </c>
    </row>
    <row r="120" spans="1:18">
      <c r="A120" s="55" t="s">
        <v>506</v>
      </c>
      <c r="E120" s="4"/>
      <c r="F120" s="4"/>
      <c r="G120" s="4" t="s">
        <v>51</v>
      </c>
      <c r="H120" s="4"/>
      <c r="I120" s="4"/>
      <c r="J120" s="4"/>
      <c r="K120" s="4" t="s">
        <v>51</v>
      </c>
      <c r="L120" s="4" t="s">
        <v>51</v>
      </c>
      <c r="M120" s="4">
        <v>5.9505635892359923</v>
      </c>
      <c r="N120" s="4"/>
      <c r="O120" s="4"/>
    </row>
    <row r="121" spans="1:18">
      <c r="E121" s="4"/>
      <c r="F121" s="4"/>
      <c r="G121" s="4"/>
      <c r="H121" s="48"/>
      <c r="I121" s="48"/>
      <c r="J121" s="64">
        <f>SQRT(0.135366875323502^2 + 0.05^2)</f>
        <v>0.14430589362478768</v>
      </c>
      <c r="K121" s="48"/>
      <c r="L121" s="48"/>
      <c r="M121" s="48"/>
      <c r="N121" s="48"/>
      <c r="O121" s="51">
        <f>0.006*O119</f>
        <v>5.9340197691990001E-3</v>
      </c>
      <c r="P121" s="48">
        <v>0.5</v>
      </c>
    </row>
    <row r="122" spans="1:18">
      <c r="A122" s="42" t="s">
        <v>54</v>
      </c>
      <c r="B122" s="1" t="s">
        <v>178</v>
      </c>
      <c r="C122" s="1">
        <v>300</v>
      </c>
      <c r="D122" s="1">
        <v>270</v>
      </c>
      <c r="E122" s="4">
        <v>-0.91613008312212241</v>
      </c>
      <c r="F122" s="4">
        <v>-0.88745389264593211</v>
      </c>
      <c r="G122" s="4">
        <v>-0.88680627359831288</v>
      </c>
      <c r="H122" s="4">
        <v>6.8624860812999993</v>
      </c>
      <c r="I122" s="4">
        <v>6.0003637630433326</v>
      </c>
      <c r="J122" s="4">
        <v>5.7838220210300006</v>
      </c>
      <c r="K122" s="4">
        <f>(E122+(5*LOG(C122, 10)-5))-(5*LOG(D122, 10)-5)</f>
        <v>-0.68734263031874843</v>
      </c>
      <c r="L122" s="4">
        <f>(F122+(5*LOG(C122, 10)-5))-(5*LOG(D122, 10)-5)</f>
        <v>-0.65866643984255813</v>
      </c>
      <c r="M122" s="4">
        <f>(G122+(5*LOG(C122, 10)-5))-(5*LOG(D122, 10)-5)</f>
        <v>-0.6580188207949389</v>
      </c>
      <c r="N122" s="4"/>
      <c r="O122" s="4">
        <v>2.1690783180122222</v>
      </c>
      <c r="P122" s="21">
        <v>153.48839916644445</v>
      </c>
      <c r="Q122" s="1" t="s">
        <v>296</v>
      </c>
      <c r="R122" s="1" t="s">
        <v>297</v>
      </c>
    </row>
    <row r="123" spans="1:18">
      <c r="A123" s="55" t="s">
        <v>505</v>
      </c>
      <c r="E123" s="4">
        <f>H122+E122</f>
        <v>5.9463559981778769</v>
      </c>
      <c r="F123" s="4">
        <f>I122+F122</f>
        <v>5.1129098703974005</v>
      </c>
      <c r="G123" s="4">
        <f>J122+G122</f>
        <v>4.8970157474316878</v>
      </c>
      <c r="H123" s="4"/>
      <c r="I123" s="4"/>
      <c r="J123" s="4"/>
      <c r="K123" s="4">
        <f>(E123+(5*LOG(C122, 10)-5))-(5*LOG(D122, 10)-5)</f>
        <v>6.1751434509812508</v>
      </c>
      <c r="L123" s="4">
        <f>(F123+(5*LOG(C122, 10)-5))-(5*LOG(D122, 10)-5)</f>
        <v>5.3416973232007745</v>
      </c>
      <c r="M123" s="4">
        <f>(G123+(5*LOG(C122, 10)-5))-(5*LOG(D122, 10)-5)</f>
        <v>5.1258032002350618</v>
      </c>
      <c r="N123" s="4"/>
      <c r="O123" s="4"/>
    </row>
    <row r="124" spans="1:18">
      <c r="E124" s="4"/>
      <c r="F124" s="4"/>
      <c r="G124" s="4"/>
      <c r="H124" s="48">
        <f>SQRT(0.121165617114139^2 + 0.03^2)</f>
        <v>0.12482430360570866</v>
      </c>
      <c r="I124" s="48">
        <f>SQRT(0.0372514093611131^2 + 0.03^2)</f>
        <v>4.782956720888476E-2</v>
      </c>
      <c r="J124" s="48">
        <f>SQRT(0.0278807180105674^2 + 0.03^2)</f>
        <v>4.09552736138434E-2</v>
      </c>
      <c r="K124" s="48"/>
      <c r="L124" s="48"/>
      <c r="M124" s="48"/>
      <c r="N124" s="48"/>
      <c r="O124" s="51">
        <f>0.006*O122</f>
        <v>1.3014469908073333E-2</v>
      </c>
      <c r="P124" s="48">
        <v>0.5</v>
      </c>
    </row>
    <row r="125" spans="1:18">
      <c r="A125" s="42" t="s">
        <v>275</v>
      </c>
      <c r="B125" s="32" t="s">
        <v>662</v>
      </c>
      <c r="C125" s="1" t="s">
        <v>51</v>
      </c>
      <c r="D125" s="1">
        <v>412</v>
      </c>
      <c r="E125" s="4" t="s">
        <v>51</v>
      </c>
      <c r="F125" s="4" t="s">
        <v>51</v>
      </c>
      <c r="G125" s="4" t="s">
        <v>51</v>
      </c>
      <c r="H125" s="4" t="s">
        <v>51</v>
      </c>
      <c r="I125" s="4" t="s">
        <v>51</v>
      </c>
      <c r="J125" s="4">
        <v>6.0344655105099996</v>
      </c>
      <c r="K125" s="4" t="s">
        <v>51</v>
      </c>
      <c r="L125" s="4" t="s">
        <v>51</v>
      </c>
      <c r="M125" s="4">
        <v>0.46388058650099495</v>
      </c>
      <c r="N125" s="4"/>
      <c r="O125" s="4">
        <v>4.6200677048149998</v>
      </c>
      <c r="P125" s="21">
        <v>20.938009119</v>
      </c>
      <c r="Q125" s="1" t="s">
        <v>205</v>
      </c>
      <c r="R125" s="1" t="s">
        <v>299</v>
      </c>
    </row>
    <row r="126" spans="1:18">
      <c r="A126" s="55" t="s">
        <v>504</v>
      </c>
      <c r="E126" s="4"/>
      <c r="F126" s="4"/>
      <c r="G126" s="4" t="s">
        <v>51</v>
      </c>
      <c r="H126" s="4"/>
      <c r="I126" s="4"/>
      <c r="J126" s="4"/>
      <c r="K126" s="4" t="s">
        <v>51</v>
      </c>
      <c r="L126" s="4" t="s">
        <v>51</v>
      </c>
      <c r="M126" s="4">
        <v>6.4983460970109945</v>
      </c>
      <c r="N126" s="4"/>
      <c r="O126" s="4"/>
    </row>
    <row r="127" spans="1:18">
      <c r="E127" s="4"/>
      <c r="F127" s="4"/>
      <c r="G127" s="4"/>
      <c r="H127" s="48"/>
      <c r="I127" s="48"/>
      <c r="J127" s="48">
        <f>SQRT(0.0186639629699998^2 + 0.03^2)</f>
        <v>3.5331905039857725E-2</v>
      </c>
      <c r="K127" s="48"/>
      <c r="L127" s="48"/>
      <c r="M127" s="48"/>
      <c r="N127" s="48"/>
      <c r="O127" s="51">
        <f>0.006*O125</f>
        <v>2.772040622889E-2</v>
      </c>
      <c r="P127" s="48">
        <v>0.5</v>
      </c>
    </row>
    <row r="128" spans="1:18">
      <c r="A128" s="42" t="s">
        <v>276</v>
      </c>
      <c r="B128" s="32" t="s">
        <v>662</v>
      </c>
      <c r="C128" s="1" t="s">
        <v>51</v>
      </c>
      <c r="D128" s="1">
        <v>412</v>
      </c>
      <c r="E128" s="4" t="s">
        <v>51</v>
      </c>
      <c r="F128" s="4" t="s">
        <v>51</v>
      </c>
      <c r="G128" s="4" t="s">
        <v>51</v>
      </c>
      <c r="H128" s="4" t="s">
        <v>51</v>
      </c>
      <c r="I128" s="4" t="s">
        <v>51</v>
      </c>
      <c r="J128" s="4">
        <v>7.9113200304250002</v>
      </c>
      <c r="K128" s="4" t="s">
        <v>51</v>
      </c>
      <c r="L128" s="4" t="s">
        <v>51</v>
      </c>
      <c r="M128" s="4">
        <v>0.46388058650099495</v>
      </c>
      <c r="N128" s="4"/>
      <c r="O128" s="4">
        <v>2.735295995215</v>
      </c>
      <c r="P128" s="21">
        <v>137.16797976699999</v>
      </c>
      <c r="Q128" s="1" t="s">
        <v>205</v>
      </c>
    </row>
    <row r="129" spans="1:21">
      <c r="A129" s="55" t="s">
        <v>504</v>
      </c>
      <c r="E129" s="4"/>
      <c r="F129" s="4"/>
      <c r="G129" s="4" t="s">
        <v>51</v>
      </c>
      <c r="H129" s="4"/>
      <c r="I129" s="4"/>
      <c r="J129" s="4"/>
      <c r="K129" s="4" t="s">
        <v>51</v>
      </c>
      <c r="L129" s="4" t="s">
        <v>51</v>
      </c>
      <c r="M129" s="4">
        <v>8.3752006169259943</v>
      </c>
      <c r="N129" s="4"/>
      <c r="O129" s="4"/>
    </row>
    <row r="130" spans="1:21">
      <c r="A130" s="55"/>
      <c r="E130" s="4"/>
      <c r="F130" s="4"/>
      <c r="G130" s="4"/>
      <c r="H130" s="48"/>
      <c r="I130" s="48"/>
      <c r="J130" s="48">
        <f>SQRT(0.131530483885^2 + 0.03^2)</f>
        <v>0.13490836961071853</v>
      </c>
      <c r="K130" s="48"/>
      <c r="L130" s="48"/>
      <c r="M130" s="48"/>
      <c r="N130" s="48"/>
      <c r="O130" s="51">
        <f>0.006*O128</f>
        <v>1.641177597129E-2</v>
      </c>
      <c r="P130" s="48">
        <v>0.5</v>
      </c>
    </row>
    <row r="131" spans="1:21">
      <c r="A131" s="42" t="s">
        <v>274</v>
      </c>
      <c r="B131" s="1" t="s">
        <v>184</v>
      </c>
      <c r="C131" s="1" t="s">
        <v>203</v>
      </c>
      <c r="D131" s="1" t="s">
        <v>203</v>
      </c>
      <c r="E131" s="4" t="s">
        <v>51</v>
      </c>
      <c r="F131" s="4" t="s">
        <v>51</v>
      </c>
      <c r="G131" s="4" t="s">
        <v>51</v>
      </c>
      <c r="H131" s="4">
        <v>7.8090750737699999</v>
      </c>
      <c r="I131" s="4">
        <v>7.5466544558399997</v>
      </c>
      <c r="J131" s="4">
        <v>7.3504892458899995</v>
      </c>
      <c r="K131" s="4" t="s">
        <v>51</v>
      </c>
      <c r="L131" s="4" t="s">
        <v>51</v>
      </c>
      <c r="M131" s="4" t="s">
        <v>51</v>
      </c>
      <c r="N131" s="4"/>
      <c r="O131" s="4">
        <v>3.455289926172</v>
      </c>
      <c r="P131" s="21">
        <v>134.88458644360003</v>
      </c>
      <c r="Q131" s="25" t="s">
        <v>301</v>
      </c>
    </row>
    <row r="132" spans="1:21">
      <c r="A132" s="55" t="s">
        <v>503</v>
      </c>
      <c r="E132" s="4" t="s">
        <v>51</v>
      </c>
      <c r="F132" s="4" t="s">
        <v>51</v>
      </c>
      <c r="G132" s="4" t="s">
        <v>51</v>
      </c>
      <c r="H132" s="4"/>
      <c r="I132" s="4"/>
      <c r="J132" s="4"/>
      <c r="K132" s="4" t="s">
        <v>51</v>
      </c>
      <c r="L132" s="4" t="s">
        <v>51</v>
      </c>
      <c r="M132" s="4" t="s">
        <v>51</v>
      </c>
      <c r="N132" s="4"/>
      <c r="O132" s="4"/>
    </row>
    <row r="133" spans="1:21">
      <c r="E133" s="4"/>
      <c r="F133" s="4"/>
      <c r="G133" s="4"/>
      <c r="H133" s="48">
        <f>SQRT(0.10864400841^2 + 0.03^2)</f>
        <v>0.1127098955877085</v>
      </c>
      <c r="I133" s="48">
        <f>SQRT(0.05474833731^2 + 0.03^2)</f>
        <v>6.2429003181290167E-2</v>
      </c>
      <c r="J133" s="48">
        <f>SQRT(0.00085266621000013^2 + 0.03^2)</f>
        <v>3.0012114881588666E-2</v>
      </c>
      <c r="K133" s="48"/>
      <c r="L133" s="48"/>
      <c r="M133" s="48"/>
      <c r="N133" s="48"/>
      <c r="O133" s="51">
        <f>0.006*O131</f>
        <v>2.0731739557031999E-2</v>
      </c>
      <c r="P133" s="48">
        <v>0.5</v>
      </c>
    </row>
    <row r="134" spans="1:21">
      <c r="A134" s="1" t="s">
        <v>273</v>
      </c>
      <c r="B134" s="1" t="s">
        <v>184</v>
      </c>
      <c r="C134" s="1" t="s">
        <v>203</v>
      </c>
      <c r="D134" s="1" t="s">
        <v>203</v>
      </c>
      <c r="E134" s="4">
        <v>8.2162000000000006</v>
      </c>
      <c r="F134" s="4">
        <v>8.1995899999999988</v>
      </c>
      <c r="G134" s="4">
        <v>8.22621</v>
      </c>
      <c r="H134" s="4">
        <f>E135-E134</f>
        <v>5.3264999999999976</v>
      </c>
      <c r="I134" s="4">
        <f>F135-F134</f>
        <v>5.2057500000000037</v>
      </c>
      <c r="J134" s="4">
        <f>G135-G134</f>
        <v>5.181750000000001</v>
      </c>
      <c r="K134" s="4" t="s">
        <v>51</v>
      </c>
      <c r="L134" s="4" t="s">
        <v>51</v>
      </c>
      <c r="M134" s="4" t="s">
        <v>51</v>
      </c>
      <c r="N134" s="4"/>
      <c r="O134" s="4">
        <v>2.7440594610396403</v>
      </c>
      <c r="P134" s="21">
        <v>344.87754783669379</v>
      </c>
      <c r="Q134" s="25" t="s">
        <v>301</v>
      </c>
    </row>
    <row r="135" spans="1:21">
      <c r="A135" s="55" t="s">
        <v>503</v>
      </c>
      <c r="E135" s="4">
        <v>13.542699999999998</v>
      </c>
      <c r="F135" s="4">
        <v>13.405340000000002</v>
      </c>
      <c r="G135" s="4">
        <v>13.407960000000001</v>
      </c>
      <c r="H135" s="4"/>
      <c r="I135" s="4"/>
      <c r="J135" s="4"/>
      <c r="K135" s="4" t="s">
        <v>51</v>
      </c>
      <c r="L135" s="4" t="s">
        <v>51</v>
      </c>
      <c r="M135" s="4" t="s">
        <v>51</v>
      </c>
      <c r="N135" s="4"/>
      <c r="O135" s="4"/>
    </row>
    <row r="136" spans="1:21">
      <c r="E136" s="4"/>
      <c r="F136" s="4"/>
      <c r="G136" s="4"/>
      <c r="H136" s="48">
        <f>SQRT(0.00602079728939615^2 + 0.03^2)</f>
        <v>3.0598202561588482E-2</v>
      </c>
      <c r="I136" s="48">
        <f>SQRT(0.013^2 + 0.03^2)</f>
        <v>3.2695565448543629E-2</v>
      </c>
      <c r="J136" s="48">
        <f>SQRT(0.00919238815542512^2 + 0.03^2)</f>
        <v>3.1376742979474459E-2</v>
      </c>
      <c r="K136" s="48"/>
      <c r="L136" s="48"/>
      <c r="M136" s="48"/>
      <c r="N136" s="48"/>
      <c r="O136" s="51">
        <f>0.006*O134</f>
        <v>1.6464356766237843E-2</v>
      </c>
      <c r="P136" s="48">
        <v>0.5</v>
      </c>
    </row>
    <row r="137" spans="1:21">
      <c r="A137" s="1" t="s">
        <v>314</v>
      </c>
      <c r="B137" s="1" t="s">
        <v>184</v>
      </c>
      <c r="C137" s="1" t="s">
        <v>203</v>
      </c>
      <c r="D137" s="1" t="s">
        <v>203</v>
      </c>
      <c r="E137" s="4">
        <v>8.2182000000000013</v>
      </c>
      <c r="F137" s="4">
        <v>8.2020399999999984</v>
      </c>
      <c r="G137" s="4">
        <v>8.2286599999999996</v>
      </c>
      <c r="H137" s="4">
        <f>E138-E137</f>
        <v>5.3194999999999961</v>
      </c>
      <c r="I137" s="4">
        <f>F138-F137</f>
        <v>5.2035000000000053</v>
      </c>
      <c r="J137" s="4">
        <f>G138-G137</f>
        <v>5.1689999999999969</v>
      </c>
      <c r="K137" s="4" t="s">
        <v>51</v>
      </c>
      <c r="L137" s="4" t="s">
        <v>51</v>
      </c>
      <c r="M137" s="4" t="s">
        <v>51</v>
      </c>
      <c r="N137" s="48"/>
      <c r="O137" s="44">
        <v>2.7445215945213017</v>
      </c>
      <c r="P137" s="52">
        <v>344.952685607663</v>
      </c>
      <c r="Q137" s="1" t="s">
        <v>301</v>
      </c>
    </row>
    <row r="138" spans="1:21">
      <c r="A138" s="55" t="s">
        <v>503</v>
      </c>
      <c r="E138" s="4">
        <v>13.537699999999997</v>
      </c>
      <c r="F138" s="4">
        <v>13.405540000000004</v>
      </c>
      <c r="G138" s="4">
        <v>13.397659999999997</v>
      </c>
      <c r="H138" s="48"/>
      <c r="I138" s="48"/>
      <c r="J138" s="48"/>
      <c r="K138" s="4" t="s">
        <v>51</v>
      </c>
      <c r="L138" s="4" t="s">
        <v>51</v>
      </c>
      <c r="M138" s="4" t="s">
        <v>51</v>
      </c>
      <c r="N138" s="48"/>
      <c r="O138" s="51"/>
      <c r="P138" s="48"/>
    </row>
    <row r="139" spans="1:21">
      <c r="E139" s="4"/>
      <c r="F139" s="4"/>
      <c r="G139" s="4"/>
      <c r="H139" s="48">
        <f>SQRT(0.00602079728939615^2 + 0.03^2)</f>
        <v>3.0598202561588482E-2</v>
      </c>
      <c r="I139" s="48">
        <f>SQRT(0.013^2 + 0.03^2)</f>
        <v>3.2695565448543629E-2</v>
      </c>
      <c r="J139" s="48">
        <f>SQRT(0.00919238815542512^2 + 0.03^2)</f>
        <v>3.1376742979474459E-2</v>
      </c>
      <c r="K139" s="48"/>
      <c r="L139" s="48"/>
      <c r="M139" s="48"/>
      <c r="N139" s="48"/>
      <c r="O139" s="51"/>
      <c r="P139" s="48"/>
    </row>
    <row r="140" spans="1:21">
      <c r="A140" s="47">
        <v>20</v>
      </c>
      <c r="B140" s="47">
        <v>20</v>
      </c>
      <c r="C140" s="47">
        <v>20</v>
      </c>
      <c r="D140" s="47">
        <v>20</v>
      </c>
      <c r="E140" s="47">
        <v>20</v>
      </c>
      <c r="F140" s="47">
        <v>20</v>
      </c>
      <c r="G140" s="47">
        <v>20</v>
      </c>
      <c r="H140" s="47">
        <v>20</v>
      </c>
      <c r="I140" s="47">
        <v>20</v>
      </c>
      <c r="J140" s="47">
        <v>20</v>
      </c>
      <c r="K140" s="47">
        <v>20</v>
      </c>
      <c r="L140" s="47">
        <v>20</v>
      </c>
      <c r="M140" s="47">
        <v>20</v>
      </c>
      <c r="N140" s="47">
        <v>20</v>
      </c>
      <c r="O140" s="47">
        <v>20</v>
      </c>
      <c r="P140" s="47">
        <v>20</v>
      </c>
      <c r="Q140" s="47">
        <v>20</v>
      </c>
      <c r="R140" s="47">
        <v>20</v>
      </c>
      <c r="S140" s="47">
        <v>20</v>
      </c>
      <c r="T140" s="47">
        <v>20</v>
      </c>
      <c r="U140" s="47">
        <v>20</v>
      </c>
    </row>
    <row r="141" spans="1:21">
      <c r="A141" s="25" t="s">
        <v>171</v>
      </c>
      <c r="B141" s="1" t="s">
        <v>194</v>
      </c>
      <c r="C141" s="1">
        <v>250</v>
      </c>
      <c r="D141" s="1">
        <v>184</v>
      </c>
      <c r="E141" s="4">
        <v>1.7759999566398106</v>
      </c>
      <c r="F141" s="4">
        <v>1.8053199566398126</v>
      </c>
      <c r="G141" s="4">
        <v>1.8089999566398118</v>
      </c>
      <c r="H141" s="4">
        <f>E142-E141</f>
        <v>6.4460000000000024</v>
      </c>
      <c r="I141" s="4">
        <f>F142-F141</f>
        <v>5.8685000000000009</v>
      </c>
      <c r="J141" s="4">
        <f>G142-G141</f>
        <v>5.8819999999999997</v>
      </c>
      <c r="K141" s="4">
        <f>(E141+(5*LOG(C141, 10)-5))-(5*LOG(D141, 10)-5)</f>
        <v>2.441610884952313</v>
      </c>
      <c r="L141" s="4">
        <f>(F141+(5*LOG(C141, 10)-5))-(5*LOG(D141, 10)-5)</f>
        <v>2.4709308849523151</v>
      </c>
      <c r="M141" s="4">
        <f>(G141+(5*LOG(C141, 10)-5))-(5*LOG(D141, 10)-5)</f>
        <v>2.4746108849523143</v>
      </c>
      <c r="N141" s="4">
        <v>3.143533720241098</v>
      </c>
      <c r="O141" s="4">
        <f>N141*(0.0495/0.05)</f>
        <v>3.112098383038687</v>
      </c>
      <c r="P141" s="27">
        <v>102.65373413133342</v>
      </c>
      <c r="Q141" s="1" t="s">
        <v>205</v>
      </c>
    </row>
    <row r="142" spans="1:21">
      <c r="A142" s="55" t="s">
        <v>327</v>
      </c>
      <c r="E142" s="4">
        <v>8.221999956639813</v>
      </c>
      <c r="F142" s="4">
        <v>7.6738199566398135</v>
      </c>
      <c r="G142" s="4">
        <v>7.6909999566398115</v>
      </c>
      <c r="H142" s="4"/>
      <c r="I142" s="4"/>
      <c r="J142" s="4"/>
      <c r="K142" s="4">
        <f>(E142+(5*LOG(C141, 10)-5))-(5*LOG(D141, 10)-5)</f>
        <v>8.8876108849523163</v>
      </c>
      <c r="L142" s="4">
        <f>(F142+(5*LOG(C141, 10)-5))-(5*LOG(D141, 10)-5)</f>
        <v>8.339430884952316</v>
      </c>
      <c r="M142" s="4">
        <f>(G142+(5*LOG(C141, 10)-5))-(5*LOG(D141, 10)-5)</f>
        <v>8.3566108849523157</v>
      </c>
      <c r="N142" s="4"/>
      <c r="O142" s="28"/>
      <c r="Q142" s="25"/>
    </row>
    <row r="143" spans="1:21">
      <c r="E143" s="4"/>
      <c r="F143" s="4"/>
      <c r="G143" s="4"/>
      <c r="H143" s="48">
        <f>SQRT(0.0325345969699949^2 + 0.03^2)</f>
        <v>4.4254943226717643E-2</v>
      </c>
      <c r="I143" s="48">
        <f>SQRT(0.0226384628453435^2 + 0.03^2)</f>
        <v>3.7583240945932246E-2</v>
      </c>
      <c r="J143" s="48">
        <f>SQRT(0.0276134025429682^2 + 0.03^2)</f>
        <v>4.0773766075750256E-2</v>
      </c>
      <c r="K143" s="48"/>
      <c r="L143" s="48"/>
      <c r="M143" s="48"/>
      <c r="N143" s="48"/>
      <c r="O143" s="51">
        <f>0.006*O141</f>
        <v>1.8672590298232122E-2</v>
      </c>
      <c r="P143" s="48">
        <v>0.5</v>
      </c>
      <c r="Q143" s="25"/>
    </row>
    <row r="144" spans="1:21">
      <c r="A144" s="42" t="s">
        <v>277</v>
      </c>
      <c r="B144" s="1" t="s">
        <v>194</v>
      </c>
      <c r="C144" s="1">
        <v>250</v>
      </c>
      <c r="D144" s="1">
        <v>184</v>
      </c>
      <c r="E144" s="4" t="s">
        <v>51</v>
      </c>
      <c r="F144" s="4" t="s">
        <v>51</v>
      </c>
      <c r="G144" s="4" t="s">
        <v>51</v>
      </c>
      <c r="H144" s="180">
        <v>3.5</v>
      </c>
      <c r="I144" s="4">
        <v>3.09</v>
      </c>
      <c r="J144" s="4">
        <v>2.74</v>
      </c>
      <c r="K144" s="4">
        <f>'2MASS Binaries'!J28</f>
        <v>-0.15608911504768219</v>
      </c>
      <c r="L144" s="4">
        <f>'2MASS Binaries'!K28</f>
        <v>-0.18008911504768221</v>
      </c>
      <c r="M144" s="4">
        <f>'2MASS Binaries'!L28</f>
        <v>-0.23608911504768226</v>
      </c>
      <c r="N144" s="4">
        <v>0.36</v>
      </c>
      <c r="O144" s="4">
        <f>N144*(0.0495/0.05)</f>
        <v>0.35639999999999999</v>
      </c>
      <c r="P144" s="27">
        <v>153.9</v>
      </c>
      <c r="Q144" s="1" t="s">
        <v>206</v>
      </c>
    </row>
    <row r="145" spans="1:18">
      <c r="A145" s="55" t="s">
        <v>500</v>
      </c>
      <c r="E145" s="4" t="s">
        <v>51</v>
      </c>
      <c r="F145" s="4" t="s">
        <v>51</v>
      </c>
      <c r="G145" s="4" t="s">
        <v>51</v>
      </c>
      <c r="H145" s="4"/>
      <c r="I145" s="4"/>
      <c r="J145" s="4"/>
      <c r="K145" s="4">
        <f>'2MASS Binaries'!J29</f>
        <v>3.3439108849523178</v>
      </c>
      <c r="L145" s="4">
        <f>'2MASS Binaries'!K29</f>
        <v>2.9099108849523176</v>
      </c>
      <c r="M145" s="4">
        <f>'2MASS Binaries'!L29</f>
        <v>2.503910884952318</v>
      </c>
      <c r="N145" s="4"/>
      <c r="O145" s="28"/>
      <c r="Q145" s="25"/>
      <c r="R145" s="25"/>
    </row>
    <row r="146" spans="1:18">
      <c r="E146" s="28"/>
      <c r="F146" s="28"/>
      <c r="H146" s="48" t="s">
        <v>209</v>
      </c>
      <c r="I146" s="48">
        <f>SQRT(0.1^2 + 0.05^2)</f>
        <v>0.1118033988749895</v>
      </c>
      <c r="J146" s="48">
        <f>SQRT(0.1^2 + 0.05^2)</f>
        <v>0.1118033988749895</v>
      </c>
      <c r="K146" s="48"/>
      <c r="L146" s="48"/>
      <c r="M146" s="48"/>
      <c r="N146" s="48"/>
      <c r="O146" s="48">
        <f>0.06*O144</f>
        <v>2.1384E-2</v>
      </c>
      <c r="P146" s="48">
        <f>(0.5/360)*P144</f>
        <v>0.21375000000000002</v>
      </c>
      <c r="Q146" s="25"/>
      <c r="R146" s="25"/>
    </row>
    <row r="147" spans="1:18">
      <c r="A147" s="42" t="s">
        <v>278</v>
      </c>
      <c r="B147" s="1" t="s">
        <v>194</v>
      </c>
      <c r="C147" s="1">
        <v>250</v>
      </c>
      <c r="D147" s="1">
        <v>184</v>
      </c>
      <c r="E147" s="4" t="s">
        <v>51</v>
      </c>
      <c r="F147" s="4" t="s">
        <v>51</v>
      </c>
      <c r="G147" s="4" t="s">
        <v>51</v>
      </c>
      <c r="H147" s="4">
        <v>7.9</v>
      </c>
      <c r="I147" s="4">
        <v>7.39</v>
      </c>
      <c r="J147" s="4">
        <v>7.05</v>
      </c>
      <c r="K147" s="4">
        <v>-0.9888188207949371</v>
      </c>
      <c r="L147" s="4">
        <v>-1.0128188207949371</v>
      </c>
      <c r="M147" s="4">
        <v>-1.0688188207949372</v>
      </c>
      <c r="N147" s="4">
        <v>2.0230000000000001</v>
      </c>
      <c r="O147" s="4">
        <f>N147*(0.0495/0.05)</f>
        <v>2.0027699999999999</v>
      </c>
      <c r="P147" s="21">
        <v>232.32</v>
      </c>
      <c r="Q147" s="1" t="s">
        <v>206</v>
      </c>
    </row>
    <row r="148" spans="1:18">
      <c r="A148" s="55" t="s">
        <v>500</v>
      </c>
      <c r="E148" s="4" t="s">
        <v>51</v>
      </c>
      <c r="F148" s="4" t="s">
        <v>51</v>
      </c>
      <c r="G148" s="4" t="s">
        <v>51</v>
      </c>
      <c r="H148" s="4"/>
      <c r="I148" s="4"/>
      <c r="J148" s="4"/>
      <c r="K148" s="4">
        <v>6.9111811792050633</v>
      </c>
      <c r="L148" s="4">
        <v>6.3771811792050626</v>
      </c>
      <c r="M148" s="4">
        <v>5.9811811792050626</v>
      </c>
      <c r="N148" s="4"/>
      <c r="O148" s="4"/>
    </row>
    <row r="149" spans="1:18">
      <c r="E149" s="4"/>
      <c r="F149" s="4"/>
      <c r="H149" s="48">
        <f>SQRT(0.2^2 + 0.05^2)</f>
        <v>0.20615528128088306</v>
      </c>
      <c r="I149" s="48">
        <f>SQRT(0.1^2 + 0.05^2)</f>
        <v>0.1118033988749895</v>
      </c>
      <c r="J149" s="48">
        <f>SQRT(0.1^2 + 0.05^2)</f>
        <v>0.1118033988749895</v>
      </c>
      <c r="K149" s="48"/>
      <c r="L149" s="48"/>
      <c r="M149" s="48"/>
      <c r="N149" s="48"/>
      <c r="O149" s="51">
        <f>0.006*O147</f>
        <v>1.201662E-2</v>
      </c>
      <c r="P149" s="48">
        <v>0.5</v>
      </c>
    </row>
    <row r="150" spans="1:18">
      <c r="A150" s="1" t="s">
        <v>79</v>
      </c>
      <c r="B150" s="1" t="s">
        <v>195</v>
      </c>
      <c r="C150" s="1">
        <v>250</v>
      </c>
      <c r="D150" s="1">
        <v>184</v>
      </c>
      <c r="E150" s="4">
        <v>1.5944999566398126</v>
      </c>
      <c r="F150" s="4">
        <v>1.6491199566398107</v>
      </c>
      <c r="G150" s="4">
        <v>1.6628999566398113</v>
      </c>
      <c r="H150" s="4">
        <f>E151-E150</f>
        <v>7.0450000000000044</v>
      </c>
      <c r="I150" s="4">
        <f>F151-F150</f>
        <v>6.166999999999998</v>
      </c>
      <c r="J150" s="4">
        <f>G151-G150</f>
        <v>6.0405000000000015</v>
      </c>
      <c r="K150" s="4">
        <f>(E150+(5*LOG(C150, 10)-5))-(5*LOG(D150, 10)-5)</f>
        <v>2.2601108849523168</v>
      </c>
      <c r="L150" s="4">
        <f>(F150+(5*LOG(C150, 10)-5))-(5*LOG(D150, 10)-5)</f>
        <v>2.3147308849523132</v>
      </c>
      <c r="M150" s="4">
        <f>(G150+(5*LOG(C150, 10)-5))-(5*LOG(D150, 10)-5)</f>
        <v>2.3285108849523137</v>
      </c>
      <c r="N150" s="4">
        <v>3.8300452005139256</v>
      </c>
      <c r="O150" s="4">
        <f>N150*(0.0495/0.05)</f>
        <v>3.7917447485087865</v>
      </c>
      <c r="P150" s="21">
        <v>5.7140275052130676</v>
      </c>
      <c r="Q150" s="1" t="s">
        <v>205</v>
      </c>
    </row>
    <row r="151" spans="1:18">
      <c r="A151" s="55" t="s">
        <v>328</v>
      </c>
      <c r="E151" s="4">
        <v>8.639499956639817</v>
      </c>
      <c r="F151" s="4">
        <v>7.8161199566398087</v>
      </c>
      <c r="G151" s="4">
        <v>7.7033999566398128</v>
      </c>
      <c r="H151" s="4"/>
      <c r="I151" s="4"/>
      <c r="J151" s="4"/>
      <c r="K151" s="4">
        <f>(E151+(5*LOG(C150, 10)-5))-(5*LOG(D150, 10)-5)</f>
        <v>9.3051108849523203</v>
      </c>
      <c r="L151" s="4">
        <f>(F151+(5*LOG(C150, 10)-5))-(5*LOG(D150, 10)-5)</f>
        <v>8.4817308849523112</v>
      </c>
      <c r="M151" s="4">
        <f>(G151+(5*LOG(C150, 10)-5))-(5*LOG(D150, 10)-5)</f>
        <v>8.3690108849523153</v>
      </c>
      <c r="N151" s="4"/>
      <c r="O151" s="28"/>
    </row>
    <row r="152" spans="1:18">
      <c r="E152" s="4"/>
      <c r="F152" s="4"/>
      <c r="G152" s="4"/>
      <c r="H152" s="48">
        <f>SQRT(0.0378318648760539^2 + 0.03^2)</f>
        <v>4.8283019789569927E-2</v>
      </c>
      <c r="I152" s="48">
        <f>SQRT(0.0275862284482674^2 + 0.03^2)</f>
        <v>4.0755367744629636E-2</v>
      </c>
      <c r="J152" s="48">
        <f>SQRT(0.0293470611816584^2 + 0.03^2)</f>
        <v>4.1967249135486606E-2</v>
      </c>
      <c r="K152" s="48"/>
      <c r="L152" s="48"/>
      <c r="M152" s="48"/>
      <c r="N152" s="48"/>
      <c r="O152" s="51">
        <f>0.006*O150</f>
        <v>2.2750468491052719E-2</v>
      </c>
      <c r="P152" s="48">
        <v>0.5</v>
      </c>
    </row>
    <row r="153" spans="1:18">
      <c r="A153" s="25" t="s">
        <v>6</v>
      </c>
      <c r="B153" s="1" t="s">
        <v>196</v>
      </c>
      <c r="C153" s="1">
        <v>250</v>
      </c>
      <c r="D153" s="1">
        <v>184</v>
      </c>
      <c r="E153" s="4">
        <v>-0.91053694204603541</v>
      </c>
      <c r="F153" s="4">
        <v>-0.84081421958867697</v>
      </c>
      <c r="G153" s="4">
        <v>-0.79447585432774481</v>
      </c>
      <c r="H153" s="4">
        <f>E154-E153</f>
        <v>2.2524999999999906</v>
      </c>
      <c r="I153" s="4">
        <f>F154-F153</f>
        <v>2.1419999999999995</v>
      </c>
      <c r="J153" s="4">
        <f>G154-G153</f>
        <v>2.0500000000000123</v>
      </c>
      <c r="K153" s="4">
        <f>(E153+(5*LOG(C153, 10)-5))-(5*LOG(D153, 10)-5)</f>
        <v>-0.24492601373353207</v>
      </c>
      <c r="L153" s="4">
        <f>(F153+(5*LOG(C153, 10)-5))-(5*LOG(D153, 10)-5)</f>
        <v>-0.17520329127617362</v>
      </c>
      <c r="M153" s="4">
        <f>(G153+(5*LOG(C153, 10)-5))-(5*LOG(D153, 10)-5)</f>
        <v>-0.12886492601524147</v>
      </c>
      <c r="N153" s="4">
        <v>1.2893443019433581</v>
      </c>
      <c r="O153" s="4">
        <f>N153*(0.0495/0.05)</f>
        <v>1.2764508589239245</v>
      </c>
      <c r="P153" s="21">
        <v>149.48896647743859</v>
      </c>
      <c r="Q153" s="1" t="s">
        <v>695</v>
      </c>
    </row>
    <row r="154" spans="1:18">
      <c r="A154" s="55" t="s">
        <v>329</v>
      </c>
      <c r="E154" s="4">
        <v>1.3419630579539552</v>
      </c>
      <c r="F154" s="4">
        <v>1.3011857804113225</v>
      </c>
      <c r="G154" s="4">
        <v>1.2555241456722674</v>
      </c>
      <c r="H154" s="4"/>
      <c r="I154" s="4"/>
      <c r="J154" s="4"/>
      <c r="K154" s="4">
        <f>(E154+(5*LOG(C153, 10)-5))-(5*LOG(D153, 10)-5)</f>
        <v>2.0075739862664594</v>
      </c>
      <c r="L154" s="4">
        <f>(F154+(5*LOG(C153, 10)-5))-(5*LOG(D153, 10)-5)</f>
        <v>1.9667967087238249</v>
      </c>
      <c r="M154" s="4">
        <f>(G154+(5*LOG(C153, 10)-5))-(5*LOG(D153, 10)-5)</f>
        <v>1.9211350739847699</v>
      </c>
      <c r="N154" s="4"/>
      <c r="O154" s="28"/>
      <c r="R154" s="1" t="s">
        <v>213</v>
      </c>
    </row>
    <row r="155" spans="1:18">
      <c r="E155" s="4"/>
      <c r="F155" s="4"/>
      <c r="G155" s="4"/>
      <c r="H155" s="48">
        <f>SQRT(0.0014142135623731^2 + 0.03^2)</f>
        <v>3.0033314835362413E-2</v>
      </c>
      <c r="I155" s="48">
        <f>SQRT(0.0014142135623731^2 + 0.03^2)</f>
        <v>3.0033314835362413E-2</v>
      </c>
      <c r="J155" s="48">
        <f>SQRT(0.0014142135623731^2 + 0.03^2)</f>
        <v>3.0033314835362413E-2</v>
      </c>
      <c r="K155" s="48"/>
      <c r="L155" s="48"/>
      <c r="M155" s="48"/>
      <c r="N155" s="48"/>
      <c r="O155" s="51">
        <f>0.006*O153</f>
        <v>7.6587051535435468E-3</v>
      </c>
      <c r="P155" s="48">
        <v>0.5</v>
      </c>
    </row>
    <row r="156" spans="1:18">
      <c r="A156" s="1" t="s">
        <v>7</v>
      </c>
      <c r="B156" s="1" t="s">
        <v>193</v>
      </c>
      <c r="C156" s="1">
        <v>250</v>
      </c>
      <c r="D156" s="1">
        <v>184</v>
      </c>
      <c r="E156" s="4">
        <v>1.4209999566398119</v>
      </c>
      <c r="F156" s="4">
        <v>1.4434199566398105</v>
      </c>
      <c r="G156" s="4">
        <v>1.4309999566398117</v>
      </c>
      <c r="H156" s="4">
        <f>E157-E156</f>
        <v>5.4839999999999982</v>
      </c>
      <c r="I156" s="4">
        <f>F157-F156</f>
        <v>4.8999999999999986</v>
      </c>
      <c r="J156" s="4">
        <f>G157-G156</f>
        <v>4.7834999999999983</v>
      </c>
      <c r="K156" s="4">
        <f>(E156+(5*LOG(C156, 10)-5))-(5*LOG(D156, 10)-5)</f>
        <v>2.0866108849523162</v>
      </c>
      <c r="L156" s="4">
        <f>(F156+(5*LOG(C156, 10)-5))-(5*LOG(D156, 10)-5)</f>
        <v>2.1090308849523129</v>
      </c>
      <c r="M156" s="4">
        <f>(G156+(5*LOG(C156, 10)-5))-(5*LOG(D156, 10)-5)</f>
        <v>2.0966108849523142</v>
      </c>
      <c r="N156" s="4">
        <v>4.441215117348932</v>
      </c>
      <c r="O156" s="4">
        <f>N156*(0.0495/0.05)</f>
        <v>4.3968029661754429</v>
      </c>
      <c r="P156" s="21">
        <v>249.95740885176127</v>
      </c>
      <c r="Q156" s="1" t="s">
        <v>205</v>
      </c>
    </row>
    <row r="157" spans="1:18">
      <c r="A157" s="55" t="s">
        <v>330</v>
      </c>
      <c r="E157" s="4">
        <v>6.9049999566398101</v>
      </c>
      <c r="F157" s="4">
        <v>6.3434199566398091</v>
      </c>
      <c r="G157" s="4">
        <v>6.21449995663981</v>
      </c>
      <c r="H157" s="4"/>
      <c r="I157" s="4"/>
      <c r="J157" s="4"/>
      <c r="K157" s="4">
        <f>(E157+(5*LOG(C156, 10)-5))-(5*LOG(D156, 10)-5)</f>
        <v>7.5706108849523144</v>
      </c>
      <c r="L157" s="4">
        <f>(F157+(5*LOG(C156, 10)-5))-(5*LOG(D156, 10)-5)</f>
        <v>7.0090308849523115</v>
      </c>
      <c r="M157" s="4">
        <f>(G157+(5*LOG(C156, 10)-5))-(5*LOG(D156, 10)-5)</f>
        <v>6.8801108849523143</v>
      </c>
      <c r="N157" s="4"/>
      <c r="O157" s="28"/>
    </row>
    <row r="158" spans="1:18">
      <c r="E158" s="4"/>
      <c r="F158" s="4"/>
      <c r="G158" s="4"/>
      <c r="H158" s="48">
        <f>SQRT(0.0109658560997307^2 + 0.03^2)</f>
        <v>3.1941352507368889E-2</v>
      </c>
      <c r="I158" s="48">
        <f>SQRT(0.00813941029804985^2 + 0.03^2)</f>
        <v>3.1084562084739104E-2</v>
      </c>
      <c r="J158" s="48">
        <f>SQRT(0.00848528137423857^2 + 0.03^2)</f>
        <v>3.1176914536239792E-2</v>
      </c>
      <c r="K158" s="48"/>
      <c r="L158" s="48"/>
      <c r="M158" s="48"/>
      <c r="N158" s="48"/>
      <c r="O158" s="51">
        <f>0.006*O156</f>
        <v>2.6380817797052657E-2</v>
      </c>
      <c r="P158" s="48">
        <v>0.5</v>
      </c>
    </row>
    <row r="159" spans="1:18">
      <c r="A159" s="1" t="s">
        <v>224</v>
      </c>
      <c r="B159" s="1" t="s">
        <v>198</v>
      </c>
      <c r="C159" s="1">
        <v>250</v>
      </c>
      <c r="D159" s="1">
        <v>184</v>
      </c>
      <c r="E159" s="4">
        <v>0.96499995663981242</v>
      </c>
      <c r="F159" s="4">
        <v>0.79491995663981108</v>
      </c>
      <c r="G159" s="4">
        <v>0.75079995663981247</v>
      </c>
      <c r="H159" s="4">
        <f>E160-E159</f>
        <v>6.2529999999999983</v>
      </c>
      <c r="I159" s="4">
        <f>F160-F159</f>
        <v>6.1120000000000028</v>
      </c>
      <c r="J159" s="4">
        <f>G160-G159</f>
        <v>6.1804999999999968</v>
      </c>
      <c r="K159" s="4">
        <f>(E159+(5*LOG(C159, 10)-5))-(5*LOG(D159, 10)-5)</f>
        <v>1.6306108849523158</v>
      </c>
      <c r="L159" s="4">
        <f>(F159+(5*LOG(C159, 10)-5))-(5*LOG(D159, 10)-5)</f>
        <v>1.4605308849523144</v>
      </c>
      <c r="M159" s="4">
        <f>(G159+(5*LOG(C159, 10)-5))-(5*LOG(D159, 10)-5)</f>
        <v>1.4164108849523158</v>
      </c>
      <c r="N159" s="4">
        <v>7.4806446371351036</v>
      </c>
      <c r="O159" s="4">
        <f>N159*(0.0495/0.05)</f>
        <v>7.4058381907637525</v>
      </c>
      <c r="P159" s="21">
        <v>154.18440516692237</v>
      </c>
      <c r="Q159" s="1" t="s">
        <v>205</v>
      </c>
    </row>
    <row r="160" spans="1:18">
      <c r="A160" s="55" t="s">
        <v>331</v>
      </c>
      <c r="E160" s="4">
        <v>7.2179999566398108</v>
      </c>
      <c r="F160" s="4">
        <v>6.9069199566398138</v>
      </c>
      <c r="G160" s="4">
        <v>6.9312999566398092</v>
      </c>
      <c r="H160" s="4"/>
      <c r="I160" s="4"/>
      <c r="J160" s="4"/>
      <c r="K160" s="4">
        <f>(E160+(5*LOG(C159, 10)-5))-(5*LOG(D159, 10)-5)</f>
        <v>7.8836108849523132</v>
      </c>
      <c r="L160" s="4">
        <f>(F160+(5*LOG(C159, 10)-5))-(5*LOG(D159, 10)-5)</f>
        <v>7.5725308849523163</v>
      </c>
      <c r="M160" s="4">
        <f>(G160+(5*LOG(C159, 10)-5))-(5*LOG(D159, 10)-5)</f>
        <v>7.5969108849523135</v>
      </c>
      <c r="N160" s="48"/>
      <c r="O160" s="28"/>
    </row>
    <row r="161" spans="1:19">
      <c r="E161" s="4"/>
      <c r="F161" s="4"/>
      <c r="G161" s="4"/>
      <c r="H161" s="48">
        <f>SQRT(0.0282842712474619^2 + 0.03^2)</f>
        <v>4.123105625617661E-2</v>
      </c>
      <c r="I161" s="48">
        <f>SQRT(0.0243977457975117^2 + 0.03^2)</f>
        <v>3.8668462601970613E-2</v>
      </c>
      <c r="J161" s="48">
        <f>SQRT(0.0282931087015902^2 + 0.03^2)</f>
        <v>4.1237119201030507E-2</v>
      </c>
      <c r="K161" s="48"/>
      <c r="L161" s="48"/>
      <c r="M161" s="48"/>
      <c r="N161" s="48"/>
      <c r="O161" s="51">
        <f>0.006*O159</f>
        <v>4.4435029144582514E-2</v>
      </c>
      <c r="P161" s="48">
        <v>0.5</v>
      </c>
    </row>
    <row r="162" spans="1:19">
      <c r="A162" s="1" t="s">
        <v>225</v>
      </c>
      <c r="B162" s="1" t="s">
        <v>198</v>
      </c>
      <c r="C162" s="1">
        <v>250</v>
      </c>
      <c r="D162" s="1">
        <v>184</v>
      </c>
      <c r="E162" s="28">
        <v>0.96499995663981242</v>
      </c>
      <c r="F162" s="28">
        <v>0.79491995663981108</v>
      </c>
      <c r="G162" s="28">
        <v>0.75079995663981247</v>
      </c>
      <c r="H162" s="28">
        <v>7.42</v>
      </c>
      <c r="I162" s="28">
        <v>6.96</v>
      </c>
      <c r="J162" s="28">
        <v>6.6734964522600002</v>
      </c>
      <c r="K162" s="28">
        <f>(E162+(5*LOG(C162, 10)-5))-(5*LOG(D162, 10)-5)</f>
        <v>1.6306108849523158</v>
      </c>
      <c r="L162" s="28">
        <f>(F162+(5*LOG(C162, 10)-5))-(5*LOG(D162, 10)-5)</f>
        <v>1.4605308849523144</v>
      </c>
      <c r="M162" s="28">
        <f>(G162+(5*LOG(C162, 10)-5))-(5*LOG(D162, 10)-5)</f>
        <v>1.4164108849523158</v>
      </c>
      <c r="N162" s="28">
        <v>4.0460409524255407</v>
      </c>
      <c r="O162" s="4">
        <f>N162*(0.0495/0.05)</f>
        <v>4.005580542901285</v>
      </c>
      <c r="P162" s="27">
        <v>4.0318458218829392</v>
      </c>
      <c r="Q162" s="1" t="s">
        <v>205</v>
      </c>
      <c r="R162" s="1" t="s">
        <v>318</v>
      </c>
    </row>
    <row r="163" spans="1:19">
      <c r="A163" s="55" t="s">
        <v>331</v>
      </c>
      <c r="E163" s="28">
        <v>8.5104999566398121</v>
      </c>
      <c r="F163" s="28">
        <v>7.6594199566398116</v>
      </c>
      <c r="G163" s="28">
        <v>7.253299956639812</v>
      </c>
      <c r="H163" s="28"/>
      <c r="I163" s="28"/>
      <c r="J163" s="28"/>
      <c r="K163" s="28">
        <f>(E163+(5*LOG(C162, 10)-5))-(5*LOG(D162, 10)-5)</f>
        <v>9.1761108849523154</v>
      </c>
      <c r="L163" s="28">
        <f>(F163+(5*LOG(C162, 10)-5))-(5*LOG(D162, 10)-5)</f>
        <v>8.325030884952314</v>
      </c>
      <c r="M163" s="28">
        <f>(G163+(5*LOG(C162, 10)-5))-(5*LOG(D162, 10)-5)</f>
        <v>7.9189108849523162</v>
      </c>
      <c r="N163" s="28"/>
      <c r="O163" s="28"/>
      <c r="P163" s="25"/>
    </row>
    <row r="164" spans="1:19">
      <c r="E164" s="28"/>
      <c r="F164" s="28"/>
      <c r="G164" s="28"/>
      <c r="H164" s="48">
        <f>SQRT(0.0954476296195982^2 + 0.03^2)</f>
        <v>0.10005123687391375</v>
      </c>
      <c r="I164" s="48">
        <f>SQRT(0.0477310171691323^2 + 0.03^2)</f>
        <v>5.6375970058172853E-2</v>
      </c>
      <c r="J164" s="48">
        <f>SQRT(0.0378318648760539^2 + 0.03^2)</f>
        <v>4.8283019789569927E-2</v>
      </c>
      <c r="K164" s="48"/>
      <c r="L164" s="48"/>
      <c r="M164" s="48"/>
      <c r="N164" s="48"/>
      <c r="O164" s="51">
        <f>0.006*O162</f>
        <v>2.4033483257407711E-2</v>
      </c>
      <c r="P164" s="48">
        <v>0.5</v>
      </c>
    </row>
    <row r="165" spans="1:19">
      <c r="A165" s="1" t="s">
        <v>8</v>
      </c>
      <c r="B165" s="1" t="s">
        <v>193</v>
      </c>
      <c r="C165" s="1">
        <v>250</v>
      </c>
      <c r="D165" s="1">
        <v>184</v>
      </c>
      <c r="E165" s="4">
        <v>0.34349995663981137</v>
      </c>
      <c r="F165" s="4">
        <v>0.38171995663981129</v>
      </c>
      <c r="G165" s="4">
        <v>0.39119995663981211</v>
      </c>
      <c r="H165" s="4">
        <f>E166-E165</f>
        <v>4.879999999999999</v>
      </c>
      <c r="I165" s="4">
        <f>F166-F165</f>
        <v>4.1690000000000014</v>
      </c>
      <c r="J165" s="4">
        <f>G166-G165</f>
        <v>3.9894999999999996</v>
      </c>
      <c r="K165" s="4">
        <f>(E165+(5*LOG(C165, 10)-5))-(5*LOG(D165, 10)-5)</f>
        <v>1.0091108849523147</v>
      </c>
      <c r="L165" s="4">
        <f>(F165+(5*LOG(C165, 10)-5))-(5*LOG(D165, 10)-5)</f>
        <v>1.0473308849523146</v>
      </c>
      <c r="M165" s="4">
        <f>(G165+(5*LOG(C165, 10)-5))-(5*LOG(D165, 10)-5)</f>
        <v>1.0568108849523155</v>
      </c>
      <c r="N165" s="4">
        <v>3.2663299263702203</v>
      </c>
      <c r="O165" s="4">
        <f>N165*(0.0495/0.05)</f>
        <v>3.2336666271065182</v>
      </c>
      <c r="P165" s="21">
        <v>267.04800692931866</v>
      </c>
      <c r="Q165" s="1" t="s">
        <v>205</v>
      </c>
    </row>
    <row r="166" spans="1:19">
      <c r="A166" s="55" t="s">
        <v>334</v>
      </c>
      <c r="E166" s="4">
        <v>5.2234999566398104</v>
      </c>
      <c r="F166" s="4">
        <v>4.5507199566398127</v>
      </c>
      <c r="G166" s="4">
        <v>4.3806999566398117</v>
      </c>
      <c r="H166" s="4"/>
      <c r="I166" s="4"/>
      <c r="J166" s="4"/>
      <c r="K166" s="4">
        <f>(E166+(5*LOG(C165, 10)-5))-(5*LOG(D165, 10)-5)</f>
        <v>5.8891108849523146</v>
      </c>
      <c r="L166" s="4">
        <f>(F166+(5*LOG(C165, 10)-5))-(5*LOG(D165, 10)-5)</f>
        <v>5.2163308849523151</v>
      </c>
      <c r="M166" s="4">
        <f>(G166+(5*LOG(C165, 10)-5))-(5*LOG(D165, 10)-5)</f>
        <v>5.0463108849523142</v>
      </c>
      <c r="N166" s="4"/>
      <c r="O166" s="28"/>
    </row>
    <row r="167" spans="1:19">
      <c r="E167" s="4"/>
      <c r="F167" s="4"/>
      <c r="G167" s="4"/>
      <c r="H167" s="48">
        <f>SQRT(0.00813941029804985^2 + 0.03^2)</f>
        <v>3.1084562084739104E-2</v>
      </c>
      <c r="I167" s="48">
        <f>SQRT(0.00565685424949238^2 + 0.03^2)</f>
        <v>3.0528675044947495E-2</v>
      </c>
      <c r="J167" s="48">
        <f>SQRT(0.00984885780179611^2 + 0.03^2)</f>
        <v>3.1575306807693888E-2</v>
      </c>
      <c r="K167" s="4"/>
      <c r="L167" s="4"/>
      <c r="M167" s="4"/>
      <c r="N167" s="4"/>
      <c r="O167" s="51">
        <f>0.006*O165</f>
        <v>1.9401999762639111E-2</v>
      </c>
      <c r="P167" s="48">
        <v>0.5</v>
      </c>
    </row>
    <row r="168" spans="1:19">
      <c r="A168" s="1" t="s">
        <v>9</v>
      </c>
      <c r="B168" s="1" t="s">
        <v>175</v>
      </c>
      <c r="C168" s="1">
        <v>250</v>
      </c>
      <c r="D168" s="1">
        <v>184</v>
      </c>
      <c r="E168" s="4" t="s">
        <v>51</v>
      </c>
      <c r="F168" s="4" t="s">
        <v>51</v>
      </c>
      <c r="G168" s="4" t="s">
        <v>51</v>
      </c>
      <c r="H168" s="33">
        <v>2.8</v>
      </c>
      <c r="I168" s="33">
        <v>2.7</v>
      </c>
      <c r="J168" s="33">
        <v>2.5499999999999998</v>
      </c>
      <c r="K168" s="4">
        <f>'2MASS Binaries'!J42</f>
        <v>1.2349108849523178</v>
      </c>
      <c r="L168" s="4">
        <f>'2MASS Binaries'!K42</f>
        <v>1.2979108849523175</v>
      </c>
      <c r="M168" s="4">
        <f>'2MASS Binaries'!L42</f>
        <v>1.2479108849523177</v>
      </c>
      <c r="N168" s="4">
        <v>0.48236975000000004</v>
      </c>
      <c r="O168" s="4">
        <f>N168*(0.0495/0.05)</f>
        <v>0.47754605250000004</v>
      </c>
      <c r="P168" s="4">
        <v>64.61</v>
      </c>
      <c r="Q168" s="1" t="s">
        <v>206</v>
      </c>
    </row>
    <row r="169" spans="1:19">
      <c r="A169" s="55" t="s">
        <v>335</v>
      </c>
      <c r="E169" s="4" t="s">
        <v>51</v>
      </c>
      <c r="F169" s="4" t="s">
        <v>51</v>
      </c>
      <c r="G169" s="4" t="s">
        <v>51</v>
      </c>
      <c r="H169" s="4"/>
      <c r="I169" s="4"/>
      <c r="J169" s="4"/>
      <c r="K169" s="4">
        <f>'2MASS Binaries'!J43</f>
        <v>4.0349108849523176</v>
      </c>
      <c r="L169" s="4">
        <f>'2MASS Binaries'!K43</f>
        <v>3.9979108849523177</v>
      </c>
      <c r="M169" s="4">
        <f>'2MASS Binaries'!L43</f>
        <v>3.7979108849523175</v>
      </c>
      <c r="N169" s="4"/>
      <c r="O169" s="28"/>
    </row>
    <row r="170" spans="1:19">
      <c r="E170" s="4"/>
      <c r="F170" s="4"/>
      <c r="G170" s="4"/>
      <c r="H170" s="239">
        <f>SQRT(0.1^2 + 0.03^2)</f>
        <v>0.1044030650891055</v>
      </c>
      <c r="I170" s="239">
        <f>SQRT(0.1^2 + 0.03^2)</f>
        <v>0.1044030650891055</v>
      </c>
      <c r="J170" s="239">
        <f>SQRT(0.05^2 + 0.03^2)</f>
        <v>5.8309518948453008E-2</v>
      </c>
      <c r="K170" s="48"/>
      <c r="L170" s="48"/>
      <c r="M170" s="48"/>
      <c r="N170" s="48"/>
      <c r="O170" s="51">
        <v>3.4558719791763916E-3</v>
      </c>
      <c r="P170" s="48">
        <v>0.52365374226950467</v>
      </c>
    </row>
    <row r="171" spans="1:19">
      <c r="A171" s="1" t="s">
        <v>10</v>
      </c>
      <c r="B171" s="1" t="s">
        <v>199</v>
      </c>
      <c r="C171" s="1">
        <v>250</v>
      </c>
      <c r="D171" s="1">
        <v>184</v>
      </c>
      <c r="E171" s="4" t="s">
        <v>51</v>
      </c>
      <c r="F171" s="4" t="s">
        <v>51</v>
      </c>
      <c r="G171" s="4" t="s">
        <v>51</v>
      </c>
      <c r="H171" s="33">
        <v>4.9000000000000004</v>
      </c>
      <c r="I171" s="33">
        <v>4.45</v>
      </c>
      <c r="J171" s="33">
        <v>4.2</v>
      </c>
      <c r="K171" s="4">
        <f>'2MASS Binaries'!J44</f>
        <v>1.6989108849523173</v>
      </c>
      <c r="L171" s="4">
        <f>'2MASS Binaries'!K44</f>
        <v>1.7399108849523177</v>
      </c>
      <c r="M171" s="4">
        <f>'2MASS Binaries'!L44</f>
        <v>1.6839108849523168</v>
      </c>
      <c r="N171" s="4">
        <v>0.70086436826796572</v>
      </c>
      <c r="O171" s="4">
        <f>N171*(0.0495/0.05)</f>
        <v>0.6938557245852861</v>
      </c>
      <c r="P171" s="21">
        <v>45.334450470494232</v>
      </c>
      <c r="Q171" s="1" t="s">
        <v>210</v>
      </c>
    </row>
    <row r="172" spans="1:19">
      <c r="A172" s="55" t="s">
        <v>336</v>
      </c>
      <c r="E172" s="4" t="s">
        <v>51</v>
      </c>
      <c r="F172" s="4" t="s">
        <v>51</v>
      </c>
      <c r="G172" s="4" t="s">
        <v>51</v>
      </c>
      <c r="H172" s="4"/>
      <c r="I172" s="4"/>
      <c r="J172" s="4"/>
      <c r="K172" s="4">
        <f>'2MASS Binaries'!J45</f>
        <v>6.5989108849523177</v>
      </c>
      <c r="L172" s="4">
        <f>'2MASS Binaries'!K45</f>
        <v>6.1899108849523179</v>
      </c>
      <c r="M172" s="4">
        <f>'2MASS Binaries'!L45</f>
        <v>5.883910884952317</v>
      </c>
      <c r="N172" s="4"/>
      <c r="O172" s="28"/>
      <c r="Q172" s="1" t="s">
        <v>211</v>
      </c>
    </row>
    <row r="173" spans="1:19">
      <c r="E173" s="4"/>
      <c r="F173" s="4"/>
      <c r="G173" s="4"/>
      <c r="H173" s="239">
        <v>0.25</v>
      </c>
      <c r="I173" s="239">
        <v>0.05</v>
      </c>
      <c r="J173" s="239">
        <v>0.05</v>
      </c>
      <c r="K173" s="48"/>
      <c r="L173" s="48"/>
      <c r="M173" s="48"/>
      <c r="N173" s="48"/>
      <c r="O173" s="51">
        <f>0.006*O171</f>
        <v>4.1631343475117171E-3</v>
      </c>
      <c r="P173" s="48">
        <v>0.5</v>
      </c>
    </row>
    <row r="174" spans="1:19">
      <c r="A174" s="1" t="s">
        <v>11</v>
      </c>
      <c r="B174" s="1" t="s">
        <v>200</v>
      </c>
      <c r="C174" s="1">
        <v>250</v>
      </c>
      <c r="D174" s="1">
        <v>184</v>
      </c>
      <c r="E174" s="4">
        <v>1.7636163820698618</v>
      </c>
      <c r="F174" s="4">
        <v>1.7428724939685507</v>
      </c>
      <c r="G174" s="4">
        <v>1.1080959967106585</v>
      </c>
      <c r="H174" s="4">
        <f>E175-E174</f>
        <v>0.56850000000000556</v>
      </c>
      <c r="I174" s="4">
        <f>F175-F174</f>
        <v>0.58000000000000185</v>
      </c>
      <c r="J174" s="4">
        <f>G175-G174</f>
        <v>0.55650000000000333</v>
      </c>
      <c r="K174" s="4">
        <f>(E174+(5*LOG(C174, 10)-5))-(5*LOG(D174, 10)-5)</f>
        <v>2.4292273103823643</v>
      </c>
      <c r="L174" s="4">
        <f>(F174+(5*LOG(C174, 10)-5))-(5*LOG(D174, 10)-5)</f>
        <v>2.4084834222810532</v>
      </c>
      <c r="M174" s="4">
        <f>(G174+(5*LOG(C174, 10)-5))-(5*LOG(D174, 10)-5)</f>
        <v>1.773706925023161</v>
      </c>
      <c r="N174" s="4">
        <v>2.1701641653089827</v>
      </c>
      <c r="O174" s="4">
        <f>N174*(0.0495/0.05)</f>
        <v>2.1484625236558927</v>
      </c>
      <c r="P174" s="34">
        <f>27.0581403559881+180</f>
        <v>207.05814035598809</v>
      </c>
      <c r="Q174" s="1" t="s">
        <v>205</v>
      </c>
      <c r="R174" s="1" t="s">
        <v>227</v>
      </c>
      <c r="S174" s="1" t="s">
        <v>247</v>
      </c>
    </row>
    <row r="175" spans="1:19">
      <c r="A175" s="55" t="s">
        <v>337</v>
      </c>
      <c r="E175" s="4">
        <v>2.3321163820698674</v>
      </c>
      <c r="F175" s="4">
        <v>2.3228724939685526</v>
      </c>
      <c r="G175" s="4">
        <v>1.6645959967106618</v>
      </c>
      <c r="H175" s="4"/>
      <c r="I175" s="4"/>
      <c r="J175" s="4"/>
      <c r="K175" s="4">
        <f>(E175+(5*LOG(C174, 10)-5))-(5*LOG(D174, 10)-5)</f>
        <v>2.9977273103823716</v>
      </c>
      <c r="L175" s="4">
        <f>(F175+(5*LOG(C174, 10)-5))-(5*LOG(D174, 10)-5)</f>
        <v>2.988483422281055</v>
      </c>
      <c r="M175" s="4">
        <f>(G175+(5*LOG(C174, 10)-5))-(5*LOG(D174, 10)-5)</f>
        <v>2.3302069250231643</v>
      </c>
      <c r="N175" s="4"/>
      <c r="O175" s="28"/>
    </row>
    <row r="176" spans="1:19">
      <c r="E176" s="4"/>
      <c r="F176" s="4"/>
      <c r="G176" s="4"/>
      <c r="H176" s="48">
        <f>SQRT(0.000707106781186548^2 + 0.03^2)</f>
        <v>3.0008332176247314E-2</v>
      </c>
      <c r="I176" s="48">
        <f>SQRT(0.000707106781186548^2 + 0.03^2)</f>
        <v>3.0008332176247314E-2</v>
      </c>
      <c r="J176" s="48">
        <f>SQRT(0.000707106781186548^2 + 0.03^2)</f>
        <v>3.0008332176247314E-2</v>
      </c>
      <c r="K176" s="48"/>
      <c r="L176" s="48"/>
      <c r="M176" s="48"/>
      <c r="N176" s="48"/>
      <c r="O176" s="51">
        <f>0.006*O174</f>
        <v>1.2890775141935356E-2</v>
      </c>
      <c r="P176" s="48">
        <v>0.5</v>
      </c>
    </row>
    <row r="177" spans="1:19">
      <c r="A177" s="25" t="s">
        <v>291</v>
      </c>
      <c r="B177" s="1" t="s">
        <v>201</v>
      </c>
      <c r="C177" s="1">
        <v>250</v>
      </c>
      <c r="D177" s="1">
        <v>184</v>
      </c>
      <c r="E177" s="4">
        <v>1.1395946231591987</v>
      </c>
      <c r="F177" s="4">
        <v>1.1713601783911889</v>
      </c>
      <c r="G177" s="4">
        <v>1.1141092711824525</v>
      </c>
      <c r="H177" s="4">
        <f>E178-E177</f>
        <v>8.5318827414266636</v>
      </c>
      <c r="I177" s="4">
        <f>F178-F177</f>
        <v>7.519275222194147</v>
      </c>
      <c r="J177" s="4">
        <f>G178-G177</f>
        <v>7.3851493040454637</v>
      </c>
      <c r="K177" s="4">
        <f>(E177+(5*LOG(C177, 10)-5))-(5*LOG(D177, 10)-5)</f>
        <v>1.8052055514717029</v>
      </c>
      <c r="L177" s="4">
        <f>(F177+(5*LOG(C177, 10)-5))-(5*LOG(D177, 10)-5)</f>
        <v>1.8369711067036913</v>
      </c>
      <c r="M177" s="4">
        <f>(G177+(5*LOG(C177, 10)-5))-(5*LOG(D177, 10)-5)</f>
        <v>1.779720199494955</v>
      </c>
      <c r="N177" s="4">
        <v>3.5206917809909508</v>
      </c>
      <c r="O177" s="4">
        <f>N177*(0.0495/0.05)</f>
        <v>3.4854848631810413</v>
      </c>
      <c r="P177" s="21">
        <v>29.981530513172224</v>
      </c>
      <c r="Q177" s="1" t="s">
        <v>206</v>
      </c>
      <c r="R177" s="1" t="s">
        <v>316</v>
      </c>
      <c r="S177" s="1" t="s">
        <v>317</v>
      </c>
    </row>
    <row r="178" spans="1:19">
      <c r="A178" s="55" t="s">
        <v>338</v>
      </c>
      <c r="E178" s="4">
        <v>9.6714773645858614</v>
      </c>
      <c r="F178" s="4">
        <v>8.6906354005853359</v>
      </c>
      <c r="G178" s="4">
        <v>8.4992585752279162</v>
      </c>
      <c r="H178" s="4"/>
      <c r="I178" s="4"/>
      <c r="J178" s="4"/>
      <c r="K178" s="4">
        <f>(E178+(5*LOG(C177, 10)-5))-(5*LOG(D177, 10)-5)</f>
        <v>10.337088292898367</v>
      </c>
      <c r="L178" s="4">
        <f>(F178+(5*LOG(C177, 10)-5))-(5*LOG(D177, 10)-5)</f>
        <v>9.3562463288978392</v>
      </c>
      <c r="M178" s="4">
        <f>(G178+(5*LOG(C177, 10)-5))-(5*LOG(D177, 10)-5)</f>
        <v>9.1648695035404195</v>
      </c>
      <c r="N178" s="4"/>
      <c r="O178" s="4"/>
    </row>
    <row r="179" spans="1:19">
      <c r="E179" s="4"/>
      <c r="F179" s="4"/>
      <c r="G179" s="4"/>
      <c r="H179" s="48">
        <f>SQRT(0.0014142135623731^2 + 0.05^2)</f>
        <v>5.0019996001599204E-2</v>
      </c>
      <c r="I179" s="48">
        <f>SQRT(0.0014142135623731^2 + 0.05^2)</f>
        <v>5.0019996001599204E-2</v>
      </c>
      <c r="J179" s="48">
        <f>SQRT(0.0014142135623731^2 + 0.05^2)</f>
        <v>5.0019996001599204E-2</v>
      </c>
      <c r="K179" s="48"/>
      <c r="L179" s="48"/>
      <c r="M179" s="48"/>
      <c r="N179" s="48"/>
      <c r="O179" s="51">
        <f>0.006*O177</f>
        <v>2.091290917908625E-2</v>
      </c>
      <c r="P179" s="48">
        <v>0.5</v>
      </c>
    </row>
    <row r="180" spans="1:19">
      <c r="A180" s="1" t="s">
        <v>280</v>
      </c>
      <c r="B180" s="1" t="s">
        <v>201</v>
      </c>
      <c r="C180" s="1">
        <v>250</v>
      </c>
      <c r="D180" s="1">
        <v>184</v>
      </c>
      <c r="E180" s="4">
        <v>1.1395946231591987</v>
      </c>
      <c r="F180" s="4">
        <v>1.1713601783911889</v>
      </c>
      <c r="G180" s="4">
        <v>1.1141092711824525</v>
      </c>
      <c r="H180" s="4">
        <f>E181-E180</f>
        <v>1.892404878284264</v>
      </c>
      <c r="I180" s="4">
        <f>F181-F180</f>
        <v>1.6195437047215933</v>
      </c>
      <c r="J180" s="4">
        <f>G181-G180</f>
        <v>1.4836495489151122</v>
      </c>
      <c r="K180" s="4">
        <f>(E180+(5*LOG(C180, 10)-5))-(5*LOG(D180, 10)-5)</f>
        <v>1.8052055514717029</v>
      </c>
      <c r="L180" s="4">
        <f>(F180+(5*LOG(C180, 10)-5))-(5*LOG(D180, 10)-5)</f>
        <v>1.8369711067036913</v>
      </c>
      <c r="M180" s="4">
        <f>(G180+(5*LOG(C180, 10)-5))-(5*LOG(D180, 10)-5)</f>
        <v>1.779720199494955</v>
      </c>
      <c r="N180" s="4">
        <v>0.75945049999999992</v>
      </c>
      <c r="O180" s="4">
        <f>N180*(0.0495/0.05)</f>
        <v>0.75185599499999989</v>
      </c>
      <c r="P180" s="21">
        <v>46.294130000000024</v>
      </c>
      <c r="Q180" s="1" t="s">
        <v>206</v>
      </c>
    </row>
    <row r="181" spans="1:19">
      <c r="A181" s="55" t="s">
        <v>338</v>
      </c>
      <c r="E181" s="4">
        <v>3.0319995014434626</v>
      </c>
      <c r="F181" s="4">
        <v>2.7909038831127821</v>
      </c>
      <c r="G181" s="4">
        <v>2.5977588200975648</v>
      </c>
      <c r="H181" s="4"/>
      <c r="I181" s="4"/>
      <c r="J181" s="4"/>
      <c r="K181" s="4">
        <f>(E181+(5*LOG(C180, 10)-5))-(5*LOG(D180, 10)-5)</f>
        <v>3.6976104297559669</v>
      </c>
      <c r="L181" s="4">
        <f>(F181+(5*LOG(C180, 10)-5))-(5*LOG(D180, 10)-5)</f>
        <v>3.4565148114252846</v>
      </c>
      <c r="M181" s="4">
        <f>(G181+(5*LOG(C180, 10)-5))-(5*LOG(D180, 10)-5)</f>
        <v>3.263369748410069</v>
      </c>
      <c r="N181" s="4"/>
      <c r="O181" s="28"/>
    </row>
    <row r="182" spans="1:19">
      <c r="E182" s="4"/>
      <c r="F182" s="4"/>
      <c r="G182" s="4"/>
      <c r="H182" s="48">
        <f>SQRT(0.0232992949004289^2 + 0.05^2)</f>
        <v>5.5162098789451011E-2</v>
      </c>
      <c r="I182" s="48">
        <f>SQRT(0.009258201^2 + 0.05^2)</f>
        <v>5.0849919230578938E-2</v>
      </c>
      <c r="J182" s="48">
        <f>SQRT(0.005175492^2 + 0.05^2)</f>
        <v>5.0267143517829467E-2</v>
      </c>
      <c r="K182" s="48"/>
      <c r="L182" s="48"/>
      <c r="M182" s="48"/>
      <c r="N182" s="48"/>
      <c r="O182" s="51">
        <v>4.6323463834134024E-3</v>
      </c>
      <c r="P182" s="48">
        <v>0.50274804808174056</v>
      </c>
    </row>
    <row r="183" spans="1:19">
      <c r="A183" s="1" t="s">
        <v>172</v>
      </c>
      <c r="B183" s="1" t="s">
        <v>202</v>
      </c>
      <c r="C183" s="1">
        <v>400</v>
      </c>
      <c r="D183" s="1">
        <v>412</v>
      </c>
      <c r="E183" s="4">
        <v>-0.28659995663980986</v>
      </c>
      <c r="F183" s="4">
        <v>-0.34237995663981025</v>
      </c>
      <c r="G183" s="4">
        <v>-0.36589995663981156</v>
      </c>
      <c r="H183" s="4">
        <f>E184-E183</f>
        <v>5.8354999999999979</v>
      </c>
      <c r="I183" s="4">
        <f>F184-F183</f>
        <v>5.6439999999999966</v>
      </c>
      <c r="J183" s="4">
        <f>G184-G183</f>
        <v>5.6759999999999984</v>
      </c>
      <c r="K183" s="4">
        <f>(E183+(5*LOG(C183, 10)-5))-(5*LOG(D183, 10)-5)</f>
        <v>-0.35078608016567259</v>
      </c>
      <c r="L183" s="4">
        <f>(F183+(5*LOG(C183, 10)-5))-(5*LOG(D183, 10)-5)</f>
        <v>-0.40656608016567297</v>
      </c>
      <c r="M183" s="4">
        <f>(G183+(5*LOG(C183, 10)-5))-(5*LOG(D183, 10)-5)</f>
        <v>-0.43008608016567429</v>
      </c>
      <c r="N183" s="4">
        <v>2.6171560370565876</v>
      </c>
      <c r="O183" s="4">
        <f>N183*(0.0495/0.05)</f>
        <v>2.5909844766860215</v>
      </c>
      <c r="P183" s="21">
        <v>300.11715893275459</v>
      </c>
      <c r="Q183" s="1" t="s">
        <v>205</v>
      </c>
    </row>
    <row r="184" spans="1:19">
      <c r="A184" s="55" t="s">
        <v>502</v>
      </c>
      <c r="E184" s="4">
        <v>5.5489000433601881</v>
      </c>
      <c r="F184" s="4">
        <v>5.3016200433601863</v>
      </c>
      <c r="G184" s="4">
        <v>5.3101000433601868</v>
      </c>
      <c r="H184" s="4"/>
      <c r="I184" s="4"/>
      <c r="J184" s="4"/>
      <c r="K184" s="4">
        <f>(E184+(5*LOG(C183, 10)-5))-(5*LOG(D183, 10)-5)</f>
        <v>5.4847139198343253</v>
      </c>
      <c r="L184" s="4">
        <f>(F184+(5*LOG(C183, 10)-5))-(5*LOG(D183, 10)-5)</f>
        <v>5.2374339198343236</v>
      </c>
      <c r="M184" s="4">
        <f>(G184+(5*LOG(C183, 10)-5))-(5*LOG(D183, 10)-5)</f>
        <v>5.2459139198343241</v>
      </c>
      <c r="N184" s="4"/>
      <c r="O184" s="28"/>
    </row>
    <row r="185" spans="1:19">
      <c r="E185" s="4"/>
      <c r="F185" s="4"/>
      <c r="G185" s="4"/>
      <c r="H185" s="48">
        <f>SQRT(0.0130862523283024^2 + 0.03^2)</f>
        <v>3.2729955698106286E-2</v>
      </c>
      <c r="I185" s="48">
        <f>SQRT(0.014142135623731^2 + 0.03^2)</f>
        <v>3.3166247903554019E-2</v>
      </c>
      <c r="J185" s="48">
        <f>SQRT(0.0162634559672906^2 + 0.03^2)</f>
        <v>3.4124771061503113E-2</v>
      </c>
      <c r="K185" s="48"/>
      <c r="L185" s="48"/>
      <c r="M185" s="48"/>
      <c r="N185" s="48"/>
      <c r="O185" s="51">
        <f>0.006*O183</f>
        <v>1.5545906860116129E-2</v>
      </c>
      <c r="P185" s="48">
        <v>0.5</v>
      </c>
    </row>
    <row r="186" spans="1:19">
      <c r="A186" s="32" t="s">
        <v>305</v>
      </c>
      <c r="B186" s="1" t="s">
        <v>193</v>
      </c>
      <c r="C186" s="1">
        <v>300</v>
      </c>
      <c r="D186" s="1">
        <v>270</v>
      </c>
      <c r="E186" s="4" t="s">
        <v>51</v>
      </c>
      <c r="F186" s="4" t="s">
        <v>51</v>
      </c>
      <c r="G186" s="4" t="s">
        <v>51</v>
      </c>
      <c r="H186" s="33">
        <f>K187-K186</f>
        <v>1.7</v>
      </c>
      <c r="I186" s="33">
        <f>L187-L186</f>
        <v>1.5</v>
      </c>
      <c r="J186" s="33">
        <f>M187-M186</f>
        <v>1.6</v>
      </c>
      <c r="K186" s="4">
        <v>-1.1088188207949372</v>
      </c>
      <c r="L186" s="4">
        <v>-1.1258188207949376</v>
      </c>
      <c r="M186" s="4">
        <v>-1.1218188207949371</v>
      </c>
      <c r="N186" s="4" t="s">
        <v>51</v>
      </c>
      <c r="O186" s="33">
        <f>4.6*0.0495</f>
        <v>0.22769999999999999</v>
      </c>
      <c r="P186" s="34">
        <v>96.5</v>
      </c>
      <c r="Q186" s="1" t="s">
        <v>206</v>
      </c>
      <c r="R186" s="1" t="s">
        <v>647</v>
      </c>
    </row>
    <row r="187" spans="1:19">
      <c r="A187" s="55" t="s">
        <v>501</v>
      </c>
      <c r="E187" s="4" t="s">
        <v>51</v>
      </c>
      <c r="F187" s="4" t="s">
        <v>51</v>
      </c>
      <c r="G187" s="4" t="s">
        <v>51</v>
      </c>
      <c r="H187" s="4"/>
      <c r="I187" s="4"/>
      <c r="J187" s="4"/>
      <c r="K187" s="4">
        <v>0.59118117920506275</v>
      </c>
      <c r="L187" s="4">
        <v>0.37418117920506244</v>
      </c>
      <c r="M187" s="4">
        <v>0.47818117920506298</v>
      </c>
      <c r="N187" s="4"/>
      <c r="Q187" s="1" t="s">
        <v>212</v>
      </c>
      <c r="R187" s="30" t="s">
        <v>648</v>
      </c>
    </row>
    <row r="188" spans="1:19">
      <c r="E188" s="4"/>
      <c r="F188" s="4"/>
      <c r="G188" s="4"/>
      <c r="H188" s="48">
        <f>SQRT(0.2^2 + 0.05^2)</f>
        <v>0.20615528128088306</v>
      </c>
      <c r="I188" s="48">
        <f>SQRT(0.1^2 + 0.05^2)</f>
        <v>0.1118033988749895</v>
      </c>
      <c r="J188" s="48">
        <f>SQRT(0.1^2 + 0.05^2)</f>
        <v>0.1118033988749895</v>
      </c>
      <c r="K188" s="48"/>
      <c r="L188" s="48"/>
      <c r="M188" s="48"/>
      <c r="N188" s="48"/>
      <c r="O188" s="64">
        <f>0.7*0.0495</f>
        <v>3.465E-2</v>
      </c>
      <c r="P188" s="64">
        <f>SQRT(0.5^2 + 0.2^2)</f>
        <v>0.53851648071345048</v>
      </c>
      <c r="R188" s="38" t="s">
        <v>233</v>
      </c>
    </row>
    <row r="189" spans="1:19">
      <c r="A189" s="32" t="s">
        <v>304</v>
      </c>
      <c r="B189" s="1" t="s">
        <v>193</v>
      </c>
      <c r="C189" s="1">
        <v>300</v>
      </c>
      <c r="D189" s="1">
        <v>270</v>
      </c>
      <c r="E189" s="4" t="s">
        <v>51</v>
      </c>
      <c r="F189" s="4" t="s">
        <v>51</v>
      </c>
      <c r="G189" s="4" t="s">
        <v>51</v>
      </c>
      <c r="H189" s="33">
        <v>8.1017041618950003</v>
      </c>
      <c r="I189" s="33">
        <v>7.5104437275549998</v>
      </c>
      <c r="J189" s="33">
        <v>7.3370258902050001</v>
      </c>
      <c r="K189" s="4">
        <v>-1.1088188207949372</v>
      </c>
      <c r="L189" s="4">
        <v>-1.1258188207949376</v>
      </c>
      <c r="M189" s="4">
        <v>-1.1218188207949371</v>
      </c>
      <c r="N189" s="4" t="s">
        <v>51</v>
      </c>
      <c r="O189" s="33">
        <v>3.5418935813466668</v>
      </c>
      <c r="P189" s="34">
        <v>113.85656817716669</v>
      </c>
      <c r="Q189" s="1" t="s">
        <v>206</v>
      </c>
      <c r="R189" s="30" t="s">
        <v>319</v>
      </c>
    </row>
    <row r="190" spans="1:19">
      <c r="A190" s="55" t="s">
        <v>501</v>
      </c>
      <c r="E190" s="4" t="s">
        <v>51</v>
      </c>
      <c r="F190" s="4" t="s">
        <v>51</v>
      </c>
      <c r="G190" s="4" t="s">
        <v>51</v>
      </c>
      <c r="H190" s="4"/>
      <c r="I190" s="4"/>
      <c r="J190" s="4"/>
      <c r="K190" s="4">
        <f>K189+H189</f>
        <v>6.9928853411000631</v>
      </c>
      <c r="L190" s="4">
        <f>L189+I189</f>
        <v>6.3846249067600622</v>
      </c>
      <c r="M190" s="4">
        <f>M189+J189</f>
        <v>6.215207069410063</v>
      </c>
      <c r="N190" s="4"/>
      <c r="O190" s="4"/>
      <c r="R190" s="30" t="s">
        <v>534</v>
      </c>
    </row>
    <row r="191" spans="1:19">
      <c r="E191" s="4"/>
      <c r="F191" s="4"/>
      <c r="G191" s="4"/>
      <c r="H191" s="48">
        <f>SQRT(0.0293981291921782^2 + 0.05^2)</f>
        <v>5.8002155132374181E-2</v>
      </c>
      <c r="I191" s="48">
        <f>SQRT(0.017414074767268^2 + 0.05^2)</f>
        <v>5.2945726928620034E-2</v>
      </c>
      <c r="J191" s="48">
        <f>SQRT(0.0387330608137286^2 + 0.05^2)</f>
        <v>6.3247529596024532E-2</v>
      </c>
      <c r="K191" s="48"/>
      <c r="L191" s="48"/>
      <c r="M191" s="48"/>
      <c r="N191" s="48"/>
      <c r="O191" s="51">
        <f>0.006*O189</f>
        <v>2.125136148808E-2</v>
      </c>
      <c r="P191" s="48">
        <v>0.5</v>
      </c>
      <c r="R191" s="25" t="s">
        <v>535</v>
      </c>
    </row>
    <row r="192" spans="1:19">
      <c r="A192" s="32" t="s">
        <v>292</v>
      </c>
      <c r="B192" s="1" t="s">
        <v>193</v>
      </c>
      <c r="C192" s="1">
        <v>300</v>
      </c>
      <c r="D192" s="1">
        <v>270</v>
      </c>
      <c r="E192" s="4" t="s">
        <v>51</v>
      </c>
      <c r="F192" s="4" t="s">
        <v>51</v>
      </c>
      <c r="G192" s="4" t="s">
        <v>51</v>
      </c>
      <c r="H192" s="33">
        <v>6.9744721431050003</v>
      </c>
      <c r="I192" s="33">
        <v>5.9012054522200001</v>
      </c>
      <c r="J192" s="33">
        <v>5.6310068718699995</v>
      </c>
      <c r="K192" s="4">
        <v>-1.1088188207949372</v>
      </c>
      <c r="L192" s="4">
        <v>-1.1258188207949376</v>
      </c>
      <c r="M192" s="4">
        <v>-1.1218188207949371</v>
      </c>
      <c r="N192" s="4" t="s">
        <v>51</v>
      </c>
      <c r="O192" s="4">
        <v>6.4414864036666657</v>
      </c>
      <c r="P192" s="21">
        <v>177.31210598366667</v>
      </c>
      <c r="Q192" s="1" t="s">
        <v>206</v>
      </c>
      <c r="R192" s="38"/>
    </row>
    <row r="193" spans="1:16">
      <c r="A193" s="55" t="s">
        <v>501</v>
      </c>
      <c r="E193" s="4" t="s">
        <v>51</v>
      </c>
      <c r="F193" s="4" t="s">
        <v>51</v>
      </c>
      <c r="G193" s="4" t="s">
        <v>51</v>
      </c>
      <c r="H193" s="4"/>
      <c r="I193" s="4"/>
      <c r="J193" s="4"/>
      <c r="K193" s="4">
        <f>K192+H192</f>
        <v>5.8656533223100631</v>
      </c>
      <c r="L193" s="4">
        <f>L192+I192</f>
        <v>4.7753866314250626</v>
      </c>
      <c r="M193" s="4">
        <f>M192+J192</f>
        <v>4.5091880510750624</v>
      </c>
      <c r="N193" s="4"/>
      <c r="O193" s="28"/>
    </row>
    <row r="194" spans="1:16">
      <c r="E194" s="4"/>
      <c r="F194" s="4"/>
      <c r="G194" s="4"/>
      <c r="H194" s="48">
        <f>SQRT(0.0322774799450007^2 + 0.05^2)</f>
        <v>5.9513323815763498E-2</v>
      </c>
      <c r="I194" s="48">
        <f>SQRT(0.0109351424600002^2 + 0.05^2)</f>
        <v>5.1181806734624948E-2</v>
      </c>
      <c r="J194" s="48">
        <f>SQRT(0.02179961^2 + 0.05^2)</f>
        <v>5.454560473724808E-2</v>
      </c>
      <c r="K194" s="48"/>
      <c r="L194" s="48"/>
      <c r="M194" s="48"/>
      <c r="N194" s="48"/>
      <c r="O194" s="51">
        <f>0.006*O192</f>
        <v>3.8648918421999995E-2</v>
      </c>
      <c r="P194" s="48">
        <v>0.5</v>
      </c>
    </row>
  </sheetData>
  <pageMargins left="0.75" right="0.75" top="1" bottom="1" header="0.5" footer="0.5"/>
  <pageSetup orientation="portrait" horizontalDpi="4294967292" verticalDpi="4294967292"/>
  <ignoredErrors>
    <ignoredError sqref="K4 I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O219"/>
  <sheetViews>
    <sheetView workbookViewId="0">
      <selection activeCell="M112" sqref="M112:M219"/>
    </sheetView>
  </sheetViews>
  <sheetFormatPr baseColWidth="10" defaultRowHeight="15" x14ac:dyDescent="0"/>
  <cols>
    <col min="1" max="1" width="10.33203125" style="1" customWidth="1"/>
    <col min="2" max="2" width="13.6640625" style="1" customWidth="1"/>
    <col min="3" max="3" width="11.6640625" style="1" customWidth="1"/>
    <col min="4" max="6" width="10.83203125" style="1"/>
    <col min="7" max="9" width="13.83203125" style="1" bestFit="1" customWidth="1"/>
    <col min="10" max="12" width="10.83203125" style="1"/>
    <col min="13" max="13" width="12.33203125" style="1" customWidth="1"/>
    <col min="14" max="14" width="16" style="1" customWidth="1"/>
    <col min="15" max="15" width="79.5" style="1" customWidth="1"/>
    <col min="16" max="16384" width="10.83203125" style="1"/>
  </cols>
  <sheetData>
    <row r="1" spans="1:15">
      <c r="B1" s="24" t="s">
        <v>42</v>
      </c>
      <c r="C1" s="80" t="s">
        <v>496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826</v>
      </c>
      <c r="K1" s="24" t="s">
        <v>827</v>
      </c>
      <c r="L1" s="24" t="s">
        <v>828</v>
      </c>
      <c r="M1" s="24" t="s">
        <v>165</v>
      </c>
      <c r="N1" s="24" t="s">
        <v>854</v>
      </c>
      <c r="O1" s="24" t="s">
        <v>64</v>
      </c>
    </row>
    <row r="2" spans="1:15">
      <c r="A2" s="76" t="s">
        <v>91</v>
      </c>
      <c r="B2" s="1" t="s">
        <v>526</v>
      </c>
      <c r="C2" s="38">
        <v>145</v>
      </c>
      <c r="D2" s="54">
        <v>6.0190000000000001</v>
      </c>
      <c r="E2" s="54">
        <v>6.0339999999999998</v>
      </c>
      <c r="F2" s="54">
        <v>6.0419999999999998</v>
      </c>
      <c r="G2" s="4">
        <f>'All Binaries'!H3</f>
        <v>2.0300000000000029</v>
      </c>
      <c r="H2" s="4">
        <f>'All Binaries'!I3</f>
        <v>1.9439999999999982</v>
      </c>
      <c r="I2" s="4">
        <f>'All Binaries'!J3</f>
        <v>2.0654999999999841</v>
      </c>
      <c r="J2" s="4">
        <f>D2-(5*LOG(C2, 10)-5)</f>
        <v>0.21215998882512821</v>
      </c>
      <c r="K2" s="4">
        <f>E2-(5*LOG(C2, 10)-5)</f>
        <v>0.22715998882512789</v>
      </c>
      <c r="L2" s="4">
        <f>F2-(5*LOG(C2, 10)-5)</f>
        <v>0.2351599888251279</v>
      </c>
      <c r="M2" s="4">
        <f>'Binary Summary'!J3</f>
        <v>0.57160817307811362</v>
      </c>
      <c r="N2" t="b">
        <f>IF(I2&lt;4.5, TRUE, FALSE)</f>
        <v>1</v>
      </c>
    </row>
    <row r="3" spans="1:15">
      <c r="C3" s="38"/>
      <c r="G3" s="48">
        <f>'All Binaries'!H5</f>
        <v>3.0066592756745815E-2</v>
      </c>
      <c r="H3" s="48">
        <f>'All Binaries'!I5</f>
        <v>3.0066592756745815E-2</v>
      </c>
      <c r="I3" s="48">
        <f>'All Binaries'!J5</f>
        <v>3.0149626863362672E-2</v>
      </c>
      <c r="J3" s="4">
        <f>G2+J2</f>
        <v>2.2421599888251311</v>
      </c>
      <c r="K3" s="4">
        <f>H2+K2</f>
        <v>2.1711599888251261</v>
      </c>
      <c r="L3" s="4">
        <f>I2+L2</f>
        <v>2.300659988825112</v>
      </c>
      <c r="M3" s="4">
        <f>'Binary Summary'!J4</f>
        <v>3.4296490384686817E-3</v>
      </c>
      <c r="N3"/>
    </row>
    <row r="4" spans="1:15">
      <c r="B4" s="1" t="s">
        <v>527</v>
      </c>
      <c r="C4" s="38">
        <v>145</v>
      </c>
      <c r="D4" s="54">
        <v>8.2240000000000002</v>
      </c>
      <c r="E4" s="54">
        <v>8.2260000000000009</v>
      </c>
      <c r="F4" s="54">
        <v>8.1850000000000005</v>
      </c>
      <c r="G4" s="4">
        <f>'All Binaries'!H6</f>
        <v>2.2960000000000154</v>
      </c>
      <c r="H4" s="4">
        <f>'All Binaries'!I6</f>
        <v>2.0140000000000011</v>
      </c>
      <c r="I4" s="4">
        <f>'All Binaries'!J6</f>
        <v>1.9844999999999953</v>
      </c>
      <c r="J4" s="4">
        <f t="shared" ref="J4" si="0">D4-(5*LOG(C4, 10)-5)</f>
        <v>2.4171599888251283</v>
      </c>
      <c r="K4" s="4">
        <f t="shared" ref="K4" si="1">E4-(5*LOG(C4, 10)-5)</f>
        <v>2.4191599888251289</v>
      </c>
      <c r="L4" s="4">
        <f t="shared" ref="L4" si="2">F4-(5*LOG(C4, 10)-5)</f>
        <v>2.3781599888251286</v>
      </c>
      <c r="M4" s="4">
        <f>'Binary Summary'!J5</f>
        <v>1.2028845830368915</v>
      </c>
      <c r="N4" t="b">
        <f>IF(I4&lt;4.5, TRUE, FALSE)</f>
        <v>1</v>
      </c>
    </row>
    <row r="5" spans="1:15">
      <c r="C5" s="38"/>
      <c r="G5" s="48">
        <f>'All Binaries'!H8</f>
        <v>3.0066592756745815E-2</v>
      </c>
      <c r="H5" s="48">
        <f>'All Binaries'!I8</f>
        <v>3.0066592756745815E-2</v>
      </c>
      <c r="I5" s="48">
        <f>'All Binaries'!J8</f>
        <v>3.0066592756745815E-2</v>
      </c>
      <c r="J5" s="4">
        <f t="shared" ref="J5" si="3">G4+J4</f>
        <v>4.7131599888251436</v>
      </c>
      <c r="K5" s="4">
        <f t="shared" ref="K5" si="4">H4+K4</f>
        <v>4.4331599888251301</v>
      </c>
      <c r="L5" s="4">
        <f t="shared" ref="L5" si="5">I4+L4</f>
        <v>4.3626599888251238</v>
      </c>
      <c r="M5" s="4">
        <f>'Binary Summary'!J6</f>
        <v>7.2173074982213488E-3</v>
      </c>
      <c r="N5"/>
    </row>
    <row r="6" spans="1:15">
      <c r="B6" s="25" t="s">
        <v>19</v>
      </c>
      <c r="C6" s="25">
        <v>145</v>
      </c>
      <c r="D6" s="28">
        <v>8.0380000000000003</v>
      </c>
      <c r="E6" s="28">
        <v>7.851</v>
      </c>
      <c r="F6" s="28">
        <v>7.806</v>
      </c>
      <c r="G6" s="182">
        <f>'All Binaries'!H61</f>
        <v>0.38649999999999807</v>
      </c>
      <c r="H6" s="182">
        <f>'All Binaries'!I61</f>
        <v>0.37149999999999928</v>
      </c>
      <c r="I6" s="182">
        <f>'All Binaries'!J61</f>
        <v>0.34849999999999959</v>
      </c>
      <c r="J6" s="28">
        <f t="shared" ref="J6" si="6">D6-(5*LOG(C6, 10)-5)</f>
        <v>2.2311599888251283</v>
      </c>
      <c r="K6" s="28">
        <f t="shared" ref="K6" si="7">E6-(5*LOG(C6, 10)-5)</f>
        <v>2.0441599888251281</v>
      </c>
      <c r="L6" s="28">
        <f t="shared" ref="L6" si="8">F6-(5*LOG(C6, 10)-5)</f>
        <v>1.9991599888251281</v>
      </c>
      <c r="M6" s="28">
        <f>'Binary Summary'!J7</f>
        <v>0.40373915751857581</v>
      </c>
      <c r="N6" s="19" t="b">
        <f t="shared" ref="N6" si="9">IF(I6&lt;4.5, TRUE, FALSE)</f>
        <v>1</v>
      </c>
      <c r="O6" s="25" t="s">
        <v>847</v>
      </c>
    </row>
    <row r="7" spans="1:15">
      <c r="B7" s="25"/>
      <c r="C7" s="189"/>
      <c r="D7" s="25"/>
      <c r="E7" s="25"/>
      <c r="F7" s="25"/>
      <c r="G7" s="49">
        <f>'All Binaries'!H63</f>
        <v>3.0016662039607268E-2</v>
      </c>
      <c r="H7" s="49">
        <f>'All Binaries'!I63</f>
        <v>3.0016662039607268E-2</v>
      </c>
      <c r="I7" s="49">
        <f>'All Binaries'!J63</f>
        <v>3.0016662039607268E-2</v>
      </c>
      <c r="J7" s="28">
        <f t="shared" ref="J7" si="10">G6+J6</f>
        <v>2.6176599888251264</v>
      </c>
      <c r="K7" s="28">
        <f t="shared" ref="K7" si="11">H6+K6</f>
        <v>2.4156599888251273</v>
      </c>
      <c r="L7" s="28">
        <f t="shared" ref="L7" si="12">I6+L6</f>
        <v>2.3476599888251277</v>
      </c>
      <c r="M7" s="28">
        <f>'Binary Summary'!J8</f>
        <v>2.422434945111455E-3</v>
      </c>
      <c r="N7" s="19"/>
      <c r="O7" s="25"/>
    </row>
    <row r="8" spans="1:15">
      <c r="B8" s="190" t="s">
        <v>528</v>
      </c>
      <c r="C8" s="191">
        <v>145</v>
      </c>
      <c r="D8" s="192">
        <v>6.5780000000000003</v>
      </c>
      <c r="E8" s="192">
        <v>6.6</v>
      </c>
      <c r="F8" s="192">
        <v>6.61</v>
      </c>
      <c r="G8" s="193">
        <f>'Final Missed Binaries'!H12</f>
        <v>5.2104573297366663</v>
      </c>
      <c r="H8" s="193">
        <f>'Final Missed Binaries'!I12</f>
        <v>4.1559933459100007</v>
      </c>
      <c r="I8" s="193">
        <f>'Final Missed Binaries'!J12</f>
        <v>4.0895852165033331</v>
      </c>
      <c r="J8" s="193">
        <f>D8-(5*LOG(C8, 10)-5)</f>
        <v>0.77115998882512837</v>
      </c>
      <c r="K8" s="193">
        <f>E8-(5*LOG(C8, 10)-5)</f>
        <v>0.79315998882512773</v>
      </c>
      <c r="L8" s="193">
        <f>F8-(5*LOG(C8, 10)-5)</f>
        <v>0.8031599888251284</v>
      </c>
      <c r="M8" s="194">
        <f>'Binary Summary'!J9</f>
        <v>1.109016142345</v>
      </c>
      <c r="N8" t="b">
        <f t="shared" ref="N8" si="13">IF(I8&lt;4.5, TRUE, FALSE)</f>
        <v>1</v>
      </c>
      <c r="O8" s="1" t="s">
        <v>868</v>
      </c>
    </row>
    <row r="9" spans="1:15">
      <c r="B9" s="195"/>
      <c r="C9" s="196"/>
      <c r="D9" s="197"/>
      <c r="E9" s="197"/>
      <c r="F9" s="197"/>
      <c r="G9" s="198">
        <f>SQRT('Final Missed Binaries'!H13^2 + 0.03^2)</f>
        <v>5.3973147124894309E-2</v>
      </c>
      <c r="H9" s="198">
        <f>SQRT('Final Missed Binaries'!I13^2 + 0.03^2)</f>
        <v>4.3324333674661195E-2</v>
      </c>
      <c r="I9" s="198">
        <f>SQRT('Final Missed Binaries'!J13^2 + 0.03^2)</f>
        <v>5.5672843163638158E-2</v>
      </c>
      <c r="J9" s="185">
        <f>G8+J8</f>
        <v>5.9816173185617947</v>
      </c>
      <c r="K9" s="185">
        <f>H8+K8</f>
        <v>4.9491533347351284</v>
      </c>
      <c r="L9" s="185">
        <f t="shared" ref="L9" si="14">I8+L8</f>
        <v>4.8927452053284615</v>
      </c>
      <c r="M9" s="199">
        <f>'Binary Summary'!J10</f>
        <v>6.6540968540700005E-3</v>
      </c>
      <c r="N9"/>
      <c r="O9" s="1" t="s">
        <v>873</v>
      </c>
    </row>
    <row r="10" spans="1:15">
      <c r="B10" s="1" t="s">
        <v>529</v>
      </c>
      <c r="C10" s="38">
        <v>145</v>
      </c>
      <c r="D10" s="54">
        <v>7.2119999999999997</v>
      </c>
      <c r="E10" s="54">
        <v>7.2539999999999996</v>
      </c>
      <c r="F10" s="54">
        <v>7.16</v>
      </c>
      <c r="G10" s="4">
        <f>'All Binaries'!H12</f>
        <v>1.9700000000000024</v>
      </c>
      <c r="H10" s="4">
        <f>'All Binaries'!I12</f>
        <v>1.8050000000000033</v>
      </c>
      <c r="I10" s="4">
        <f>'All Binaries'!J12</f>
        <v>1.8005000000000022</v>
      </c>
      <c r="J10" s="4">
        <f>D10-(5*LOG(C10, 10)-5)</f>
        <v>1.4051599888251278</v>
      </c>
      <c r="K10" s="4">
        <f>E10-(5*LOG(C10, 10)-5)</f>
        <v>1.4471599888251276</v>
      </c>
      <c r="L10" s="4">
        <f>F10-(5*LOG(C10, 10)-5)</f>
        <v>1.3531599888251282</v>
      </c>
      <c r="M10" s="4">
        <f>'Binary Summary'!J11</f>
        <v>0.57335679368763881</v>
      </c>
      <c r="N10" t="b">
        <f t="shared" ref="N10" si="15">IF(I10&lt;4.5, TRUE, FALSE)</f>
        <v>1</v>
      </c>
    </row>
    <row r="11" spans="1:15">
      <c r="C11" s="38"/>
      <c r="G11" s="48">
        <f>'All Binaries'!H14</f>
        <v>3.0066592756745815E-2</v>
      </c>
      <c r="H11" s="48">
        <f>'All Binaries'!I14</f>
        <v>3.0066592756745815E-2</v>
      </c>
      <c r="I11" s="48">
        <f>'All Binaries'!J14</f>
        <v>3.0066592756745815E-2</v>
      </c>
      <c r="J11" s="4">
        <f>G10+J10</f>
        <v>3.3751599888251302</v>
      </c>
      <c r="K11" s="4">
        <f>H10+K10</f>
        <v>3.2521599888251309</v>
      </c>
      <c r="L11" s="4">
        <f t="shared" ref="L11" si="16">I10+L10</f>
        <v>3.1536599888251304</v>
      </c>
      <c r="M11" s="4">
        <f>'Binary Summary'!J12</f>
        <v>3.4401407621258329E-3</v>
      </c>
      <c r="N11"/>
    </row>
    <row r="12" spans="1:15">
      <c r="B12" s="1" t="s">
        <v>525</v>
      </c>
      <c r="C12" s="38">
        <v>145</v>
      </c>
      <c r="D12" s="54">
        <v>5.7439999999999998</v>
      </c>
      <c r="E12" s="54">
        <v>5.8070000000000004</v>
      </c>
      <c r="F12" s="54">
        <v>5.8090000000000002</v>
      </c>
      <c r="G12" s="4">
        <f>'All Binaries'!H15</f>
        <v>1.4444999999999988</v>
      </c>
      <c r="H12" s="4">
        <f>'All Binaries'!I15</f>
        <v>1.4705000000000057</v>
      </c>
      <c r="I12" s="4">
        <f>'All Binaries'!J15</f>
        <v>1.4785000000000021</v>
      </c>
      <c r="J12" s="4">
        <f>D12-(5*LOG(C12, 10)-5)</f>
        <v>-6.2840011174872146E-2</v>
      </c>
      <c r="K12" s="4">
        <f>E12-(5*LOG(C12, 10)-5)</f>
        <v>1.5998882512846535E-4</v>
      </c>
      <c r="L12" s="4">
        <f>F12-(5*LOG(C12, 10)-5)</f>
        <v>2.1599888251282451E-3</v>
      </c>
      <c r="M12" s="4">
        <f>'Binary Summary'!J13</f>
        <v>0.57152964787734195</v>
      </c>
      <c r="N12" t="b">
        <f t="shared" ref="N12" si="17">IF(I12&lt;4.5, TRUE, FALSE)</f>
        <v>1</v>
      </c>
    </row>
    <row r="13" spans="1:15">
      <c r="C13" s="38"/>
      <c r="G13" s="48">
        <f>'All Binaries'!H17</f>
        <v>3.0016662039607268E-2</v>
      </c>
      <c r="H13" s="48">
        <f>'All Binaries'!I17</f>
        <v>3.0016662039607268E-2</v>
      </c>
      <c r="I13" s="48">
        <f>'All Binaries'!J17</f>
        <v>3.0066592756745815E-2</v>
      </c>
      <c r="J13" s="4">
        <f>G12+J12</f>
        <v>1.3816599888251266</v>
      </c>
      <c r="K13" s="4">
        <f>H12+K12</f>
        <v>1.4706599888251342</v>
      </c>
      <c r="L13" s="4">
        <f t="shared" ref="L13" si="18">I12+L12</f>
        <v>1.4806599888251304</v>
      </c>
      <c r="M13" s="4">
        <f>'Binary Summary'!J14</f>
        <v>3.429177887264052E-3</v>
      </c>
      <c r="N13"/>
    </row>
    <row r="14" spans="1:15">
      <c r="B14" s="190" t="s">
        <v>322</v>
      </c>
      <c r="C14" s="191">
        <v>145</v>
      </c>
      <c r="D14" s="192">
        <v>8.7010000000000005</v>
      </c>
      <c r="E14" s="192">
        <v>8.4749999999999996</v>
      </c>
      <c r="F14" s="192">
        <v>8.3640000000000008</v>
      </c>
      <c r="G14" s="193">
        <f>'All Binaries'!H64</f>
        <v>4</v>
      </c>
      <c r="H14" s="193">
        <f>'All Binaries'!I64</f>
        <v>3.4000000000000004</v>
      </c>
      <c r="I14" s="193">
        <f>'All Binaries'!J64</f>
        <v>3.23</v>
      </c>
      <c r="J14" s="193">
        <f>D14-(5*LOG(C14, 10)-5)</f>
        <v>2.8941599888251286</v>
      </c>
      <c r="K14" s="193">
        <f>E14-(5*LOG(C14, 10)-5)</f>
        <v>2.6681599888251277</v>
      </c>
      <c r="L14" s="193">
        <f>F14-(5*LOG(C14, 10)-5)</f>
        <v>2.5571599888251288</v>
      </c>
      <c r="M14" s="193">
        <f>'Binary Summary'!J15</f>
        <v>0.399158497655</v>
      </c>
      <c r="N14" s="220" t="b">
        <f t="shared" ref="N14" si="19">IF(I14&lt;4.5, TRUE, FALSE)</f>
        <v>1</v>
      </c>
      <c r="O14" s="1" t="s">
        <v>867</v>
      </c>
    </row>
    <row r="15" spans="1:15">
      <c r="B15" s="195"/>
      <c r="C15" s="196"/>
      <c r="D15" s="197"/>
      <c r="E15" s="197"/>
      <c r="F15" s="197"/>
      <c r="G15" s="198">
        <f>'All Binaries'!H66</f>
        <v>0.25</v>
      </c>
      <c r="H15" s="198">
        <f>'All Binaries'!I66</f>
        <v>0.15811388300841897</v>
      </c>
      <c r="I15" s="198">
        <f>'All Binaries'!J66</f>
        <v>0.13</v>
      </c>
      <c r="J15" s="185">
        <f>G14+J14</f>
        <v>6.8941599888251286</v>
      </c>
      <c r="K15" s="185">
        <f>H14+K14</f>
        <v>6.0681599888251281</v>
      </c>
      <c r="L15" s="185">
        <f t="shared" ref="L15" si="20">I14+L14</f>
        <v>5.7871599888251293</v>
      </c>
      <c r="M15" s="185">
        <f>'Binary Summary'!J16</f>
        <v>2.3949509859300003E-3</v>
      </c>
      <c r="N15" s="220"/>
    </row>
    <row r="16" spans="1:15">
      <c r="A16" s="76" t="s">
        <v>92</v>
      </c>
      <c r="B16" s="1" t="s">
        <v>808</v>
      </c>
      <c r="C16" s="38">
        <v>270</v>
      </c>
      <c r="D16" s="54">
        <v>6.2080000000000002</v>
      </c>
      <c r="E16" s="54">
        <v>6.2009999999999996</v>
      </c>
      <c r="F16" s="54">
        <v>6.1740000000000004</v>
      </c>
      <c r="G16" s="4">
        <f>'All Binaries'!H110</f>
        <v>5.9657505532749999</v>
      </c>
      <c r="H16" s="4">
        <f>'All Binaries'!I110</f>
        <v>6.0633282185199997</v>
      </c>
      <c r="I16" s="4">
        <f>'All Binaries'!J110</f>
        <v>6.2175714953250001</v>
      </c>
      <c r="J16" s="4">
        <f>D16-(5*LOG(C16, 10)-5)</f>
        <v>-0.94881882079493707</v>
      </c>
      <c r="K16" s="4">
        <f>E16-(5*LOG(C16, 10)-5)</f>
        <v>-0.95581882079493763</v>
      </c>
      <c r="L16" s="4">
        <f>F16-(5*LOG(C16, 10)-5)</f>
        <v>-0.98281882079493688</v>
      </c>
      <c r="M16" s="4">
        <f>'Binary Summary'!J18</f>
        <v>2.8551119122230824</v>
      </c>
      <c r="N16" s="163" t="b">
        <f t="shared" ref="N16" si="21">IF(I16&lt;4.5, TRUE, FALSE)</f>
        <v>0</v>
      </c>
      <c r="O16" s="1" t="s">
        <v>871</v>
      </c>
    </row>
    <row r="17" spans="1:14">
      <c r="C17" s="38"/>
      <c r="G17" s="48" t="str">
        <f>'All Binaries'!H112</f>
        <v>???</v>
      </c>
      <c r="H17" s="48">
        <f>'All Binaries'!I112</f>
        <v>5.0009999000199958E-2</v>
      </c>
      <c r="I17" s="48">
        <f>'All Binaries'!J112</f>
        <v>5.0009999000199958E-2</v>
      </c>
      <c r="J17" s="4">
        <f>G16+J16</f>
        <v>5.0169317324800629</v>
      </c>
      <c r="K17" s="4">
        <f>H16+K16</f>
        <v>5.1075093977250621</v>
      </c>
      <c r="L17" s="4">
        <f t="shared" ref="L17" si="22">I16+L16</f>
        <v>5.2347526745300632</v>
      </c>
      <c r="M17" s="4">
        <f>'Binary Summary'!J19</f>
        <v>1.7130671473338493E-2</v>
      </c>
      <c r="N17"/>
    </row>
    <row r="18" spans="1:14">
      <c r="B18" s="190" t="s">
        <v>807</v>
      </c>
      <c r="C18" s="191">
        <v>270</v>
      </c>
      <c r="D18" s="192">
        <v>6.2080000000000002</v>
      </c>
      <c r="E18" s="192">
        <v>6.2009999999999996</v>
      </c>
      <c r="F18" s="192">
        <v>6.1740000000000004</v>
      </c>
      <c r="G18" s="193">
        <f>'All Binaries'!H113</f>
        <v>0.15</v>
      </c>
      <c r="H18" s="193">
        <f>'All Binaries'!I113</f>
        <v>0.25</v>
      </c>
      <c r="I18" s="193">
        <f>'All Binaries'!J113</f>
        <v>0.3</v>
      </c>
      <c r="J18" s="193">
        <f>D18-(5*LOG(C18, 10)-5)</f>
        <v>-0.94881882079493707</v>
      </c>
      <c r="K18" s="193">
        <f>E18-(5*LOG(C18, 10)-5)</f>
        <v>-0.95581882079493763</v>
      </c>
      <c r="L18" s="193">
        <f>F18-(5*LOG(C18, 10)-5)</f>
        <v>-0.98281882079493688</v>
      </c>
      <c r="M18" s="193">
        <f>'Binary Summary'!J20</f>
        <v>0.29675365499999995</v>
      </c>
      <c r="N18" s="220" t="b">
        <f t="shared" ref="N18" si="23">IF(I18&lt;4.5, TRUE, FALSE)</f>
        <v>1</v>
      </c>
    </row>
    <row r="19" spans="1:14">
      <c r="B19" s="195"/>
      <c r="C19" s="196"/>
      <c r="D19" s="197"/>
      <c r="E19" s="197"/>
      <c r="F19" s="197"/>
      <c r="G19" s="198">
        <f>'All Binaries'!H115</f>
        <v>0.15</v>
      </c>
      <c r="H19" s="198">
        <f>'All Binaries'!I115</f>
        <v>0.1</v>
      </c>
      <c r="I19" s="198">
        <f>'All Binaries'!J115</f>
        <v>0.1</v>
      </c>
      <c r="J19" s="185">
        <f>G18+J18</f>
        <v>-0.79881882079493705</v>
      </c>
      <c r="K19" s="185">
        <f>H18+K18</f>
        <v>-0.70581882079493763</v>
      </c>
      <c r="L19" s="185">
        <f t="shared" ref="L19" si="24">I18+L18</f>
        <v>-0.68281882079493683</v>
      </c>
      <c r="M19" s="185">
        <f>'Binary Summary'!J21</f>
        <v>2.6398821639920297E-3</v>
      </c>
      <c r="N19" s="220"/>
    </row>
    <row r="20" spans="1:14">
      <c r="B20" s="1" t="s">
        <v>505</v>
      </c>
      <c r="C20" s="38">
        <v>270</v>
      </c>
      <c r="D20" s="54">
        <v>6.4329999999999998</v>
      </c>
      <c r="E20" s="54">
        <v>6.4240000000000004</v>
      </c>
      <c r="F20" s="54">
        <v>6.4370000000000003</v>
      </c>
      <c r="G20" s="4">
        <f>'All Binaries'!H122</f>
        <v>6.8624860812999993</v>
      </c>
      <c r="H20" s="4">
        <f>'All Binaries'!I122</f>
        <v>6.0003637630433326</v>
      </c>
      <c r="I20" s="4">
        <f>'All Binaries'!J122</f>
        <v>5.7838220210300006</v>
      </c>
      <c r="J20" s="4">
        <f>D20-(5*LOG(C20, 10)-5)</f>
        <v>-0.72381882079493742</v>
      </c>
      <c r="K20" s="4">
        <f>E20-(5*LOG(C20, 10)-5)</f>
        <v>-0.73281882079493688</v>
      </c>
      <c r="L20" s="4">
        <f>F20-(5*LOG(C20, 10)-5)</f>
        <v>-0.71981882079493698</v>
      </c>
      <c r="M20" s="4">
        <f>'Binary Summary'!J22</f>
        <v>2.1690783180122222</v>
      </c>
      <c r="N20" s="163" t="b">
        <f t="shared" ref="N20" si="25">IF(I20&lt;4.5, TRUE, FALSE)</f>
        <v>0</v>
      </c>
    </row>
    <row r="21" spans="1:14">
      <c r="C21" s="38"/>
      <c r="G21" s="48">
        <f>'All Binaries'!H124</f>
        <v>0.12482430360570866</v>
      </c>
      <c r="H21" s="48">
        <f>'All Binaries'!I124</f>
        <v>4.782956720888476E-2</v>
      </c>
      <c r="I21" s="48">
        <f>'All Binaries'!J124</f>
        <v>4.09552736138434E-2</v>
      </c>
      <c r="J21" s="4">
        <f>G20+J20</f>
        <v>6.1386672605050618</v>
      </c>
      <c r="K21" s="4">
        <f>H20+K20</f>
        <v>5.2675449422483958</v>
      </c>
      <c r="L21" s="4">
        <f t="shared" ref="L21" si="26">I20+L20</f>
        <v>5.0640032002350637</v>
      </c>
      <c r="M21" s="4">
        <f>'Binary Summary'!J23</f>
        <v>1.3014469908073333E-2</v>
      </c>
      <c r="N21"/>
    </row>
    <row r="22" spans="1:14">
      <c r="B22" s="1" t="s">
        <v>809</v>
      </c>
      <c r="C22" s="38">
        <v>270</v>
      </c>
      <c r="D22" s="54">
        <v>5.8689999999999998</v>
      </c>
      <c r="E22" s="54">
        <v>5.8680000000000003</v>
      </c>
      <c r="F22" s="54">
        <v>5.8230000000000004</v>
      </c>
      <c r="G22" s="4">
        <f>'All Binaries'!H186</f>
        <v>1.7</v>
      </c>
      <c r="H22" s="4">
        <f>'All Binaries'!I186</f>
        <v>1.5</v>
      </c>
      <c r="I22" s="4">
        <f>'All Binaries'!J186</f>
        <v>1.6</v>
      </c>
      <c r="J22" s="4">
        <f>D22-(5*LOG(C22, 10)-5)</f>
        <v>-1.2878188207949375</v>
      </c>
      <c r="K22" s="4">
        <f>E22-(5*LOG(C22, 10)-5)</f>
        <v>-1.2888188207949369</v>
      </c>
      <c r="L22" s="4">
        <f>F22-(5*LOG(C22, 10)-5)</f>
        <v>-1.3338188207949369</v>
      </c>
      <c r="M22" s="4">
        <f>'Binary Summary'!J24</f>
        <v>0.22769999999999999</v>
      </c>
      <c r="N22" t="b">
        <f t="shared" ref="N22" si="27">IF(I22&lt;4.5, TRUE, FALSE)</f>
        <v>1</v>
      </c>
    </row>
    <row r="23" spans="1:14">
      <c r="C23" s="38"/>
      <c r="G23" s="48">
        <f>'All Binaries'!H188</f>
        <v>0.20615528128088306</v>
      </c>
      <c r="H23" s="48">
        <f>'All Binaries'!I188</f>
        <v>0.1118033988749895</v>
      </c>
      <c r="I23" s="48">
        <f>'All Binaries'!J188</f>
        <v>0.1118033988749895</v>
      </c>
      <c r="J23" s="4">
        <f>G22+J22</f>
        <v>0.41218117920506248</v>
      </c>
      <c r="K23" s="4">
        <f>H22+K22</f>
        <v>0.21118117920506307</v>
      </c>
      <c r="L23" s="4">
        <f t="shared" ref="L23" si="28">I22+L22</f>
        <v>0.26618117920506323</v>
      </c>
      <c r="M23" s="4">
        <f>'Binary Summary'!J25</f>
        <v>3.465E-2</v>
      </c>
      <c r="N23"/>
    </row>
    <row r="24" spans="1:14">
      <c r="B24" s="1" t="s">
        <v>810</v>
      </c>
      <c r="C24" s="38">
        <v>270</v>
      </c>
      <c r="D24" s="54">
        <v>5.8689999999999998</v>
      </c>
      <c r="E24" s="54">
        <v>5.8680000000000003</v>
      </c>
      <c r="F24" s="54">
        <v>5.8230000000000004</v>
      </c>
      <c r="G24" s="4">
        <f>'All Binaries'!H189</f>
        <v>8.1017041618950003</v>
      </c>
      <c r="H24" s="4">
        <f>'All Binaries'!I189</f>
        <v>7.5104437275549998</v>
      </c>
      <c r="I24" s="4">
        <f>'All Binaries'!J189</f>
        <v>7.3370258902050001</v>
      </c>
      <c r="J24" s="4">
        <f>D24-(5*LOG(C24, 10)-5)</f>
        <v>-1.2878188207949375</v>
      </c>
      <c r="K24" s="4">
        <f>E24-(5*LOG(C24, 10)-5)</f>
        <v>-1.2888188207949369</v>
      </c>
      <c r="L24" s="4">
        <f>F24-(5*LOG(C24, 10)-5)</f>
        <v>-1.3338188207949369</v>
      </c>
      <c r="M24" s="4">
        <f>'Binary Summary'!J26</f>
        <v>3.5418935813466668</v>
      </c>
      <c r="N24" s="163" t="b">
        <f t="shared" ref="N24" si="29">IF(I24&lt;4.5, TRUE, FALSE)</f>
        <v>0</v>
      </c>
    </row>
    <row r="25" spans="1:14">
      <c r="G25" s="48">
        <f>'All Binaries'!H191</f>
        <v>5.8002155132374181E-2</v>
      </c>
      <c r="H25" s="48">
        <f>'All Binaries'!I191</f>
        <v>5.2945726928620034E-2</v>
      </c>
      <c r="I25" s="48">
        <f>'All Binaries'!J191</f>
        <v>6.3247529596024532E-2</v>
      </c>
      <c r="J25" s="4">
        <f>G24+J24</f>
        <v>6.8138853411000628</v>
      </c>
      <c r="K25" s="4">
        <f>H24+K24</f>
        <v>6.2216249067600629</v>
      </c>
      <c r="L25" s="4">
        <f t="shared" ref="L25" si="30">I24+L24</f>
        <v>6.0032070694100632</v>
      </c>
      <c r="M25" s="4">
        <f>'Binary Summary'!J27</f>
        <v>2.125136148808E-2</v>
      </c>
      <c r="N25"/>
    </row>
    <row r="26" spans="1:14">
      <c r="A26" s="76" t="s">
        <v>93</v>
      </c>
      <c r="B26" s="1" t="s">
        <v>327</v>
      </c>
      <c r="C26" s="38">
        <v>184</v>
      </c>
      <c r="D26" s="54">
        <v>8.782</v>
      </c>
      <c r="E26" s="54">
        <v>8.8230000000000004</v>
      </c>
      <c r="F26" s="54">
        <v>8.7880000000000003</v>
      </c>
      <c r="G26" s="4">
        <f>'All Binaries'!H141</f>
        <v>6.4460000000000024</v>
      </c>
      <c r="H26" s="4">
        <f>'All Binaries'!I141</f>
        <v>5.8685000000000009</v>
      </c>
      <c r="I26" s="4">
        <f>'All Binaries'!J141</f>
        <v>5.8819999999999997</v>
      </c>
      <c r="J26" s="4">
        <f>D26-(5*LOG(C26, 10)-5)</f>
        <v>2.4579108849523177</v>
      </c>
      <c r="K26" s="4">
        <f>E26-(5*LOG(C26, 10)-5)</f>
        <v>2.4989108849523181</v>
      </c>
      <c r="L26" s="4">
        <f>F26-(5*LOG(C26, 10)-5)</f>
        <v>2.4639108849523179</v>
      </c>
      <c r="M26" s="4">
        <f>'Binary Summary'!J29</f>
        <v>3.112098383038687</v>
      </c>
      <c r="N26" s="163" t="b">
        <f t="shared" ref="N26" si="31">IF(I26&lt;4.5, TRUE, FALSE)</f>
        <v>0</v>
      </c>
    </row>
    <row r="27" spans="1:14">
      <c r="C27" s="38"/>
      <c r="G27" s="48">
        <f>'All Binaries'!H143</f>
        <v>4.4254943226717643E-2</v>
      </c>
      <c r="H27" s="48">
        <f>'All Binaries'!I143</f>
        <v>3.7583240945932246E-2</v>
      </c>
      <c r="I27" s="48">
        <f>'All Binaries'!J143</f>
        <v>4.0773766075750256E-2</v>
      </c>
      <c r="J27" s="4">
        <f>G26+J26</f>
        <v>8.903910884952321</v>
      </c>
      <c r="K27" s="4">
        <f>H26+K26</f>
        <v>8.367410884952319</v>
      </c>
      <c r="L27" s="4">
        <f t="shared" ref="L27" si="32">I26+L26</f>
        <v>8.3459108849523176</v>
      </c>
      <c r="M27" s="4">
        <f>'Binary Summary'!J30</f>
        <v>1.8672590298232122E-2</v>
      </c>
      <c r="N27"/>
    </row>
    <row r="28" spans="1:14">
      <c r="B28" s="1" t="s">
        <v>811</v>
      </c>
      <c r="C28" s="38">
        <v>184</v>
      </c>
      <c r="D28" s="54">
        <v>6.1680000000000001</v>
      </c>
      <c r="E28" s="54">
        <v>6.1440000000000001</v>
      </c>
      <c r="F28" s="54">
        <v>6.0880000000000001</v>
      </c>
      <c r="G28" s="4">
        <f>'All Binaries'!H144</f>
        <v>3.5</v>
      </c>
      <c r="H28" s="4">
        <f>'All Binaries'!I144</f>
        <v>3.09</v>
      </c>
      <c r="I28" s="4">
        <f>'All Binaries'!J144</f>
        <v>2.74</v>
      </c>
      <c r="J28" s="4">
        <f>D28-(5*LOG(C28, 10)-5)</f>
        <v>-0.15608911504768219</v>
      </c>
      <c r="K28" s="4">
        <f>E28-(5*LOG(C28, 10)-5)</f>
        <v>-0.18008911504768221</v>
      </c>
      <c r="L28" s="4">
        <f>F28-(5*LOG(C28, 10)-5)</f>
        <v>-0.23608911504768226</v>
      </c>
      <c r="M28" s="4">
        <f>'Binary Summary'!J31</f>
        <v>0.35639999999999999</v>
      </c>
      <c r="N28" t="b">
        <f t="shared" ref="N28" si="33">IF(I28&lt;4.5, TRUE, FALSE)</f>
        <v>1</v>
      </c>
    </row>
    <row r="29" spans="1:14">
      <c r="C29" s="38"/>
      <c r="G29" s="48" t="str">
        <f>'All Binaries'!H146</f>
        <v>???</v>
      </c>
      <c r="H29" s="48">
        <f>'All Binaries'!I146</f>
        <v>0.1118033988749895</v>
      </c>
      <c r="I29" s="48">
        <f>'All Binaries'!J146</f>
        <v>0.1118033988749895</v>
      </c>
      <c r="J29" s="4">
        <f>G28+J28</f>
        <v>3.3439108849523178</v>
      </c>
      <c r="K29" s="4">
        <f>H28+K28</f>
        <v>2.9099108849523176</v>
      </c>
      <c r="L29" s="4">
        <f t="shared" ref="L29" si="34">I28+L28</f>
        <v>2.503910884952318</v>
      </c>
      <c r="M29" s="4">
        <f>'Binary Summary'!J32</f>
        <v>2.1384E-2</v>
      </c>
      <c r="N29"/>
    </row>
    <row r="30" spans="1:14">
      <c r="B30" s="1" t="s">
        <v>812</v>
      </c>
      <c r="C30" s="38">
        <v>184</v>
      </c>
      <c r="D30" s="54">
        <v>6.1680000000000001</v>
      </c>
      <c r="E30" s="54">
        <v>6.1440000000000001</v>
      </c>
      <c r="F30" s="54">
        <v>6.0880000000000001</v>
      </c>
      <c r="G30" s="4">
        <f>'All Binaries'!H147</f>
        <v>7.9</v>
      </c>
      <c r="H30" s="4">
        <f>'All Binaries'!I147</f>
        <v>7.39</v>
      </c>
      <c r="I30" s="4">
        <f>'All Binaries'!J147</f>
        <v>7.05</v>
      </c>
      <c r="J30" s="4">
        <f>D30-(5*LOG(C30, 10)-5)</f>
        <v>-0.15608911504768219</v>
      </c>
      <c r="K30" s="4">
        <f>E30-(5*LOG(C30, 10)-5)</f>
        <v>-0.18008911504768221</v>
      </c>
      <c r="L30" s="4">
        <f>F30-(5*LOG(C30, 10)-5)</f>
        <v>-0.23608911504768226</v>
      </c>
      <c r="M30" s="4">
        <f>'Binary Summary'!J33</f>
        <v>2.0027699999999999</v>
      </c>
      <c r="N30" s="163" t="b">
        <f t="shared" ref="N30" si="35">IF(I30&lt;4.5, TRUE, FALSE)</f>
        <v>0</v>
      </c>
    </row>
    <row r="31" spans="1:14">
      <c r="C31" s="38"/>
      <c r="G31" s="48">
        <f>'All Binaries'!H149</f>
        <v>0.20615528128088306</v>
      </c>
      <c r="H31" s="48">
        <f>'All Binaries'!I149</f>
        <v>0.1118033988749895</v>
      </c>
      <c r="I31" s="48">
        <f>'All Binaries'!J149</f>
        <v>0.1118033988749895</v>
      </c>
      <c r="J31" s="4">
        <f>G30+J30</f>
        <v>7.7439108849523182</v>
      </c>
      <c r="K31" s="4">
        <f>H30+K30</f>
        <v>7.2099108849523175</v>
      </c>
      <c r="L31" s="4">
        <f t="shared" ref="L31" si="36">I30+L30</f>
        <v>6.8139108849523176</v>
      </c>
      <c r="M31" s="4">
        <f>'Binary Summary'!J34</f>
        <v>1.201662E-2</v>
      </c>
      <c r="N31"/>
    </row>
    <row r="32" spans="1:14">
      <c r="B32" s="1" t="s">
        <v>328</v>
      </c>
      <c r="C32" s="38">
        <v>184</v>
      </c>
      <c r="D32" s="54">
        <v>8.5969999999999995</v>
      </c>
      <c r="E32" s="54">
        <v>8.6639999999999997</v>
      </c>
      <c r="F32" s="54">
        <v>8.6869999999999994</v>
      </c>
      <c r="G32" s="4">
        <f>'All Binaries'!H150</f>
        <v>7.0450000000000044</v>
      </c>
      <c r="H32" s="4">
        <f>'All Binaries'!I150</f>
        <v>6.166999999999998</v>
      </c>
      <c r="I32" s="4">
        <f>'All Binaries'!J150</f>
        <v>6.0405000000000015</v>
      </c>
      <c r="J32" s="4">
        <f>D32-(5*LOG(C32, 10)-5)</f>
        <v>2.2729108849523172</v>
      </c>
      <c r="K32" s="4">
        <f>E32-(5*LOG(C32, 10)-5)</f>
        <v>2.3399108849523174</v>
      </c>
      <c r="L32" s="4">
        <f>F32-(5*LOG(C32, 10)-5)</f>
        <v>2.362910884952317</v>
      </c>
      <c r="M32" s="4">
        <f>'Binary Summary'!J35</f>
        <v>3.7917447485087865</v>
      </c>
      <c r="N32" s="163" t="b">
        <f t="shared" ref="N32" si="37">IF(I32&lt;4.5, TRUE, FALSE)</f>
        <v>0</v>
      </c>
    </row>
    <row r="33" spans="2:14">
      <c r="C33" s="38"/>
      <c r="G33" s="48">
        <f>'All Binaries'!H152</f>
        <v>4.8283019789569927E-2</v>
      </c>
      <c r="H33" s="48">
        <f>'All Binaries'!I152</f>
        <v>4.0755367744629636E-2</v>
      </c>
      <c r="I33" s="48">
        <f>'All Binaries'!J152</f>
        <v>4.1967249135486606E-2</v>
      </c>
      <c r="J33" s="4">
        <f>G32+J32</f>
        <v>9.3179108849523224</v>
      </c>
      <c r="K33" s="4">
        <f>H32+K32</f>
        <v>8.5069108849523154</v>
      </c>
      <c r="L33" s="4">
        <f t="shared" ref="L33" si="38">I32+L32</f>
        <v>8.4034108849523186</v>
      </c>
      <c r="M33" s="4">
        <f>'Binary Summary'!J36</f>
        <v>2.2750468491052719E-2</v>
      </c>
      <c r="N33"/>
    </row>
    <row r="34" spans="2:14">
      <c r="B34" s="1" t="s">
        <v>329</v>
      </c>
      <c r="C34" s="38">
        <v>184</v>
      </c>
      <c r="D34" s="54">
        <v>5.9189999999999996</v>
      </c>
      <c r="E34" s="54">
        <v>6.0049999999999999</v>
      </c>
      <c r="F34" s="54">
        <v>5.9829999999999997</v>
      </c>
      <c r="G34" s="4">
        <f>'All Binaries'!H153</f>
        <v>2.2524999999999906</v>
      </c>
      <c r="H34" s="4">
        <f>'All Binaries'!I153</f>
        <v>2.1419999999999995</v>
      </c>
      <c r="I34" s="4">
        <f>'All Binaries'!J153</f>
        <v>2.0500000000000123</v>
      </c>
      <c r="J34" s="4">
        <f>D34-(5*LOG(C34, 10)-5)</f>
        <v>-0.40508911504768275</v>
      </c>
      <c r="K34" s="4">
        <f>E34-(5*LOG(C34, 10)-5)</f>
        <v>-0.31908911504768245</v>
      </c>
      <c r="L34" s="4">
        <f>F34-(5*LOG(C34, 10)-5)</f>
        <v>-0.34108911504768269</v>
      </c>
      <c r="M34" s="4">
        <f>'Binary Summary'!J37</f>
        <v>1.2764508589239245</v>
      </c>
      <c r="N34" t="b">
        <f t="shared" ref="N34" si="39">IF(I34&lt;4.5, TRUE, FALSE)</f>
        <v>1</v>
      </c>
    </row>
    <row r="35" spans="2:14">
      <c r="C35" s="38"/>
      <c r="G35" s="48">
        <f>'All Binaries'!H155</f>
        <v>3.0033314835362413E-2</v>
      </c>
      <c r="H35" s="48">
        <f>'All Binaries'!I155</f>
        <v>3.0033314835362413E-2</v>
      </c>
      <c r="I35" s="48">
        <f>'All Binaries'!J155</f>
        <v>3.0033314835362413E-2</v>
      </c>
      <c r="J35" s="4">
        <f>G34+J34</f>
        <v>1.8474108849523079</v>
      </c>
      <c r="K35" s="4">
        <f>H34+K34</f>
        <v>1.822910884952317</v>
      </c>
      <c r="L35" s="4">
        <f t="shared" ref="L35" si="40">I34+L34</f>
        <v>1.7089108849523296</v>
      </c>
      <c r="M35" s="4">
        <f>'Binary Summary'!J38</f>
        <v>7.6587051535435468E-3</v>
      </c>
      <c r="N35"/>
    </row>
    <row r="36" spans="2:14">
      <c r="B36" s="1" t="s">
        <v>330</v>
      </c>
      <c r="C36" s="38">
        <v>184</v>
      </c>
      <c r="D36" s="54">
        <v>8.4019999999999992</v>
      </c>
      <c r="E36" s="54">
        <v>8.4749999999999996</v>
      </c>
      <c r="F36" s="54">
        <v>8.4339999999999993</v>
      </c>
      <c r="G36" s="4">
        <f>'All Binaries'!H156</f>
        <v>5.4839999999999982</v>
      </c>
      <c r="H36" s="4">
        <f>'All Binaries'!I156</f>
        <v>4.8999999999999986</v>
      </c>
      <c r="I36" s="4">
        <f>'All Binaries'!J156</f>
        <v>4.7834999999999983</v>
      </c>
      <c r="J36" s="4">
        <f>D36-(5*LOG(C36, 10)-5)</f>
        <v>2.0779108849523169</v>
      </c>
      <c r="K36" s="4">
        <f>E36-(5*LOG(C36, 10)-5)</f>
        <v>2.1509108849523173</v>
      </c>
      <c r="L36" s="4">
        <f>F36-(5*LOG(C36, 10)-5)</f>
        <v>2.1099108849523169</v>
      </c>
      <c r="M36" s="4">
        <f>'Binary Summary'!J39</f>
        <v>4.3968029661754429</v>
      </c>
      <c r="N36" s="163" t="b">
        <f t="shared" ref="N36" si="41">IF(I36&lt;4.5, TRUE, FALSE)</f>
        <v>0</v>
      </c>
    </row>
    <row r="37" spans="2:14">
      <c r="C37" s="38"/>
      <c r="G37" s="48">
        <f>'All Binaries'!H158</f>
        <v>3.1941352507368889E-2</v>
      </c>
      <c r="H37" s="48">
        <f>'All Binaries'!I158</f>
        <v>3.1084562084739104E-2</v>
      </c>
      <c r="I37" s="48">
        <f>'All Binaries'!J158</f>
        <v>3.1176914536239792E-2</v>
      </c>
      <c r="J37" s="4">
        <f>G36+J36</f>
        <v>7.5619108849523151</v>
      </c>
      <c r="K37" s="4">
        <f>H36+K36</f>
        <v>7.0509108849523159</v>
      </c>
      <c r="L37" s="4">
        <f t="shared" ref="L37" si="42">I36+L36</f>
        <v>6.8934108849523152</v>
      </c>
      <c r="M37" s="4">
        <f>'Binary Summary'!J40</f>
        <v>2.6380817797052657E-2</v>
      </c>
      <c r="N37"/>
    </row>
    <row r="38" spans="2:14">
      <c r="B38" s="1" t="s">
        <v>331</v>
      </c>
      <c r="C38" s="38">
        <v>184</v>
      </c>
      <c r="D38" s="54">
        <v>7.96</v>
      </c>
      <c r="E38" s="54">
        <v>7.8129999999999997</v>
      </c>
      <c r="F38" s="54">
        <v>7.7210000000000001</v>
      </c>
      <c r="G38" s="4">
        <f>'All Binaries'!H162</f>
        <v>7.42</v>
      </c>
      <c r="H38" s="4">
        <f>'All Binaries'!I162</f>
        <v>6.96</v>
      </c>
      <c r="I38" s="4">
        <f>'All Binaries'!J162</f>
        <v>6.6734964522600002</v>
      </c>
      <c r="J38" s="4">
        <f>D38-(5*LOG(C38, 10)-5)</f>
        <v>1.6359108849523176</v>
      </c>
      <c r="K38" s="4">
        <f>E38-(5*LOG(C38, 10)-5)</f>
        <v>1.4889108849523174</v>
      </c>
      <c r="L38" s="4">
        <f>F38-(5*LOG(C38, 10)-5)</f>
        <v>1.3969108849523177</v>
      </c>
      <c r="M38" s="4">
        <f>'Binary Summary'!J41</f>
        <v>4.005580542901285</v>
      </c>
      <c r="N38" s="163" t="b">
        <f t="shared" ref="N38" si="43">IF(I38&lt;4.5, TRUE, FALSE)</f>
        <v>0</v>
      </c>
    </row>
    <row r="39" spans="2:14">
      <c r="C39" s="38"/>
      <c r="G39" s="48">
        <f>'All Binaries'!H164</f>
        <v>0.10005123687391375</v>
      </c>
      <c r="H39" s="48">
        <f>'All Binaries'!I164</f>
        <v>5.6375970058172853E-2</v>
      </c>
      <c r="I39" s="48">
        <f>'All Binaries'!J164</f>
        <v>4.8283019789569927E-2</v>
      </c>
      <c r="J39" s="4">
        <f>G38+J38</f>
        <v>9.0559108849523184</v>
      </c>
      <c r="K39" s="4">
        <f>H38+K38</f>
        <v>8.4489108849523173</v>
      </c>
      <c r="L39" s="4">
        <f t="shared" ref="L39" si="44">I38+L38</f>
        <v>8.070407337212318</v>
      </c>
      <c r="M39" s="4">
        <f>'Binary Summary'!J42</f>
        <v>2.4033483257407711E-2</v>
      </c>
      <c r="N39"/>
    </row>
    <row r="40" spans="2:14">
      <c r="B40" s="1" t="s">
        <v>334</v>
      </c>
      <c r="C40" s="38">
        <v>184</v>
      </c>
      <c r="D40" s="54">
        <v>7.3529999999999998</v>
      </c>
      <c r="E40" s="54">
        <v>7.4029999999999996</v>
      </c>
      <c r="F40" s="54">
        <v>7.3559999999999999</v>
      </c>
      <c r="G40" s="4">
        <f>'All Binaries'!H165</f>
        <v>4.879999999999999</v>
      </c>
      <c r="H40" s="4">
        <f>'All Binaries'!I165</f>
        <v>4.1690000000000014</v>
      </c>
      <c r="I40" s="4">
        <f>'All Binaries'!J165</f>
        <v>3.9894999999999996</v>
      </c>
      <c r="J40" s="4">
        <f>D40-(5*LOG(C40, 10)-5)</f>
        <v>1.0289108849523174</v>
      </c>
      <c r="K40" s="4">
        <f>E40-(5*LOG(C40, 10)-5)</f>
        <v>1.0789108849523172</v>
      </c>
      <c r="L40" s="4">
        <f>F40-(5*LOG(C40, 10)-5)</f>
        <v>1.0319108849523175</v>
      </c>
      <c r="M40" s="4">
        <f>'Binary Summary'!J43</f>
        <v>3.2336666271065182</v>
      </c>
      <c r="N40" t="b">
        <f t="shared" ref="N40" si="45">IF(I40&lt;4.5, TRUE, FALSE)</f>
        <v>1</v>
      </c>
    </row>
    <row r="41" spans="2:14">
      <c r="C41" s="38"/>
      <c r="G41" s="48">
        <f>'All Binaries'!H167</f>
        <v>3.1084562084739104E-2</v>
      </c>
      <c r="H41" s="48">
        <f>'All Binaries'!I167</f>
        <v>3.0528675044947495E-2</v>
      </c>
      <c r="I41" s="48">
        <f>'All Binaries'!J167</f>
        <v>3.1575306807693888E-2</v>
      </c>
      <c r="J41" s="4">
        <f>G40+J40</f>
        <v>5.9089108849523164</v>
      </c>
      <c r="K41" s="4">
        <f>H40+K40</f>
        <v>5.2479108849523186</v>
      </c>
      <c r="L41" s="4">
        <f t="shared" ref="L41" si="46">I40+L40</f>
        <v>5.0214108849523171</v>
      </c>
      <c r="M41" s="4">
        <f>'Binary Summary'!J44</f>
        <v>1.9401999762639111E-2</v>
      </c>
      <c r="N41"/>
    </row>
    <row r="42" spans="2:14">
      <c r="B42" s="190" t="s">
        <v>335</v>
      </c>
      <c r="C42" s="191">
        <v>184</v>
      </c>
      <c r="D42" s="192">
        <v>7.5590000000000002</v>
      </c>
      <c r="E42" s="192">
        <v>7.6219999999999999</v>
      </c>
      <c r="F42" s="192">
        <v>7.5720000000000001</v>
      </c>
      <c r="G42" s="193">
        <f>'All Binaries'!H168</f>
        <v>2.8</v>
      </c>
      <c r="H42" s="193">
        <f>'All Binaries'!I168</f>
        <v>2.7</v>
      </c>
      <c r="I42" s="193">
        <f>'All Binaries'!J168</f>
        <v>2.5499999999999998</v>
      </c>
      <c r="J42" s="193">
        <f>D42-(5*LOG(C42, 10)-5)</f>
        <v>1.2349108849523178</v>
      </c>
      <c r="K42" s="193">
        <f>E42-(5*LOG(C42, 10)-5)</f>
        <v>1.2979108849523175</v>
      </c>
      <c r="L42" s="193">
        <f>F42-(5*LOG(C42, 10)-5)</f>
        <v>1.2479108849523177</v>
      </c>
      <c r="M42" s="193">
        <f>'Binary Summary'!J45</f>
        <v>0.47754605250000004</v>
      </c>
      <c r="N42" s="220" t="b">
        <f t="shared" ref="N42" si="47">IF(I42&lt;4.5, TRUE, FALSE)</f>
        <v>1</v>
      </c>
    </row>
    <row r="43" spans="2:14">
      <c r="B43" s="195"/>
      <c r="C43" s="196"/>
      <c r="D43" s="197"/>
      <c r="E43" s="197"/>
      <c r="F43" s="197"/>
      <c r="G43" s="198">
        <f>'All Binaries'!H170</f>
        <v>0.1044030650891055</v>
      </c>
      <c r="H43" s="198">
        <f>'All Binaries'!I170</f>
        <v>0.1044030650891055</v>
      </c>
      <c r="I43" s="198">
        <f>'All Binaries'!J170</f>
        <v>5.8309518948453008E-2</v>
      </c>
      <c r="J43" s="185">
        <f>G42+J42</f>
        <v>4.0349108849523176</v>
      </c>
      <c r="K43" s="185">
        <f>H42+K42</f>
        <v>3.9979108849523177</v>
      </c>
      <c r="L43" s="185">
        <f t="shared" ref="L43" si="48">I42+L42</f>
        <v>3.7979108849523175</v>
      </c>
      <c r="M43" s="185">
        <f>'Binary Summary'!J46</f>
        <v>3.4558719791763916E-3</v>
      </c>
      <c r="N43" s="220"/>
    </row>
    <row r="44" spans="2:14">
      <c r="B44" s="190" t="s">
        <v>336</v>
      </c>
      <c r="C44" s="191">
        <v>184</v>
      </c>
      <c r="D44" s="192">
        <v>8.0229999999999997</v>
      </c>
      <c r="E44" s="192">
        <v>8.0640000000000001</v>
      </c>
      <c r="F44" s="192">
        <v>8.0079999999999991</v>
      </c>
      <c r="G44" s="193">
        <f>'All Binaries'!H171</f>
        <v>4.9000000000000004</v>
      </c>
      <c r="H44" s="193">
        <f>'All Binaries'!I171</f>
        <v>4.45</v>
      </c>
      <c r="I44" s="193">
        <f>'All Binaries'!J171</f>
        <v>4.2</v>
      </c>
      <c r="J44" s="193">
        <f>D44-(5*LOG(C44, 10)-5)</f>
        <v>1.6989108849523173</v>
      </c>
      <c r="K44" s="193">
        <f>E44-(5*LOG(C44, 10)-5)</f>
        <v>1.7399108849523177</v>
      </c>
      <c r="L44" s="193">
        <f>F44-(5*LOG(C44, 10)-5)</f>
        <v>1.6839108849523168</v>
      </c>
      <c r="M44" s="194">
        <f>'Binary Summary'!J47</f>
        <v>0.6938557245852861</v>
      </c>
      <c r="N44" t="b">
        <f t="shared" ref="N44" si="49">IF(I44&lt;4.5, TRUE, FALSE)</f>
        <v>1</v>
      </c>
    </row>
    <row r="45" spans="2:14">
      <c r="B45" s="195"/>
      <c r="C45" s="196"/>
      <c r="D45" s="197"/>
      <c r="E45" s="197"/>
      <c r="F45" s="197"/>
      <c r="G45" s="198">
        <f>'All Binaries'!H173</f>
        <v>0.25</v>
      </c>
      <c r="H45" s="198">
        <f>'All Binaries'!I173</f>
        <v>0.05</v>
      </c>
      <c r="I45" s="198">
        <f>'All Binaries'!J173</f>
        <v>0.05</v>
      </c>
      <c r="J45" s="185">
        <f>G44+J44</f>
        <v>6.5989108849523177</v>
      </c>
      <c r="K45" s="185">
        <f>H44+K44</f>
        <v>6.1899108849523179</v>
      </c>
      <c r="L45" s="185">
        <f t="shared" ref="L45" si="50">I44+L44</f>
        <v>5.883910884952317</v>
      </c>
      <c r="M45" s="199">
        <f>'Binary Summary'!J48</f>
        <v>4.1631343475117171E-3</v>
      </c>
      <c r="N45"/>
    </row>
    <row r="46" spans="2:14">
      <c r="B46" s="1" t="s">
        <v>337</v>
      </c>
      <c r="C46" s="38">
        <v>184</v>
      </c>
      <c r="D46" s="54">
        <v>8.23</v>
      </c>
      <c r="E46" s="54">
        <v>8.4819999999999993</v>
      </c>
      <c r="F46" s="54">
        <v>8.391</v>
      </c>
      <c r="G46" s="4">
        <f>'All Binaries'!H174</f>
        <v>0.56850000000000556</v>
      </c>
      <c r="H46" s="4">
        <f>'All Binaries'!I174</f>
        <v>0.58000000000000185</v>
      </c>
      <c r="I46" s="4">
        <f>'All Binaries'!J174</f>
        <v>0.55650000000000333</v>
      </c>
      <c r="J46" s="4">
        <f>D46-(5*LOG(C46, 10)-5)</f>
        <v>1.9059108849523181</v>
      </c>
      <c r="K46" s="4">
        <f>E46-(5*LOG(C46, 10)-5)</f>
        <v>2.157910884952317</v>
      </c>
      <c r="L46" s="4">
        <f>F46-(5*LOG(C46, 10)-5)</f>
        <v>2.0669108849523177</v>
      </c>
      <c r="M46" s="4">
        <f>'Binary Summary'!J49</f>
        <v>2.1484625236558927</v>
      </c>
      <c r="N46" t="b">
        <f t="shared" ref="N46" si="51">IF(I46&lt;4.5, TRUE, FALSE)</f>
        <v>1</v>
      </c>
    </row>
    <row r="47" spans="2:14">
      <c r="C47" s="38"/>
      <c r="G47" s="48">
        <f>'All Binaries'!H176</f>
        <v>3.0008332176247314E-2</v>
      </c>
      <c r="H47" s="48">
        <f>'All Binaries'!I176</f>
        <v>3.0008332176247314E-2</v>
      </c>
      <c r="I47" s="48">
        <f>'All Binaries'!J176</f>
        <v>3.0008332176247314E-2</v>
      </c>
      <c r="J47" s="4">
        <f>G46+J46</f>
        <v>2.4744108849523236</v>
      </c>
      <c r="K47" s="4">
        <f>H46+K46</f>
        <v>2.7379108849523188</v>
      </c>
      <c r="L47" s="4">
        <f t="shared" ref="L47" si="52">I46+L46</f>
        <v>2.623410884952321</v>
      </c>
      <c r="M47" s="4">
        <f>'Binary Summary'!J50</f>
        <v>1.2890775141935356E-2</v>
      </c>
      <c r="N47"/>
    </row>
    <row r="48" spans="2:14">
      <c r="B48" s="1" t="s">
        <v>813</v>
      </c>
      <c r="C48" s="38">
        <v>184</v>
      </c>
      <c r="D48" s="54">
        <v>7.9290000000000003</v>
      </c>
      <c r="E48" s="54">
        <v>7.8689999999999998</v>
      </c>
      <c r="F48" s="54">
        <v>7.8049999999999997</v>
      </c>
      <c r="G48" s="4">
        <f>'All Binaries'!H177</f>
        <v>8.5318827414266636</v>
      </c>
      <c r="H48" s="4">
        <f>'All Binaries'!I177</f>
        <v>7.519275222194147</v>
      </c>
      <c r="I48" s="4">
        <f>'All Binaries'!J177</f>
        <v>7.3851493040454637</v>
      </c>
      <c r="J48" s="4">
        <f>D48-(5*LOG(C48, 10)-5)</f>
        <v>1.6049108849523179</v>
      </c>
      <c r="K48" s="4">
        <f>E48-(5*LOG(C48, 10)-5)</f>
        <v>1.5449108849523174</v>
      </c>
      <c r="L48" s="4">
        <f>F48-(5*LOG(C48, 10)-5)</f>
        <v>1.4809108849523174</v>
      </c>
      <c r="M48" s="4">
        <f>'Binary Summary'!J51</f>
        <v>3.4854848631810413</v>
      </c>
      <c r="N48" s="163" t="b">
        <f t="shared" ref="N48" si="53">IF(I48&lt;4.5, TRUE, FALSE)</f>
        <v>0</v>
      </c>
    </row>
    <row r="49" spans="1:14">
      <c r="C49" s="38"/>
      <c r="G49" s="48">
        <f>'All Binaries'!H179</f>
        <v>5.0019996001599204E-2</v>
      </c>
      <c r="H49" s="48">
        <f>'All Binaries'!I179</f>
        <v>5.0019996001599204E-2</v>
      </c>
      <c r="I49" s="48">
        <f>'All Binaries'!J179</f>
        <v>5.0019996001599204E-2</v>
      </c>
      <c r="J49" s="4">
        <f>G48+J48</f>
        <v>10.136793626378982</v>
      </c>
      <c r="K49" s="4">
        <f>H48+K48</f>
        <v>9.0641861071464653</v>
      </c>
      <c r="L49" s="4">
        <f t="shared" ref="L49" si="54">I48+L48</f>
        <v>8.8660601889977819</v>
      </c>
      <c r="M49" s="4">
        <f>'Binary Summary'!J52</f>
        <v>2.091290917908625E-2</v>
      </c>
      <c r="N49"/>
    </row>
    <row r="50" spans="1:14">
      <c r="B50" s="1" t="s">
        <v>814</v>
      </c>
      <c r="C50" s="38">
        <v>184</v>
      </c>
      <c r="D50" s="54">
        <v>7.9290000000000003</v>
      </c>
      <c r="E50" s="54">
        <v>7.8689999999999998</v>
      </c>
      <c r="F50" s="54">
        <v>7.8049999999999997</v>
      </c>
      <c r="G50" s="4">
        <f>'All Binaries'!H180</f>
        <v>1.892404878284264</v>
      </c>
      <c r="H50" s="4">
        <f>'All Binaries'!I180</f>
        <v>1.6195437047215933</v>
      </c>
      <c r="I50" s="4">
        <f>'All Binaries'!J180</f>
        <v>1.4836495489151122</v>
      </c>
      <c r="J50" s="4">
        <f>D50-(5*LOG(C50, 10)-5)</f>
        <v>1.6049108849523179</v>
      </c>
      <c r="K50" s="4">
        <f>E50-(5*LOG(C50, 10)-5)</f>
        <v>1.5449108849523174</v>
      </c>
      <c r="L50" s="4">
        <f>F50-(5*LOG(C50, 10)-5)</f>
        <v>1.4809108849523174</v>
      </c>
      <c r="M50" s="4">
        <f>'Binary Summary'!J53</f>
        <v>0.75185599499999989</v>
      </c>
      <c r="N50" t="b">
        <f t="shared" ref="N50" si="55">IF(I50&lt;4.5, TRUE, FALSE)</f>
        <v>1</v>
      </c>
    </row>
    <row r="51" spans="1:14">
      <c r="C51" s="38"/>
      <c r="G51" s="48">
        <f>'All Binaries'!H182</f>
        <v>5.5162098789451011E-2</v>
      </c>
      <c r="H51" s="48">
        <f>'All Binaries'!I182</f>
        <v>5.0849919230578938E-2</v>
      </c>
      <c r="I51" s="48">
        <f>'All Binaries'!J182</f>
        <v>5.0267143517829467E-2</v>
      </c>
      <c r="J51" s="4">
        <f>G50+J50</f>
        <v>3.4973157632365819</v>
      </c>
      <c r="K51" s="4">
        <f>H50+K50</f>
        <v>3.1644545896739107</v>
      </c>
      <c r="L51" s="4">
        <f t="shared" ref="L51" si="56">I50+L50</f>
        <v>2.9645604338674296</v>
      </c>
      <c r="M51" s="4">
        <f>'Binary Summary'!J54</f>
        <v>4.6323463834134024E-3</v>
      </c>
      <c r="N51"/>
    </row>
    <row r="52" spans="1:14">
      <c r="A52" s="62" t="s">
        <v>95</v>
      </c>
      <c r="B52" s="1" t="s">
        <v>511</v>
      </c>
      <c r="C52" s="38">
        <v>412</v>
      </c>
      <c r="D52" s="54">
        <v>8.2249999999999996</v>
      </c>
      <c r="E52" s="54">
        <v>8.2449999999999992</v>
      </c>
      <c r="F52" s="54">
        <v>8.2569999999999997</v>
      </c>
      <c r="G52" s="4">
        <f>'All Binaries'!H92</f>
        <v>0.7634870026660785</v>
      </c>
      <c r="H52" s="4">
        <f>'All Binaries'!I92</f>
        <v>0.65900874430839451</v>
      </c>
      <c r="I52" s="4">
        <f>'All Binaries'!J92</f>
        <v>0.65900874430839451</v>
      </c>
      <c r="J52" s="4">
        <f>D52-(5*LOG(C52, 10)-5)</f>
        <v>0.15051391983432616</v>
      </c>
      <c r="K52" s="4">
        <f>E52-(5*LOG(C52, 10)-5)</f>
        <v>0.17051391983432573</v>
      </c>
      <c r="L52" s="4">
        <f>F52-(5*LOG(C52, 10)-5)</f>
        <v>0.18251391983432619</v>
      </c>
      <c r="M52" s="4">
        <f>'Binary Summary'!J58</f>
        <v>0.45971392499999997</v>
      </c>
      <c r="N52" t="b">
        <f t="shared" ref="N52" si="57">IF(I52&lt;4.5, TRUE, FALSE)</f>
        <v>1</v>
      </c>
    </row>
    <row r="53" spans="1:14">
      <c r="C53" s="38"/>
      <c r="G53" s="48">
        <f>'All Binaries'!H94</f>
        <v>0.19510070659606951</v>
      </c>
      <c r="H53" s="48">
        <f>'All Binaries'!I94</f>
        <v>0.10218156109871963</v>
      </c>
      <c r="I53" s="48">
        <f>'All Binaries'!J94</f>
        <v>7.1101034752365899E-2</v>
      </c>
      <c r="J53" s="4">
        <f>G52+J52</f>
        <v>0.91400092250040466</v>
      </c>
      <c r="K53" s="4">
        <f>H52+K52</f>
        <v>0.82952266414272025</v>
      </c>
      <c r="L53" s="4">
        <f t="shared" ref="L53" si="58">I52+L52</f>
        <v>0.8415226641427207</v>
      </c>
      <c r="M53" s="4">
        <f>'Binary Summary'!J59</f>
        <v>4.7837580449322011E-3</v>
      </c>
      <c r="N53"/>
    </row>
    <row r="54" spans="1:14">
      <c r="B54" s="1" t="s">
        <v>510</v>
      </c>
      <c r="C54" s="38">
        <v>412</v>
      </c>
      <c r="D54" s="54">
        <v>8.1289999999999996</v>
      </c>
      <c r="E54" s="54">
        <v>8.1679999999999993</v>
      </c>
      <c r="F54" s="54">
        <v>8.1340000000000003</v>
      </c>
      <c r="G54" s="4">
        <f>'All Binaries'!H95</f>
        <v>5.7925000000000004</v>
      </c>
      <c r="H54" s="4">
        <f>'All Binaries'!I95</f>
        <v>5.142000000000003</v>
      </c>
      <c r="I54" s="4">
        <f>'All Binaries'!J95</f>
        <v>4.9629999999999992</v>
      </c>
      <c r="J54" s="4">
        <f>D54-(5*LOG(C54, 10)-5)</f>
        <v>5.4513919834326074E-2</v>
      </c>
      <c r="K54" s="4">
        <f>E54-(5*LOG(C54, 10)-5)</f>
        <v>9.3513919834325776E-2</v>
      </c>
      <c r="L54" s="4">
        <f>F54-(5*LOG(C54, 10)-5)</f>
        <v>5.9513919834326856E-2</v>
      </c>
      <c r="M54" s="4">
        <f>'Binary Summary'!J60</f>
        <v>3.8137083133195055</v>
      </c>
      <c r="N54" s="163" t="b">
        <f t="shared" ref="N54" si="59">IF(I54&lt;4.5, TRUE, FALSE)</f>
        <v>0</v>
      </c>
    </row>
    <row r="55" spans="1:14">
      <c r="C55" s="38"/>
      <c r="G55" s="48">
        <f>'All Binaries'!H97</f>
        <v>3.1819805153394637E-2</v>
      </c>
      <c r="H55" s="48">
        <f>'All Binaries'!I97</f>
        <v>3.1276988346066827E-2</v>
      </c>
      <c r="I55" s="48">
        <f>'All Binaries'!J97</f>
        <v>3.0907118921051181E-2</v>
      </c>
      <c r="J55" s="4">
        <f>G54+J54</f>
        <v>5.8470139198343265</v>
      </c>
      <c r="K55" s="4">
        <f>H54+K54</f>
        <v>5.2355139198343288</v>
      </c>
      <c r="L55" s="4">
        <f t="shared" ref="L55" si="60">I54+L54</f>
        <v>5.022513919834326</v>
      </c>
      <c r="M55" s="4">
        <f>'Binary Summary'!J61</f>
        <v>2.2882249879917035E-2</v>
      </c>
      <c r="N55"/>
    </row>
    <row r="56" spans="1:14">
      <c r="A56" s="25"/>
      <c r="B56" s="190" t="s">
        <v>509</v>
      </c>
      <c r="C56" s="191">
        <v>412</v>
      </c>
      <c r="D56" s="192">
        <v>8.2100000000000009</v>
      </c>
      <c r="E56" s="192">
        <v>8.2850000000000001</v>
      </c>
      <c r="F56" s="192">
        <v>8.1240000000000006</v>
      </c>
      <c r="G56" s="193">
        <f>'Final Missed Binaries'!H91</f>
        <v>7.3706973795750006</v>
      </c>
      <c r="H56" s="193">
        <f>'Final Missed Binaries'!I91</f>
        <v>6.7569662201750003</v>
      </c>
      <c r="I56" s="193">
        <f>'Final Missed Binaries'!J91</f>
        <v>6.5493159618950001</v>
      </c>
      <c r="J56" s="193">
        <f>D56-(5*LOG(C56, 10)-5)</f>
        <v>0.13551391983432737</v>
      </c>
      <c r="K56" s="193">
        <f>E56-(5*LOG(C56, 10)-5)</f>
        <v>0.21051391983432666</v>
      </c>
      <c r="L56" s="193">
        <f>F56-(5*LOG(C56, 10)-5)</f>
        <v>4.9513919834327069E-2</v>
      </c>
      <c r="M56" s="194">
        <f>'Binary Summary'!J62</f>
        <v>4.7068491750333328</v>
      </c>
      <c r="N56" s="163" t="b">
        <f t="shared" ref="N56" si="61">IF(I56&lt;4.5, TRUE, FALSE)</f>
        <v>0</v>
      </c>
    </row>
    <row r="57" spans="1:14">
      <c r="A57" s="25"/>
      <c r="B57" s="195"/>
      <c r="C57" s="196"/>
      <c r="D57" s="197"/>
      <c r="E57" s="197"/>
      <c r="F57" s="197"/>
      <c r="G57" s="198">
        <f>SQRT('Final Missed Binaries'!H92^2 + 0.03^2)</f>
        <v>0.1044030650891055</v>
      </c>
      <c r="H57" s="198">
        <f>SQRT('Final Missed Binaries'!I92^2 + 0.03^2)</f>
        <v>0.11111129788140219</v>
      </c>
      <c r="I57" s="198">
        <f>SQRT('Final Missed Binaries'!J92^2 + 0.03^2)</f>
        <v>7.6927876563393588E-2</v>
      </c>
      <c r="J57" s="185">
        <f>G56+J56</f>
        <v>7.506211299409328</v>
      </c>
      <c r="K57" s="185">
        <f>H56+K56</f>
        <v>6.9674801400093269</v>
      </c>
      <c r="L57" s="185">
        <f t="shared" ref="L57" si="62">I56+L56</f>
        <v>6.5988298817293272</v>
      </c>
      <c r="M57" s="199">
        <f>'Binary Summary'!J63</f>
        <v>2.8241095050199998E-2</v>
      </c>
      <c r="N57"/>
    </row>
    <row r="58" spans="1:14">
      <c r="B58" s="1" t="s">
        <v>815</v>
      </c>
      <c r="C58" s="38">
        <v>412</v>
      </c>
      <c r="D58" s="54">
        <v>8.4350000000000005</v>
      </c>
      <c r="E58" s="54">
        <v>8.4890000000000008</v>
      </c>
      <c r="F58" s="54">
        <v>8.44</v>
      </c>
      <c r="G58" s="4" t="s">
        <v>51</v>
      </c>
      <c r="H58" s="4" t="s">
        <v>51</v>
      </c>
      <c r="I58" s="4">
        <f>'All Binaries'!$J$104</f>
        <v>6.5259999999999998</v>
      </c>
      <c r="J58" s="4">
        <f>D58-(5*LOG(C58, 10)-5)</f>
        <v>0.36051391983432701</v>
      </c>
      <c r="K58" s="4">
        <f>E58-(5*LOG(C58, 10)-5)</f>
        <v>0.41451391983432728</v>
      </c>
      <c r="L58" s="4">
        <f>F58-(5*LOG(C58, 10)-5)</f>
        <v>0.36551391983432602</v>
      </c>
      <c r="M58" s="4">
        <f>'Binary Summary'!J64</f>
        <v>3.185413776312946</v>
      </c>
      <c r="N58" s="163" t="b">
        <f t="shared" ref="N58" si="63">IF(I58&lt;4.5, TRUE, FALSE)</f>
        <v>0</v>
      </c>
    </row>
    <row r="59" spans="1:14">
      <c r="C59" s="38"/>
      <c r="G59" s="48"/>
      <c r="H59" s="48"/>
      <c r="I59" s="48">
        <f>'All Binaries'!$J$106</f>
        <v>3.2522381668103263E-2</v>
      </c>
      <c r="J59" s="4"/>
      <c r="K59" s="4"/>
      <c r="L59" s="4">
        <f t="shared" ref="L59" si="64">I58+L58</f>
        <v>6.8915139198343258</v>
      </c>
      <c r="M59" s="4">
        <f>'Binary Summary'!J65</f>
        <v>1.9112482657877676E-2</v>
      </c>
      <c r="N59"/>
    </row>
    <row r="60" spans="1:14">
      <c r="B60" s="1" t="s">
        <v>816</v>
      </c>
      <c r="C60" s="38">
        <v>412</v>
      </c>
      <c r="D60" s="54">
        <v>8.4350000000000005</v>
      </c>
      <c r="E60" s="54">
        <v>8.4890000000000008</v>
      </c>
      <c r="F60" s="54">
        <v>8.44</v>
      </c>
      <c r="G60" s="4" t="s">
        <v>51</v>
      </c>
      <c r="H60" s="4" t="s">
        <v>51</v>
      </c>
      <c r="I60" s="4">
        <f>'All Binaries'!$J$107</f>
        <v>7.8030000000000008</v>
      </c>
      <c r="J60" s="4">
        <f>D60-(5*LOG(C60, 10)-5)</f>
        <v>0.36051391983432701</v>
      </c>
      <c r="K60" s="4">
        <f>E60-(5*LOG(C60, 10)-5)</f>
        <v>0.41451391983432728</v>
      </c>
      <c r="L60" s="4">
        <f>F60-(5*LOG(C60, 10)-5)</f>
        <v>0.36551391983432602</v>
      </c>
      <c r="M60" s="4">
        <f>'Binary Summary'!J66</f>
        <v>3.5872937270329137</v>
      </c>
      <c r="N60" s="163" t="b">
        <f t="shared" ref="N60" si="65">IF(I60&lt;4.5, TRUE, FALSE)</f>
        <v>0</v>
      </c>
    </row>
    <row r="61" spans="1:14">
      <c r="C61" s="38"/>
      <c r="G61" s="48"/>
      <c r="H61" s="48"/>
      <c r="I61" s="48">
        <f>'All Binaries'!$J$109</f>
        <v>4.2778124357333511E-2</v>
      </c>
      <c r="J61" s="4"/>
      <c r="K61" s="4"/>
      <c r="L61" s="4">
        <f t="shared" ref="L61" si="66">I60+L60</f>
        <v>8.1685139198343268</v>
      </c>
      <c r="M61" s="4">
        <f>'Binary Summary'!J67</f>
        <v>2.1523762362197482E-2</v>
      </c>
      <c r="N61"/>
    </row>
    <row r="62" spans="1:14">
      <c r="B62" s="1" t="s">
        <v>506</v>
      </c>
      <c r="C62" s="38">
        <v>412</v>
      </c>
      <c r="D62" s="54">
        <v>8.2149999999999999</v>
      </c>
      <c r="E62" s="54">
        <v>8.2680000000000007</v>
      </c>
      <c r="F62" s="54">
        <v>8.2840000000000007</v>
      </c>
      <c r="G62" s="4" t="s">
        <v>51</v>
      </c>
      <c r="H62" s="4" t="s">
        <v>51</v>
      </c>
      <c r="I62" s="4">
        <f>'All Binaries'!$J$119</f>
        <v>5.4326913184154897</v>
      </c>
      <c r="J62" s="4">
        <f>D62-(5*LOG(C62, 10)-5)</f>
        <v>0.14051391983432637</v>
      </c>
      <c r="K62" s="4">
        <f>E62-(5*LOG(C62, 10)-5)</f>
        <v>0.1935139198343272</v>
      </c>
      <c r="L62" s="4">
        <f>F62-(5*LOG(C62, 10)-5)</f>
        <v>0.20951391983432721</v>
      </c>
      <c r="M62" s="4">
        <f>'Binary Summary'!J68</f>
        <v>0.98900329486649996</v>
      </c>
      <c r="N62" s="163" t="b">
        <f t="shared" ref="N62" si="67">IF(I62&lt;4.5, TRUE, FALSE)</f>
        <v>0</v>
      </c>
    </row>
    <row r="63" spans="1:14">
      <c r="C63" s="38"/>
      <c r="G63" s="48"/>
      <c r="H63" s="48"/>
      <c r="I63" s="48">
        <f>'All Binaries'!$J$121</f>
        <v>0.14430589362478768</v>
      </c>
      <c r="J63" s="4"/>
      <c r="K63" s="4"/>
      <c r="L63" s="4">
        <f t="shared" ref="L63" si="68">I62+L62</f>
        <v>5.6422052382498169</v>
      </c>
      <c r="M63" s="4">
        <f>'Binary Summary'!J69</f>
        <v>5.9340197691990001E-3</v>
      </c>
      <c r="N63"/>
    </row>
    <row r="64" spans="1:14">
      <c r="B64" s="1" t="s">
        <v>817</v>
      </c>
      <c r="C64" s="38">
        <v>412</v>
      </c>
      <c r="D64" s="54">
        <v>8.5389999999999997</v>
      </c>
      <c r="E64" s="54">
        <v>8.6059999999999999</v>
      </c>
      <c r="F64" s="54">
        <v>8.5429999999999993</v>
      </c>
      <c r="G64" s="4" t="s">
        <v>51</v>
      </c>
      <c r="H64" s="4" t="s">
        <v>51</v>
      </c>
      <c r="I64" s="4">
        <f>'All Binaries'!$J$125</f>
        <v>6.0344655105099996</v>
      </c>
      <c r="J64" s="4">
        <f>D64-(5*LOG(C64, 10)-5)</f>
        <v>0.46451391983432622</v>
      </c>
      <c r="K64" s="4">
        <f>E64-(5*LOG(C64, 10)-5)</f>
        <v>0.53151391983432639</v>
      </c>
      <c r="L64" s="4">
        <f>F64-(5*LOG(C64, 10)-5)</f>
        <v>0.46851391983432578</v>
      </c>
      <c r="M64" s="4">
        <f>'Binary Summary'!J70</f>
        <v>4.6200677048149998</v>
      </c>
      <c r="N64" s="163" t="b">
        <f t="shared" ref="N64" si="69">IF(I64&lt;4.5, TRUE, FALSE)</f>
        <v>0</v>
      </c>
    </row>
    <row r="65" spans="1:14">
      <c r="C65" s="38"/>
      <c r="D65" s="54"/>
      <c r="E65" s="54"/>
      <c r="F65" s="54"/>
      <c r="G65" s="48"/>
      <c r="H65" s="48"/>
      <c r="I65" s="48">
        <f>'All Binaries'!$J$127</f>
        <v>3.5331905039857725E-2</v>
      </c>
      <c r="J65" s="4"/>
      <c r="K65" s="4"/>
      <c r="L65" s="4">
        <f t="shared" ref="L65" si="70">I64+L64</f>
        <v>6.5029794303443254</v>
      </c>
      <c r="M65" s="4">
        <f>'Binary Summary'!J71</f>
        <v>2.772040622889E-2</v>
      </c>
      <c r="N65"/>
    </row>
    <row r="66" spans="1:14">
      <c r="B66" s="1" t="s">
        <v>818</v>
      </c>
      <c r="C66" s="38">
        <v>412</v>
      </c>
      <c r="D66" s="54">
        <v>8.5389999999999997</v>
      </c>
      <c r="E66" s="54">
        <v>8.6059999999999999</v>
      </c>
      <c r="F66" s="54">
        <v>8.5429999999999993</v>
      </c>
      <c r="G66" s="4" t="s">
        <v>51</v>
      </c>
      <c r="H66" s="4" t="s">
        <v>51</v>
      </c>
      <c r="I66" s="4">
        <f>'All Binaries'!$J$128</f>
        <v>7.9113200304250002</v>
      </c>
      <c r="J66" s="4">
        <f>D66-(5*LOG(C66, 10)-5)</f>
        <v>0.46451391983432622</v>
      </c>
      <c r="K66" s="4">
        <f>E66-(5*LOG(C66, 10)-5)</f>
        <v>0.53151391983432639</v>
      </c>
      <c r="L66" s="4">
        <f>F66-(5*LOG(C66, 10)-5)</f>
        <v>0.46851391983432578</v>
      </c>
      <c r="M66" s="4">
        <f>'Binary Summary'!J72</f>
        <v>2.735295995215</v>
      </c>
      <c r="N66" s="163" t="b">
        <f t="shared" ref="N66" si="71">IF(I66&lt;4.5, TRUE, FALSE)</f>
        <v>0</v>
      </c>
    </row>
    <row r="67" spans="1:14">
      <c r="C67" s="38"/>
      <c r="D67" s="54"/>
      <c r="E67" s="54"/>
      <c r="F67" s="54"/>
      <c r="G67" s="48"/>
      <c r="H67" s="48"/>
      <c r="I67" s="48">
        <f>'All Binaries'!$J$130</f>
        <v>0.13490836961071853</v>
      </c>
      <c r="J67" s="4"/>
      <c r="K67" s="4"/>
      <c r="L67" s="4">
        <f t="shared" ref="L67" si="72">I66+L66</f>
        <v>8.3798339502593251</v>
      </c>
      <c r="M67" s="4">
        <f>'Binary Summary'!J73</f>
        <v>1.641177597129E-2</v>
      </c>
      <c r="N67"/>
    </row>
    <row r="68" spans="1:14">
      <c r="B68" s="1" t="s">
        <v>502</v>
      </c>
      <c r="C68" s="38">
        <v>412</v>
      </c>
      <c r="D68" s="54">
        <v>7.6230000000000002</v>
      </c>
      <c r="E68" s="54">
        <v>7.6040000000000001</v>
      </c>
      <c r="F68" s="54">
        <v>7.57</v>
      </c>
      <c r="G68" s="4">
        <f>'All Binaries'!H183</f>
        <v>5.8354999999999979</v>
      </c>
      <c r="H68" s="4">
        <f>'All Binaries'!I183</f>
        <v>5.6439999999999966</v>
      </c>
      <c r="I68" s="4">
        <f>'All Binaries'!J183</f>
        <v>5.6759999999999984</v>
      </c>
      <c r="J68" s="4">
        <f>D68-(5*LOG(C68, 10)-5)</f>
        <v>-0.45148608016567326</v>
      </c>
      <c r="K68" s="4">
        <f>E68-(5*LOG(C68, 10)-5)</f>
        <v>-0.47048608016567339</v>
      </c>
      <c r="L68" s="4">
        <f>F68-(5*LOG(C68, 10)-5)</f>
        <v>-0.5044860801656732</v>
      </c>
      <c r="M68" s="4">
        <f>'Binary Summary'!J74</f>
        <v>2.5909844766860215</v>
      </c>
      <c r="N68" s="163" t="b">
        <f t="shared" ref="N68" si="73">IF(I68&lt;4.5, TRUE, FALSE)</f>
        <v>0</v>
      </c>
    </row>
    <row r="69" spans="1:14">
      <c r="C69" s="38"/>
      <c r="G69" s="48">
        <f>'All Binaries'!H185</f>
        <v>3.2729955698106286E-2</v>
      </c>
      <c r="H69" s="48">
        <f>'All Binaries'!I185</f>
        <v>3.3166247903554019E-2</v>
      </c>
      <c r="I69" s="48">
        <f>'All Binaries'!J185</f>
        <v>3.4124771061503113E-2</v>
      </c>
      <c r="J69" s="4">
        <f>G68+J68</f>
        <v>5.3840139198343246</v>
      </c>
      <c r="K69" s="4">
        <f>H68+K68</f>
        <v>5.1735139198343232</v>
      </c>
      <c r="L69" s="4">
        <f t="shared" ref="L69" si="74">I68+L68</f>
        <v>5.1715139198343252</v>
      </c>
      <c r="M69" s="4">
        <f>'Binary Summary'!J75</f>
        <v>1.5545906860116129E-2</v>
      </c>
      <c r="N69"/>
    </row>
    <row r="70" spans="1:14">
      <c r="A70" s="62" t="s">
        <v>96</v>
      </c>
      <c r="B70" s="190" t="s">
        <v>524</v>
      </c>
      <c r="C70" s="191">
        <v>149</v>
      </c>
      <c r="D70" s="192">
        <v>6.3890000000000002</v>
      </c>
      <c r="E70" s="192">
        <v>6.4089999999999998</v>
      </c>
      <c r="F70" s="192">
        <v>6.3529999999999998</v>
      </c>
      <c r="G70" s="193">
        <f>'All Binaries'!H18</f>
        <v>1.25</v>
      </c>
      <c r="H70" s="193">
        <f>'All Binaries'!I18</f>
        <v>1.35</v>
      </c>
      <c r="I70" s="193">
        <f>'All Binaries'!J18</f>
        <v>1.05</v>
      </c>
      <c r="J70" s="193">
        <f>D70-(5*LOG(C70, 10)-5)</f>
        <v>0.523068657938631</v>
      </c>
      <c r="K70" s="193">
        <f>E70-(5*LOG(C70, 10)-5)</f>
        <v>0.54306865793863057</v>
      </c>
      <c r="L70" s="193">
        <f>F70-(5*LOG(C70, 10)-5)</f>
        <v>0.48706865793863052</v>
      </c>
      <c r="M70" s="194">
        <f>'Binary Summary'!J77</f>
        <v>0.15354597500000003</v>
      </c>
      <c r="N70" t="b">
        <f t="shared" ref="N70" si="75">IF(I70&lt;4.5, TRUE, FALSE)</f>
        <v>1</v>
      </c>
    </row>
    <row r="71" spans="1:14">
      <c r="B71" s="195"/>
      <c r="C71" s="196"/>
      <c r="D71" s="197"/>
      <c r="E71" s="197"/>
      <c r="F71" s="197"/>
      <c r="G71" s="198" t="str">
        <f>'All Binaries'!H20</f>
        <v>???</v>
      </c>
      <c r="H71" s="198">
        <f>'All Binaries'!I20</f>
        <v>0.15</v>
      </c>
      <c r="I71" s="198">
        <f>'All Binaries'!J20</f>
        <v>0.1</v>
      </c>
      <c r="J71" s="185">
        <f>G70+J70</f>
        <v>1.773068657938631</v>
      </c>
      <c r="K71" s="185">
        <f>H70+K70</f>
        <v>1.8930686579386307</v>
      </c>
      <c r="L71" s="185">
        <f t="shared" ref="L71" si="76">I70+L70</f>
        <v>1.5370686579386306</v>
      </c>
      <c r="M71" s="199">
        <f>'Binary Summary'!J78</f>
        <v>8.4732730534508444E-3</v>
      </c>
      <c r="N71"/>
    </row>
    <row r="72" spans="1:14">
      <c r="B72" s="1" t="s">
        <v>522</v>
      </c>
      <c r="C72" s="38">
        <v>149</v>
      </c>
      <c r="D72" s="54">
        <v>7.66</v>
      </c>
      <c r="E72" s="54">
        <v>7.6120000000000001</v>
      </c>
      <c r="F72" s="54">
        <v>7.54</v>
      </c>
      <c r="G72" s="4">
        <f>'All Binaries'!H24</f>
        <v>1.4634999999999989</v>
      </c>
      <c r="H72" s="4">
        <f>'All Binaries'!I24</f>
        <v>1.3639999999999981</v>
      </c>
      <c r="I72" s="4">
        <f>'All Binaries'!J24</f>
        <v>1.3429999999999982</v>
      </c>
      <c r="J72" s="4">
        <f>D72-(5*LOG(C72, 10)-5)</f>
        <v>1.7940686579386309</v>
      </c>
      <c r="K72" s="4">
        <f>E72-(5*LOG(C72, 10)-5)</f>
        <v>1.7460686579386309</v>
      </c>
      <c r="L72" s="4">
        <f>F72-(5*LOG(C72, 10)-5)</f>
        <v>1.6740686579386308</v>
      </c>
      <c r="M72" s="4">
        <f>'Binary Summary'!J79</f>
        <v>2.896157275171265</v>
      </c>
      <c r="N72" t="b">
        <f t="shared" ref="N72" si="77">IF(I72&lt;4.5, TRUE, FALSE)</f>
        <v>1</v>
      </c>
    </row>
    <row r="73" spans="1:14">
      <c r="C73" s="38"/>
      <c r="G73" s="48">
        <f>'All Binaries'!H26</f>
        <v>3.0016662039607268E-2</v>
      </c>
      <c r="H73" s="48">
        <f>'All Binaries'!I26</f>
        <v>3.0016662039607268E-2</v>
      </c>
      <c r="I73" s="48">
        <f>'All Binaries'!J26</f>
        <v>3.0016662039607268E-2</v>
      </c>
      <c r="J73" s="4">
        <f>G72+J72</f>
        <v>3.2575686579386298</v>
      </c>
      <c r="K73" s="4">
        <f>H72+K72</f>
        <v>3.110068657938629</v>
      </c>
      <c r="L73" s="4">
        <f t="shared" ref="L73" si="78">I72+L72</f>
        <v>3.017068657938629</v>
      </c>
      <c r="M73" s="4">
        <f>'Binary Summary'!J80</f>
        <v>1.7376943651027592E-2</v>
      </c>
      <c r="N73"/>
    </row>
    <row r="74" spans="1:14">
      <c r="B74" s="1" t="s">
        <v>819</v>
      </c>
      <c r="C74" s="38">
        <v>149</v>
      </c>
      <c r="D74" s="54">
        <v>5.476</v>
      </c>
      <c r="E74" s="54">
        <v>5.492</v>
      </c>
      <c r="F74" s="54">
        <v>5.4790000000000001</v>
      </c>
      <c r="G74" s="4">
        <f>'All Binaries'!H27</f>
        <v>3.1005000000000003</v>
      </c>
      <c r="H74" s="4">
        <f>'All Binaries'!I27</f>
        <v>3.0185000000000137</v>
      </c>
      <c r="I74" s="4">
        <f>'All Binaries'!J27</f>
        <v>3.0675000000000185</v>
      </c>
      <c r="J74" s="4">
        <f>D74-(5*LOG(C74, 10)-5)</f>
        <v>-0.38993134206136926</v>
      </c>
      <c r="K74" s="4">
        <f>E74-(5*LOG(C74, 10)-5)</f>
        <v>-0.37393134206136924</v>
      </c>
      <c r="L74" s="4">
        <f>F74-(5*LOG(C74, 10)-5)</f>
        <v>-0.38693134206136914</v>
      </c>
      <c r="M74" s="4">
        <f>'Binary Summary'!J81</f>
        <v>1.105231210812925</v>
      </c>
      <c r="N74" t="b">
        <f t="shared" ref="N74" si="79">IF(I74&lt;4.5, TRUE, FALSE)</f>
        <v>1</v>
      </c>
    </row>
    <row r="75" spans="1:14">
      <c r="C75" s="38"/>
      <c r="G75" s="48">
        <f>'All Binaries'!H29</f>
        <v>3.605551275463989E-2</v>
      </c>
      <c r="H75" s="48">
        <f>'All Binaries'!I29</f>
        <v>3.0066592756745815E-2</v>
      </c>
      <c r="I75" s="48">
        <f>'All Binaries'!J29</f>
        <v>3.0149626863362672E-2</v>
      </c>
      <c r="J75" s="4">
        <f>G74+J74</f>
        <v>2.710568657938631</v>
      </c>
      <c r="K75" s="4">
        <f>H74+K74</f>
        <v>2.6445686579386445</v>
      </c>
      <c r="L75" s="4">
        <f t="shared" ref="L75" si="80">I74+L74</f>
        <v>2.6805686579386494</v>
      </c>
      <c r="M75" s="4">
        <f>'Binary Summary'!J82</f>
        <v>6.6313872648775503E-3</v>
      </c>
      <c r="N75"/>
    </row>
    <row r="76" spans="1:14">
      <c r="B76" s="190" t="s">
        <v>820</v>
      </c>
      <c r="C76" s="191">
        <v>149</v>
      </c>
      <c r="D76" s="192">
        <v>5.476</v>
      </c>
      <c r="E76" s="192">
        <v>5.492</v>
      </c>
      <c r="F76" s="192">
        <v>5.4790000000000001</v>
      </c>
      <c r="G76" s="193">
        <f>'Final Missed Binaries'!H32</f>
        <v>5.2732301200750005</v>
      </c>
      <c r="H76" s="193">
        <f>'Final Missed Binaries'!I32</f>
        <v>4.2623139336399998</v>
      </c>
      <c r="I76" s="193">
        <f>'Final Missed Binaries'!J32</f>
        <v>3.9845127808049998</v>
      </c>
      <c r="J76" s="193">
        <f>D76-(5*LOG(C76, 10)-5)</f>
        <v>-0.38993134206136926</v>
      </c>
      <c r="K76" s="193">
        <f>E76-(5*LOG(C76, 10)-5)</f>
        <v>-0.37393134206136924</v>
      </c>
      <c r="L76" s="193">
        <f>F76-(5*LOG(C76, 10)-5)</f>
        <v>-0.38693134206136914</v>
      </c>
      <c r="M76" s="194">
        <f>'Binary Summary'!J83</f>
        <v>3.5691505362416667</v>
      </c>
      <c r="N76" t="b">
        <f t="shared" ref="N76" si="81">IF(I76&lt;4.5, TRUE, FALSE)</f>
        <v>1</v>
      </c>
    </row>
    <row r="77" spans="1:14">
      <c r="B77" s="195"/>
      <c r="C77" s="196"/>
      <c r="D77" s="197"/>
      <c r="E77" s="197"/>
      <c r="F77" s="197"/>
      <c r="G77" s="198">
        <f>SQRT('Final Missed Binaries'!H33^2 + 0.03^2)</f>
        <v>6.205329930681603E-2</v>
      </c>
      <c r="H77" s="198">
        <f>SQRT('Final Missed Binaries'!I33^2 + 0.03^2)</f>
        <v>3.5045153615921136E-2</v>
      </c>
      <c r="I77" s="198">
        <f>SQRT('Final Missed Binaries'!J33^2 + 0.03^2)</f>
        <v>3.3651995439068827E-2</v>
      </c>
      <c r="J77" s="185">
        <f>G76+J76</f>
        <v>4.8832987780136312</v>
      </c>
      <c r="K77" s="185">
        <f>H76+K76</f>
        <v>3.8883825915786305</v>
      </c>
      <c r="L77" s="185">
        <f t="shared" ref="L77" si="82">I76+L76</f>
        <v>3.5975814387436307</v>
      </c>
      <c r="M77" s="199">
        <f>'Binary Summary'!J84</f>
        <v>2.1414903217450001E-2</v>
      </c>
      <c r="N77"/>
    </row>
    <row r="78" spans="1:14">
      <c r="B78" s="1" t="s">
        <v>498</v>
      </c>
      <c r="C78" s="38">
        <v>149</v>
      </c>
      <c r="D78" s="54">
        <v>5.3630000000000004</v>
      </c>
      <c r="E78" s="54">
        <v>5.3440000000000003</v>
      </c>
      <c r="F78" s="54">
        <v>5.3230000000000004</v>
      </c>
      <c r="G78" s="4">
        <f>'All Binaries'!H33</f>
        <v>2.6709999999999994</v>
      </c>
      <c r="H78" s="4">
        <f>'All Binaries'!I33</f>
        <v>2.5779999999999967</v>
      </c>
      <c r="I78" s="4">
        <f>'All Binaries'!J33</f>
        <v>2.5579999999999963</v>
      </c>
      <c r="J78" s="4">
        <f>D78-(5*LOG(C78, 10)-5)</f>
        <v>-0.5029313420613688</v>
      </c>
      <c r="K78" s="4">
        <f>E78-(5*LOG(C78, 10)-5)</f>
        <v>-0.52193134206136893</v>
      </c>
      <c r="L78" s="4">
        <f>F78-(5*LOG(C78, 10)-5)</f>
        <v>-0.54293134206136884</v>
      </c>
      <c r="M78" s="4">
        <f>'Binary Summary'!J85</f>
        <v>0.74484088114639457</v>
      </c>
      <c r="N78" t="b">
        <f t="shared" ref="N78" si="83">IF(I78&lt;4.5, TRUE, FALSE)</f>
        <v>1</v>
      </c>
    </row>
    <row r="79" spans="1:14">
      <c r="C79" s="38"/>
      <c r="G79" s="48">
        <f>'All Binaries'!H35</f>
        <v>3.0066592756745815E-2</v>
      </c>
      <c r="H79" s="48">
        <f>'All Binaries'!I35</f>
        <v>3.0066592756745815E-2</v>
      </c>
      <c r="I79" s="48">
        <f>'All Binaries'!J35</f>
        <v>3.0066592756745815E-2</v>
      </c>
      <c r="J79" s="4">
        <f>G78+J78</f>
        <v>2.1680686579386306</v>
      </c>
      <c r="K79" s="4">
        <f>H78+K78</f>
        <v>2.0560686579386278</v>
      </c>
      <c r="L79" s="4">
        <f t="shared" ref="L79" si="84">I78+L78</f>
        <v>2.0150686579386274</v>
      </c>
      <c r="M79" s="4">
        <f>'Binary Summary'!J86</f>
        <v>4.4690452868783679E-3</v>
      </c>
      <c r="N79"/>
    </row>
    <row r="80" spans="1:14">
      <c r="B80" s="1" t="s">
        <v>499</v>
      </c>
      <c r="C80" s="38">
        <v>149</v>
      </c>
      <c r="D80" s="54">
        <v>6.8479999999999999</v>
      </c>
      <c r="E80" s="54">
        <v>6.8710000000000004</v>
      </c>
      <c r="F80" s="54">
        <v>6.7910000000000004</v>
      </c>
      <c r="G80" s="4">
        <f>'All Binaries'!H36</f>
        <v>0.87349999999999905</v>
      </c>
      <c r="H80" s="4">
        <f>'All Binaries'!I36</f>
        <v>0.74299999999999766</v>
      </c>
      <c r="I80" s="4">
        <f>'All Binaries'!J36</f>
        <v>0.72300000000000075</v>
      </c>
      <c r="J80" s="4">
        <f>D80-(5*LOG(C80, 10)-5)</f>
        <v>0.98206865793863063</v>
      </c>
      <c r="K80" s="4">
        <f>E80-(5*LOG(C80, 10)-5)</f>
        <v>1.0050686579386312</v>
      </c>
      <c r="L80" s="4">
        <f>F80-(5*LOG(C80, 10)-5)</f>
        <v>0.92506865793863113</v>
      </c>
      <c r="M80" s="4">
        <f>'Binary Summary'!J87</f>
        <v>2.0494356610400613</v>
      </c>
      <c r="N80" t="b">
        <f t="shared" ref="N80" si="85">IF(I80&lt;4.5, TRUE, FALSE)</f>
        <v>1</v>
      </c>
    </row>
    <row r="81" spans="2:14">
      <c r="C81" s="38"/>
      <c r="G81" s="48">
        <f>'All Binaries'!H38</f>
        <v>3.0016662039607268E-2</v>
      </c>
      <c r="H81" s="48">
        <f>'All Binaries'!I38</f>
        <v>3.0016662039607268E-2</v>
      </c>
      <c r="I81" s="48">
        <f>'All Binaries'!J38</f>
        <v>3.0016662039607268E-2</v>
      </c>
      <c r="J81" s="4">
        <f>G80+J80</f>
        <v>1.8555686579386297</v>
      </c>
      <c r="K81" s="4">
        <f>H80+K80</f>
        <v>1.7480686579386289</v>
      </c>
      <c r="L81" s="4">
        <f t="shared" ref="L81" si="86">I80+L80</f>
        <v>1.6480686579386319</v>
      </c>
      <c r="M81" s="4">
        <f>'Binary Summary'!J88</f>
        <v>1.2296613966240369E-2</v>
      </c>
      <c r="N81"/>
    </row>
    <row r="82" spans="2:14">
      <c r="B82" s="1" t="s">
        <v>520</v>
      </c>
      <c r="C82" s="38">
        <v>149</v>
      </c>
      <c r="D82" s="54">
        <v>7.5410000000000004</v>
      </c>
      <c r="E82" s="54">
        <v>7.5739999999999998</v>
      </c>
      <c r="F82" s="54">
        <v>7.4740000000000002</v>
      </c>
      <c r="G82" s="4">
        <f>'All Binaries'!H39</f>
        <v>7.1234999999999991</v>
      </c>
      <c r="H82" s="4">
        <f>'All Binaries'!I39</f>
        <v>6.7410000000000005</v>
      </c>
      <c r="I82" s="4">
        <f>'All Binaries'!J39</f>
        <v>6.6850000000000005</v>
      </c>
      <c r="J82" s="4">
        <f>D82-(5*LOG(C82, 10)-5)</f>
        <v>1.6750686579386311</v>
      </c>
      <c r="K82" s="4">
        <f>E82-(5*LOG(C82, 10)-5)</f>
        <v>1.7080686579386306</v>
      </c>
      <c r="L82" s="4">
        <f>F82-(5*LOG(C82, 10)-5)</f>
        <v>1.608068657938631</v>
      </c>
      <c r="M82" s="4">
        <f>'Binary Summary'!J89</f>
        <v>3.9026246767887423</v>
      </c>
      <c r="N82" s="163" t="b">
        <f t="shared" ref="N82" si="87">IF(I82&lt;4.5, TRUE, FALSE)</f>
        <v>0</v>
      </c>
    </row>
    <row r="83" spans="2:14">
      <c r="C83" s="38"/>
      <c r="G83" s="48">
        <f>'All Binaries'!H41</f>
        <v>3.9051248379533277E-2</v>
      </c>
      <c r="H83" s="48">
        <f>'All Binaries'!I41</f>
        <v>3.5510561809129405E-2</v>
      </c>
      <c r="I83" s="48">
        <f>'All Binaries'!J41</f>
        <v>3.9698866482558416E-2</v>
      </c>
      <c r="J83" s="4">
        <f>G82+J82</f>
        <v>8.7985686579386311</v>
      </c>
      <c r="K83" s="4">
        <f>H82+K82</f>
        <v>8.449068657938632</v>
      </c>
      <c r="L83" s="4">
        <f t="shared" ref="L83" si="88">I82+L82</f>
        <v>8.2930686579386315</v>
      </c>
      <c r="M83" s="4">
        <f>'Binary Summary'!J90</f>
        <v>2.3415748060732454E-2</v>
      </c>
      <c r="N83"/>
    </row>
    <row r="84" spans="2:14">
      <c r="B84" s="1" t="s">
        <v>519</v>
      </c>
      <c r="C84" s="38">
        <v>149</v>
      </c>
      <c r="D84" s="54">
        <v>6.8680000000000003</v>
      </c>
      <c r="E84" s="54">
        <v>6.8440000000000003</v>
      </c>
      <c r="F84" s="54">
        <v>6.7560000000000002</v>
      </c>
      <c r="G84" s="4">
        <f>'All Binaries'!H42</f>
        <v>5.3999999999999382E-2</v>
      </c>
      <c r="H84" s="4">
        <f>'All Binaries'!I42</f>
        <v>2.9000000000000803E-2</v>
      </c>
      <c r="I84" s="4">
        <f>'All Binaries'!J42</f>
        <v>2.6000000000002466E-2</v>
      </c>
      <c r="J84" s="4">
        <f>D84-(5*LOG(C84, 10)-5)</f>
        <v>1.0020686579386311</v>
      </c>
      <c r="K84" s="4">
        <f>E84-(5*LOG(C84, 10)-5)</f>
        <v>0.97806865793863107</v>
      </c>
      <c r="L84" s="4">
        <f>F84-(5*LOG(C84, 10)-5)</f>
        <v>0.89006865793863099</v>
      </c>
      <c r="M84" s="4">
        <f>'Binary Summary'!J91</f>
        <v>0.52969083983528298</v>
      </c>
      <c r="N84" t="b">
        <f t="shared" ref="N84" si="89">IF(I84&lt;4.5, TRUE, FALSE)</f>
        <v>1</v>
      </c>
    </row>
    <row r="85" spans="2:14">
      <c r="C85" s="38"/>
      <c r="G85" s="48">
        <f>'All Binaries'!H44</f>
        <v>3.0016662039607268E-2</v>
      </c>
      <c r="H85" s="48">
        <f>'All Binaries'!I44</f>
        <v>3.0016662039607268E-2</v>
      </c>
      <c r="I85" s="48">
        <f>'All Binaries'!J44</f>
        <v>3.0016662039607268E-2</v>
      </c>
      <c r="J85" s="4">
        <f>G84+J84</f>
        <v>1.0560686579386305</v>
      </c>
      <c r="K85" s="4">
        <f>H84+K84</f>
        <v>1.0070686579386319</v>
      </c>
      <c r="L85" s="4">
        <f t="shared" ref="L85" si="90">I84+L84</f>
        <v>0.91606865793863346</v>
      </c>
      <c r="M85" s="4">
        <f>'Binary Summary'!J92</f>
        <v>3.1781450390116978E-3</v>
      </c>
      <c r="N85"/>
    </row>
    <row r="86" spans="2:14">
      <c r="B86" s="1" t="s">
        <v>518</v>
      </c>
      <c r="C86" s="38">
        <v>149</v>
      </c>
      <c r="D86" s="54">
        <v>7.4349999999999996</v>
      </c>
      <c r="E86" s="54">
        <v>7.45</v>
      </c>
      <c r="F86" s="54">
        <v>7.4790000000000001</v>
      </c>
      <c r="G86" s="4">
        <f>'All Binaries'!H45</f>
        <v>4.7864999999999993</v>
      </c>
      <c r="H86" s="4">
        <f>'All Binaries'!I45</f>
        <v>4.1664999999999983</v>
      </c>
      <c r="I86" s="4">
        <f>'All Binaries'!J45</f>
        <v>3.9104999999999972</v>
      </c>
      <c r="J86" s="4">
        <f>D86-(5*LOG(C86, 10)-5)</f>
        <v>1.5690686579386304</v>
      </c>
      <c r="K86" s="4">
        <f>E86-(5*LOG(C86, 10)-5)</f>
        <v>1.5840686579386309</v>
      </c>
      <c r="L86" s="4">
        <f>F86-(5*LOG(C86, 10)-5)</f>
        <v>1.6130686579386309</v>
      </c>
      <c r="M86" s="4">
        <f>'Binary Summary'!J93</f>
        <v>3.4166080416074096</v>
      </c>
      <c r="N86" t="b">
        <f t="shared" ref="N86" si="91">IF(I86&lt;4.5, TRUE, FALSE)</f>
        <v>1</v>
      </c>
    </row>
    <row r="87" spans="2:14">
      <c r="C87" s="38"/>
      <c r="G87" s="48">
        <f>'All Binaries'!H47</f>
        <v>3.026549190084311E-2</v>
      </c>
      <c r="H87" s="48">
        <f>'All Binaries'!I47</f>
        <v>3.026549190084311E-2</v>
      </c>
      <c r="I87" s="48">
        <f>'All Binaries'!J47</f>
        <v>3.026549190084311E-2</v>
      </c>
      <c r="J87" s="4">
        <f>G86+J86</f>
        <v>6.3555686579386297</v>
      </c>
      <c r="K87" s="4">
        <f>H86+K86</f>
        <v>5.7505686579386293</v>
      </c>
      <c r="L87" s="4">
        <f t="shared" ref="L87" si="92">I86+L86</f>
        <v>5.5235686579386281</v>
      </c>
      <c r="M87" s="4">
        <f>'Binary Summary'!J94</f>
        <v>2.0499648249644457E-2</v>
      </c>
      <c r="N87"/>
    </row>
    <row r="88" spans="2:14">
      <c r="B88" s="1" t="s">
        <v>517</v>
      </c>
      <c r="C88" s="38">
        <v>149</v>
      </c>
      <c r="D88" s="54">
        <v>7.1440000000000001</v>
      </c>
      <c r="E88" s="54">
        <v>7.1909999999999998</v>
      </c>
      <c r="F88" s="54">
        <v>7.194</v>
      </c>
      <c r="G88" s="4" t="s">
        <v>51</v>
      </c>
      <c r="H88" s="4" t="s">
        <v>51</v>
      </c>
      <c r="I88" s="4">
        <f>'All Binaries'!$J$48</f>
        <v>5.7759999999999998</v>
      </c>
      <c r="J88" s="4">
        <f>D88-(5*LOG(C88, 10)-5)</f>
        <v>1.2780686579386309</v>
      </c>
      <c r="K88" s="4">
        <f>E88-(5*LOG(C88, 10)-5)</f>
        <v>1.3250686579386306</v>
      </c>
      <c r="L88" s="4">
        <f>F88-(5*LOG(C88, 10)-5)</f>
        <v>1.3280686579386307</v>
      </c>
      <c r="M88" s="4">
        <f>'Binary Summary'!J95</f>
        <v>2.6165811559581762</v>
      </c>
      <c r="N88" s="163" t="b">
        <f t="shared" ref="N88" si="93">IF(I88&lt;4.5, TRUE, FALSE)</f>
        <v>0</v>
      </c>
    </row>
    <row r="89" spans="2:14">
      <c r="C89" s="38"/>
      <c r="G89" s="48"/>
      <c r="H89" s="48"/>
      <c r="I89" s="48">
        <f>'All Binaries'!$J$50</f>
        <v>3.3999999999999996E-2</v>
      </c>
      <c r="J89" s="4"/>
      <c r="K89" s="4"/>
      <c r="L89" s="4">
        <f t="shared" ref="L89" si="94">I88+L88</f>
        <v>7.1040686579386305</v>
      </c>
      <c r="M89" s="4">
        <f>'Binary Summary'!J96</f>
        <v>1.5699486935749057E-2</v>
      </c>
      <c r="N89"/>
    </row>
    <row r="90" spans="2:14">
      <c r="B90" s="1" t="s">
        <v>516</v>
      </c>
      <c r="C90" s="38">
        <v>149</v>
      </c>
      <c r="D90" s="54">
        <v>7.4690000000000003</v>
      </c>
      <c r="E90" s="54">
        <v>7.4260000000000002</v>
      </c>
      <c r="F90" s="54">
        <v>7.327</v>
      </c>
      <c r="G90" s="4">
        <f>'All Binaries'!H51</f>
        <v>8.3708069801149989</v>
      </c>
      <c r="H90" s="4">
        <f>'All Binaries'!I51</f>
        <v>7.8420291090349998</v>
      </c>
      <c r="I90" s="4">
        <f>'All Binaries'!J51</f>
        <v>7.551610808945</v>
      </c>
      <c r="J90" s="4">
        <f>D90-(5*LOG(C90, 10)-5)</f>
        <v>1.6030686579386311</v>
      </c>
      <c r="K90" s="4">
        <f>E90-(5*LOG(C90, 10)-5)</f>
        <v>1.5600686579386309</v>
      </c>
      <c r="L90" s="4">
        <f>F90-(5*LOG(C90, 10)-5)</f>
        <v>1.4610686579386307</v>
      </c>
      <c r="M90" s="4">
        <f>'Binary Summary'!J97</f>
        <v>4.7959707275649999</v>
      </c>
      <c r="N90" s="163" t="b">
        <f t="shared" ref="N90" si="95">IF(I90&lt;4.5, TRUE, FALSE)</f>
        <v>0</v>
      </c>
    </row>
    <row r="91" spans="2:14">
      <c r="C91" s="38"/>
      <c r="G91" s="48">
        <f>'All Binaries'!H53</f>
        <v>9.4948886893496467E-2</v>
      </c>
      <c r="H91" s="48">
        <f>'All Binaries'!I53</f>
        <v>6.7695922890261162E-2</v>
      </c>
      <c r="I91" s="48">
        <f>'All Binaries'!J53</f>
        <v>6.1923407045371033E-2</v>
      </c>
      <c r="J91" s="4">
        <f>G90+J90</f>
        <v>9.9738756380536309</v>
      </c>
      <c r="K91" s="4">
        <f>H90+K90</f>
        <v>9.4020977669736308</v>
      </c>
      <c r="L91" s="4">
        <f t="shared" ref="L91" si="96">I90+L90</f>
        <v>9.0126794668836308</v>
      </c>
      <c r="M91" s="4">
        <f>'Binary Summary'!J98</f>
        <v>2.8775824365390001E-2</v>
      </c>
      <c r="N91"/>
    </row>
    <row r="92" spans="2:14">
      <c r="B92" s="1" t="s">
        <v>515</v>
      </c>
      <c r="C92" s="38">
        <v>149</v>
      </c>
      <c r="D92" s="54">
        <v>7.4939999999999998</v>
      </c>
      <c r="E92" s="54">
        <v>7.5350000000000001</v>
      </c>
      <c r="F92" s="54">
        <v>7.4669999999999996</v>
      </c>
      <c r="G92" s="4" t="s">
        <v>51</v>
      </c>
      <c r="H92" s="4" t="s">
        <v>51</v>
      </c>
      <c r="I92" s="4">
        <f>'All Binaries'!$J$54</f>
        <v>6.450751462905</v>
      </c>
      <c r="J92" s="4">
        <f>D92-(5*LOG(C92, 10)-5)</f>
        <v>1.6280686579386305</v>
      </c>
      <c r="K92" s="4">
        <f>E92-(5*LOG(C92, 10)-5)</f>
        <v>1.6690686579386309</v>
      </c>
      <c r="L92" s="4">
        <f>F92-(5*LOG(C92, 10)-5)</f>
        <v>1.6010686579386304</v>
      </c>
      <c r="M92" s="4">
        <f>'Binary Summary'!J99</f>
        <v>4.5496268424400004</v>
      </c>
      <c r="N92" s="163" t="b">
        <f t="shared" ref="N92" si="97">IF(I92&lt;4.5, TRUE, FALSE)</f>
        <v>0</v>
      </c>
    </row>
    <row r="93" spans="2:14">
      <c r="C93" s="38"/>
      <c r="G93" s="48"/>
      <c r="H93" s="48"/>
      <c r="I93" s="48">
        <f>'All Binaries'!$J$56</f>
        <v>3.605551275463989E-2</v>
      </c>
      <c r="J93" s="4"/>
      <c r="K93" s="4"/>
      <c r="L93" s="4">
        <f t="shared" ref="L93" si="98">I92+L92</f>
        <v>8.0518201208436295</v>
      </c>
      <c r="M93" s="4">
        <f>'Binary Summary'!J100</f>
        <v>2.7297761054640001E-2</v>
      </c>
      <c r="N93"/>
    </row>
    <row r="94" spans="2:14">
      <c r="B94" s="1" t="s">
        <v>514</v>
      </c>
      <c r="C94" s="38">
        <v>149</v>
      </c>
      <c r="D94" s="54">
        <v>6.3819999999999997</v>
      </c>
      <c r="E94" s="54">
        <v>5.7050000000000001</v>
      </c>
      <c r="F94" s="54">
        <v>5.5270000000000001</v>
      </c>
      <c r="G94" s="4">
        <f>'All Binaries'!H58</f>
        <v>0.61031286081877134</v>
      </c>
      <c r="H94" s="4">
        <f>'All Binaries'!I58</f>
        <v>0.53667541247308215</v>
      </c>
      <c r="I94" s="4">
        <f>'All Binaries'!J58</f>
        <v>0.38725489996435769</v>
      </c>
      <c r="J94" s="4">
        <f>D94-(5*LOG(C94, 10)-5)</f>
        <v>0.51606865793863044</v>
      </c>
      <c r="K94" s="4">
        <f>E94-(5*LOG(C94, 10)-5)</f>
        <v>-0.16093134206136916</v>
      </c>
      <c r="L94" s="4">
        <f>F94-(5*LOG(C94, 10)-5)</f>
        <v>-0.3389313420613691</v>
      </c>
      <c r="M94" s="4">
        <f>'Binary Summary'!J101</f>
        <v>0.21134288999999998</v>
      </c>
      <c r="N94" t="b">
        <f t="shared" ref="N94" si="99">IF(I94&lt;4.5, TRUE, FALSE)</f>
        <v>1</v>
      </c>
    </row>
    <row r="95" spans="2:14">
      <c r="C95" s="38"/>
      <c r="G95" s="48">
        <f>'All Binaries'!H60</f>
        <v>0.2553423453594541</v>
      </c>
      <c r="H95" s="48">
        <f>'All Binaries'!I60</f>
        <v>0.11729051843392983</v>
      </c>
      <c r="I95" s="48">
        <f>'All Binaries'!J60</f>
        <v>5.9641787843280315E-2</v>
      </c>
      <c r="J95" s="4">
        <f>G94+J94</f>
        <v>1.1263815187574018</v>
      </c>
      <c r="K95" s="4">
        <f>H94+K94</f>
        <v>0.37574407041171298</v>
      </c>
      <c r="L95" s="4">
        <f t="shared" ref="L95" si="100">I94+L94</f>
        <v>4.832355790298859E-2</v>
      </c>
      <c r="M95" s="4">
        <f>'Binary Summary'!J102</f>
        <v>6.2958793082084595E-3</v>
      </c>
      <c r="N95"/>
    </row>
    <row r="96" spans="2:14">
      <c r="B96" s="1" t="s">
        <v>821</v>
      </c>
      <c r="C96" s="38">
        <v>149</v>
      </c>
      <c r="D96" s="54">
        <v>7.8129999999999997</v>
      </c>
      <c r="E96" s="54">
        <v>7.766</v>
      </c>
      <c r="F96" s="54">
        <v>7.7649999999999997</v>
      </c>
      <c r="G96" s="4">
        <f>'All Binaries'!H67</f>
        <v>9.1389056704599998</v>
      </c>
      <c r="H96" s="4">
        <f>'All Binaries'!I67</f>
        <v>8.6377105631166664</v>
      </c>
      <c r="I96" s="4">
        <f>'All Binaries'!J67</f>
        <v>8.7663485556266689</v>
      </c>
      <c r="J96" s="4">
        <f>D96-(5*LOG(C96, 10)-5)</f>
        <v>1.9470686579386305</v>
      </c>
      <c r="K96" s="4">
        <f>E96-(5*LOG(C96, 10)-5)</f>
        <v>1.9000686579386308</v>
      </c>
      <c r="L96" s="4">
        <f>F96-(5*LOG(C96, 10)-5)</f>
        <v>1.8990686579386304</v>
      </c>
      <c r="M96" s="4">
        <f>'Binary Summary'!J103</f>
        <v>4.2692539377300003</v>
      </c>
      <c r="N96" s="163" t="b">
        <f t="shared" ref="N96" si="101">IF(I96&lt;4.5, TRUE, FALSE)</f>
        <v>0</v>
      </c>
    </row>
    <row r="97" spans="2:14">
      <c r="C97" s="38"/>
      <c r="D97" s="54"/>
      <c r="E97" s="54"/>
      <c r="F97" s="54"/>
      <c r="G97" s="48">
        <f>'All Binaries'!H69</f>
        <v>0.16906868845600989</v>
      </c>
      <c r="H97" s="48">
        <f>'All Binaries'!I69</f>
        <v>0.19281791899225048</v>
      </c>
      <c r="I97" s="48">
        <f>'All Binaries'!J69</f>
        <v>6.9076010189668288E-2</v>
      </c>
      <c r="J97" s="4">
        <f>G96+J96</f>
        <v>11.085974328398631</v>
      </c>
      <c r="K97" s="4">
        <f>H96+K96</f>
        <v>10.537779221055297</v>
      </c>
      <c r="L97" s="4">
        <f t="shared" ref="L97" si="102">I96+L96</f>
        <v>10.665417213565298</v>
      </c>
      <c r="M97" s="4">
        <f>'Binary Summary'!J104</f>
        <v>2.5615523626380001E-2</v>
      </c>
      <c r="N97"/>
    </row>
    <row r="98" spans="2:14">
      <c r="B98" s="1" t="s">
        <v>822</v>
      </c>
      <c r="C98" s="38">
        <v>149</v>
      </c>
      <c r="D98" s="54">
        <v>7.8129999999999997</v>
      </c>
      <c r="E98" s="54">
        <v>7.766</v>
      </c>
      <c r="F98" s="54">
        <v>7.7649999999999997</v>
      </c>
      <c r="G98" s="4">
        <f>'All Binaries'!H70</f>
        <v>7.5933333333333337</v>
      </c>
      <c r="H98" s="4">
        <f>'All Binaries'!I70</f>
        <v>7.2226666666666688</v>
      </c>
      <c r="I98" s="4">
        <f>'All Binaries'!J70</f>
        <v>7.1186666666666687</v>
      </c>
      <c r="J98" s="4">
        <f>D98-(5*LOG(C98, 10)-5)</f>
        <v>1.9470686579386305</v>
      </c>
      <c r="K98" s="4">
        <f>E98-(5*LOG(C98, 10)-5)</f>
        <v>1.9000686579386308</v>
      </c>
      <c r="L98" s="4">
        <f>F98-(5*LOG(C98, 10)-5)</f>
        <v>1.8990686579386304</v>
      </c>
      <c r="M98" s="4">
        <f>'Binary Summary'!J105</f>
        <v>2.7573129260470126</v>
      </c>
      <c r="N98" s="163" t="b">
        <f t="shared" ref="N98" si="103">IF(I98&lt;4.5, TRUE, FALSE)</f>
        <v>0</v>
      </c>
    </row>
    <row r="99" spans="2:14">
      <c r="C99" s="38"/>
      <c r="D99" s="54"/>
      <c r="E99" s="54"/>
      <c r="F99" s="54"/>
      <c r="G99" s="48">
        <f>'All Binaries'!H72</f>
        <v>5.2646620657613628E-2</v>
      </c>
      <c r="H99" s="48">
        <f>'All Binaries'!I72</f>
        <v>4.2449970553582239E-2</v>
      </c>
      <c r="I99" s="48">
        <f>'All Binaries'!J72</f>
        <v>4.4560819860800016E-2</v>
      </c>
      <c r="J99" s="4">
        <f>G98+J98</f>
        <v>9.5404019912719633</v>
      </c>
      <c r="K99" s="4">
        <f>H98+K98</f>
        <v>9.1227353246052996</v>
      </c>
      <c r="L99" s="4">
        <f t="shared" ref="L99" si="104">I98+L98</f>
        <v>9.0177353246052991</v>
      </c>
      <c r="M99" s="4">
        <f>'Binary Summary'!J106</f>
        <v>1.6543877556282074E-2</v>
      </c>
      <c r="N99"/>
    </row>
    <row r="100" spans="2:14">
      <c r="B100" s="1" t="s">
        <v>823</v>
      </c>
      <c r="C100" s="38">
        <v>149</v>
      </c>
      <c r="D100" s="54">
        <v>7.8129999999999997</v>
      </c>
      <c r="E100" s="54">
        <v>7.766</v>
      </c>
      <c r="F100" s="54">
        <v>7.7649999999999997</v>
      </c>
      <c r="G100" s="4">
        <f>'All Binaries'!H73</f>
        <v>4.71</v>
      </c>
      <c r="H100" s="4">
        <f>'All Binaries'!I73</f>
        <v>4.08</v>
      </c>
      <c r="I100" s="4">
        <f>'All Binaries'!J73</f>
        <v>3.89</v>
      </c>
      <c r="J100" s="4">
        <f>D100-(5*LOG(C100, 10)-5)</f>
        <v>1.9470686579386305</v>
      </c>
      <c r="K100" s="4">
        <f>E100-(5*LOG(C100, 10)-5)</f>
        <v>1.9000686579386308</v>
      </c>
      <c r="L100" s="4">
        <f>F100-(5*LOG(C100, 10)-5)</f>
        <v>1.8990686579386304</v>
      </c>
      <c r="M100" s="4">
        <f>'Binary Summary'!J107</f>
        <v>4.5047062432049998</v>
      </c>
      <c r="N100" t="b">
        <f t="shared" ref="N100" si="105">IF(I100&lt;4.5, TRUE, FALSE)</f>
        <v>1</v>
      </c>
    </row>
    <row r="101" spans="2:14">
      <c r="C101" s="38"/>
      <c r="D101" s="54"/>
      <c r="E101" s="54"/>
      <c r="F101" s="54"/>
      <c r="G101" s="48">
        <f>'All Binaries'!H75</f>
        <v>3.2781500941919096E-2</v>
      </c>
      <c r="H101" s="48">
        <f>'All Binaries'!I75</f>
        <v>3.0560224011564899E-2</v>
      </c>
      <c r="I101" s="48">
        <f>'All Binaries'!J75</f>
        <v>3.0719672054718823E-2</v>
      </c>
      <c r="J101" s="4">
        <f>G100+J100</f>
        <v>6.6570686579386305</v>
      </c>
      <c r="K101" s="4">
        <f>H100+K100</f>
        <v>5.9800686579386308</v>
      </c>
      <c r="L101" s="4">
        <f t="shared" ref="L101" si="106">I100+L100</f>
        <v>5.7890686579386301</v>
      </c>
      <c r="M101" s="4">
        <f>'Binary Summary'!J108</f>
        <v>2.7028237459229998E-2</v>
      </c>
      <c r="N101"/>
    </row>
    <row r="102" spans="2:14">
      <c r="B102" s="1" t="s">
        <v>824</v>
      </c>
      <c r="C102" s="38">
        <v>149</v>
      </c>
      <c r="D102" s="54">
        <v>7.6280000000000001</v>
      </c>
      <c r="E102" s="54">
        <v>7.6630000000000003</v>
      </c>
      <c r="F102" s="54">
        <v>7.609</v>
      </c>
      <c r="G102" s="44">
        <f>'All Binaries'!H76</f>
        <v>7.2099999999999973</v>
      </c>
      <c r="H102" s="44">
        <f>'All Binaries'!I76</f>
        <v>6.7009999999999996</v>
      </c>
      <c r="I102" s="44">
        <f>'All Binaries'!J76</f>
        <v>6.400333333333335</v>
      </c>
      <c r="J102" s="4">
        <f>D102-(5*LOG(C102, 10)-5)</f>
        <v>1.7620686579386309</v>
      </c>
      <c r="K102" s="4">
        <f>E102-(5*LOG(C102, 10)-5)</f>
        <v>1.797068657938631</v>
      </c>
      <c r="L102" s="4">
        <f>F102-(5*LOG(C102, 10)-5)</f>
        <v>1.7430686579386307</v>
      </c>
      <c r="M102" s="4">
        <f>'Binary Summary'!J109</f>
        <v>2.5909688865016824</v>
      </c>
      <c r="N102" s="163" t="b">
        <f t="shared" ref="N102" si="107">IF(I102&lt;4.5, TRUE, FALSE)</f>
        <v>0</v>
      </c>
    </row>
    <row r="103" spans="2:14">
      <c r="C103" s="38"/>
      <c r="D103" s="54"/>
      <c r="E103" s="54"/>
      <c r="F103" s="54"/>
      <c r="G103" s="48">
        <f>'All Binaries'!H78</f>
        <v>4.1243181254602551E-2</v>
      </c>
      <c r="H103" s="48">
        <f>'All Binaries'!I78</f>
        <v>3.4936450242627058E-2</v>
      </c>
      <c r="I103" s="48">
        <f>'All Binaries'!J78</f>
        <v>3.9176239964776829E-2</v>
      </c>
      <c r="J103" s="4">
        <f>G102+J102</f>
        <v>8.9720686579386282</v>
      </c>
      <c r="K103" s="4">
        <f>H102+K102</f>
        <v>8.4980686579386315</v>
      </c>
      <c r="L103" s="4">
        <f t="shared" ref="L103" si="108">I102+L102</f>
        <v>8.1434019912719648</v>
      </c>
      <c r="M103" s="4">
        <f>'Binary Summary'!J110</f>
        <v>1.5545813319010095E-2</v>
      </c>
      <c r="N103"/>
    </row>
    <row r="104" spans="2:14">
      <c r="B104" s="38" t="s">
        <v>825</v>
      </c>
      <c r="C104" s="38">
        <v>149</v>
      </c>
      <c r="D104" s="54">
        <v>7.6280000000000001</v>
      </c>
      <c r="E104" s="54">
        <v>7.6630000000000003</v>
      </c>
      <c r="F104" s="54">
        <v>7.609</v>
      </c>
      <c r="G104" s="4">
        <f>'All Binaries'!H79</f>
        <v>8.6165127510600001</v>
      </c>
      <c r="H104" s="4">
        <f>'All Binaries'!I79</f>
        <v>8.2624603012333342</v>
      </c>
      <c r="I104" s="4">
        <f>'All Binaries'!J79</f>
        <v>7.9644215158599998</v>
      </c>
      <c r="J104" s="4">
        <f>D104-(5*LOG(C104, 10)-5)</f>
        <v>1.7620686579386309</v>
      </c>
      <c r="K104" s="4">
        <f>E104-(5*LOG(C104, 10)-5)</f>
        <v>1.797068657938631</v>
      </c>
      <c r="L104" s="4">
        <f>F104-(5*LOG(C104, 10)-5)</f>
        <v>1.7430686579386307</v>
      </c>
      <c r="M104" s="4">
        <f>'Binary Summary'!J111</f>
        <v>3.4646575185059993</v>
      </c>
      <c r="N104" s="163" t="b">
        <f t="shared" ref="N104" si="109">IF(I104&lt;4.5, TRUE, FALSE)</f>
        <v>0</v>
      </c>
    </row>
    <row r="105" spans="2:14">
      <c r="C105" s="38"/>
      <c r="D105" s="54"/>
      <c r="E105" s="54"/>
      <c r="F105" s="54"/>
      <c r="G105" s="48">
        <f>'All Binaries'!H81</f>
        <v>0.18125470552863918</v>
      </c>
      <c r="H105" s="48">
        <f>'All Binaries'!I81</f>
        <v>0.100552551248783</v>
      </c>
      <c r="I105" s="48">
        <f>'All Binaries'!J81</f>
        <v>0.14655609333581351</v>
      </c>
      <c r="J105" s="4">
        <f>G104+J104</f>
        <v>10.378581408998631</v>
      </c>
      <c r="K105" s="4">
        <f>H104+K104</f>
        <v>10.059528959171965</v>
      </c>
      <c r="L105" s="4">
        <f t="shared" ref="L105" si="110">I104+L104</f>
        <v>9.7074901737986306</v>
      </c>
      <c r="M105" s="4">
        <f>'Binary Summary'!J112</f>
        <v>2.0787945111035995E-2</v>
      </c>
      <c r="N105"/>
    </row>
    <row r="106" spans="2:14">
      <c r="B106" s="1" t="s">
        <v>829</v>
      </c>
      <c r="C106" s="38">
        <v>149</v>
      </c>
      <c r="D106" s="54">
        <v>7.6280000000000001</v>
      </c>
      <c r="E106" s="54">
        <v>7.6630000000000003</v>
      </c>
      <c r="F106" s="54">
        <v>7.609</v>
      </c>
      <c r="G106" s="4">
        <f>'All Binaries'!H82</f>
        <v>7.8909409646233328</v>
      </c>
      <c r="H106" s="4">
        <f>'All Binaries'!I82</f>
        <v>6.8297564570600002</v>
      </c>
      <c r="I106" s="4">
        <f>'All Binaries'!J82</f>
        <v>7.0754927434850003</v>
      </c>
      <c r="J106" s="4">
        <f>D106-(5*LOG(C106, 10)-5)</f>
        <v>1.7620686579386309</v>
      </c>
      <c r="K106" s="4">
        <f>E106-(5*LOG(C106, 10)-5)</f>
        <v>1.797068657938631</v>
      </c>
      <c r="L106" s="4">
        <f>F106-(5*LOG(C106, 10)-5)</f>
        <v>1.7430686579386307</v>
      </c>
      <c r="M106" s="4">
        <f>'Binary Summary'!J113</f>
        <v>4.2342255378969993</v>
      </c>
      <c r="N106" s="163" t="b">
        <f t="shared" ref="N106" si="111">IF(I106&lt;4.5, TRUE, FALSE)</f>
        <v>0</v>
      </c>
    </row>
    <row r="107" spans="2:14">
      <c r="C107" s="38"/>
      <c r="G107" s="48">
        <f>'All Binaries'!H84</f>
        <v>3.4478040371288154E-2</v>
      </c>
      <c r="H107" s="48">
        <f>'All Binaries'!I84</f>
        <v>3.307255363692535E-2</v>
      </c>
      <c r="I107" s="48">
        <f>'All Binaries'!J84</f>
        <v>5.2790779722138373E-2</v>
      </c>
      <c r="J107" s="4">
        <f>G106+J106</f>
        <v>9.6530096225619637</v>
      </c>
      <c r="K107" s="4">
        <f>H106+K106</f>
        <v>8.6268251149986312</v>
      </c>
      <c r="L107" s="4">
        <f t="shared" ref="L107:L109" si="112">I106+L106</f>
        <v>8.8185614014236311</v>
      </c>
      <c r="M107" s="4">
        <f>'Binary Summary'!J114</f>
        <v>2.5405353227381997E-2</v>
      </c>
      <c r="N107"/>
    </row>
    <row r="108" spans="2:14">
      <c r="B108" s="1" t="s">
        <v>325</v>
      </c>
      <c r="C108" s="38">
        <v>149</v>
      </c>
      <c r="D108" s="54">
        <v>7.9340000000000002</v>
      </c>
      <c r="E108" s="54">
        <v>7.984</v>
      </c>
      <c r="F108" s="54">
        <v>8.0030000000000001</v>
      </c>
      <c r="G108" s="4" t="s">
        <v>51</v>
      </c>
      <c r="H108" s="4" t="s">
        <v>51</v>
      </c>
      <c r="I108" s="4">
        <f>'All Binaries'!$J$85</f>
        <v>8.2649999999999988</v>
      </c>
      <c r="J108" s="4">
        <f>D108-(5*LOG(C108, 10)-5)</f>
        <v>2.0680686579386309</v>
      </c>
      <c r="K108" s="4">
        <f>E108-(5*LOG(C108, 10)-5)</f>
        <v>2.1180686579386307</v>
      </c>
      <c r="L108" s="4">
        <f>F108-(5*LOG(C108, 10)-5)</f>
        <v>2.1370686579386309</v>
      </c>
      <c r="M108" s="4">
        <f>'Binary Summary'!J115</f>
        <v>3.6039668811331285</v>
      </c>
      <c r="N108" s="163" t="b">
        <f t="shared" ref="N108" si="113">IF(I108&lt;4.5, TRUE, FALSE)</f>
        <v>0</v>
      </c>
    </row>
    <row r="109" spans="2:14">
      <c r="C109" s="38"/>
      <c r="G109" s="48"/>
      <c r="H109" s="48"/>
      <c r="I109" s="48">
        <f>'All Binaries'!$J$87</f>
        <v>4.131567845410361E-2</v>
      </c>
      <c r="J109" s="4"/>
      <c r="K109" s="4"/>
      <c r="L109" s="4">
        <f t="shared" si="112"/>
        <v>10.40206865793863</v>
      </c>
      <c r="M109" s="4">
        <f>'Binary Summary'!J116</f>
        <v>2.162380128679877E-2</v>
      </c>
      <c r="N109"/>
    </row>
    <row r="111" spans="2:14">
      <c r="G111" s="24" t="s">
        <v>877</v>
      </c>
      <c r="H111" s="24" t="s">
        <v>878</v>
      </c>
      <c r="I111" s="24" t="s">
        <v>879</v>
      </c>
      <c r="M111" s="24" t="s">
        <v>902</v>
      </c>
    </row>
    <row r="112" spans="2:14">
      <c r="G112" s="221">
        <f t="shared" ref="G112:I131" si="114">G2</f>
        <v>2.0300000000000029</v>
      </c>
      <c r="H112" s="221">
        <f t="shared" si="114"/>
        <v>1.9439999999999982</v>
      </c>
      <c r="I112" s="221">
        <f t="shared" si="114"/>
        <v>2.0654999999999841</v>
      </c>
      <c r="M112" s="4">
        <f t="shared" ref="M112:M143" si="115">M2</f>
        <v>0.57160817307811362</v>
      </c>
    </row>
    <row r="113" spans="7:13">
      <c r="G113" s="221">
        <f t="shared" si="114"/>
        <v>3.0066592756745815E-2</v>
      </c>
      <c r="H113" s="221">
        <f t="shared" si="114"/>
        <v>3.0066592756745815E-2</v>
      </c>
      <c r="I113" s="221">
        <f t="shared" si="114"/>
        <v>3.0149626863362672E-2</v>
      </c>
      <c r="M113" s="4">
        <f t="shared" si="115"/>
        <v>3.4296490384686817E-3</v>
      </c>
    </row>
    <row r="114" spans="7:13">
      <c r="G114" s="221">
        <f t="shared" si="114"/>
        <v>2.2960000000000154</v>
      </c>
      <c r="H114" s="221">
        <f t="shared" si="114"/>
        <v>2.0140000000000011</v>
      </c>
      <c r="I114" s="221">
        <f t="shared" si="114"/>
        <v>1.9844999999999953</v>
      </c>
      <c r="M114" s="4">
        <f t="shared" si="115"/>
        <v>1.2028845830368915</v>
      </c>
    </row>
    <row r="115" spans="7:13">
      <c r="G115" s="221">
        <f t="shared" si="114"/>
        <v>3.0066592756745815E-2</v>
      </c>
      <c r="H115" s="221">
        <f t="shared" si="114"/>
        <v>3.0066592756745815E-2</v>
      </c>
      <c r="I115" s="221">
        <f t="shared" si="114"/>
        <v>3.0066592756745815E-2</v>
      </c>
      <c r="M115" s="4">
        <f t="shared" si="115"/>
        <v>7.2173074982213488E-3</v>
      </c>
    </row>
    <row r="116" spans="7:13">
      <c r="G116" s="221">
        <f t="shared" si="114"/>
        <v>0.38649999999999807</v>
      </c>
      <c r="H116" s="221">
        <f t="shared" si="114"/>
        <v>0.37149999999999928</v>
      </c>
      <c r="I116" s="221">
        <f t="shared" si="114"/>
        <v>0.34849999999999959</v>
      </c>
      <c r="M116" s="4">
        <f t="shared" si="115"/>
        <v>0.40373915751857581</v>
      </c>
    </row>
    <row r="117" spans="7:13">
      <c r="G117" s="221">
        <f t="shared" si="114"/>
        <v>3.0016662039607268E-2</v>
      </c>
      <c r="H117" s="221">
        <f t="shared" si="114"/>
        <v>3.0016662039607268E-2</v>
      </c>
      <c r="I117" s="221">
        <f t="shared" si="114"/>
        <v>3.0016662039607268E-2</v>
      </c>
      <c r="M117" s="4">
        <f t="shared" si="115"/>
        <v>2.422434945111455E-3</v>
      </c>
    </row>
    <row r="118" spans="7:13">
      <c r="G118" s="221">
        <f t="shared" si="114"/>
        <v>5.2104573297366663</v>
      </c>
      <c r="H118" s="221">
        <f t="shared" si="114"/>
        <v>4.1559933459100007</v>
      </c>
      <c r="I118" s="221">
        <f t="shared" si="114"/>
        <v>4.0895852165033331</v>
      </c>
      <c r="M118" s="4">
        <f t="shared" si="115"/>
        <v>1.109016142345</v>
      </c>
    </row>
    <row r="119" spans="7:13">
      <c r="G119" s="221">
        <f t="shared" si="114"/>
        <v>5.3973147124894309E-2</v>
      </c>
      <c r="H119" s="221">
        <f t="shared" si="114"/>
        <v>4.3324333674661195E-2</v>
      </c>
      <c r="I119" s="221">
        <f t="shared" si="114"/>
        <v>5.5672843163638158E-2</v>
      </c>
      <c r="M119" s="4">
        <f t="shared" si="115"/>
        <v>6.6540968540700005E-3</v>
      </c>
    </row>
    <row r="120" spans="7:13">
      <c r="G120" s="221">
        <f t="shared" si="114"/>
        <v>1.9700000000000024</v>
      </c>
      <c r="H120" s="221">
        <f t="shared" si="114"/>
        <v>1.8050000000000033</v>
      </c>
      <c r="I120" s="221">
        <f t="shared" si="114"/>
        <v>1.8005000000000022</v>
      </c>
      <c r="M120" s="4">
        <f t="shared" si="115"/>
        <v>0.57335679368763881</v>
      </c>
    </row>
    <row r="121" spans="7:13">
      <c r="G121" s="221">
        <f t="shared" si="114"/>
        <v>3.0066592756745815E-2</v>
      </c>
      <c r="H121" s="221">
        <f t="shared" si="114"/>
        <v>3.0066592756745815E-2</v>
      </c>
      <c r="I121" s="221">
        <f t="shared" si="114"/>
        <v>3.0066592756745815E-2</v>
      </c>
      <c r="M121" s="4">
        <f t="shared" si="115"/>
        <v>3.4401407621258329E-3</v>
      </c>
    </row>
    <row r="122" spans="7:13">
      <c r="G122" s="221">
        <f t="shared" si="114"/>
        <v>1.4444999999999988</v>
      </c>
      <c r="H122" s="221">
        <f t="shared" si="114"/>
        <v>1.4705000000000057</v>
      </c>
      <c r="I122" s="221">
        <f t="shared" si="114"/>
        <v>1.4785000000000021</v>
      </c>
      <c r="M122" s="4">
        <f t="shared" si="115"/>
        <v>0.57152964787734195</v>
      </c>
    </row>
    <row r="123" spans="7:13">
      <c r="G123" s="221">
        <f t="shared" si="114"/>
        <v>3.0016662039607268E-2</v>
      </c>
      <c r="H123" s="221">
        <f t="shared" si="114"/>
        <v>3.0016662039607268E-2</v>
      </c>
      <c r="I123" s="221">
        <f t="shared" si="114"/>
        <v>3.0066592756745815E-2</v>
      </c>
      <c r="M123" s="4">
        <f t="shared" si="115"/>
        <v>3.429177887264052E-3</v>
      </c>
    </row>
    <row r="124" spans="7:13">
      <c r="G124" s="221">
        <f t="shared" si="114"/>
        <v>4</v>
      </c>
      <c r="H124" s="221">
        <f t="shared" si="114"/>
        <v>3.4000000000000004</v>
      </c>
      <c r="I124" s="221">
        <f t="shared" si="114"/>
        <v>3.23</v>
      </c>
      <c r="M124" s="4">
        <f t="shared" si="115"/>
        <v>0.399158497655</v>
      </c>
    </row>
    <row r="125" spans="7:13">
      <c r="G125" s="221">
        <f t="shared" si="114"/>
        <v>0.25</v>
      </c>
      <c r="H125" s="221">
        <f t="shared" si="114"/>
        <v>0.15811388300841897</v>
      </c>
      <c r="I125" s="221">
        <f t="shared" si="114"/>
        <v>0.13</v>
      </c>
      <c r="M125" s="4">
        <f t="shared" si="115"/>
        <v>2.3949509859300003E-3</v>
      </c>
    </row>
    <row r="126" spans="7:13">
      <c r="G126" s="221">
        <f t="shared" si="114"/>
        <v>5.9657505532749999</v>
      </c>
      <c r="H126" s="221">
        <f t="shared" si="114"/>
        <v>6.0633282185199997</v>
      </c>
      <c r="I126" s="221">
        <f t="shared" si="114"/>
        <v>6.2175714953250001</v>
      </c>
      <c r="M126" s="4">
        <f t="shared" si="115"/>
        <v>2.8551119122230824</v>
      </c>
    </row>
    <row r="127" spans="7:13">
      <c r="G127" s="221" t="str">
        <f t="shared" si="114"/>
        <v>???</v>
      </c>
      <c r="H127" s="221">
        <f t="shared" si="114"/>
        <v>5.0009999000199958E-2</v>
      </c>
      <c r="I127" s="221">
        <f t="shared" si="114"/>
        <v>5.0009999000199958E-2</v>
      </c>
      <c r="M127" s="4">
        <f t="shared" si="115"/>
        <v>1.7130671473338493E-2</v>
      </c>
    </row>
    <row r="128" spans="7:13">
      <c r="G128" s="221">
        <f t="shared" si="114"/>
        <v>0.15</v>
      </c>
      <c r="H128" s="221">
        <f t="shared" si="114"/>
        <v>0.25</v>
      </c>
      <c r="I128" s="221">
        <f t="shared" si="114"/>
        <v>0.3</v>
      </c>
      <c r="M128" s="4">
        <f t="shared" si="115"/>
        <v>0.29675365499999995</v>
      </c>
    </row>
    <row r="129" spans="7:13">
      <c r="G129" s="221">
        <f t="shared" si="114"/>
        <v>0.15</v>
      </c>
      <c r="H129" s="221">
        <f t="shared" si="114"/>
        <v>0.1</v>
      </c>
      <c r="I129" s="221">
        <f t="shared" si="114"/>
        <v>0.1</v>
      </c>
      <c r="M129" s="4">
        <f t="shared" si="115"/>
        <v>2.6398821639920297E-3</v>
      </c>
    </row>
    <row r="130" spans="7:13">
      <c r="G130" s="221">
        <f t="shared" si="114"/>
        <v>6.8624860812999993</v>
      </c>
      <c r="H130" s="221">
        <f t="shared" si="114"/>
        <v>6.0003637630433326</v>
      </c>
      <c r="I130" s="221">
        <f t="shared" si="114"/>
        <v>5.7838220210300006</v>
      </c>
      <c r="M130" s="4">
        <f t="shared" si="115"/>
        <v>2.1690783180122222</v>
      </c>
    </row>
    <row r="131" spans="7:13">
      <c r="G131" s="221">
        <f t="shared" si="114"/>
        <v>0.12482430360570866</v>
      </c>
      <c r="H131" s="221">
        <f t="shared" si="114"/>
        <v>4.782956720888476E-2</v>
      </c>
      <c r="I131" s="221">
        <f t="shared" si="114"/>
        <v>4.09552736138434E-2</v>
      </c>
      <c r="M131" s="4">
        <f t="shared" si="115"/>
        <v>1.3014469908073333E-2</v>
      </c>
    </row>
    <row r="132" spans="7:13">
      <c r="G132" s="221">
        <f t="shared" ref="G132:I151" si="116">G22</f>
        <v>1.7</v>
      </c>
      <c r="H132" s="221">
        <f t="shared" si="116"/>
        <v>1.5</v>
      </c>
      <c r="I132" s="221">
        <f t="shared" si="116"/>
        <v>1.6</v>
      </c>
      <c r="M132" s="4">
        <f t="shared" si="115"/>
        <v>0.22769999999999999</v>
      </c>
    </row>
    <row r="133" spans="7:13">
      <c r="G133" s="221">
        <f t="shared" si="116"/>
        <v>0.20615528128088306</v>
      </c>
      <c r="H133" s="221">
        <f t="shared" si="116"/>
        <v>0.1118033988749895</v>
      </c>
      <c r="I133" s="221">
        <f t="shared" si="116"/>
        <v>0.1118033988749895</v>
      </c>
      <c r="M133" s="4">
        <f t="shared" si="115"/>
        <v>3.465E-2</v>
      </c>
    </row>
    <row r="134" spans="7:13">
      <c r="G134" s="221">
        <f t="shared" si="116"/>
        <v>8.1017041618950003</v>
      </c>
      <c r="H134" s="221">
        <f t="shared" si="116"/>
        <v>7.5104437275549998</v>
      </c>
      <c r="I134" s="221">
        <f t="shared" si="116"/>
        <v>7.3370258902050001</v>
      </c>
      <c r="M134" s="4">
        <f t="shared" si="115"/>
        <v>3.5418935813466668</v>
      </c>
    </row>
    <row r="135" spans="7:13">
      <c r="G135" s="221">
        <f t="shared" si="116"/>
        <v>5.8002155132374181E-2</v>
      </c>
      <c r="H135" s="221">
        <f t="shared" si="116"/>
        <v>5.2945726928620034E-2</v>
      </c>
      <c r="I135" s="221">
        <f t="shared" si="116"/>
        <v>6.3247529596024532E-2</v>
      </c>
      <c r="M135" s="4">
        <f t="shared" si="115"/>
        <v>2.125136148808E-2</v>
      </c>
    </row>
    <row r="136" spans="7:13">
      <c r="G136" s="221">
        <f t="shared" si="116"/>
        <v>6.4460000000000024</v>
      </c>
      <c r="H136" s="221">
        <f t="shared" si="116"/>
        <v>5.8685000000000009</v>
      </c>
      <c r="I136" s="221">
        <f t="shared" si="116"/>
        <v>5.8819999999999997</v>
      </c>
      <c r="M136" s="4">
        <f t="shared" si="115"/>
        <v>3.112098383038687</v>
      </c>
    </row>
    <row r="137" spans="7:13">
      <c r="G137" s="221">
        <f t="shared" si="116"/>
        <v>4.4254943226717643E-2</v>
      </c>
      <c r="H137" s="221">
        <f t="shared" si="116"/>
        <v>3.7583240945932246E-2</v>
      </c>
      <c r="I137" s="221">
        <f t="shared" si="116"/>
        <v>4.0773766075750256E-2</v>
      </c>
      <c r="M137" s="4">
        <f t="shared" si="115"/>
        <v>1.8672590298232122E-2</v>
      </c>
    </row>
    <row r="138" spans="7:13">
      <c r="G138" s="221">
        <f t="shared" si="116"/>
        <v>3.5</v>
      </c>
      <c r="H138" s="221">
        <f t="shared" si="116"/>
        <v>3.09</v>
      </c>
      <c r="I138" s="221">
        <f t="shared" si="116"/>
        <v>2.74</v>
      </c>
      <c r="M138" s="4">
        <f t="shared" si="115"/>
        <v>0.35639999999999999</v>
      </c>
    </row>
    <row r="139" spans="7:13">
      <c r="G139" s="221" t="str">
        <f t="shared" si="116"/>
        <v>???</v>
      </c>
      <c r="H139" s="221">
        <f t="shared" si="116"/>
        <v>0.1118033988749895</v>
      </c>
      <c r="I139" s="221">
        <f t="shared" si="116"/>
        <v>0.1118033988749895</v>
      </c>
      <c r="M139" s="4">
        <f t="shared" si="115"/>
        <v>2.1384E-2</v>
      </c>
    </row>
    <row r="140" spans="7:13">
      <c r="G140" s="221">
        <f t="shared" si="116"/>
        <v>7.9</v>
      </c>
      <c r="H140" s="221">
        <f t="shared" si="116"/>
        <v>7.39</v>
      </c>
      <c r="I140" s="221">
        <f t="shared" si="116"/>
        <v>7.05</v>
      </c>
      <c r="M140" s="4">
        <f t="shared" si="115"/>
        <v>2.0027699999999999</v>
      </c>
    </row>
    <row r="141" spans="7:13">
      <c r="G141" s="221">
        <f t="shared" si="116"/>
        <v>0.20615528128088306</v>
      </c>
      <c r="H141" s="221">
        <f t="shared" si="116"/>
        <v>0.1118033988749895</v>
      </c>
      <c r="I141" s="221">
        <f t="shared" si="116"/>
        <v>0.1118033988749895</v>
      </c>
      <c r="M141" s="4">
        <f t="shared" si="115"/>
        <v>1.201662E-2</v>
      </c>
    </row>
    <row r="142" spans="7:13">
      <c r="G142" s="221">
        <f t="shared" si="116"/>
        <v>7.0450000000000044</v>
      </c>
      <c r="H142" s="221">
        <f t="shared" si="116"/>
        <v>6.166999999999998</v>
      </c>
      <c r="I142" s="221">
        <f t="shared" si="116"/>
        <v>6.0405000000000015</v>
      </c>
      <c r="M142" s="4">
        <f t="shared" si="115"/>
        <v>3.7917447485087865</v>
      </c>
    </row>
    <row r="143" spans="7:13">
      <c r="G143" s="221">
        <f t="shared" si="116"/>
        <v>4.8283019789569927E-2</v>
      </c>
      <c r="H143" s="221">
        <f t="shared" si="116"/>
        <v>4.0755367744629636E-2</v>
      </c>
      <c r="I143" s="221">
        <f t="shared" si="116"/>
        <v>4.1967249135486606E-2</v>
      </c>
      <c r="M143" s="4">
        <f t="shared" si="115"/>
        <v>2.2750468491052719E-2</v>
      </c>
    </row>
    <row r="144" spans="7:13">
      <c r="G144" s="221">
        <f t="shared" si="116"/>
        <v>2.2524999999999906</v>
      </c>
      <c r="H144" s="221">
        <f t="shared" si="116"/>
        <v>2.1419999999999995</v>
      </c>
      <c r="I144" s="221">
        <f t="shared" si="116"/>
        <v>2.0500000000000123</v>
      </c>
      <c r="M144" s="4">
        <f t="shared" ref="M144:M175" si="117">M34</f>
        <v>1.2764508589239245</v>
      </c>
    </row>
    <row r="145" spans="7:13">
      <c r="G145" s="221">
        <f t="shared" si="116"/>
        <v>3.0033314835362413E-2</v>
      </c>
      <c r="H145" s="221">
        <f t="shared" si="116"/>
        <v>3.0033314835362413E-2</v>
      </c>
      <c r="I145" s="221">
        <f t="shared" si="116"/>
        <v>3.0033314835362413E-2</v>
      </c>
      <c r="M145" s="4">
        <f t="shared" si="117"/>
        <v>7.6587051535435468E-3</v>
      </c>
    </row>
    <row r="146" spans="7:13">
      <c r="G146" s="221">
        <f t="shared" si="116"/>
        <v>5.4839999999999982</v>
      </c>
      <c r="H146" s="221">
        <f t="shared" si="116"/>
        <v>4.8999999999999986</v>
      </c>
      <c r="I146" s="221">
        <f t="shared" si="116"/>
        <v>4.7834999999999983</v>
      </c>
      <c r="M146" s="4">
        <f t="shared" si="117"/>
        <v>4.3968029661754429</v>
      </c>
    </row>
    <row r="147" spans="7:13">
      <c r="G147" s="221">
        <f t="shared" si="116"/>
        <v>3.1941352507368889E-2</v>
      </c>
      <c r="H147" s="221">
        <f t="shared" si="116"/>
        <v>3.1084562084739104E-2</v>
      </c>
      <c r="I147" s="221">
        <f t="shared" si="116"/>
        <v>3.1176914536239792E-2</v>
      </c>
      <c r="M147" s="4">
        <f t="shared" si="117"/>
        <v>2.6380817797052657E-2</v>
      </c>
    </row>
    <row r="148" spans="7:13">
      <c r="G148" s="221">
        <f t="shared" si="116"/>
        <v>7.42</v>
      </c>
      <c r="H148" s="221">
        <f t="shared" si="116"/>
        <v>6.96</v>
      </c>
      <c r="I148" s="221">
        <f t="shared" si="116"/>
        <v>6.6734964522600002</v>
      </c>
      <c r="M148" s="4">
        <f t="shared" si="117"/>
        <v>4.005580542901285</v>
      </c>
    </row>
    <row r="149" spans="7:13">
      <c r="G149" s="221">
        <f t="shared" si="116"/>
        <v>0.10005123687391375</v>
      </c>
      <c r="H149" s="221">
        <f t="shared" si="116"/>
        <v>5.6375970058172853E-2</v>
      </c>
      <c r="I149" s="221">
        <f t="shared" si="116"/>
        <v>4.8283019789569927E-2</v>
      </c>
      <c r="M149" s="4">
        <f t="shared" si="117"/>
        <v>2.4033483257407711E-2</v>
      </c>
    </row>
    <row r="150" spans="7:13">
      <c r="G150" s="221">
        <f t="shared" si="116"/>
        <v>4.879999999999999</v>
      </c>
      <c r="H150" s="221">
        <f t="shared" si="116"/>
        <v>4.1690000000000014</v>
      </c>
      <c r="I150" s="221">
        <f t="shared" si="116"/>
        <v>3.9894999999999996</v>
      </c>
      <c r="M150" s="4">
        <f t="shared" si="117"/>
        <v>3.2336666271065182</v>
      </c>
    </row>
    <row r="151" spans="7:13">
      <c r="G151" s="221">
        <f t="shared" si="116"/>
        <v>3.1084562084739104E-2</v>
      </c>
      <c r="H151" s="221">
        <f t="shared" si="116"/>
        <v>3.0528675044947495E-2</v>
      </c>
      <c r="I151" s="221">
        <f t="shared" si="116"/>
        <v>3.1575306807693888E-2</v>
      </c>
      <c r="M151" s="4">
        <f t="shared" si="117"/>
        <v>1.9401999762639111E-2</v>
      </c>
    </row>
    <row r="152" spans="7:13">
      <c r="G152" s="221">
        <f t="shared" ref="G152:I171" si="118">G42</f>
        <v>2.8</v>
      </c>
      <c r="H152" s="221">
        <f t="shared" si="118"/>
        <v>2.7</v>
      </c>
      <c r="I152" s="221">
        <f t="shared" si="118"/>
        <v>2.5499999999999998</v>
      </c>
      <c r="M152" s="4">
        <f t="shared" si="117"/>
        <v>0.47754605250000004</v>
      </c>
    </row>
    <row r="153" spans="7:13">
      <c r="G153" s="221">
        <f t="shared" si="118"/>
        <v>0.1044030650891055</v>
      </c>
      <c r="H153" s="221">
        <f t="shared" si="118"/>
        <v>0.1044030650891055</v>
      </c>
      <c r="I153" s="221">
        <f t="shared" si="118"/>
        <v>5.8309518948453008E-2</v>
      </c>
      <c r="M153" s="4">
        <f t="shared" si="117"/>
        <v>3.4558719791763916E-3</v>
      </c>
    </row>
    <row r="154" spans="7:13">
      <c r="G154" s="221">
        <f t="shared" si="118"/>
        <v>4.9000000000000004</v>
      </c>
      <c r="H154" s="221">
        <f t="shared" si="118"/>
        <v>4.45</v>
      </c>
      <c r="I154" s="221">
        <f t="shared" si="118"/>
        <v>4.2</v>
      </c>
      <c r="M154" s="4">
        <f t="shared" si="117"/>
        <v>0.6938557245852861</v>
      </c>
    </row>
    <row r="155" spans="7:13">
      <c r="G155" s="221">
        <f t="shared" si="118"/>
        <v>0.25</v>
      </c>
      <c r="H155" s="221">
        <f t="shared" si="118"/>
        <v>0.05</v>
      </c>
      <c r="I155" s="221">
        <f t="shared" si="118"/>
        <v>0.05</v>
      </c>
      <c r="M155" s="4">
        <f t="shared" si="117"/>
        <v>4.1631343475117171E-3</v>
      </c>
    </row>
    <row r="156" spans="7:13">
      <c r="G156" s="221">
        <f t="shared" si="118"/>
        <v>0.56850000000000556</v>
      </c>
      <c r="H156" s="221">
        <f t="shared" si="118"/>
        <v>0.58000000000000185</v>
      </c>
      <c r="I156" s="221">
        <f t="shared" si="118"/>
        <v>0.55650000000000333</v>
      </c>
      <c r="M156" s="4">
        <f t="shared" si="117"/>
        <v>2.1484625236558927</v>
      </c>
    </row>
    <row r="157" spans="7:13">
      <c r="G157" s="221">
        <f t="shared" si="118"/>
        <v>3.0008332176247314E-2</v>
      </c>
      <c r="H157" s="221">
        <f t="shared" si="118"/>
        <v>3.0008332176247314E-2</v>
      </c>
      <c r="I157" s="221">
        <f t="shared" si="118"/>
        <v>3.0008332176247314E-2</v>
      </c>
      <c r="M157" s="4">
        <f t="shared" si="117"/>
        <v>1.2890775141935356E-2</v>
      </c>
    </row>
    <row r="158" spans="7:13">
      <c r="G158" s="221">
        <f t="shared" si="118"/>
        <v>8.5318827414266636</v>
      </c>
      <c r="H158" s="221">
        <f t="shared" si="118"/>
        <v>7.519275222194147</v>
      </c>
      <c r="I158" s="221">
        <f t="shared" si="118"/>
        <v>7.3851493040454637</v>
      </c>
      <c r="M158" s="4">
        <f t="shared" si="117"/>
        <v>3.4854848631810413</v>
      </c>
    </row>
    <row r="159" spans="7:13">
      <c r="G159" s="221">
        <f t="shared" si="118"/>
        <v>5.0019996001599204E-2</v>
      </c>
      <c r="H159" s="221">
        <f t="shared" si="118"/>
        <v>5.0019996001599204E-2</v>
      </c>
      <c r="I159" s="221">
        <f t="shared" si="118"/>
        <v>5.0019996001599204E-2</v>
      </c>
      <c r="M159" s="4">
        <f t="shared" si="117"/>
        <v>2.091290917908625E-2</v>
      </c>
    </row>
    <row r="160" spans="7:13">
      <c r="G160" s="221">
        <f t="shared" si="118"/>
        <v>1.892404878284264</v>
      </c>
      <c r="H160" s="221">
        <f t="shared" si="118"/>
        <v>1.6195437047215933</v>
      </c>
      <c r="I160" s="221">
        <f t="shared" si="118"/>
        <v>1.4836495489151122</v>
      </c>
      <c r="M160" s="4">
        <f t="shared" si="117"/>
        <v>0.75185599499999989</v>
      </c>
    </row>
    <row r="161" spans="7:13">
      <c r="G161" s="221">
        <f t="shared" si="118"/>
        <v>5.5162098789451011E-2</v>
      </c>
      <c r="H161" s="221">
        <f t="shared" si="118"/>
        <v>5.0849919230578938E-2</v>
      </c>
      <c r="I161" s="221">
        <f t="shared" si="118"/>
        <v>5.0267143517829467E-2</v>
      </c>
      <c r="M161" s="4">
        <f t="shared" si="117"/>
        <v>4.6323463834134024E-3</v>
      </c>
    </row>
    <row r="162" spans="7:13">
      <c r="G162" s="221">
        <f t="shared" si="118"/>
        <v>0.7634870026660785</v>
      </c>
      <c r="H162" s="221">
        <f t="shared" si="118"/>
        <v>0.65900874430839451</v>
      </c>
      <c r="I162" s="221">
        <f t="shared" si="118"/>
        <v>0.65900874430839451</v>
      </c>
      <c r="M162" s="4">
        <f t="shared" si="117"/>
        <v>0.45971392499999997</v>
      </c>
    </row>
    <row r="163" spans="7:13">
      <c r="G163" s="221">
        <f t="shared" si="118"/>
        <v>0.19510070659606951</v>
      </c>
      <c r="H163" s="221">
        <f t="shared" si="118"/>
        <v>0.10218156109871963</v>
      </c>
      <c r="I163" s="221">
        <f t="shared" si="118"/>
        <v>7.1101034752365899E-2</v>
      </c>
      <c r="M163" s="4">
        <f t="shared" si="117"/>
        <v>4.7837580449322011E-3</v>
      </c>
    </row>
    <row r="164" spans="7:13">
      <c r="G164" s="221">
        <f t="shared" si="118"/>
        <v>5.7925000000000004</v>
      </c>
      <c r="H164" s="221">
        <f t="shared" si="118"/>
        <v>5.142000000000003</v>
      </c>
      <c r="I164" s="221">
        <f t="shared" si="118"/>
        <v>4.9629999999999992</v>
      </c>
      <c r="M164" s="4">
        <f t="shared" si="117"/>
        <v>3.8137083133195055</v>
      </c>
    </row>
    <row r="165" spans="7:13">
      <c r="G165" s="221">
        <f t="shared" si="118"/>
        <v>3.1819805153394637E-2</v>
      </c>
      <c r="H165" s="221">
        <f t="shared" si="118"/>
        <v>3.1276988346066827E-2</v>
      </c>
      <c r="I165" s="221">
        <f t="shared" si="118"/>
        <v>3.0907118921051181E-2</v>
      </c>
      <c r="M165" s="4">
        <f t="shared" si="117"/>
        <v>2.2882249879917035E-2</v>
      </c>
    </row>
    <row r="166" spans="7:13">
      <c r="G166" s="221">
        <f t="shared" si="118"/>
        <v>7.3706973795750006</v>
      </c>
      <c r="H166" s="221">
        <f t="shared" si="118"/>
        <v>6.7569662201750003</v>
      </c>
      <c r="I166" s="221">
        <f t="shared" si="118"/>
        <v>6.5493159618950001</v>
      </c>
      <c r="M166" s="4">
        <f t="shared" si="117"/>
        <v>4.7068491750333328</v>
      </c>
    </row>
    <row r="167" spans="7:13">
      <c r="G167" s="221">
        <f t="shared" si="118"/>
        <v>0.1044030650891055</v>
      </c>
      <c r="H167" s="221">
        <f t="shared" si="118"/>
        <v>0.11111129788140219</v>
      </c>
      <c r="I167" s="221">
        <f t="shared" si="118"/>
        <v>7.6927876563393588E-2</v>
      </c>
      <c r="M167" s="4">
        <f t="shared" si="117"/>
        <v>2.8241095050199998E-2</v>
      </c>
    </row>
    <row r="168" spans="7:13">
      <c r="G168" s="221" t="str">
        <f t="shared" si="118"/>
        <v>-</v>
      </c>
      <c r="H168" s="221" t="str">
        <f t="shared" si="118"/>
        <v>-</v>
      </c>
      <c r="I168" s="221">
        <f t="shared" si="118"/>
        <v>6.5259999999999998</v>
      </c>
      <c r="M168" s="4">
        <f t="shared" si="117"/>
        <v>3.185413776312946</v>
      </c>
    </row>
    <row r="169" spans="7:13">
      <c r="G169" s="221">
        <f t="shared" si="118"/>
        <v>0</v>
      </c>
      <c r="H169" s="221">
        <f t="shared" si="118"/>
        <v>0</v>
      </c>
      <c r="I169" s="221">
        <f t="shared" si="118"/>
        <v>3.2522381668103263E-2</v>
      </c>
      <c r="M169" s="4">
        <f t="shared" si="117"/>
        <v>1.9112482657877676E-2</v>
      </c>
    </row>
    <row r="170" spans="7:13">
      <c r="G170" s="221" t="str">
        <f t="shared" si="118"/>
        <v>-</v>
      </c>
      <c r="H170" s="221" t="str">
        <f t="shared" si="118"/>
        <v>-</v>
      </c>
      <c r="I170" s="221">
        <f t="shared" si="118"/>
        <v>7.8030000000000008</v>
      </c>
      <c r="M170" s="4">
        <f t="shared" si="117"/>
        <v>3.5872937270329137</v>
      </c>
    </row>
    <row r="171" spans="7:13">
      <c r="G171" s="221">
        <f t="shared" si="118"/>
        <v>0</v>
      </c>
      <c r="H171" s="221">
        <f t="shared" si="118"/>
        <v>0</v>
      </c>
      <c r="I171" s="221">
        <f t="shared" si="118"/>
        <v>4.2778124357333511E-2</v>
      </c>
      <c r="M171" s="4">
        <f t="shared" si="117"/>
        <v>2.1523762362197482E-2</v>
      </c>
    </row>
    <row r="172" spans="7:13">
      <c r="G172" s="221" t="str">
        <f t="shared" ref="G172:I191" si="119">G62</f>
        <v>-</v>
      </c>
      <c r="H172" s="221" t="str">
        <f t="shared" si="119"/>
        <v>-</v>
      </c>
      <c r="I172" s="221">
        <f t="shared" si="119"/>
        <v>5.4326913184154897</v>
      </c>
      <c r="M172" s="4">
        <f t="shared" si="117"/>
        <v>0.98900329486649996</v>
      </c>
    </row>
    <row r="173" spans="7:13">
      <c r="G173" s="221">
        <f t="shared" si="119"/>
        <v>0</v>
      </c>
      <c r="H173" s="221">
        <f t="shared" si="119"/>
        <v>0</v>
      </c>
      <c r="I173" s="221">
        <f t="shared" si="119"/>
        <v>0.14430589362478768</v>
      </c>
      <c r="M173" s="4">
        <f t="shared" si="117"/>
        <v>5.9340197691990001E-3</v>
      </c>
    </row>
    <row r="174" spans="7:13">
      <c r="G174" s="221" t="str">
        <f t="shared" si="119"/>
        <v>-</v>
      </c>
      <c r="H174" s="221" t="str">
        <f t="shared" si="119"/>
        <v>-</v>
      </c>
      <c r="I174" s="221">
        <f t="shared" si="119"/>
        <v>6.0344655105099996</v>
      </c>
      <c r="M174" s="4">
        <f t="shared" si="117"/>
        <v>4.6200677048149998</v>
      </c>
    </row>
    <row r="175" spans="7:13">
      <c r="G175" s="221">
        <f t="shared" si="119"/>
        <v>0</v>
      </c>
      <c r="H175" s="221">
        <f t="shared" si="119"/>
        <v>0</v>
      </c>
      <c r="I175" s="221">
        <f t="shared" si="119"/>
        <v>3.5331905039857725E-2</v>
      </c>
      <c r="M175" s="4">
        <f t="shared" si="117"/>
        <v>2.772040622889E-2</v>
      </c>
    </row>
    <row r="176" spans="7:13">
      <c r="G176" s="221" t="str">
        <f t="shared" si="119"/>
        <v>-</v>
      </c>
      <c r="H176" s="221" t="str">
        <f t="shared" si="119"/>
        <v>-</v>
      </c>
      <c r="I176" s="221">
        <f t="shared" si="119"/>
        <v>7.9113200304250002</v>
      </c>
      <c r="M176" s="4">
        <f t="shared" ref="M176:M207" si="120">M66</f>
        <v>2.735295995215</v>
      </c>
    </row>
    <row r="177" spans="7:13">
      <c r="G177" s="221">
        <f t="shared" si="119"/>
        <v>0</v>
      </c>
      <c r="H177" s="221">
        <f t="shared" si="119"/>
        <v>0</v>
      </c>
      <c r="I177" s="221">
        <f t="shared" si="119"/>
        <v>0.13490836961071853</v>
      </c>
      <c r="M177" s="4">
        <f t="shared" si="120"/>
        <v>1.641177597129E-2</v>
      </c>
    </row>
    <row r="178" spans="7:13">
      <c r="G178" s="221">
        <f t="shared" si="119"/>
        <v>5.8354999999999979</v>
      </c>
      <c r="H178" s="221">
        <f t="shared" si="119"/>
        <v>5.6439999999999966</v>
      </c>
      <c r="I178" s="221">
        <f t="shared" si="119"/>
        <v>5.6759999999999984</v>
      </c>
      <c r="M178" s="4">
        <f t="shared" si="120"/>
        <v>2.5909844766860215</v>
      </c>
    </row>
    <row r="179" spans="7:13">
      <c r="G179" s="221">
        <f t="shared" si="119"/>
        <v>3.2729955698106286E-2</v>
      </c>
      <c r="H179" s="221">
        <f t="shared" si="119"/>
        <v>3.3166247903554019E-2</v>
      </c>
      <c r="I179" s="221">
        <f t="shared" si="119"/>
        <v>3.4124771061503113E-2</v>
      </c>
      <c r="M179" s="4">
        <f t="shared" si="120"/>
        <v>1.5545906860116129E-2</v>
      </c>
    </row>
    <row r="180" spans="7:13">
      <c r="G180" s="221">
        <f t="shared" si="119"/>
        <v>1.25</v>
      </c>
      <c r="H180" s="221">
        <f t="shared" si="119"/>
        <v>1.35</v>
      </c>
      <c r="I180" s="221">
        <f t="shared" si="119"/>
        <v>1.05</v>
      </c>
      <c r="M180" s="4">
        <f t="shared" si="120"/>
        <v>0.15354597500000003</v>
      </c>
    </row>
    <row r="181" spans="7:13">
      <c r="G181" s="221" t="str">
        <f t="shared" si="119"/>
        <v>???</v>
      </c>
      <c r="H181" s="221">
        <f t="shared" si="119"/>
        <v>0.15</v>
      </c>
      <c r="I181" s="221">
        <f t="shared" si="119"/>
        <v>0.1</v>
      </c>
      <c r="M181" s="4">
        <f t="shared" si="120"/>
        <v>8.4732730534508444E-3</v>
      </c>
    </row>
    <row r="182" spans="7:13">
      <c r="G182" s="221">
        <f t="shared" si="119"/>
        <v>1.4634999999999989</v>
      </c>
      <c r="H182" s="221">
        <f t="shared" si="119"/>
        <v>1.3639999999999981</v>
      </c>
      <c r="I182" s="221">
        <f t="shared" si="119"/>
        <v>1.3429999999999982</v>
      </c>
      <c r="M182" s="4">
        <f t="shared" si="120"/>
        <v>2.896157275171265</v>
      </c>
    </row>
    <row r="183" spans="7:13">
      <c r="G183" s="221">
        <f t="shared" si="119"/>
        <v>3.0016662039607268E-2</v>
      </c>
      <c r="H183" s="221">
        <f t="shared" si="119"/>
        <v>3.0016662039607268E-2</v>
      </c>
      <c r="I183" s="221">
        <f t="shared" si="119"/>
        <v>3.0016662039607268E-2</v>
      </c>
      <c r="M183" s="4">
        <f t="shared" si="120"/>
        <v>1.7376943651027592E-2</v>
      </c>
    </row>
    <row r="184" spans="7:13">
      <c r="G184" s="221">
        <f t="shared" si="119"/>
        <v>3.1005000000000003</v>
      </c>
      <c r="H184" s="221">
        <f t="shared" si="119"/>
        <v>3.0185000000000137</v>
      </c>
      <c r="I184" s="221">
        <f t="shared" si="119"/>
        <v>3.0675000000000185</v>
      </c>
      <c r="M184" s="4">
        <f t="shared" si="120"/>
        <v>1.105231210812925</v>
      </c>
    </row>
    <row r="185" spans="7:13">
      <c r="G185" s="221">
        <f t="shared" si="119"/>
        <v>3.605551275463989E-2</v>
      </c>
      <c r="H185" s="221">
        <f t="shared" si="119"/>
        <v>3.0066592756745815E-2</v>
      </c>
      <c r="I185" s="221">
        <f t="shared" si="119"/>
        <v>3.0149626863362672E-2</v>
      </c>
      <c r="M185" s="4">
        <f t="shared" si="120"/>
        <v>6.6313872648775503E-3</v>
      </c>
    </row>
    <row r="186" spans="7:13">
      <c r="G186" s="221">
        <f t="shared" si="119"/>
        <v>5.2732301200750005</v>
      </c>
      <c r="H186" s="221">
        <f t="shared" si="119"/>
        <v>4.2623139336399998</v>
      </c>
      <c r="I186" s="221">
        <f t="shared" si="119"/>
        <v>3.9845127808049998</v>
      </c>
      <c r="M186" s="4">
        <f t="shared" si="120"/>
        <v>3.5691505362416667</v>
      </c>
    </row>
    <row r="187" spans="7:13">
      <c r="G187" s="221">
        <f t="shared" si="119"/>
        <v>6.205329930681603E-2</v>
      </c>
      <c r="H187" s="221">
        <f t="shared" si="119"/>
        <v>3.5045153615921136E-2</v>
      </c>
      <c r="I187" s="221">
        <f t="shared" si="119"/>
        <v>3.3651995439068827E-2</v>
      </c>
      <c r="M187" s="4">
        <f t="shared" si="120"/>
        <v>2.1414903217450001E-2</v>
      </c>
    </row>
    <row r="188" spans="7:13">
      <c r="G188" s="221">
        <f t="shared" si="119"/>
        <v>2.6709999999999994</v>
      </c>
      <c r="H188" s="221">
        <f t="shared" si="119"/>
        <v>2.5779999999999967</v>
      </c>
      <c r="I188" s="221">
        <f t="shared" si="119"/>
        <v>2.5579999999999963</v>
      </c>
      <c r="M188" s="4">
        <f t="shared" si="120"/>
        <v>0.74484088114639457</v>
      </c>
    </row>
    <row r="189" spans="7:13">
      <c r="G189" s="221">
        <f t="shared" si="119"/>
        <v>3.0066592756745815E-2</v>
      </c>
      <c r="H189" s="221">
        <f t="shared" si="119"/>
        <v>3.0066592756745815E-2</v>
      </c>
      <c r="I189" s="221">
        <f t="shared" si="119"/>
        <v>3.0066592756745815E-2</v>
      </c>
      <c r="M189" s="4">
        <f t="shared" si="120"/>
        <v>4.4690452868783679E-3</v>
      </c>
    </row>
    <row r="190" spans="7:13">
      <c r="G190" s="221">
        <f t="shared" si="119"/>
        <v>0.87349999999999905</v>
      </c>
      <c r="H190" s="221">
        <f t="shared" si="119"/>
        <v>0.74299999999999766</v>
      </c>
      <c r="I190" s="221">
        <f t="shared" si="119"/>
        <v>0.72300000000000075</v>
      </c>
      <c r="M190" s="4">
        <f t="shared" si="120"/>
        <v>2.0494356610400613</v>
      </c>
    </row>
    <row r="191" spans="7:13">
      <c r="G191" s="221">
        <f t="shared" si="119"/>
        <v>3.0016662039607268E-2</v>
      </c>
      <c r="H191" s="221">
        <f t="shared" si="119"/>
        <v>3.0016662039607268E-2</v>
      </c>
      <c r="I191" s="221">
        <f t="shared" si="119"/>
        <v>3.0016662039607268E-2</v>
      </c>
      <c r="M191" s="4">
        <f t="shared" si="120"/>
        <v>1.2296613966240369E-2</v>
      </c>
    </row>
    <row r="192" spans="7:13">
      <c r="G192" s="221">
        <f t="shared" ref="G192:I211" si="121">G82</f>
        <v>7.1234999999999991</v>
      </c>
      <c r="H192" s="221">
        <f t="shared" si="121"/>
        <v>6.7410000000000005</v>
      </c>
      <c r="I192" s="221">
        <f t="shared" si="121"/>
        <v>6.6850000000000005</v>
      </c>
      <c r="M192" s="4">
        <f t="shared" si="120"/>
        <v>3.9026246767887423</v>
      </c>
    </row>
    <row r="193" spans="7:13">
      <c r="G193" s="221">
        <f t="shared" si="121"/>
        <v>3.9051248379533277E-2</v>
      </c>
      <c r="H193" s="221">
        <f t="shared" si="121"/>
        <v>3.5510561809129405E-2</v>
      </c>
      <c r="I193" s="221">
        <f t="shared" si="121"/>
        <v>3.9698866482558416E-2</v>
      </c>
      <c r="M193" s="4">
        <f t="shared" si="120"/>
        <v>2.3415748060732454E-2</v>
      </c>
    </row>
    <row r="194" spans="7:13">
      <c r="G194" s="221">
        <f t="shared" si="121"/>
        <v>5.3999999999999382E-2</v>
      </c>
      <c r="H194" s="221">
        <f t="shared" si="121"/>
        <v>2.9000000000000803E-2</v>
      </c>
      <c r="I194" s="221">
        <f t="shared" si="121"/>
        <v>2.6000000000002466E-2</v>
      </c>
      <c r="M194" s="4">
        <f t="shared" si="120"/>
        <v>0.52969083983528298</v>
      </c>
    </row>
    <row r="195" spans="7:13">
      <c r="G195" s="221">
        <f t="shared" si="121"/>
        <v>3.0016662039607268E-2</v>
      </c>
      <c r="H195" s="221">
        <f t="shared" si="121"/>
        <v>3.0016662039607268E-2</v>
      </c>
      <c r="I195" s="221">
        <f t="shared" si="121"/>
        <v>3.0016662039607268E-2</v>
      </c>
      <c r="M195" s="4">
        <f t="shared" si="120"/>
        <v>3.1781450390116978E-3</v>
      </c>
    </row>
    <row r="196" spans="7:13">
      <c r="G196" s="221">
        <f t="shared" si="121"/>
        <v>4.7864999999999993</v>
      </c>
      <c r="H196" s="221">
        <f t="shared" si="121"/>
        <v>4.1664999999999983</v>
      </c>
      <c r="I196" s="221">
        <f t="shared" si="121"/>
        <v>3.9104999999999972</v>
      </c>
      <c r="M196" s="4">
        <f t="shared" si="120"/>
        <v>3.4166080416074096</v>
      </c>
    </row>
    <row r="197" spans="7:13">
      <c r="G197" s="221">
        <f t="shared" si="121"/>
        <v>3.026549190084311E-2</v>
      </c>
      <c r="H197" s="221">
        <f t="shared" si="121"/>
        <v>3.026549190084311E-2</v>
      </c>
      <c r="I197" s="221">
        <f t="shared" si="121"/>
        <v>3.026549190084311E-2</v>
      </c>
      <c r="M197" s="4">
        <f t="shared" si="120"/>
        <v>2.0499648249644457E-2</v>
      </c>
    </row>
    <row r="198" spans="7:13">
      <c r="G198" s="221" t="str">
        <f t="shared" si="121"/>
        <v>-</v>
      </c>
      <c r="H198" s="221" t="str">
        <f t="shared" si="121"/>
        <v>-</v>
      </c>
      <c r="I198" s="221">
        <f t="shared" si="121"/>
        <v>5.7759999999999998</v>
      </c>
      <c r="M198" s="4">
        <f t="shared" si="120"/>
        <v>2.6165811559581762</v>
      </c>
    </row>
    <row r="199" spans="7:13">
      <c r="G199" s="221">
        <f t="shared" si="121"/>
        <v>0</v>
      </c>
      <c r="H199" s="221">
        <f t="shared" si="121"/>
        <v>0</v>
      </c>
      <c r="I199" s="221">
        <f t="shared" si="121"/>
        <v>3.3999999999999996E-2</v>
      </c>
      <c r="M199" s="4">
        <f t="shared" si="120"/>
        <v>1.5699486935749057E-2</v>
      </c>
    </row>
    <row r="200" spans="7:13">
      <c r="G200" s="221">
        <f t="shared" si="121"/>
        <v>8.3708069801149989</v>
      </c>
      <c r="H200" s="221">
        <f t="shared" si="121"/>
        <v>7.8420291090349998</v>
      </c>
      <c r="I200" s="221">
        <f t="shared" si="121"/>
        <v>7.551610808945</v>
      </c>
      <c r="M200" s="4">
        <f t="shared" si="120"/>
        <v>4.7959707275649999</v>
      </c>
    </row>
    <row r="201" spans="7:13">
      <c r="G201" s="221">
        <f t="shared" si="121"/>
        <v>9.4948886893496467E-2</v>
      </c>
      <c r="H201" s="221">
        <f t="shared" si="121"/>
        <v>6.7695922890261162E-2</v>
      </c>
      <c r="I201" s="221">
        <f t="shared" si="121"/>
        <v>6.1923407045371033E-2</v>
      </c>
      <c r="M201" s="4">
        <f t="shared" si="120"/>
        <v>2.8775824365390001E-2</v>
      </c>
    </row>
    <row r="202" spans="7:13">
      <c r="G202" s="221" t="str">
        <f t="shared" si="121"/>
        <v>-</v>
      </c>
      <c r="H202" s="221" t="str">
        <f t="shared" si="121"/>
        <v>-</v>
      </c>
      <c r="I202" s="221">
        <f t="shared" si="121"/>
        <v>6.450751462905</v>
      </c>
      <c r="M202" s="4">
        <f t="shared" si="120"/>
        <v>4.5496268424400004</v>
      </c>
    </row>
    <row r="203" spans="7:13">
      <c r="G203" s="221">
        <f t="shared" si="121"/>
        <v>0</v>
      </c>
      <c r="H203" s="221">
        <f t="shared" si="121"/>
        <v>0</v>
      </c>
      <c r="I203" s="221">
        <f t="shared" si="121"/>
        <v>3.605551275463989E-2</v>
      </c>
      <c r="M203" s="4">
        <f t="shared" si="120"/>
        <v>2.7297761054640001E-2</v>
      </c>
    </row>
    <row r="204" spans="7:13">
      <c r="G204" s="221">
        <f t="shared" si="121"/>
        <v>0.61031286081877134</v>
      </c>
      <c r="H204" s="221">
        <f t="shared" si="121"/>
        <v>0.53667541247308215</v>
      </c>
      <c r="I204" s="221">
        <f t="shared" si="121"/>
        <v>0.38725489996435769</v>
      </c>
      <c r="M204" s="4">
        <f t="shared" si="120"/>
        <v>0.21134288999999998</v>
      </c>
    </row>
    <row r="205" spans="7:13">
      <c r="G205" s="221">
        <f t="shared" si="121"/>
        <v>0.2553423453594541</v>
      </c>
      <c r="H205" s="221">
        <f t="shared" si="121"/>
        <v>0.11729051843392983</v>
      </c>
      <c r="I205" s="221">
        <f t="shared" si="121"/>
        <v>5.9641787843280315E-2</v>
      </c>
      <c r="M205" s="4">
        <f t="shared" si="120"/>
        <v>6.2958793082084595E-3</v>
      </c>
    </row>
    <row r="206" spans="7:13">
      <c r="G206" s="221">
        <f t="shared" si="121"/>
        <v>9.1389056704599998</v>
      </c>
      <c r="H206" s="221">
        <f t="shared" si="121"/>
        <v>8.6377105631166664</v>
      </c>
      <c r="I206" s="221">
        <f t="shared" si="121"/>
        <v>8.7663485556266689</v>
      </c>
      <c r="M206" s="4">
        <f t="shared" si="120"/>
        <v>4.2692539377300003</v>
      </c>
    </row>
    <row r="207" spans="7:13">
      <c r="G207" s="221">
        <f t="shared" si="121"/>
        <v>0.16906868845600989</v>
      </c>
      <c r="H207" s="221">
        <f t="shared" si="121"/>
        <v>0.19281791899225048</v>
      </c>
      <c r="I207" s="221">
        <f t="shared" si="121"/>
        <v>6.9076010189668288E-2</v>
      </c>
      <c r="M207" s="4">
        <f t="shared" si="120"/>
        <v>2.5615523626380001E-2</v>
      </c>
    </row>
    <row r="208" spans="7:13">
      <c r="G208" s="221">
        <f t="shared" si="121"/>
        <v>7.5933333333333337</v>
      </c>
      <c r="H208" s="221">
        <f t="shared" si="121"/>
        <v>7.2226666666666688</v>
      </c>
      <c r="I208" s="221">
        <f t="shared" si="121"/>
        <v>7.1186666666666687</v>
      </c>
      <c r="M208" s="4">
        <f t="shared" ref="M208:M239" si="122">M98</f>
        <v>2.7573129260470126</v>
      </c>
    </row>
    <row r="209" spans="7:13">
      <c r="G209" s="221">
        <f t="shared" si="121"/>
        <v>5.2646620657613628E-2</v>
      </c>
      <c r="H209" s="221">
        <f t="shared" si="121"/>
        <v>4.2449970553582239E-2</v>
      </c>
      <c r="I209" s="221">
        <f t="shared" si="121"/>
        <v>4.4560819860800016E-2</v>
      </c>
      <c r="M209" s="4">
        <f t="shared" si="122"/>
        <v>1.6543877556282074E-2</v>
      </c>
    </row>
    <row r="210" spans="7:13">
      <c r="G210" s="221">
        <f t="shared" si="121"/>
        <v>4.71</v>
      </c>
      <c r="H210" s="221">
        <f t="shared" si="121"/>
        <v>4.08</v>
      </c>
      <c r="I210" s="221">
        <f t="shared" si="121"/>
        <v>3.89</v>
      </c>
      <c r="M210" s="4">
        <f t="shared" si="122"/>
        <v>4.5047062432049998</v>
      </c>
    </row>
    <row r="211" spans="7:13">
      <c r="G211" s="221">
        <f t="shared" si="121"/>
        <v>3.2781500941919096E-2</v>
      </c>
      <c r="H211" s="221">
        <f t="shared" si="121"/>
        <v>3.0560224011564899E-2</v>
      </c>
      <c r="I211" s="221">
        <f t="shared" si="121"/>
        <v>3.0719672054718823E-2</v>
      </c>
      <c r="M211" s="4">
        <f t="shared" si="122"/>
        <v>2.7028237459229998E-2</v>
      </c>
    </row>
    <row r="212" spans="7:13">
      <c r="G212" s="221">
        <f t="shared" ref="G212:I219" si="123">G102</f>
        <v>7.2099999999999973</v>
      </c>
      <c r="H212" s="221">
        <f t="shared" si="123"/>
        <v>6.7009999999999996</v>
      </c>
      <c r="I212" s="221">
        <f t="shared" si="123"/>
        <v>6.400333333333335</v>
      </c>
      <c r="M212" s="4">
        <f t="shared" si="122"/>
        <v>2.5909688865016824</v>
      </c>
    </row>
    <row r="213" spans="7:13">
      <c r="G213" s="221">
        <f t="shared" si="123"/>
        <v>4.1243181254602551E-2</v>
      </c>
      <c r="H213" s="221">
        <f t="shared" si="123"/>
        <v>3.4936450242627058E-2</v>
      </c>
      <c r="I213" s="221">
        <f t="shared" si="123"/>
        <v>3.9176239964776829E-2</v>
      </c>
      <c r="M213" s="4">
        <f t="shared" si="122"/>
        <v>1.5545813319010095E-2</v>
      </c>
    </row>
    <row r="214" spans="7:13">
      <c r="G214" s="221">
        <f t="shared" si="123"/>
        <v>8.6165127510600001</v>
      </c>
      <c r="H214" s="221">
        <f t="shared" si="123"/>
        <v>8.2624603012333342</v>
      </c>
      <c r="I214" s="221">
        <f t="shared" si="123"/>
        <v>7.9644215158599998</v>
      </c>
      <c r="M214" s="4">
        <f t="shared" si="122"/>
        <v>3.4646575185059993</v>
      </c>
    </row>
    <row r="215" spans="7:13">
      <c r="G215" s="221">
        <f t="shared" si="123"/>
        <v>0.18125470552863918</v>
      </c>
      <c r="H215" s="221">
        <f t="shared" si="123"/>
        <v>0.100552551248783</v>
      </c>
      <c r="I215" s="221">
        <f t="shared" si="123"/>
        <v>0.14655609333581351</v>
      </c>
      <c r="M215" s="4">
        <f t="shared" si="122"/>
        <v>2.0787945111035995E-2</v>
      </c>
    </row>
    <row r="216" spans="7:13">
      <c r="G216" s="221">
        <f t="shared" si="123"/>
        <v>7.8909409646233328</v>
      </c>
      <c r="H216" s="221">
        <f t="shared" si="123"/>
        <v>6.8297564570600002</v>
      </c>
      <c r="I216" s="221">
        <f t="shared" si="123"/>
        <v>7.0754927434850003</v>
      </c>
      <c r="M216" s="4">
        <f t="shared" si="122"/>
        <v>4.2342255378969993</v>
      </c>
    </row>
    <row r="217" spans="7:13">
      <c r="G217" s="221">
        <f t="shared" si="123"/>
        <v>3.4478040371288154E-2</v>
      </c>
      <c r="H217" s="221">
        <f t="shared" si="123"/>
        <v>3.307255363692535E-2</v>
      </c>
      <c r="I217" s="221">
        <f t="shared" si="123"/>
        <v>5.2790779722138373E-2</v>
      </c>
      <c r="M217" s="4">
        <f t="shared" si="122"/>
        <v>2.5405353227381997E-2</v>
      </c>
    </row>
    <row r="218" spans="7:13">
      <c r="G218" s="221" t="str">
        <f t="shared" si="123"/>
        <v>-</v>
      </c>
      <c r="H218" s="221" t="str">
        <f t="shared" si="123"/>
        <v>-</v>
      </c>
      <c r="I218" s="221">
        <f t="shared" si="123"/>
        <v>8.2649999999999988</v>
      </c>
      <c r="M218" s="4">
        <f t="shared" si="122"/>
        <v>3.6039668811331285</v>
      </c>
    </row>
    <row r="219" spans="7:13">
      <c r="G219" s="221">
        <f t="shared" si="123"/>
        <v>0</v>
      </c>
      <c r="H219" s="221">
        <f t="shared" si="123"/>
        <v>0</v>
      </c>
      <c r="I219" s="221">
        <f t="shared" si="123"/>
        <v>4.131567845410361E-2</v>
      </c>
      <c r="M219" s="4">
        <f t="shared" si="122"/>
        <v>2.162380128679877E-2</v>
      </c>
    </row>
  </sheetData>
  <sortState ref="B2:G85">
    <sortCondition ref="G2:G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1st Run</vt:lpstr>
      <vt:lpstr>2nd Run</vt:lpstr>
      <vt:lpstr>3rd Run</vt:lpstr>
      <vt:lpstr>All Data</vt:lpstr>
      <vt:lpstr>Missing Binaries</vt:lpstr>
      <vt:lpstr>Final Missed Binaries</vt:lpstr>
      <vt:lpstr>Abs Calculations</vt:lpstr>
      <vt:lpstr>All Binaries</vt:lpstr>
      <vt:lpstr>2MASS Binaries</vt:lpstr>
      <vt:lpstr>Isochrone Binaries </vt:lpstr>
      <vt:lpstr>Binary Summary</vt:lpstr>
      <vt:lpstr>All Singles</vt:lpstr>
      <vt:lpstr>2MASS Singles</vt:lpstr>
      <vt:lpstr>Isochrone Singles</vt:lpstr>
      <vt:lpstr>Single Summary</vt:lpstr>
      <vt:lpstr>Cluster Information</vt:lpstr>
      <vt:lpstr>Cluster Summary</vt:lpstr>
      <vt:lpstr>Arg. Suspects</vt:lpstr>
      <vt:lpstr>Complete Binaries w. Flags</vt:lpstr>
      <vt:lpstr>Complete Singles w. Flags</vt:lpstr>
      <vt:lpstr>Complete Binaries w.o. Flags</vt:lpstr>
      <vt:lpstr>Complete Singles w.o. Flags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2015-06-29T19:16:02Z</dcterms:modified>
</cp:coreProperties>
</file>