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ladet/Desktop/RSM BAM/Courses/Spring Semester/Thesis/Master Thesis/Data/"/>
    </mc:Choice>
  </mc:AlternateContent>
  <xr:revisionPtr revIDLastSave="0" documentId="13_ncr:1_{1C1618B1-743D-C04F-A1D0-02D4472CDB21}" xr6:coauthVersionLast="47" xr6:coauthVersionMax="47" xr10:uidLastSave="{00000000-0000-0000-0000-000000000000}"/>
  <bookViews>
    <workbookView xWindow="120" yWindow="500" windowWidth="28120" windowHeight="17500" activeTab="1" xr2:uid="{608BF703-88FC-0E44-B6C7-B881F4665629}"/>
  </bookViews>
  <sheets>
    <sheet name="Aircraft Economics (AC)" sheetId="1" r:id="rId1"/>
    <sheet name="Fuel Costs" sheetId="6" r:id="rId2"/>
    <sheet name="Cockpit &amp; Cabin Crew Costs" sheetId="3" r:id="rId3"/>
    <sheet name="Airport &amp; Navigation Fees" sheetId="5" r:id="rId4"/>
    <sheet name="Fuel Burn Rates (Sector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5" i="6" l="1"/>
  <c r="G74" i="6"/>
  <c r="G53" i="6"/>
  <c r="G32" i="6"/>
  <c r="G11" i="6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2" i="1" a="1"/>
  <c r="D2" i="1" s="1"/>
  <c r="C2" i="1" a="1"/>
  <c r="C2" i="1" s="1"/>
  <c r="J3" i="6"/>
  <c r="J4" i="6"/>
  <c r="J5" i="6"/>
  <c r="J6" i="6"/>
  <c r="J7" i="6"/>
  <c r="J8" i="6"/>
  <c r="J9" i="6"/>
  <c r="J10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6" i="6"/>
  <c r="J97" i="6"/>
  <c r="J98" i="6"/>
  <c r="J99" i="6"/>
  <c r="J100" i="6"/>
  <c r="J101" i="6"/>
  <c r="J102" i="6"/>
  <c r="J103" i="6"/>
  <c r="J104" i="6"/>
  <c r="J105" i="6"/>
  <c r="J106" i="6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F106" i="1" l="1"/>
  <c r="H3" i="6"/>
  <c r="H4" i="6"/>
  <c r="H5" i="6"/>
  <c r="H6" i="6"/>
  <c r="H7" i="6"/>
  <c r="H8" i="6"/>
  <c r="H9" i="6"/>
  <c r="H10" i="6"/>
  <c r="H11" i="6"/>
  <c r="J11" i="6" s="1"/>
  <c r="C11" i="1" s="1" a="1"/>
  <c r="C11" i="1" s="1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J32" i="6" s="1"/>
  <c r="C32" i="1" s="1" a="1"/>
  <c r="C32" i="1" s="1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J53" i="6" s="1"/>
  <c r="C53" i="1" s="1" a="1"/>
  <c r="C53" i="1" s="1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J74" i="6" s="1"/>
  <c r="C74" i="1" s="1" a="1"/>
  <c r="C74" i="1" s="1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J95" i="6" s="1"/>
  <c r="C95" i="1" s="1" a="1"/>
  <c r="C95" i="1" s="1"/>
  <c r="H96" i="6"/>
  <c r="H97" i="6"/>
  <c r="H98" i="6"/>
  <c r="H99" i="6"/>
  <c r="H100" i="6"/>
  <c r="H101" i="6"/>
  <c r="H102" i="6"/>
  <c r="H103" i="6"/>
  <c r="H104" i="6"/>
  <c r="H105" i="6"/>
  <c r="H106" i="6"/>
  <c r="H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2" i="6"/>
  <c r="B33" i="7"/>
  <c r="B102" i="7"/>
  <c r="B101" i="7" s="1"/>
  <c r="B100" i="7" s="1"/>
  <c r="B99" i="7" s="1"/>
  <c r="B98" i="7" s="1"/>
  <c r="B97" i="7" s="1"/>
  <c r="B96" i="7" s="1"/>
  <c r="B95" i="7" s="1"/>
  <c r="B94" i="7" s="1"/>
  <c r="B93" i="7" s="1"/>
  <c r="B92" i="7" s="1"/>
  <c r="B91" i="7" s="1"/>
  <c r="B90" i="7" s="1"/>
  <c r="B89" i="7" s="1"/>
  <c r="B88" i="7" s="1"/>
  <c r="B87" i="7" s="1"/>
  <c r="B86" i="7" s="1"/>
  <c r="B85" i="7" s="1"/>
  <c r="B84" i="7" s="1"/>
  <c r="B83" i="7" s="1"/>
  <c r="B82" i="7" s="1"/>
  <c r="B81" i="7" s="1"/>
  <c r="B80" i="7" s="1"/>
  <c r="B79" i="7" s="1"/>
  <c r="B78" i="7" s="1"/>
  <c r="B77" i="7" s="1"/>
  <c r="B76" i="7" s="1"/>
  <c r="B75" i="7" s="1"/>
  <c r="B74" i="7" s="1"/>
  <c r="B73" i="7" s="1"/>
  <c r="B72" i="7" s="1"/>
  <c r="B71" i="7" s="1"/>
  <c r="B70" i="7" s="1"/>
  <c r="B69" i="7" s="1"/>
  <c r="B68" i="7" s="1"/>
  <c r="B67" i="7" s="1"/>
  <c r="B66" i="7" s="1"/>
  <c r="B65" i="7" s="1"/>
  <c r="B64" i="7" s="1"/>
  <c r="B63" i="7" s="1"/>
  <c r="B62" i="7" s="1"/>
  <c r="B61" i="7" s="1"/>
  <c r="B60" i="7" s="1"/>
  <c r="B59" i="7" s="1"/>
  <c r="B58" i="7" s="1"/>
  <c r="B57" i="7" s="1"/>
  <c r="B56" i="7" s="1"/>
  <c r="B55" i="7" s="1"/>
  <c r="B54" i="7" s="1"/>
  <c r="B53" i="7" s="1"/>
  <c r="B52" i="7" s="1"/>
  <c r="B51" i="7" s="1"/>
  <c r="B50" i="7" s="1"/>
  <c r="B49" i="7" s="1"/>
  <c r="B48" i="7" s="1"/>
  <c r="B47" i="7" s="1"/>
  <c r="B46" i="7" s="1"/>
  <c r="B45" i="7" s="1"/>
  <c r="B44" i="7" s="1"/>
  <c r="B43" i="7" s="1"/>
  <c r="B42" i="7" s="1"/>
  <c r="B41" i="7" s="1"/>
  <c r="B40" i="7" s="1"/>
  <c r="B39" i="7" s="1"/>
  <c r="B38" i="7" s="1"/>
  <c r="B37" i="7" s="1"/>
  <c r="B36" i="7" s="1"/>
  <c r="B35" i="7" s="1"/>
  <c r="B34" i="7" s="1"/>
  <c r="B2" i="7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J2" i="6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2" i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F84" i="3" s="1"/>
  <c r="E85" i="3"/>
  <c r="E86" i="3"/>
  <c r="E87" i="3"/>
  <c r="E88" i="3"/>
  <c r="F88" i="3" s="1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2" i="3"/>
  <c r="D3" i="3"/>
  <c r="F3" i="3" s="1"/>
  <c r="D4" i="3"/>
  <c r="D5" i="3"/>
  <c r="F5" i="3" s="1"/>
  <c r="D6" i="3"/>
  <c r="F6" i="3" s="1"/>
  <c r="D7" i="3"/>
  <c r="F7" i="3" s="1"/>
  <c r="D8" i="3"/>
  <c r="D9" i="3"/>
  <c r="F9" i="3" s="1"/>
  <c r="D10" i="3"/>
  <c r="F10" i="3" s="1"/>
  <c r="D11" i="3"/>
  <c r="F11" i="3" s="1"/>
  <c r="D12" i="3"/>
  <c r="D13" i="3"/>
  <c r="F13" i="3" s="1"/>
  <c r="D14" i="3"/>
  <c r="F14" i="3" s="1"/>
  <c r="D15" i="3"/>
  <c r="F15" i="3" s="1"/>
  <c r="D16" i="3"/>
  <c r="D17" i="3"/>
  <c r="F17" i="3" s="1"/>
  <c r="D18" i="3"/>
  <c r="F18" i="3" s="1"/>
  <c r="D19" i="3"/>
  <c r="F19" i="3" s="1"/>
  <c r="D20" i="3"/>
  <c r="D21" i="3"/>
  <c r="F21" i="3" s="1"/>
  <c r="D22" i="3"/>
  <c r="F22" i="3" s="1"/>
  <c r="D23" i="3"/>
  <c r="F23" i="3" s="1"/>
  <c r="D24" i="3"/>
  <c r="D25" i="3"/>
  <c r="F25" i="3" s="1"/>
  <c r="D26" i="3"/>
  <c r="F26" i="3" s="1"/>
  <c r="D27" i="3"/>
  <c r="F27" i="3" s="1"/>
  <c r="D28" i="3"/>
  <c r="D29" i="3"/>
  <c r="F29" i="3" s="1"/>
  <c r="D30" i="3"/>
  <c r="F30" i="3" s="1"/>
  <c r="D31" i="3"/>
  <c r="F31" i="3" s="1"/>
  <c r="D32" i="3"/>
  <c r="D33" i="3"/>
  <c r="F33" i="3" s="1"/>
  <c r="D34" i="3"/>
  <c r="F34" i="3" s="1"/>
  <c r="D35" i="3"/>
  <c r="F35" i="3" s="1"/>
  <c r="D36" i="3"/>
  <c r="D37" i="3"/>
  <c r="F37" i="3" s="1"/>
  <c r="D38" i="3"/>
  <c r="F38" i="3" s="1"/>
  <c r="D39" i="3"/>
  <c r="F39" i="3" s="1"/>
  <c r="D40" i="3"/>
  <c r="D41" i="3"/>
  <c r="F41" i="3" s="1"/>
  <c r="D42" i="3"/>
  <c r="F42" i="3" s="1"/>
  <c r="D43" i="3"/>
  <c r="F43" i="3" s="1"/>
  <c r="D44" i="3"/>
  <c r="D45" i="3"/>
  <c r="F45" i="3" s="1"/>
  <c r="D46" i="3"/>
  <c r="F46" i="3" s="1"/>
  <c r="D47" i="3"/>
  <c r="F47" i="3" s="1"/>
  <c r="D48" i="3"/>
  <c r="D49" i="3"/>
  <c r="F49" i="3" s="1"/>
  <c r="D50" i="3"/>
  <c r="F50" i="3" s="1"/>
  <c r="D51" i="3"/>
  <c r="F51" i="3" s="1"/>
  <c r="D52" i="3"/>
  <c r="D53" i="3"/>
  <c r="F53" i="3" s="1"/>
  <c r="D54" i="3"/>
  <c r="F54" i="3" s="1"/>
  <c r="D55" i="3"/>
  <c r="F55" i="3" s="1"/>
  <c r="D56" i="3"/>
  <c r="D57" i="3"/>
  <c r="F57" i="3" s="1"/>
  <c r="D58" i="3"/>
  <c r="F58" i="3" s="1"/>
  <c r="D59" i="3"/>
  <c r="F59" i="3" s="1"/>
  <c r="D60" i="3"/>
  <c r="D61" i="3"/>
  <c r="F61" i="3" s="1"/>
  <c r="D62" i="3"/>
  <c r="F62" i="3" s="1"/>
  <c r="D63" i="3"/>
  <c r="F63" i="3" s="1"/>
  <c r="D64" i="3"/>
  <c r="D65" i="3"/>
  <c r="F65" i="3" s="1"/>
  <c r="D66" i="3"/>
  <c r="F66" i="3" s="1"/>
  <c r="D67" i="3"/>
  <c r="F67" i="3" s="1"/>
  <c r="D68" i="3"/>
  <c r="F68" i="3" s="1"/>
  <c r="D69" i="3"/>
  <c r="F69" i="3" s="1"/>
  <c r="D70" i="3"/>
  <c r="F70" i="3" s="1"/>
  <c r="D71" i="3"/>
  <c r="F71" i="3" s="1"/>
  <c r="D72" i="3"/>
  <c r="F72" i="3" s="1"/>
  <c r="D73" i="3"/>
  <c r="F73" i="3" s="1"/>
  <c r="D74" i="3"/>
  <c r="F74" i="3" s="1"/>
  <c r="D75" i="3"/>
  <c r="F75" i="3" s="1"/>
  <c r="D76" i="3"/>
  <c r="D77" i="3"/>
  <c r="F77" i="3" s="1"/>
  <c r="D78" i="3"/>
  <c r="F78" i="3" s="1"/>
  <c r="D79" i="3"/>
  <c r="F79" i="3" s="1"/>
  <c r="D80" i="3"/>
  <c r="D81" i="3"/>
  <c r="F81" i="3" s="1"/>
  <c r="D82" i="3"/>
  <c r="F82" i="3" s="1"/>
  <c r="D83" i="3"/>
  <c r="F83" i="3" s="1"/>
  <c r="D84" i="3"/>
  <c r="D85" i="3"/>
  <c r="F85" i="3" s="1"/>
  <c r="D86" i="3"/>
  <c r="F86" i="3" s="1"/>
  <c r="D87" i="3"/>
  <c r="F87" i="3" s="1"/>
  <c r="D88" i="3"/>
  <c r="D89" i="3"/>
  <c r="F89" i="3" s="1"/>
  <c r="D90" i="3"/>
  <c r="F90" i="3" s="1"/>
  <c r="D91" i="3"/>
  <c r="F91" i="3" s="1"/>
  <c r="D92" i="3"/>
  <c r="D93" i="3"/>
  <c r="F93" i="3" s="1"/>
  <c r="D94" i="3"/>
  <c r="F94" i="3" s="1"/>
  <c r="D95" i="3"/>
  <c r="F95" i="3" s="1"/>
  <c r="D96" i="3"/>
  <c r="D97" i="3"/>
  <c r="F97" i="3" s="1"/>
  <c r="D98" i="3"/>
  <c r="F98" i="3" s="1"/>
  <c r="D99" i="3"/>
  <c r="F99" i="3" s="1"/>
  <c r="D100" i="3"/>
  <c r="F100" i="3" s="1"/>
  <c r="D101" i="3"/>
  <c r="F101" i="3" s="1"/>
  <c r="D102" i="3"/>
  <c r="F102" i="3" s="1"/>
  <c r="D103" i="3"/>
  <c r="F103" i="3" s="1"/>
  <c r="D104" i="3"/>
  <c r="F104" i="3" s="1"/>
  <c r="D105" i="3"/>
  <c r="F105" i="3" s="1"/>
  <c r="D106" i="3"/>
  <c r="F106" i="3" s="1"/>
  <c r="D2" i="3"/>
  <c r="F2" i="3" s="1"/>
  <c r="F60" i="3" l="1"/>
  <c r="F56" i="3"/>
  <c r="F48" i="3"/>
  <c r="F44" i="3"/>
  <c r="F40" i="3"/>
  <c r="F36" i="3"/>
  <c r="F32" i="3"/>
  <c r="F28" i="3"/>
  <c r="F24" i="3"/>
  <c r="F20" i="3"/>
  <c r="F16" i="3"/>
  <c r="F12" i="3"/>
  <c r="F8" i="3"/>
  <c r="F4" i="3"/>
  <c r="F96" i="3"/>
  <c r="F80" i="3"/>
  <c r="F64" i="3"/>
  <c r="F92" i="3"/>
  <c r="F76" i="3"/>
  <c r="F5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<sst xmlns="http://schemas.openxmlformats.org/spreadsheetml/2006/main" count="594" uniqueCount="40">
  <si>
    <t>Aircraft Type</t>
  </si>
  <si>
    <t>Fuel Burn (kg/km)</t>
  </si>
  <si>
    <t>Fuel Price (USD/kg)</t>
  </si>
  <si>
    <t>Fuel Cost (USD)</t>
  </si>
  <si>
    <t>Distance (km)</t>
  </si>
  <si>
    <t>Active Costs (USD)</t>
  </si>
  <si>
    <t>Airbus A220-100</t>
  </si>
  <si>
    <t>Airbus A220-300</t>
  </si>
  <si>
    <t>Airbus A320</t>
  </si>
  <si>
    <t>Airbus A320neo</t>
  </si>
  <si>
    <t>Airbus A321</t>
  </si>
  <si>
    <t>Airbus A321neo</t>
  </si>
  <si>
    <t>Airbus A330-300</t>
  </si>
  <si>
    <t>Airbus A330-900</t>
  </si>
  <si>
    <t>Airbus A340-300</t>
  </si>
  <si>
    <t>Airbus A340-600</t>
  </si>
  <si>
    <t>Airbus A350-900</t>
  </si>
  <si>
    <t>Airbus A380-800</t>
  </si>
  <si>
    <t>Boeing 737 MAX 8</t>
  </si>
  <si>
    <t>Boeing 737 MAX 9</t>
  </si>
  <si>
    <t>Boeing 737-800</t>
  </si>
  <si>
    <t>Boeing 737-900</t>
  </si>
  <si>
    <t>Boeing 747-400</t>
  </si>
  <si>
    <t>Boeing 747-8</t>
  </si>
  <si>
    <t>Boeing 767-400ER</t>
  </si>
  <si>
    <t>Boeing 777-300ER</t>
  </si>
  <si>
    <t>Boeing 787-9</t>
  </si>
  <si>
    <t>Narrow-Body</t>
  </si>
  <si>
    <t>Wide-Body</t>
  </si>
  <si>
    <t>Aircraft Size</t>
  </si>
  <si>
    <t>Blocks (Time)</t>
  </si>
  <si>
    <t>Crew Rate (USD)</t>
  </si>
  <si>
    <t>Crew Costs (USD)</t>
  </si>
  <si>
    <t>Airport &amp; Navigation Fees (USD)</t>
  </si>
  <si>
    <t>Fuel Costs (USD)</t>
  </si>
  <si>
    <t>Adjusted Fuel Burn (kg/km)</t>
  </si>
  <si>
    <t>Sector (km)</t>
  </si>
  <si>
    <t>Range (km)</t>
  </si>
  <si>
    <t>Sector / Range (%)</t>
  </si>
  <si>
    <t>Adjusted Fuel Burn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</si>
</sst>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#,##0.0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3" fontId="0" fillId="3" borderId="2" xfId="0" applyNumberFormat="1" applyFill="1" applyBorder="1" applyAlignment="1">
      <alignment horizontal="left" vertical="center"/>
    </xf>
    <xf numFmtId="3" fontId="0" fillId="3" borderId="7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3" fontId="0" fillId="3" borderId="0" xfId="0" applyNumberFormat="1" applyFill="1" applyAlignment="1">
      <alignment horizontal="left" vertical="center"/>
    </xf>
    <xf numFmtId="165" fontId="0" fillId="4" borderId="2" xfId="0" applyNumberFormat="1" applyFill="1" applyBorder="1" applyAlignment="1">
      <alignment horizontal="left" vertical="center"/>
    </xf>
    <xf numFmtId="165" fontId="0" fillId="4" borderId="7" xfId="0" applyNumberFormat="1" applyFill="1" applyBorder="1" applyAlignment="1">
      <alignment horizontal="left" vertical="center"/>
    </xf>
    <xf numFmtId="164" fontId="0" fillId="5" borderId="2" xfId="0" applyNumberFormat="1" applyFill="1" applyBorder="1" applyAlignment="1">
      <alignment horizontal="left" vertical="center"/>
    </xf>
    <xf numFmtId="164" fontId="0" fillId="5" borderId="0" xfId="0" applyNumberFormat="1" applyFill="1" applyAlignment="1">
      <alignment horizontal="left" vertical="center"/>
    </xf>
    <xf numFmtId="164" fontId="0" fillId="5" borderId="7" xfId="0" applyNumberFormat="1" applyFill="1" applyBorder="1" applyAlignment="1">
      <alignment horizontal="left" vertical="center"/>
    </xf>
    <xf numFmtId="164" fontId="0" fillId="5" borderId="3" xfId="0" applyNumberFormat="1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164" fontId="0" fillId="5" borderId="8" xfId="0" applyNumberFormat="1" applyFill="1" applyBorder="1" applyAlignment="1">
      <alignment horizontal="left" vertical="center"/>
    </xf>
    <xf numFmtId="165" fontId="0" fillId="5" borderId="2" xfId="0" applyNumberFormat="1" applyFill="1" applyBorder="1" applyAlignment="1">
      <alignment horizontal="left" vertical="center"/>
    </xf>
    <xf numFmtId="165" fontId="0" fillId="5" borderId="0" xfId="0" applyNumberFormat="1" applyFill="1" applyAlignment="1">
      <alignment horizontal="left" vertical="center"/>
    </xf>
    <xf numFmtId="165" fontId="0" fillId="5" borderId="7" xfId="0" applyNumberFormat="1" applyFill="1" applyBorder="1" applyAlignment="1">
      <alignment horizontal="left" vertical="center"/>
    </xf>
    <xf numFmtId="4" fontId="0" fillId="3" borderId="2" xfId="0" applyNumberFormat="1" applyFill="1" applyBorder="1" applyAlignment="1">
      <alignment horizontal="left" vertical="center"/>
    </xf>
    <xf numFmtId="4" fontId="0" fillId="3" borderId="7" xfId="0" applyNumberFormat="1" applyFill="1" applyBorder="1" applyAlignment="1">
      <alignment horizontal="left" vertical="center"/>
    </xf>
    <xf numFmtId="10" fontId="0" fillId="3" borderId="3" xfId="0" applyNumberFormat="1" applyFill="1" applyBorder="1" applyAlignment="1">
      <alignment horizontal="left" vertical="center"/>
    </xf>
    <xf numFmtId="10" fontId="0" fillId="3" borderId="5" xfId="0" applyNumberFormat="1" applyFill="1" applyBorder="1" applyAlignment="1">
      <alignment horizontal="left" vertical="center"/>
    </xf>
    <xf numFmtId="10" fontId="0" fillId="3" borderId="8" xfId="0" applyNumberFormat="1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left" vertical="center"/>
    </xf>
    <xf numFmtId="9" fontId="0" fillId="3" borderId="4" xfId="0" applyNumberFormat="1" applyFill="1" applyBorder="1" applyAlignment="1">
      <alignment horizontal="left" vertical="center"/>
    </xf>
    <xf numFmtId="9" fontId="0" fillId="3" borderId="6" xfId="0" applyNumberFormat="1" applyFill="1" applyBorder="1" applyAlignment="1">
      <alignment horizontal="left" vertical="center"/>
    </xf>
    <xf numFmtId="9" fontId="0" fillId="5" borderId="2" xfId="0" applyNumberFormat="1" applyFill="1" applyBorder="1" applyAlignment="1">
      <alignment horizontal="left" vertical="center"/>
    </xf>
    <xf numFmtId="4" fontId="0" fillId="3" borderId="0" xfId="0" applyNumberFormat="1" applyFill="1" applyAlignment="1">
      <alignment horizontal="left" vertical="center"/>
    </xf>
    <xf numFmtId="3" fontId="0" fillId="6" borderId="0" xfId="0" applyNumberFormat="1" applyFill="1" applyAlignment="1">
      <alignment horizontal="left" vertical="center"/>
    </xf>
    <xf numFmtId="4" fontId="0" fillId="6" borderId="0" xfId="0" applyNumberFormat="1" applyFill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9" fontId="0" fillId="5" borderId="7" xfId="0" applyNumberFormat="1" applyFill="1" applyBorder="1" applyAlignment="1">
      <alignment horizontal="left" vertical="center"/>
    </xf>
    <xf numFmtId="2" fontId="0" fillId="5" borderId="0" xfId="0" applyNumberFormat="1" applyFill="1" applyAlignment="1">
      <alignment horizontal="left" vertical="center"/>
    </xf>
    <xf numFmtId="165" fontId="0" fillId="4" borderId="0" xfId="0" applyNumberFormat="1" applyFill="1" applyAlignment="1">
      <alignment horizontal="left" vertical="center"/>
    </xf>
    <xf numFmtId="2" fontId="0" fillId="5" borderId="2" xfId="0" applyNumberFormat="1" applyFill="1" applyBorder="1" applyAlignment="1">
      <alignment horizontal="left" vertical="center"/>
    </xf>
    <xf numFmtId="2" fontId="0" fillId="5" borderId="7" xfId="0" applyNumberFormat="1" applyFill="1" applyBorder="1" applyAlignment="1">
      <alignment horizontal="left" vertical="center"/>
    </xf>
  </cellXfs>
  <cellStyles count="1">
    <cellStyle name="Normal" xfId="0" builtinId="0"/>
  </cellStyles>
  <dxfs count="42">
    <dxf>
      <numFmt numFmtId="14" formatCode="0.00%"/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3" formatCode="0%"/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rgb="FF000000"/>
          <bgColor rgb="FFFFFF00"/>
        </patternFill>
      </fill>
      <alignment horizontal="left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</dxf>
    <dxf>
      <numFmt numFmtId="165" formatCode="#,##0.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5" formatCode="#,##0.0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13" formatCode="0%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rgb="FF000000"/>
          <bgColor rgb="FFFFFF00"/>
        </patternFill>
      </fill>
      <alignment horizontal="left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8"/>
        </patternFill>
      </fill>
      <alignment horizontal="lef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0D1FD-10EF-D54C-A3CC-B5D267415DCF}" name="Table1" displayName="Table1" ref="A1:F106" totalsRowShown="0" headerRowDxfId="41" dataDxfId="39" headerRowBorderDxfId="40">
  <autoFilter ref="A1:F106" xr:uid="{4990D1FD-10EF-D54C-A3CC-B5D267415DCF}"/>
  <tableColumns count="6">
    <tableColumn id="1" xr3:uid="{310FE72D-BACE-1F41-9848-D8AA23926A2A}" name="Aircraft Type" dataDxfId="38"/>
    <tableColumn id="2" xr3:uid="{4E72E4EE-3DFA-E342-920D-A0F2E988785D}" name="Distance (km)" dataDxfId="37"/>
    <tableColumn id="5" xr3:uid="{E5F77EA0-B06E-A749-A118-CF88D53A7700}" name="Fuel Cost (USD)" dataDxfId="36">
      <calculatedColumnFormula array="1">INDEX(Table135[Fuel Costs (USD)], MATCH(1, (Table1[[#This Row],[Aircraft Type]]=Table135[Aircraft Type]) * (Table1[[#This Row],[Distance (km)]] = Table135[Distance (km)]), 0))</calculatedColumnFormula>
    </tableColumn>
    <tableColumn id="6" xr3:uid="{B97A78C0-16C0-EE42-8DD0-31200D78186C}" name="Crew Costs (USD)" dataDxfId="35">
      <calculatedColumnFormula array="1">INDEX(Table13[Crew Costs (USD)], MATCH(1, (Table1[[#This Row],[Aircraft Type]]=Table13[Aircraft Type]) * (Table1[[#This Row],[Distance (km)]]=Table13[Distance (km)]), 0))</calculatedColumnFormula>
    </tableColumn>
    <tableColumn id="7" xr3:uid="{51893A9C-1BF4-F74B-B3E5-4A0CCF99AFB9}" name="Airport &amp; Navigation Fees (USD)" dataDxfId="34">
      <calculatedColumnFormula>_xlfn.XLOOKUP(Table1[[#This Row],[Aircraft Type]],Table134[Aircraft Type],Table134[Airport &amp; Navigation Fees (USD)])</calculatedColumnFormula>
    </tableColumn>
    <tableColumn id="8" xr3:uid="{7E3203FB-EB50-6341-AD02-5C6203BE8198}" name="Active Costs (USD)" dataDxfId="33">
      <calculatedColumnFormula>SUM(C2:E2)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EB8F29-5808-DE41-8F2E-CBB37D181DCA}" name="Table135" displayName="Table135" ref="A1:J106" totalsRowShown="0" headerRowDxfId="32" dataDxfId="30" headerRowBorderDxfId="31">
  <autoFilter ref="A1:J106" xr:uid="{87202BEB-444B-AD4C-82C8-FC4CAC2170C0}"/>
  <tableColumns count="10">
    <tableColumn id="1" xr3:uid="{C5DD0DE9-5F27-1C40-8078-B3B7AA07470B}" name="Aircraft Type" dataDxfId="29"/>
    <tableColumn id="3" xr3:uid="{07F24AE6-09A7-6A41-989A-314DBA4FD814}" name="Aircraft Size" dataDxfId="28"/>
    <tableColumn id="2" xr3:uid="{CA9620C9-E6F6-C849-91E7-B550B65CF0E2}" name="Distance (km)" dataDxfId="27"/>
    <tableColumn id="10" xr3:uid="{E7499F5B-20B0-684F-8A33-B31C68CDAAD3}" name="Range (km)" dataDxfId="26"/>
    <tableColumn id="8" xr3:uid="{95C056EE-6223-A446-BFEA-6F66070FC66F}" name="Sector (km)" dataDxfId="25"/>
    <tableColumn id="11" xr3:uid="{FF7D4365-3BB9-C84A-90F7-16A0CF39052C}" name="Sector / Range (%)" dataDxfId="24">
      <calculatedColumnFormula>ROUND((Table135[[#This Row],[Sector (km)]]/Table135[[#This Row],[Range (km)]]),2)</calculatedColumnFormula>
    </tableColumn>
    <tableColumn id="4" xr3:uid="{4612BB4D-4DDB-6440-B491-42E079AB9C65}" name="Fuel Burn (kg/km)" dataDxfId="23"/>
    <tableColumn id="9" xr3:uid="{4DDD3A76-3579-464B-B72A-FB925F4F6E9A}" name="Adjusted Fuel Burn (kg/km)" dataDxfId="22">
      <calculatedColumnFormula>(Table135[[#This Row],[Fuel Burn (kg/km)]])+(_xlfn.XLOOKUP(F2,'Fuel Burn Rates (Sector)'!$A$2:$A$102,'Fuel Burn Rates (Sector)'!$B$2:$B$102))*(Table135[[#This Row],[Fuel Burn (kg/km)]])</calculatedColumnFormula>
    </tableColumn>
    <tableColumn id="7" xr3:uid="{4576B047-D0F9-4540-8D9F-4D7FC2C1D6F5}" name="Fuel Price (USD/kg)" dataDxfId="21"/>
    <tableColumn id="6" xr3:uid="{BDB1BF1A-CDDA-074E-9FCB-A996FD9C2322}" name="Fuel Costs (USD)" dataDxfId="20">
      <calculatedColumnFormula>(Table135[[#This Row],[Distance (km)]]*Table135[[#This Row],[Adjusted Fuel Burn (kg/km)]]*Table135[[#This Row],[Fuel Price (USD/kg)]])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02BEB-444B-AD4C-82C8-FC4CAC2170C0}" name="Table13" displayName="Table13" ref="A1:F106" totalsRowShown="0" headerRowDxfId="19" dataDxfId="17" headerRowBorderDxfId="18">
  <autoFilter ref="A1:F106" xr:uid="{87202BEB-444B-AD4C-82C8-FC4CAC2170C0}"/>
  <tableColumns count="6">
    <tableColumn id="1" xr3:uid="{8DADC3B0-CBDA-DB49-B9FD-2EBAFBDBBBDD}" name="Aircraft Type" dataDxfId="16"/>
    <tableColumn id="3" xr3:uid="{8B2E0C92-F52C-8248-B703-7CD01D6A60E0}" name="Aircraft Size" dataDxfId="15"/>
    <tableColumn id="2" xr3:uid="{DCB87BCD-4A26-1B43-BF24-2D64161AD925}" name="Distance (km)" dataDxfId="14"/>
    <tableColumn id="4" xr3:uid="{75453CC2-AC3D-E346-9DCF-ADE11C9C3F15}" name="Blocks (Time)" dataDxfId="13">
      <calculatedColumnFormula>(Table13[[#This Row],[Distance (km)]]/1000)</calculatedColumnFormula>
    </tableColumn>
    <tableColumn id="6" xr3:uid="{7E82B31D-550C-E141-9617-80780DC76AA3}" name="Crew Rate (USD)" dataDxfId="12">
      <calculatedColumnFormula>IF(Table13[[#This Row],[Aircraft Size]]="Narrow-Body",1000,2000)</calculatedColumnFormula>
    </tableColumn>
    <tableColumn id="5" xr3:uid="{ECB3012B-037D-6E49-A352-EAB0A7F8A1A3}" name="Crew Costs (USD)" dataDxfId="11">
      <calculatedColumnFormula>(Table13[[#This Row],[Blocks (Time)]]*Table13[[#This Row],[Crew Rate (USD)]])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234B0D-1849-5242-8197-B9F4534EC4A2}" name="Table134" displayName="Table134" ref="A1:C22" totalsRowShown="0" headerRowDxfId="10" dataDxfId="8" headerRowBorderDxfId="9">
  <autoFilter ref="A1:C22" xr:uid="{87202BEB-444B-AD4C-82C8-FC4CAC2170C0}"/>
  <tableColumns count="3">
    <tableColumn id="1" xr3:uid="{42360B8E-7194-454F-BF43-A292BC2BDB12}" name="Aircraft Type" dataDxfId="7"/>
    <tableColumn id="3" xr3:uid="{A2C49CF2-194A-BD4D-8388-A76A635F25EB}" name="Aircraft Size" dataDxfId="6"/>
    <tableColumn id="5" xr3:uid="{D548206D-3C70-0240-AD9D-326F4482A497}" name="Airport &amp; Navigation Fees (USD)" dataDxfId="5">
      <calculatedColumnFormula>IF(Table134[[#This Row],[Aircraft Size]]="Narrow-Body",2500,5000)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4E2EB-3779-0F4B-859A-F8C53C65CFF1}" name="Table1356" displayName="Table1356" ref="A1:B102" totalsRowShown="0" headerRowDxfId="4" dataDxfId="2" headerRowBorderDxfId="3">
  <autoFilter ref="A1:B102" xr:uid="{87202BEB-444B-AD4C-82C8-FC4CAC2170C0}"/>
  <tableColumns count="2">
    <tableColumn id="11" xr3:uid="{332DD19C-0305-454C-BDD9-F915AD9FD7E9}" name="Sector / Range (%)" dataDxfId="1">
      <calculatedColumnFormula>(#REF!/#REF!)</calculatedColumnFormula>
    </tableColumn>
    <tableColumn id="9" xr3:uid="{37ACC15C-5558-A04A-8F81-4DCA5B3838D9}" name="Adjusted Fuel Burn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D41-12E8-3D49-AA50-59889E306CF7}">
  <dimension ref="A1:F106"/>
  <sheetViews>
    <sheetView zoomScaleNormal="50" workbookViewId="0">
      <selection activeCell="C6" sqref="C6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6" ht="20" customHeight="1" thickBot="1" x14ac:dyDescent="0.25">
      <c r="A1" s="4" t="s">
        <v>0</v>
      </c>
      <c r="B1" s="5" t="s">
        <v>4</v>
      </c>
      <c r="C1" s="5" t="s">
        <v>3</v>
      </c>
      <c r="D1" s="5" t="s">
        <v>32</v>
      </c>
      <c r="E1" s="5" t="s">
        <v>33</v>
      </c>
      <c r="F1" s="6" t="s">
        <v>5</v>
      </c>
    </row>
    <row r="2" spans="1:6" ht="20" customHeight="1" x14ac:dyDescent="0.2">
      <c r="A2" s="7" t="s">
        <v>6</v>
      </c>
      <c r="B2" s="2">
        <v>500</v>
      </c>
      <c r="C2" s="16" cm="1">
        <f t="array" ref="C2">INDEX(Table135[Fuel Costs (USD)], MATCH(1, (Table1[[#This Row],[Aircraft Type]]=Table135[Aircraft Type]) * (Table1[[#This Row],[Distance (km)]] = Table135[Distance (km)]), 0))</f>
        <v>2285.1483870967741</v>
      </c>
      <c r="D2" s="16" cm="1">
        <f t="array" ref="D2">INDEX(Table13[Crew Costs (USD)], MATCH(1, (Table1[[#This Row],[Aircraft Type]]=Table13[Aircraft Type]) * (Table1[[#This Row],[Distance (km)]]=Table13[Distance (km)]), 0))</f>
        <v>500</v>
      </c>
      <c r="E2" s="16">
        <f>_xlfn.XLOOKUP(Table1[[#This Row],[Aircraft Type]],Table134[Aircraft Type],Table134[Airport &amp; Navigation Fees (USD)])</f>
        <v>2500</v>
      </c>
      <c r="F2" s="19">
        <f>SUM(C2:E2)</f>
        <v>5285.1483870967741</v>
      </c>
    </row>
    <row r="3" spans="1:6" ht="20" customHeight="1" x14ac:dyDescent="0.2">
      <c r="A3" s="8" t="s">
        <v>7</v>
      </c>
      <c r="B3" s="13">
        <v>500</v>
      </c>
      <c r="C3" s="17" cm="1">
        <f t="array" ref="C3">INDEX(Table135[Fuel Costs (USD)], MATCH(1, (Table1[[#This Row],[Aircraft Type]]=Table135[Aircraft Type]) * (Table1[[#This Row],[Distance (km)]] = Table135[Distance (km)]), 0))</f>
        <v>2577.3419354838711</v>
      </c>
      <c r="D3" s="17" cm="1">
        <f t="array" ref="D3">INDEX(Table13[Crew Costs (USD)], MATCH(1, (Table1[[#This Row],[Aircraft Type]]=Table13[Aircraft Type]) * (Table1[[#This Row],[Distance (km)]]=Table13[Distance (km)]), 0))</f>
        <v>500</v>
      </c>
      <c r="E3" s="17">
        <f>_xlfn.XLOOKUP(Table1[[#This Row],[Aircraft Type]],Table134[Aircraft Type],Table134[Airport &amp; Navigation Fees (USD)])</f>
        <v>2500</v>
      </c>
      <c r="F3" s="20">
        <f t="shared" ref="F3:F66" si="0">SUM(C3:E3)</f>
        <v>5577.3419354838716</v>
      </c>
    </row>
    <row r="4" spans="1:6" ht="20" customHeight="1" x14ac:dyDescent="0.2">
      <c r="A4" s="8" t="s">
        <v>8</v>
      </c>
      <c r="B4" s="13">
        <v>500</v>
      </c>
      <c r="C4" s="17" cm="1">
        <f t="array" ref="C4">INDEX(Table135[Fuel Costs (USD)], MATCH(1, (Table1[[#This Row],[Aircraft Type]]=Table135[Aircraft Type]) * (Table1[[#This Row],[Distance (km)]] = Table135[Distance (km)]), 0))</f>
        <v>3130</v>
      </c>
      <c r="D4" s="17" cm="1">
        <f t="array" ref="D4">INDEX(Table13[Crew Costs (USD)], MATCH(1, (Table1[[#This Row],[Aircraft Type]]=Table13[Aircraft Type]) * (Table1[[#This Row],[Distance (km)]]=Table13[Distance (km)]), 0))</f>
        <v>500</v>
      </c>
      <c r="E4" s="17">
        <f>_xlfn.XLOOKUP(Table1[[#This Row],[Aircraft Type]],Table134[Aircraft Type],Table134[Airport &amp; Navigation Fees (USD)])</f>
        <v>2500</v>
      </c>
      <c r="F4" s="20">
        <f t="shared" si="0"/>
        <v>6130</v>
      </c>
    </row>
    <row r="5" spans="1:6" ht="20" customHeight="1" x14ac:dyDescent="0.2">
      <c r="A5" s="8" t="s">
        <v>9</v>
      </c>
      <c r="B5" s="13">
        <v>500</v>
      </c>
      <c r="C5" s="17" cm="1">
        <f t="array" ref="C5">INDEX(Table135[Fuel Costs (USD)], MATCH(1, (Table1[[#This Row],[Aircraft Type]]=Table135[Aircraft Type]) * (Table1[[#This Row],[Distance (km)]] = Table135[Distance (km)]), 0))</f>
        <v>2865.6000000000004</v>
      </c>
      <c r="D5" s="17" cm="1">
        <f t="array" ref="D5">INDEX(Table13[Crew Costs (USD)], MATCH(1, (Table1[[#This Row],[Aircraft Type]]=Table13[Aircraft Type]) * (Table1[[#This Row],[Distance (km)]]=Table13[Distance (km)]), 0))</f>
        <v>500</v>
      </c>
      <c r="E5" s="17">
        <f>_xlfn.XLOOKUP(Table1[[#This Row],[Aircraft Type]],Table134[Aircraft Type],Table134[Airport &amp; Navigation Fees (USD)])</f>
        <v>2500</v>
      </c>
      <c r="F5" s="20">
        <f t="shared" si="0"/>
        <v>5865.6</v>
      </c>
    </row>
    <row r="6" spans="1:6" ht="20" customHeight="1" x14ac:dyDescent="0.2">
      <c r="A6" s="8" t="s">
        <v>10</v>
      </c>
      <c r="B6" s="13">
        <v>500</v>
      </c>
      <c r="C6" s="17" cm="1">
        <f t="array" ref="C6">INDEX(Table135[Fuel Costs (USD)], MATCH(1, (Table1[[#This Row],[Aircraft Type]]=Table135[Aircraft Type]) * (Table1[[#This Row],[Distance (km)]] = Table135[Distance (km)]), 0))</f>
        <v>3613.6623188405792</v>
      </c>
      <c r="D6" s="17" cm="1">
        <f t="array" ref="D6">INDEX(Table13[Crew Costs (USD)], MATCH(1, (Table1[[#This Row],[Aircraft Type]]=Table13[Aircraft Type]) * (Table1[[#This Row],[Distance (km)]]=Table13[Distance (km)]), 0))</f>
        <v>500</v>
      </c>
      <c r="E6" s="17">
        <f>_xlfn.XLOOKUP(Table1[[#This Row],[Aircraft Type]],Table134[Aircraft Type],Table134[Airport &amp; Navigation Fees (USD)])</f>
        <v>2500</v>
      </c>
      <c r="F6" s="20">
        <f t="shared" si="0"/>
        <v>6613.6623188405792</v>
      </c>
    </row>
    <row r="7" spans="1:6" ht="20" customHeight="1" x14ac:dyDescent="0.2">
      <c r="A7" s="8" t="s">
        <v>11</v>
      </c>
      <c r="B7" s="13">
        <v>500</v>
      </c>
      <c r="C7" s="17" cm="1">
        <f t="array" ref="C7">INDEX(Table135[Fuel Costs (USD)], MATCH(1, (Table1[[#This Row],[Aircraft Type]]=Table135[Aircraft Type]) * (Table1[[#This Row],[Distance (km)]] = Table135[Distance (km)]), 0))</f>
        <v>3389.4193548387098</v>
      </c>
      <c r="D7" s="17" cm="1">
        <f t="array" ref="D7">INDEX(Table13[Crew Costs (USD)], MATCH(1, (Table1[[#This Row],[Aircraft Type]]=Table13[Aircraft Type]) * (Table1[[#This Row],[Distance (km)]]=Table13[Distance (km)]), 0))</f>
        <v>500</v>
      </c>
      <c r="E7" s="17">
        <f>_xlfn.XLOOKUP(Table1[[#This Row],[Aircraft Type]],Table134[Aircraft Type],Table134[Airport &amp; Navigation Fees (USD)])</f>
        <v>2500</v>
      </c>
      <c r="F7" s="20">
        <f t="shared" si="0"/>
        <v>6389.4193548387102</v>
      </c>
    </row>
    <row r="8" spans="1:6" ht="20" customHeight="1" x14ac:dyDescent="0.2">
      <c r="A8" s="8" t="s">
        <v>12</v>
      </c>
      <c r="B8" s="13">
        <v>500</v>
      </c>
      <c r="C8" s="17" cm="1">
        <f t="array" ref="C8">INDEX(Table135[Fuel Costs (USD)], MATCH(1, (Table1[[#This Row],[Aircraft Type]]=Table135[Aircraft Type]) * (Table1[[#This Row],[Distance (km)]] = Table135[Distance (km)]), 0))</f>
        <v>6357.789855072464</v>
      </c>
      <c r="D8" s="17" cm="1">
        <f t="array" ref="D8">INDEX(Table13[Crew Costs (USD)], MATCH(1, (Table1[[#This Row],[Aircraft Type]]=Table13[Aircraft Type]) * (Table1[[#This Row],[Distance (km)]]=Table13[Distance (km)]), 0))</f>
        <v>1000</v>
      </c>
      <c r="E8" s="17">
        <f>_xlfn.XLOOKUP(Table1[[#This Row],[Aircraft Type]],Table134[Aircraft Type],Table134[Airport &amp; Navigation Fees (USD)])</f>
        <v>5000</v>
      </c>
      <c r="F8" s="20">
        <f t="shared" si="0"/>
        <v>12357.789855072464</v>
      </c>
    </row>
    <row r="9" spans="1:6" ht="20" customHeight="1" x14ac:dyDescent="0.2">
      <c r="A9" s="8" t="s">
        <v>13</v>
      </c>
      <c r="B9" s="13">
        <v>500</v>
      </c>
      <c r="C9" s="17" cm="1">
        <f t="array" ref="C9">INDEX(Table135[Fuel Costs (USD)], MATCH(1, (Table1[[#This Row],[Aircraft Type]]=Table135[Aircraft Type]) * (Table1[[#This Row],[Distance (km)]] = Table135[Distance (km)]), 0))</f>
        <v>6091.304347826087</v>
      </c>
      <c r="D9" s="17" cm="1">
        <f t="array" ref="D9">INDEX(Table13[Crew Costs (USD)], MATCH(1, (Table1[[#This Row],[Aircraft Type]]=Table13[Aircraft Type]) * (Table1[[#This Row],[Distance (km)]]=Table13[Distance (km)]), 0))</f>
        <v>1000</v>
      </c>
      <c r="E9" s="17">
        <f>_xlfn.XLOOKUP(Table1[[#This Row],[Aircraft Type]],Table134[Aircraft Type],Table134[Airport &amp; Navigation Fees (USD)])</f>
        <v>5000</v>
      </c>
      <c r="F9" s="20">
        <f t="shared" si="0"/>
        <v>12091.304347826088</v>
      </c>
    </row>
    <row r="10" spans="1:6" ht="20" customHeight="1" x14ac:dyDescent="0.2">
      <c r="A10" s="8" t="s">
        <v>14</v>
      </c>
      <c r="B10" s="13">
        <v>500</v>
      </c>
      <c r="C10" s="17" cm="1">
        <f t="array" ref="C10">INDEX(Table135[Fuel Costs (USD)], MATCH(1, (Table1[[#This Row],[Aircraft Type]]=Table135[Aircraft Type]) * (Table1[[#This Row],[Distance (km)]] = Table135[Distance (km)]), 0))</f>
        <v>6879.0869565217381</v>
      </c>
      <c r="D10" s="17" cm="1">
        <f t="array" ref="D10">INDEX(Table13[Crew Costs (USD)], MATCH(1, (Table1[[#This Row],[Aircraft Type]]=Table13[Aircraft Type]) * (Table1[[#This Row],[Distance (km)]]=Table13[Distance (km)]), 0))</f>
        <v>1000</v>
      </c>
      <c r="E10" s="17">
        <f>_xlfn.XLOOKUP(Table1[[#This Row],[Aircraft Type]],Table134[Aircraft Type],Table134[Airport &amp; Navigation Fees (USD)])</f>
        <v>5000</v>
      </c>
      <c r="F10" s="20">
        <f t="shared" si="0"/>
        <v>12879.086956521738</v>
      </c>
    </row>
    <row r="11" spans="1:6" ht="20" customHeight="1" x14ac:dyDescent="0.2">
      <c r="A11" s="8" t="s">
        <v>15</v>
      </c>
      <c r="B11" s="13">
        <v>500</v>
      </c>
      <c r="C11" s="17" cm="1">
        <f t="array" ref="C11">INDEX(Table135[Fuel Costs (USD)], MATCH(1, (Table1[[#This Row],[Aircraft Type]]=Table135[Aircraft Type]) * (Table1[[#This Row],[Distance (km)]] = Table135[Distance (km)]), 0))</f>
        <v>8897.2280579710168</v>
      </c>
      <c r="D11" s="17" cm="1">
        <f t="array" ref="D11">INDEX(Table13[Crew Costs (USD)], MATCH(1, (Table1[[#This Row],[Aircraft Type]]=Table13[Aircraft Type]) * (Table1[[#This Row],[Distance (km)]]=Table13[Distance (km)]), 0))</f>
        <v>1000</v>
      </c>
      <c r="E11" s="17">
        <f>_xlfn.XLOOKUP(Table1[[#This Row],[Aircraft Type]],Table134[Aircraft Type],Table134[Airport &amp; Navigation Fees (USD)])</f>
        <v>5000</v>
      </c>
      <c r="F11" s="20">
        <f t="shared" si="0"/>
        <v>14897.228057971017</v>
      </c>
    </row>
    <row r="12" spans="1:6" ht="20" customHeight="1" x14ac:dyDescent="0.2">
      <c r="A12" s="8" t="s">
        <v>16</v>
      </c>
      <c r="B12" s="13">
        <v>500</v>
      </c>
      <c r="C12" s="17" cm="1">
        <f t="array" ref="C12">INDEX(Table135[Fuel Costs (USD)], MATCH(1, (Table1[[#This Row],[Aircraft Type]]=Table135[Aircraft Type]) * (Table1[[#This Row],[Distance (km)]] = Table135[Distance (km)]), 0))</f>
        <v>6207.4043478260874</v>
      </c>
      <c r="D12" s="17" cm="1">
        <f t="array" ref="D12">INDEX(Table13[Crew Costs (USD)], MATCH(1, (Table1[[#This Row],[Aircraft Type]]=Table13[Aircraft Type]) * (Table1[[#This Row],[Distance (km)]]=Table13[Distance (km)]), 0))</f>
        <v>1000</v>
      </c>
      <c r="E12" s="17">
        <f>_xlfn.XLOOKUP(Table1[[#This Row],[Aircraft Type]],Table134[Aircraft Type],Table134[Airport &amp; Navigation Fees (USD)])</f>
        <v>5000</v>
      </c>
      <c r="F12" s="20">
        <f t="shared" si="0"/>
        <v>12207.404347826086</v>
      </c>
    </row>
    <row r="13" spans="1:6" ht="20" customHeight="1" x14ac:dyDescent="0.2">
      <c r="A13" s="8" t="s">
        <v>17</v>
      </c>
      <c r="B13" s="13">
        <v>500</v>
      </c>
      <c r="C13" s="17" cm="1">
        <f t="array" ref="C13">INDEX(Table135[Fuel Costs (USD)], MATCH(1, (Table1[[#This Row],[Aircraft Type]]=Table135[Aircraft Type]) * (Table1[[#This Row],[Distance (km)]] = Table135[Distance (km)]), 0))</f>
        <v>14381.127536231883</v>
      </c>
      <c r="D13" s="17" cm="1">
        <f t="array" ref="D13">INDEX(Table13[Crew Costs (USD)], MATCH(1, (Table1[[#This Row],[Aircraft Type]]=Table13[Aircraft Type]) * (Table1[[#This Row],[Distance (km)]]=Table13[Distance (km)]), 0))</f>
        <v>1000</v>
      </c>
      <c r="E13" s="17">
        <f>_xlfn.XLOOKUP(Table1[[#This Row],[Aircraft Type]],Table134[Aircraft Type],Table134[Airport &amp; Navigation Fees (USD)])</f>
        <v>5000</v>
      </c>
      <c r="F13" s="20">
        <f t="shared" si="0"/>
        <v>20381.127536231885</v>
      </c>
    </row>
    <row r="14" spans="1:6" ht="20" customHeight="1" x14ac:dyDescent="0.2">
      <c r="A14" s="8" t="s">
        <v>18</v>
      </c>
      <c r="B14" s="13">
        <v>500</v>
      </c>
      <c r="C14" s="17" cm="1">
        <f t="array" ref="C14">INDEX(Table135[Fuel Costs (USD)], MATCH(1, (Table1[[#This Row],[Aircraft Type]]=Table135[Aircraft Type]) * (Table1[[#This Row],[Distance (km)]] = Table135[Distance (km)]), 0))</f>
        <v>2722.2387096774196</v>
      </c>
      <c r="D14" s="17" cm="1">
        <f t="array" ref="D14">INDEX(Table13[Crew Costs (USD)], MATCH(1, (Table1[[#This Row],[Aircraft Type]]=Table13[Aircraft Type]) * (Table1[[#This Row],[Distance (km)]]=Table13[Distance (km)]), 0))</f>
        <v>500</v>
      </c>
      <c r="E14" s="17">
        <f>_xlfn.XLOOKUP(Table1[[#This Row],[Aircraft Type]],Table134[Aircraft Type],Table134[Airport &amp; Navigation Fees (USD)])</f>
        <v>2500</v>
      </c>
      <c r="F14" s="20">
        <f t="shared" si="0"/>
        <v>5722.23870967742</v>
      </c>
    </row>
    <row r="15" spans="1:6" ht="20" customHeight="1" x14ac:dyDescent="0.2">
      <c r="A15" s="8" t="s">
        <v>19</v>
      </c>
      <c r="B15" s="13">
        <v>500</v>
      </c>
      <c r="C15" s="17" cm="1">
        <f t="array" ref="C15">INDEX(Table135[Fuel Costs (USD)], MATCH(1, (Table1[[#This Row],[Aircraft Type]]=Table135[Aircraft Type]) * (Table1[[#This Row],[Distance (km)]] = Table135[Distance (km)]), 0))</f>
        <v>2910</v>
      </c>
      <c r="D15" s="17" cm="1">
        <f t="array" ref="D15">INDEX(Table13[Crew Costs (USD)], MATCH(1, (Table1[[#This Row],[Aircraft Type]]=Table13[Aircraft Type]) * (Table1[[#This Row],[Distance (km)]]=Table13[Distance (km)]), 0))</f>
        <v>500</v>
      </c>
      <c r="E15" s="17">
        <f>_xlfn.XLOOKUP(Table1[[#This Row],[Aircraft Type]],Table134[Aircraft Type],Table134[Airport &amp; Navigation Fees (USD)])</f>
        <v>2500</v>
      </c>
      <c r="F15" s="20">
        <f t="shared" si="0"/>
        <v>5910</v>
      </c>
    </row>
    <row r="16" spans="1:6" ht="20" customHeight="1" x14ac:dyDescent="0.2">
      <c r="A16" s="8" t="s">
        <v>20</v>
      </c>
      <c r="B16" s="13">
        <v>500</v>
      </c>
      <c r="C16" s="17" cm="1">
        <f t="array" ref="C16">INDEX(Table135[Fuel Costs (USD)], MATCH(1, (Table1[[#This Row],[Aircraft Type]]=Table135[Aircraft Type]) * (Table1[[#This Row],[Distance (km)]] = Table135[Distance (km)]), 0))</f>
        <v>3182.8637681159416</v>
      </c>
      <c r="D16" s="17" cm="1">
        <f t="array" ref="D16">INDEX(Table13[Crew Costs (USD)], MATCH(1, (Table1[[#This Row],[Aircraft Type]]=Table13[Aircraft Type]) * (Table1[[#This Row],[Distance (km)]]=Table13[Distance (km)]), 0))</f>
        <v>500</v>
      </c>
      <c r="E16" s="17">
        <f>_xlfn.XLOOKUP(Table1[[#This Row],[Aircraft Type]],Table134[Aircraft Type],Table134[Airport &amp; Navigation Fees (USD)])</f>
        <v>2500</v>
      </c>
      <c r="F16" s="20">
        <f t="shared" si="0"/>
        <v>6182.8637681159416</v>
      </c>
    </row>
    <row r="17" spans="1:6" ht="20" customHeight="1" x14ac:dyDescent="0.2">
      <c r="A17" s="8" t="s">
        <v>21</v>
      </c>
      <c r="B17" s="13">
        <v>500</v>
      </c>
      <c r="C17" s="17" cm="1">
        <f t="array" ref="C17">INDEX(Table135[Fuel Costs (USD)], MATCH(1, (Table1[[#This Row],[Aircraft Type]]=Table135[Aircraft Type]) * (Table1[[#This Row],[Distance (km)]] = Table135[Distance (km)]), 0))</f>
        <v>3433.8782608695651</v>
      </c>
      <c r="D17" s="17" cm="1">
        <f t="array" ref="D17">INDEX(Table13[Crew Costs (USD)], MATCH(1, (Table1[[#This Row],[Aircraft Type]]=Table13[Aircraft Type]) * (Table1[[#This Row],[Distance (km)]]=Table13[Distance (km)]), 0))</f>
        <v>500</v>
      </c>
      <c r="E17" s="17">
        <f>_xlfn.XLOOKUP(Table1[[#This Row],[Aircraft Type]],Table134[Aircraft Type],Table134[Airport &amp; Navigation Fees (USD)])</f>
        <v>2500</v>
      </c>
      <c r="F17" s="20">
        <f t="shared" si="0"/>
        <v>6433.8782608695656</v>
      </c>
    </row>
    <row r="18" spans="1:6" ht="20" customHeight="1" x14ac:dyDescent="0.2">
      <c r="A18" s="8" t="s">
        <v>22</v>
      </c>
      <c r="B18" s="13">
        <v>500</v>
      </c>
      <c r="C18" s="17" cm="1">
        <f t="array" ref="C18">INDEX(Table135[Fuel Costs (USD)], MATCH(1, (Table1[[#This Row],[Aircraft Type]]=Table135[Aircraft Type]) * (Table1[[#This Row],[Distance (km)]] = Table135[Distance (km)]), 0))</f>
        <v>10842.95806451613</v>
      </c>
      <c r="D18" s="17" cm="1">
        <f t="array" ref="D18">INDEX(Table13[Crew Costs (USD)], MATCH(1, (Table1[[#This Row],[Aircraft Type]]=Table13[Aircraft Type]) * (Table1[[#This Row],[Distance (km)]]=Table13[Distance (km)]), 0))</f>
        <v>1000</v>
      </c>
      <c r="E18" s="17">
        <f>_xlfn.XLOOKUP(Table1[[#This Row],[Aircraft Type]],Table134[Aircraft Type],Table134[Airport &amp; Navigation Fees (USD)])</f>
        <v>5000</v>
      </c>
      <c r="F18" s="20">
        <f t="shared" si="0"/>
        <v>16842.95806451613</v>
      </c>
    </row>
    <row r="19" spans="1:6" ht="20" customHeight="1" x14ac:dyDescent="0.2">
      <c r="A19" s="8" t="s">
        <v>23</v>
      </c>
      <c r="B19" s="13">
        <v>500</v>
      </c>
      <c r="C19" s="17" cm="1">
        <f t="array" ref="C19">INDEX(Table135[Fuel Costs (USD)], MATCH(1, (Table1[[#This Row],[Aircraft Type]]=Table135[Aircraft Type]) * (Table1[[#This Row],[Distance (km)]] = Table135[Distance (km)]), 0))</f>
        <v>9980.3478260869579</v>
      </c>
      <c r="D19" s="17" cm="1">
        <f t="array" ref="D19">INDEX(Table13[Crew Costs (USD)], MATCH(1, (Table1[[#This Row],[Aircraft Type]]=Table13[Aircraft Type]) * (Table1[[#This Row],[Distance (km)]]=Table13[Distance (km)]), 0))</f>
        <v>1000</v>
      </c>
      <c r="E19" s="17">
        <f>_xlfn.XLOOKUP(Table1[[#This Row],[Aircraft Type]],Table134[Aircraft Type],Table134[Airport &amp; Navigation Fees (USD)])</f>
        <v>5000</v>
      </c>
      <c r="F19" s="20">
        <f t="shared" si="0"/>
        <v>15980.347826086958</v>
      </c>
    </row>
    <row r="20" spans="1:6" ht="20" customHeight="1" x14ac:dyDescent="0.2">
      <c r="A20" s="8" t="s">
        <v>24</v>
      </c>
      <c r="B20" s="13">
        <v>500</v>
      </c>
      <c r="C20" s="17" cm="1">
        <f t="array" ref="C20">INDEX(Table135[Fuel Costs (USD)], MATCH(1, (Table1[[#This Row],[Aircraft Type]]=Table135[Aircraft Type]) * (Table1[[#This Row],[Distance (km)]] = Table135[Distance (km)]), 0))</f>
        <v>6068.3666666666659</v>
      </c>
      <c r="D20" s="17" cm="1">
        <f t="array" ref="D20">INDEX(Table13[Crew Costs (USD)], MATCH(1, (Table1[[#This Row],[Aircraft Type]]=Table13[Aircraft Type]) * (Table1[[#This Row],[Distance (km)]]=Table13[Distance (km)]), 0))</f>
        <v>1000</v>
      </c>
      <c r="E20" s="17">
        <f>_xlfn.XLOOKUP(Table1[[#This Row],[Aircraft Type]],Table134[Aircraft Type],Table134[Airport &amp; Navigation Fees (USD)])</f>
        <v>5000</v>
      </c>
      <c r="F20" s="20">
        <f t="shared" si="0"/>
        <v>12068.366666666665</v>
      </c>
    </row>
    <row r="21" spans="1:6" ht="20" customHeight="1" x14ac:dyDescent="0.2">
      <c r="A21" s="8" t="s">
        <v>25</v>
      </c>
      <c r="B21" s="13">
        <v>500</v>
      </c>
      <c r="C21" s="17" cm="1">
        <f t="array" ref="C21">INDEX(Table135[Fuel Costs (USD)], MATCH(1, (Table1[[#This Row],[Aircraft Type]]=Table135[Aircraft Type]) * (Table1[[#This Row],[Distance (km)]] = Table135[Distance (km)]), 0))</f>
        <v>7959.942028985507</v>
      </c>
      <c r="D21" s="17" cm="1">
        <f t="array" ref="D21">INDEX(Table13[Crew Costs (USD)], MATCH(1, (Table1[[#This Row],[Aircraft Type]]=Table13[Aircraft Type]) * (Table1[[#This Row],[Distance (km)]]=Table13[Distance (km)]), 0))</f>
        <v>1000</v>
      </c>
      <c r="E21" s="17">
        <f>_xlfn.XLOOKUP(Table1[[#This Row],[Aircraft Type]],Table134[Aircraft Type],Table134[Airport &amp; Navigation Fees (USD)])</f>
        <v>5000</v>
      </c>
      <c r="F21" s="20">
        <f t="shared" si="0"/>
        <v>13959.942028985508</v>
      </c>
    </row>
    <row r="22" spans="1:6" ht="20" customHeight="1" x14ac:dyDescent="0.2">
      <c r="A22" s="8" t="s">
        <v>26</v>
      </c>
      <c r="B22" s="13">
        <v>500</v>
      </c>
      <c r="C22" s="17" cm="1">
        <f t="array" ref="C22">INDEX(Table135[Fuel Costs (USD)], MATCH(1, (Table1[[#This Row],[Aircraft Type]]=Table135[Aircraft Type]) * (Table1[[#This Row],[Distance (km)]] = Table135[Distance (km)]), 0))</f>
        <v>5846.0971014492752</v>
      </c>
      <c r="D22" s="17" cm="1">
        <f t="array" ref="D22">INDEX(Table13[Crew Costs (USD)], MATCH(1, (Table1[[#This Row],[Aircraft Type]]=Table13[Aircraft Type]) * (Table1[[#This Row],[Distance (km)]]=Table13[Distance (km)]), 0))</f>
        <v>1000</v>
      </c>
      <c r="E22" s="17">
        <f>_xlfn.XLOOKUP(Table1[[#This Row],[Aircraft Type]],Table134[Aircraft Type],Table134[Airport &amp; Navigation Fees (USD)])</f>
        <v>5000</v>
      </c>
      <c r="F22" s="20">
        <f t="shared" si="0"/>
        <v>11846.097101449275</v>
      </c>
    </row>
    <row r="23" spans="1:6" ht="20" customHeight="1" x14ac:dyDescent="0.2">
      <c r="A23" s="8" t="s">
        <v>6</v>
      </c>
      <c r="B23" s="13">
        <v>1500</v>
      </c>
      <c r="C23" s="17" cm="1">
        <f t="array" ref="C23">INDEX(Table135[Fuel Costs (USD)], MATCH(1, (Table1[[#This Row],[Aircraft Type]]=Table135[Aircraft Type]) * (Table1[[#This Row],[Distance (km)]] = Table135[Distance (km)]), 0))</f>
        <v>6855.4451612903222</v>
      </c>
      <c r="D23" s="17" cm="1">
        <f t="array" ref="D23">INDEX(Table13[Crew Costs (USD)], MATCH(1, (Table1[[#This Row],[Aircraft Type]]=Table13[Aircraft Type]) * (Table1[[#This Row],[Distance (km)]]=Table13[Distance (km)]), 0))</f>
        <v>1500</v>
      </c>
      <c r="E23" s="17">
        <f>_xlfn.XLOOKUP(Table1[[#This Row],[Aircraft Type]],Table134[Aircraft Type],Table134[Airport &amp; Navigation Fees (USD)])</f>
        <v>2500</v>
      </c>
      <c r="F23" s="20">
        <f t="shared" si="0"/>
        <v>10855.445161290321</v>
      </c>
    </row>
    <row r="24" spans="1:6" ht="20" customHeight="1" x14ac:dyDescent="0.2">
      <c r="A24" s="8" t="s">
        <v>7</v>
      </c>
      <c r="B24" s="13">
        <v>1500</v>
      </c>
      <c r="C24" s="17" cm="1">
        <f t="array" ref="C24">INDEX(Table135[Fuel Costs (USD)], MATCH(1, (Table1[[#This Row],[Aircraft Type]]=Table135[Aircraft Type]) * (Table1[[#This Row],[Distance (km)]] = Table135[Distance (km)]), 0))</f>
        <v>7732.0258064516129</v>
      </c>
      <c r="D24" s="17" cm="1">
        <f t="array" ref="D24">INDEX(Table13[Crew Costs (USD)], MATCH(1, (Table1[[#This Row],[Aircraft Type]]=Table13[Aircraft Type]) * (Table1[[#This Row],[Distance (km)]]=Table13[Distance (km)]), 0))</f>
        <v>1500</v>
      </c>
      <c r="E24" s="17">
        <f>_xlfn.XLOOKUP(Table1[[#This Row],[Aircraft Type]],Table134[Aircraft Type],Table134[Airport &amp; Navigation Fees (USD)])</f>
        <v>2500</v>
      </c>
      <c r="F24" s="20">
        <f t="shared" si="0"/>
        <v>11732.025806451613</v>
      </c>
    </row>
    <row r="25" spans="1:6" ht="20" customHeight="1" x14ac:dyDescent="0.2">
      <c r="A25" s="8" t="s">
        <v>8</v>
      </c>
      <c r="B25" s="13">
        <v>1500</v>
      </c>
      <c r="C25" s="17" cm="1">
        <f t="array" ref="C25">INDEX(Table135[Fuel Costs (USD)], MATCH(1, (Table1[[#This Row],[Aircraft Type]]=Table135[Aircraft Type]) * (Table1[[#This Row],[Distance (km)]] = Table135[Distance (km)]), 0))</f>
        <v>9390</v>
      </c>
      <c r="D25" s="17" cm="1">
        <f t="array" ref="D25">INDEX(Table13[Crew Costs (USD)], MATCH(1, (Table1[[#This Row],[Aircraft Type]]=Table13[Aircraft Type]) * (Table1[[#This Row],[Distance (km)]]=Table13[Distance (km)]), 0))</f>
        <v>1500</v>
      </c>
      <c r="E25" s="17">
        <f>_xlfn.XLOOKUP(Table1[[#This Row],[Aircraft Type]],Table134[Aircraft Type],Table134[Airport &amp; Navigation Fees (USD)])</f>
        <v>2500</v>
      </c>
      <c r="F25" s="20">
        <f t="shared" si="0"/>
        <v>13390</v>
      </c>
    </row>
    <row r="26" spans="1:6" ht="20" customHeight="1" x14ac:dyDescent="0.2">
      <c r="A26" s="8" t="s">
        <v>9</v>
      </c>
      <c r="B26" s="13">
        <v>1500</v>
      </c>
      <c r="C26" s="17" cm="1">
        <f t="array" ref="C26">INDEX(Table135[Fuel Costs (USD)], MATCH(1, (Table1[[#This Row],[Aircraft Type]]=Table135[Aircraft Type]) * (Table1[[#This Row],[Distance (km)]] = Table135[Distance (km)]), 0))</f>
        <v>8596.8000000000011</v>
      </c>
      <c r="D26" s="17" cm="1">
        <f t="array" ref="D26">INDEX(Table13[Crew Costs (USD)], MATCH(1, (Table1[[#This Row],[Aircraft Type]]=Table13[Aircraft Type]) * (Table1[[#This Row],[Distance (km)]]=Table13[Distance (km)]), 0))</f>
        <v>1500</v>
      </c>
      <c r="E26" s="17">
        <f>_xlfn.XLOOKUP(Table1[[#This Row],[Aircraft Type]],Table134[Aircraft Type],Table134[Airport &amp; Navigation Fees (USD)])</f>
        <v>2500</v>
      </c>
      <c r="F26" s="20">
        <f t="shared" si="0"/>
        <v>12596.800000000001</v>
      </c>
    </row>
    <row r="27" spans="1:6" ht="20" customHeight="1" x14ac:dyDescent="0.2">
      <c r="A27" s="8" t="s">
        <v>10</v>
      </c>
      <c r="B27" s="13">
        <v>1500</v>
      </c>
      <c r="C27" s="17" cm="1">
        <f t="array" ref="C27">INDEX(Table135[Fuel Costs (USD)], MATCH(1, (Table1[[#This Row],[Aircraft Type]]=Table135[Aircraft Type]) * (Table1[[#This Row],[Distance (km)]] = Table135[Distance (km)]), 0))</f>
        <v>10840.986956521738</v>
      </c>
      <c r="D27" s="17" cm="1">
        <f t="array" ref="D27">INDEX(Table13[Crew Costs (USD)], MATCH(1, (Table1[[#This Row],[Aircraft Type]]=Table13[Aircraft Type]) * (Table1[[#This Row],[Distance (km)]]=Table13[Distance (km)]), 0))</f>
        <v>1500</v>
      </c>
      <c r="E27" s="17">
        <f>_xlfn.XLOOKUP(Table1[[#This Row],[Aircraft Type]],Table134[Aircraft Type],Table134[Airport &amp; Navigation Fees (USD)])</f>
        <v>2500</v>
      </c>
      <c r="F27" s="20">
        <f t="shared" si="0"/>
        <v>14840.986956521738</v>
      </c>
    </row>
    <row r="28" spans="1:6" ht="20" customHeight="1" x14ac:dyDescent="0.2">
      <c r="A28" s="8" t="s">
        <v>11</v>
      </c>
      <c r="B28" s="13">
        <v>1500</v>
      </c>
      <c r="C28" s="17" cm="1">
        <f t="array" ref="C28">INDEX(Table135[Fuel Costs (USD)], MATCH(1, (Table1[[#This Row],[Aircraft Type]]=Table135[Aircraft Type]) * (Table1[[#This Row],[Distance (km)]] = Table135[Distance (km)]), 0))</f>
        <v>10168.258064516129</v>
      </c>
      <c r="D28" s="17" cm="1">
        <f t="array" ref="D28">INDEX(Table13[Crew Costs (USD)], MATCH(1, (Table1[[#This Row],[Aircraft Type]]=Table13[Aircraft Type]) * (Table1[[#This Row],[Distance (km)]]=Table13[Distance (km)]), 0))</f>
        <v>1500</v>
      </c>
      <c r="E28" s="17">
        <f>_xlfn.XLOOKUP(Table1[[#This Row],[Aircraft Type]],Table134[Aircraft Type],Table134[Airport &amp; Navigation Fees (USD)])</f>
        <v>2500</v>
      </c>
      <c r="F28" s="20">
        <f t="shared" si="0"/>
        <v>14168.258064516129</v>
      </c>
    </row>
    <row r="29" spans="1:6" ht="20" customHeight="1" x14ac:dyDescent="0.2">
      <c r="A29" s="8" t="s">
        <v>12</v>
      </c>
      <c r="B29" s="13">
        <v>1500</v>
      </c>
      <c r="C29" s="17" cm="1">
        <f t="array" ref="C29">INDEX(Table135[Fuel Costs (USD)], MATCH(1, (Table1[[#This Row],[Aircraft Type]]=Table135[Aircraft Type]) * (Table1[[#This Row],[Distance (km)]] = Table135[Distance (km)]), 0))</f>
        <v>19073.369565217392</v>
      </c>
      <c r="D29" s="17" cm="1">
        <f t="array" ref="D29">INDEX(Table13[Crew Costs (USD)], MATCH(1, (Table1[[#This Row],[Aircraft Type]]=Table13[Aircraft Type]) * (Table1[[#This Row],[Distance (km)]]=Table13[Distance (km)]), 0))</f>
        <v>3000</v>
      </c>
      <c r="E29" s="17">
        <f>_xlfn.XLOOKUP(Table1[[#This Row],[Aircraft Type]],Table134[Aircraft Type],Table134[Airport &amp; Navigation Fees (USD)])</f>
        <v>5000</v>
      </c>
      <c r="F29" s="20">
        <f t="shared" si="0"/>
        <v>27073.369565217392</v>
      </c>
    </row>
    <row r="30" spans="1:6" ht="20" customHeight="1" x14ac:dyDescent="0.2">
      <c r="A30" s="8" t="s">
        <v>13</v>
      </c>
      <c r="B30" s="13">
        <v>1500</v>
      </c>
      <c r="C30" s="17" cm="1">
        <f t="array" ref="C30">INDEX(Table135[Fuel Costs (USD)], MATCH(1, (Table1[[#This Row],[Aircraft Type]]=Table135[Aircraft Type]) * (Table1[[#This Row],[Distance (km)]] = Table135[Distance (km)]), 0))</f>
        <v>18273.91304347826</v>
      </c>
      <c r="D30" s="17" cm="1">
        <f t="array" ref="D30">INDEX(Table13[Crew Costs (USD)], MATCH(1, (Table1[[#This Row],[Aircraft Type]]=Table13[Aircraft Type]) * (Table1[[#This Row],[Distance (km)]]=Table13[Distance (km)]), 0))</f>
        <v>3000</v>
      </c>
      <c r="E30" s="17">
        <f>_xlfn.XLOOKUP(Table1[[#This Row],[Aircraft Type]],Table134[Aircraft Type],Table134[Airport &amp; Navigation Fees (USD)])</f>
        <v>5000</v>
      </c>
      <c r="F30" s="20">
        <f t="shared" si="0"/>
        <v>26273.91304347826</v>
      </c>
    </row>
    <row r="31" spans="1:6" ht="20" customHeight="1" x14ac:dyDescent="0.2">
      <c r="A31" s="8" t="s">
        <v>14</v>
      </c>
      <c r="B31" s="13">
        <v>1500</v>
      </c>
      <c r="C31" s="17" cm="1">
        <f t="array" ref="C31">INDEX(Table135[Fuel Costs (USD)], MATCH(1, (Table1[[#This Row],[Aircraft Type]]=Table135[Aircraft Type]) * (Table1[[#This Row],[Distance (km)]] = Table135[Distance (km)]), 0))</f>
        <v>20637.260869565216</v>
      </c>
      <c r="D31" s="17" cm="1">
        <f t="array" ref="D31">INDEX(Table13[Crew Costs (USD)], MATCH(1, (Table1[[#This Row],[Aircraft Type]]=Table13[Aircraft Type]) * (Table1[[#This Row],[Distance (km)]]=Table13[Distance (km)]), 0))</f>
        <v>3000</v>
      </c>
      <c r="E31" s="17">
        <f>_xlfn.XLOOKUP(Table1[[#This Row],[Aircraft Type]],Table134[Aircraft Type],Table134[Airport &amp; Navigation Fees (USD)])</f>
        <v>5000</v>
      </c>
      <c r="F31" s="20">
        <f t="shared" si="0"/>
        <v>28637.260869565216</v>
      </c>
    </row>
    <row r="32" spans="1:6" ht="20" customHeight="1" x14ac:dyDescent="0.2">
      <c r="A32" s="8" t="s">
        <v>15</v>
      </c>
      <c r="B32" s="13">
        <v>1500</v>
      </c>
      <c r="C32" s="17" cm="1">
        <f t="array" ref="C32">INDEX(Table135[Fuel Costs (USD)], MATCH(1, (Table1[[#This Row],[Aircraft Type]]=Table135[Aircraft Type]) * (Table1[[#This Row],[Distance (km)]] = Table135[Distance (km)]), 0))</f>
        <v>26691.68417391305</v>
      </c>
      <c r="D32" s="17" cm="1">
        <f t="array" ref="D32">INDEX(Table13[Crew Costs (USD)], MATCH(1, (Table1[[#This Row],[Aircraft Type]]=Table13[Aircraft Type]) * (Table1[[#This Row],[Distance (km)]]=Table13[Distance (km)]), 0))</f>
        <v>3000</v>
      </c>
      <c r="E32" s="17">
        <f>_xlfn.XLOOKUP(Table1[[#This Row],[Aircraft Type]],Table134[Aircraft Type],Table134[Airport &amp; Navigation Fees (USD)])</f>
        <v>5000</v>
      </c>
      <c r="F32" s="20">
        <f t="shared" si="0"/>
        <v>34691.684173913047</v>
      </c>
    </row>
    <row r="33" spans="1:6" ht="20" customHeight="1" x14ac:dyDescent="0.2">
      <c r="A33" s="8" t="s">
        <v>16</v>
      </c>
      <c r="B33" s="13">
        <v>1500</v>
      </c>
      <c r="C33" s="17" cm="1">
        <f t="array" ref="C33">INDEX(Table135[Fuel Costs (USD)], MATCH(1, (Table1[[#This Row],[Aircraft Type]]=Table135[Aircraft Type]) * (Table1[[#This Row],[Distance (km)]] = Table135[Distance (km)]), 0))</f>
        <v>18622.213043478263</v>
      </c>
      <c r="D33" s="17" cm="1">
        <f t="array" ref="D33">INDEX(Table13[Crew Costs (USD)], MATCH(1, (Table1[[#This Row],[Aircraft Type]]=Table13[Aircraft Type]) * (Table1[[#This Row],[Distance (km)]]=Table13[Distance (km)]), 0))</f>
        <v>3000</v>
      </c>
      <c r="E33" s="17">
        <f>_xlfn.XLOOKUP(Table1[[#This Row],[Aircraft Type]],Table134[Aircraft Type],Table134[Airport &amp; Navigation Fees (USD)])</f>
        <v>5000</v>
      </c>
      <c r="F33" s="20">
        <f t="shared" si="0"/>
        <v>26622.213043478263</v>
      </c>
    </row>
    <row r="34" spans="1:6" ht="20" customHeight="1" x14ac:dyDescent="0.2">
      <c r="A34" s="8" t="s">
        <v>17</v>
      </c>
      <c r="B34" s="13">
        <v>1500</v>
      </c>
      <c r="C34" s="17" cm="1">
        <f t="array" ref="C34">INDEX(Table135[Fuel Costs (USD)], MATCH(1, (Table1[[#This Row],[Aircraft Type]]=Table135[Aircraft Type]) * (Table1[[#This Row],[Distance (km)]] = Table135[Distance (km)]), 0))</f>
        <v>43143.382608695647</v>
      </c>
      <c r="D34" s="17" cm="1">
        <f t="array" ref="D34">INDEX(Table13[Crew Costs (USD)], MATCH(1, (Table1[[#This Row],[Aircraft Type]]=Table13[Aircraft Type]) * (Table1[[#This Row],[Distance (km)]]=Table13[Distance (km)]), 0))</f>
        <v>3000</v>
      </c>
      <c r="E34" s="17">
        <f>_xlfn.XLOOKUP(Table1[[#This Row],[Aircraft Type]],Table134[Aircraft Type],Table134[Airport &amp; Navigation Fees (USD)])</f>
        <v>5000</v>
      </c>
      <c r="F34" s="20">
        <f t="shared" si="0"/>
        <v>51143.382608695647</v>
      </c>
    </row>
    <row r="35" spans="1:6" ht="20" customHeight="1" x14ac:dyDescent="0.2">
      <c r="A35" s="8" t="s">
        <v>18</v>
      </c>
      <c r="B35" s="13">
        <v>1500</v>
      </c>
      <c r="C35" s="17" cm="1">
        <f t="array" ref="C35">INDEX(Table135[Fuel Costs (USD)], MATCH(1, (Table1[[#This Row],[Aircraft Type]]=Table135[Aircraft Type]) * (Table1[[#This Row],[Distance (km)]] = Table135[Distance (km)]), 0))</f>
        <v>8166.7161290322583</v>
      </c>
      <c r="D35" s="17" cm="1">
        <f t="array" ref="D35">INDEX(Table13[Crew Costs (USD)], MATCH(1, (Table1[[#This Row],[Aircraft Type]]=Table13[Aircraft Type]) * (Table1[[#This Row],[Distance (km)]]=Table13[Distance (km)]), 0))</f>
        <v>1500</v>
      </c>
      <c r="E35" s="17">
        <f>_xlfn.XLOOKUP(Table1[[#This Row],[Aircraft Type]],Table134[Aircraft Type],Table134[Airport &amp; Navigation Fees (USD)])</f>
        <v>2500</v>
      </c>
      <c r="F35" s="20">
        <f t="shared" si="0"/>
        <v>12166.716129032258</v>
      </c>
    </row>
    <row r="36" spans="1:6" ht="20" customHeight="1" x14ac:dyDescent="0.2">
      <c r="A36" s="8" t="s">
        <v>19</v>
      </c>
      <c r="B36" s="13">
        <v>1500</v>
      </c>
      <c r="C36" s="17" cm="1">
        <f t="array" ref="C36">INDEX(Table135[Fuel Costs (USD)], MATCH(1, (Table1[[#This Row],[Aircraft Type]]=Table135[Aircraft Type]) * (Table1[[#This Row],[Distance (km)]] = Table135[Distance (km)]), 0))</f>
        <v>8730</v>
      </c>
      <c r="D36" s="17" cm="1">
        <f t="array" ref="D36">INDEX(Table13[Crew Costs (USD)], MATCH(1, (Table1[[#This Row],[Aircraft Type]]=Table13[Aircraft Type]) * (Table1[[#This Row],[Distance (km)]]=Table13[Distance (km)]), 0))</f>
        <v>1500</v>
      </c>
      <c r="E36" s="17">
        <f>_xlfn.XLOOKUP(Table1[[#This Row],[Aircraft Type]],Table134[Aircraft Type],Table134[Airport &amp; Navigation Fees (USD)])</f>
        <v>2500</v>
      </c>
      <c r="F36" s="20">
        <f t="shared" si="0"/>
        <v>12730</v>
      </c>
    </row>
    <row r="37" spans="1:6" ht="20" customHeight="1" x14ac:dyDescent="0.2">
      <c r="A37" s="8" t="s">
        <v>20</v>
      </c>
      <c r="B37" s="13">
        <v>1500</v>
      </c>
      <c r="C37" s="17" cm="1">
        <f t="array" ref="C37">INDEX(Table135[Fuel Costs (USD)], MATCH(1, (Table1[[#This Row],[Aircraft Type]]=Table135[Aircraft Type]) * (Table1[[#This Row],[Distance (km)]] = Table135[Distance (km)]), 0))</f>
        <v>9548.5913043478249</v>
      </c>
      <c r="D37" s="17" cm="1">
        <f t="array" ref="D37">INDEX(Table13[Crew Costs (USD)], MATCH(1, (Table1[[#This Row],[Aircraft Type]]=Table13[Aircraft Type]) * (Table1[[#This Row],[Distance (km)]]=Table13[Distance (km)]), 0))</f>
        <v>1500</v>
      </c>
      <c r="E37" s="17">
        <f>_xlfn.XLOOKUP(Table1[[#This Row],[Aircraft Type]],Table134[Aircraft Type],Table134[Airport &amp; Navigation Fees (USD)])</f>
        <v>2500</v>
      </c>
      <c r="F37" s="20">
        <f t="shared" si="0"/>
        <v>13548.591304347825</v>
      </c>
    </row>
    <row r="38" spans="1:6" ht="20" customHeight="1" x14ac:dyDescent="0.2">
      <c r="A38" s="8" t="s">
        <v>21</v>
      </c>
      <c r="B38" s="13">
        <v>1500</v>
      </c>
      <c r="C38" s="17" cm="1">
        <f t="array" ref="C38">INDEX(Table135[Fuel Costs (USD)], MATCH(1, (Table1[[#This Row],[Aircraft Type]]=Table135[Aircraft Type]) * (Table1[[#This Row],[Distance (km)]] = Table135[Distance (km)]), 0))</f>
        <v>10301.634782608695</v>
      </c>
      <c r="D38" s="17" cm="1">
        <f t="array" ref="D38">INDEX(Table13[Crew Costs (USD)], MATCH(1, (Table1[[#This Row],[Aircraft Type]]=Table13[Aircraft Type]) * (Table1[[#This Row],[Distance (km)]]=Table13[Distance (km)]), 0))</f>
        <v>1500</v>
      </c>
      <c r="E38" s="17">
        <f>_xlfn.XLOOKUP(Table1[[#This Row],[Aircraft Type]],Table134[Aircraft Type],Table134[Airport &amp; Navigation Fees (USD)])</f>
        <v>2500</v>
      </c>
      <c r="F38" s="20">
        <f t="shared" si="0"/>
        <v>14301.634782608695</v>
      </c>
    </row>
    <row r="39" spans="1:6" ht="20" customHeight="1" x14ac:dyDescent="0.2">
      <c r="A39" s="8" t="s">
        <v>22</v>
      </c>
      <c r="B39" s="13">
        <v>1500</v>
      </c>
      <c r="C39" s="17" cm="1">
        <f t="array" ref="C39">INDEX(Table135[Fuel Costs (USD)], MATCH(1, (Table1[[#This Row],[Aircraft Type]]=Table135[Aircraft Type]) * (Table1[[#This Row],[Distance (km)]] = Table135[Distance (km)]), 0))</f>
        <v>32528.874193548385</v>
      </c>
      <c r="D39" s="17" cm="1">
        <f t="array" ref="D39">INDEX(Table13[Crew Costs (USD)], MATCH(1, (Table1[[#This Row],[Aircraft Type]]=Table13[Aircraft Type]) * (Table1[[#This Row],[Distance (km)]]=Table13[Distance (km)]), 0))</f>
        <v>3000</v>
      </c>
      <c r="E39" s="17">
        <f>_xlfn.XLOOKUP(Table1[[#This Row],[Aircraft Type]],Table134[Aircraft Type],Table134[Airport &amp; Navigation Fees (USD)])</f>
        <v>5000</v>
      </c>
      <c r="F39" s="20">
        <f t="shared" si="0"/>
        <v>40528.874193548385</v>
      </c>
    </row>
    <row r="40" spans="1:6" ht="20" customHeight="1" x14ac:dyDescent="0.2">
      <c r="A40" s="8" t="s">
        <v>23</v>
      </c>
      <c r="B40" s="13">
        <v>1500</v>
      </c>
      <c r="C40" s="17" cm="1">
        <f t="array" ref="C40">INDEX(Table135[Fuel Costs (USD)], MATCH(1, (Table1[[#This Row],[Aircraft Type]]=Table135[Aircraft Type]) * (Table1[[#This Row],[Distance (km)]] = Table135[Distance (km)]), 0))</f>
        <v>29941.043478260872</v>
      </c>
      <c r="D40" s="17" cm="1">
        <f t="array" ref="D40">INDEX(Table13[Crew Costs (USD)], MATCH(1, (Table1[[#This Row],[Aircraft Type]]=Table13[Aircraft Type]) * (Table1[[#This Row],[Distance (km)]]=Table13[Distance (km)]), 0))</f>
        <v>3000</v>
      </c>
      <c r="E40" s="17">
        <f>_xlfn.XLOOKUP(Table1[[#This Row],[Aircraft Type]],Table134[Aircraft Type],Table134[Airport &amp; Navigation Fees (USD)])</f>
        <v>5000</v>
      </c>
      <c r="F40" s="20">
        <f t="shared" si="0"/>
        <v>37941.043478260872</v>
      </c>
    </row>
    <row r="41" spans="1:6" ht="20" customHeight="1" x14ac:dyDescent="0.2">
      <c r="A41" s="8" t="s">
        <v>24</v>
      </c>
      <c r="B41" s="13">
        <v>1500</v>
      </c>
      <c r="C41" s="17" cm="1">
        <f t="array" ref="C41">INDEX(Table135[Fuel Costs (USD)], MATCH(1, (Table1[[#This Row],[Aircraft Type]]=Table135[Aircraft Type]) * (Table1[[#This Row],[Distance (km)]] = Table135[Distance (km)]), 0))</f>
        <v>18205.099999999999</v>
      </c>
      <c r="D41" s="17" cm="1">
        <f t="array" ref="D41">INDEX(Table13[Crew Costs (USD)], MATCH(1, (Table1[[#This Row],[Aircraft Type]]=Table13[Aircraft Type]) * (Table1[[#This Row],[Distance (km)]]=Table13[Distance (km)]), 0))</f>
        <v>3000</v>
      </c>
      <c r="E41" s="17">
        <f>_xlfn.XLOOKUP(Table1[[#This Row],[Aircraft Type]],Table134[Aircraft Type],Table134[Airport &amp; Navigation Fees (USD)])</f>
        <v>5000</v>
      </c>
      <c r="F41" s="20">
        <f t="shared" si="0"/>
        <v>26205.1</v>
      </c>
    </row>
    <row r="42" spans="1:6" ht="20" customHeight="1" x14ac:dyDescent="0.2">
      <c r="A42" s="8" t="s">
        <v>25</v>
      </c>
      <c r="B42" s="13">
        <v>1500</v>
      </c>
      <c r="C42" s="17" cm="1">
        <f t="array" ref="C42">INDEX(Table135[Fuel Costs (USD)], MATCH(1, (Table1[[#This Row],[Aircraft Type]]=Table135[Aircraft Type]) * (Table1[[#This Row],[Distance (km)]] = Table135[Distance (km)]), 0))</f>
        <v>23879.82608695652</v>
      </c>
      <c r="D42" s="17" cm="1">
        <f t="array" ref="D42">INDEX(Table13[Crew Costs (USD)], MATCH(1, (Table1[[#This Row],[Aircraft Type]]=Table13[Aircraft Type]) * (Table1[[#This Row],[Distance (km)]]=Table13[Distance (km)]), 0))</f>
        <v>3000</v>
      </c>
      <c r="E42" s="17">
        <f>_xlfn.XLOOKUP(Table1[[#This Row],[Aircraft Type]],Table134[Aircraft Type],Table134[Airport &amp; Navigation Fees (USD)])</f>
        <v>5000</v>
      </c>
      <c r="F42" s="20">
        <f t="shared" si="0"/>
        <v>31879.82608695652</v>
      </c>
    </row>
    <row r="43" spans="1:6" ht="20" customHeight="1" x14ac:dyDescent="0.2">
      <c r="A43" s="8" t="s">
        <v>26</v>
      </c>
      <c r="B43" s="13">
        <v>1500</v>
      </c>
      <c r="C43" s="17" cm="1">
        <f t="array" ref="C43">INDEX(Table135[Fuel Costs (USD)], MATCH(1, (Table1[[#This Row],[Aircraft Type]]=Table135[Aircraft Type]) * (Table1[[#This Row],[Distance (km)]] = Table135[Distance (km)]), 0))</f>
        <v>17538.291304347826</v>
      </c>
      <c r="D43" s="17" cm="1">
        <f t="array" ref="D43">INDEX(Table13[Crew Costs (USD)], MATCH(1, (Table1[[#This Row],[Aircraft Type]]=Table13[Aircraft Type]) * (Table1[[#This Row],[Distance (km)]]=Table13[Distance (km)]), 0))</f>
        <v>3000</v>
      </c>
      <c r="E43" s="17">
        <f>_xlfn.XLOOKUP(Table1[[#This Row],[Aircraft Type]],Table134[Aircraft Type],Table134[Airport &amp; Navigation Fees (USD)])</f>
        <v>5000</v>
      </c>
      <c r="F43" s="20">
        <f t="shared" si="0"/>
        <v>25538.291304347826</v>
      </c>
    </row>
    <row r="44" spans="1:6" ht="20" customHeight="1" x14ac:dyDescent="0.2">
      <c r="A44" s="8" t="s">
        <v>6</v>
      </c>
      <c r="B44" s="13">
        <v>3500</v>
      </c>
      <c r="C44" s="17" cm="1">
        <f t="array" ref="C44">INDEX(Table135[Fuel Costs (USD)], MATCH(1, (Table1[[#This Row],[Aircraft Type]]=Table135[Aircraft Type]) * (Table1[[#This Row],[Distance (km)]] = Table135[Distance (km)]), 0))</f>
        <v>15996.038709677419</v>
      </c>
      <c r="D44" s="17" cm="1">
        <f t="array" ref="D44">INDEX(Table13[Crew Costs (USD)], MATCH(1, (Table1[[#This Row],[Aircraft Type]]=Table13[Aircraft Type]) * (Table1[[#This Row],[Distance (km)]]=Table13[Distance (km)]), 0))</f>
        <v>3500</v>
      </c>
      <c r="E44" s="17">
        <f>_xlfn.XLOOKUP(Table1[[#This Row],[Aircraft Type]],Table134[Aircraft Type],Table134[Airport &amp; Navigation Fees (USD)])</f>
        <v>2500</v>
      </c>
      <c r="F44" s="20">
        <f t="shared" si="0"/>
        <v>21996.038709677421</v>
      </c>
    </row>
    <row r="45" spans="1:6" ht="20" customHeight="1" x14ac:dyDescent="0.2">
      <c r="A45" s="8" t="s">
        <v>7</v>
      </c>
      <c r="B45" s="13">
        <v>3500</v>
      </c>
      <c r="C45" s="17" cm="1">
        <f t="array" ref="C45">INDEX(Table135[Fuel Costs (USD)], MATCH(1, (Table1[[#This Row],[Aircraft Type]]=Table135[Aircraft Type]) * (Table1[[#This Row],[Distance (km)]] = Table135[Distance (km)]), 0))</f>
        <v>18041.393548387096</v>
      </c>
      <c r="D45" s="17" cm="1">
        <f t="array" ref="D45">INDEX(Table13[Crew Costs (USD)], MATCH(1, (Table1[[#This Row],[Aircraft Type]]=Table13[Aircraft Type]) * (Table1[[#This Row],[Distance (km)]]=Table13[Distance (km)]), 0))</f>
        <v>3500</v>
      </c>
      <c r="E45" s="17">
        <f>_xlfn.XLOOKUP(Table1[[#This Row],[Aircraft Type]],Table134[Aircraft Type],Table134[Airport &amp; Navigation Fees (USD)])</f>
        <v>2500</v>
      </c>
      <c r="F45" s="20">
        <f t="shared" si="0"/>
        <v>24041.393548387096</v>
      </c>
    </row>
    <row r="46" spans="1:6" ht="20" customHeight="1" x14ac:dyDescent="0.2">
      <c r="A46" s="8" t="s">
        <v>8</v>
      </c>
      <c r="B46" s="13">
        <v>3500</v>
      </c>
      <c r="C46" s="17" cm="1">
        <f t="array" ref="C46">INDEX(Table135[Fuel Costs (USD)], MATCH(1, (Table1[[#This Row],[Aircraft Type]]=Table135[Aircraft Type]) * (Table1[[#This Row],[Distance (km)]] = Table135[Distance (km)]), 0))</f>
        <v>21910</v>
      </c>
      <c r="D46" s="17" cm="1">
        <f t="array" ref="D46">INDEX(Table13[Crew Costs (USD)], MATCH(1, (Table1[[#This Row],[Aircraft Type]]=Table13[Aircraft Type]) * (Table1[[#This Row],[Distance (km)]]=Table13[Distance (km)]), 0))</f>
        <v>3500</v>
      </c>
      <c r="E46" s="17">
        <f>_xlfn.XLOOKUP(Table1[[#This Row],[Aircraft Type]],Table134[Aircraft Type],Table134[Airport &amp; Navigation Fees (USD)])</f>
        <v>2500</v>
      </c>
      <c r="F46" s="20">
        <f t="shared" si="0"/>
        <v>27910</v>
      </c>
    </row>
    <row r="47" spans="1:6" ht="20" customHeight="1" x14ac:dyDescent="0.2">
      <c r="A47" s="8" t="s">
        <v>9</v>
      </c>
      <c r="B47" s="13">
        <v>3500</v>
      </c>
      <c r="C47" s="17" cm="1">
        <f t="array" ref="C47">INDEX(Table135[Fuel Costs (USD)], MATCH(1, (Table1[[#This Row],[Aircraft Type]]=Table135[Aircraft Type]) * (Table1[[#This Row],[Distance (km)]] = Table135[Distance (km)]), 0))</f>
        <v>20059.2</v>
      </c>
      <c r="D47" s="17" cm="1">
        <f t="array" ref="D47">INDEX(Table13[Crew Costs (USD)], MATCH(1, (Table1[[#This Row],[Aircraft Type]]=Table13[Aircraft Type]) * (Table1[[#This Row],[Distance (km)]]=Table13[Distance (km)]), 0))</f>
        <v>3500</v>
      </c>
      <c r="E47" s="17">
        <f>_xlfn.XLOOKUP(Table1[[#This Row],[Aircraft Type]],Table134[Aircraft Type],Table134[Airport &amp; Navigation Fees (USD)])</f>
        <v>2500</v>
      </c>
      <c r="F47" s="20">
        <f t="shared" si="0"/>
        <v>26059.200000000001</v>
      </c>
    </row>
    <row r="48" spans="1:6" ht="20" customHeight="1" x14ac:dyDescent="0.2">
      <c r="A48" s="8" t="s">
        <v>10</v>
      </c>
      <c r="B48" s="13">
        <v>3500</v>
      </c>
      <c r="C48" s="17" cm="1">
        <f t="array" ref="C48">INDEX(Table135[Fuel Costs (USD)], MATCH(1, (Table1[[#This Row],[Aircraft Type]]=Table135[Aircraft Type]) * (Table1[[#This Row],[Distance (km)]] = Table135[Distance (km)]), 0))</f>
        <v>25295.636231884055</v>
      </c>
      <c r="D48" s="17" cm="1">
        <f t="array" ref="D48">INDEX(Table13[Crew Costs (USD)], MATCH(1, (Table1[[#This Row],[Aircraft Type]]=Table13[Aircraft Type]) * (Table1[[#This Row],[Distance (km)]]=Table13[Distance (km)]), 0))</f>
        <v>3500</v>
      </c>
      <c r="E48" s="17">
        <f>_xlfn.XLOOKUP(Table1[[#This Row],[Aircraft Type]],Table134[Aircraft Type],Table134[Airport &amp; Navigation Fees (USD)])</f>
        <v>2500</v>
      </c>
      <c r="F48" s="20">
        <f t="shared" si="0"/>
        <v>31295.636231884055</v>
      </c>
    </row>
    <row r="49" spans="1:6" ht="20" customHeight="1" x14ac:dyDescent="0.2">
      <c r="A49" s="8" t="s">
        <v>11</v>
      </c>
      <c r="B49" s="13">
        <v>3500</v>
      </c>
      <c r="C49" s="17" cm="1">
        <f t="array" ref="C49">INDEX(Table135[Fuel Costs (USD)], MATCH(1, (Table1[[#This Row],[Aircraft Type]]=Table135[Aircraft Type]) * (Table1[[#This Row],[Distance (km)]] = Table135[Distance (km)]), 0))</f>
        <v>23725.93548387097</v>
      </c>
      <c r="D49" s="17" cm="1">
        <f t="array" ref="D49">INDEX(Table13[Crew Costs (USD)], MATCH(1, (Table1[[#This Row],[Aircraft Type]]=Table13[Aircraft Type]) * (Table1[[#This Row],[Distance (km)]]=Table13[Distance (km)]), 0))</f>
        <v>3500</v>
      </c>
      <c r="E49" s="17">
        <f>_xlfn.XLOOKUP(Table1[[#This Row],[Aircraft Type]],Table134[Aircraft Type],Table134[Airport &amp; Navigation Fees (USD)])</f>
        <v>2500</v>
      </c>
      <c r="F49" s="20">
        <f t="shared" si="0"/>
        <v>29725.93548387097</v>
      </c>
    </row>
    <row r="50" spans="1:6" ht="20" customHeight="1" x14ac:dyDescent="0.2">
      <c r="A50" s="8" t="s">
        <v>12</v>
      </c>
      <c r="B50" s="13">
        <v>3500</v>
      </c>
      <c r="C50" s="17" cm="1">
        <f t="array" ref="C50">INDEX(Table135[Fuel Costs (USD)], MATCH(1, (Table1[[#This Row],[Aircraft Type]]=Table135[Aircraft Type]) * (Table1[[#This Row],[Distance (km)]] = Table135[Distance (km)]), 0))</f>
        <v>44504.528985507248</v>
      </c>
      <c r="D50" s="17" cm="1">
        <f t="array" ref="D50">INDEX(Table13[Crew Costs (USD)], MATCH(1, (Table1[[#This Row],[Aircraft Type]]=Table13[Aircraft Type]) * (Table1[[#This Row],[Distance (km)]]=Table13[Distance (km)]), 0))</f>
        <v>7000</v>
      </c>
      <c r="E50" s="17">
        <f>_xlfn.XLOOKUP(Table1[[#This Row],[Aircraft Type]],Table134[Aircraft Type],Table134[Airport &amp; Navigation Fees (USD)])</f>
        <v>5000</v>
      </c>
      <c r="F50" s="20">
        <f t="shared" si="0"/>
        <v>56504.528985507248</v>
      </c>
    </row>
    <row r="51" spans="1:6" ht="20" customHeight="1" x14ac:dyDescent="0.2">
      <c r="A51" s="8" t="s">
        <v>13</v>
      </c>
      <c r="B51" s="13">
        <v>3500</v>
      </c>
      <c r="C51" s="17" cm="1">
        <f t="array" ref="C51">INDEX(Table135[Fuel Costs (USD)], MATCH(1, (Table1[[#This Row],[Aircraft Type]]=Table135[Aircraft Type]) * (Table1[[#This Row],[Distance (km)]] = Table135[Distance (km)]), 0))</f>
        <v>42639.130434782608</v>
      </c>
      <c r="D51" s="17" cm="1">
        <f t="array" ref="D51">INDEX(Table13[Crew Costs (USD)], MATCH(1, (Table1[[#This Row],[Aircraft Type]]=Table13[Aircraft Type]) * (Table1[[#This Row],[Distance (km)]]=Table13[Distance (km)]), 0))</f>
        <v>7000</v>
      </c>
      <c r="E51" s="17">
        <f>_xlfn.XLOOKUP(Table1[[#This Row],[Aircraft Type]],Table134[Aircraft Type],Table134[Airport &amp; Navigation Fees (USD)])</f>
        <v>5000</v>
      </c>
      <c r="F51" s="20">
        <f t="shared" si="0"/>
        <v>54639.130434782608</v>
      </c>
    </row>
    <row r="52" spans="1:6" ht="20" customHeight="1" x14ac:dyDescent="0.2">
      <c r="A52" s="8" t="s">
        <v>14</v>
      </c>
      <c r="B52" s="13">
        <v>3500</v>
      </c>
      <c r="C52" s="17" cm="1">
        <f t="array" ref="C52">INDEX(Table135[Fuel Costs (USD)], MATCH(1, (Table1[[#This Row],[Aircraft Type]]=Table135[Aircraft Type]) * (Table1[[#This Row],[Distance (km)]] = Table135[Distance (km)]), 0))</f>
        <v>48153.608695652169</v>
      </c>
      <c r="D52" s="17" cm="1">
        <f t="array" ref="D52">INDEX(Table13[Crew Costs (USD)], MATCH(1, (Table1[[#This Row],[Aircraft Type]]=Table13[Aircraft Type]) * (Table1[[#This Row],[Distance (km)]]=Table13[Distance (km)]), 0))</f>
        <v>7000</v>
      </c>
      <c r="E52" s="17">
        <f>_xlfn.XLOOKUP(Table1[[#This Row],[Aircraft Type]],Table134[Aircraft Type],Table134[Airport &amp; Navigation Fees (USD)])</f>
        <v>5000</v>
      </c>
      <c r="F52" s="20">
        <f t="shared" si="0"/>
        <v>60153.608695652169</v>
      </c>
    </row>
    <row r="53" spans="1:6" ht="20" customHeight="1" x14ac:dyDescent="0.2">
      <c r="A53" s="8" t="s">
        <v>15</v>
      </c>
      <c r="B53" s="13">
        <v>3500</v>
      </c>
      <c r="C53" s="17" cm="1">
        <f t="array" ref="C53">INDEX(Table135[Fuel Costs (USD)], MATCH(1, (Table1[[#This Row],[Aircraft Type]]=Table135[Aircraft Type]) * (Table1[[#This Row],[Distance (km)]] = Table135[Distance (km)]), 0))</f>
        <v>62280.596405797114</v>
      </c>
      <c r="D53" s="17" cm="1">
        <f t="array" ref="D53">INDEX(Table13[Crew Costs (USD)], MATCH(1, (Table1[[#This Row],[Aircraft Type]]=Table13[Aircraft Type]) * (Table1[[#This Row],[Distance (km)]]=Table13[Distance (km)]), 0))</f>
        <v>7000</v>
      </c>
      <c r="E53" s="17">
        <f>_xlfn.XLOOKUP(Table1[[#This Row],[Aircraft Type]],Table134[Aircraft Type],Table134[Airport &amp; Navigation Fees (USD)])</f>
        <v>5000</v>
      </c>
      <c r="F53" s="20">
        <f t="shared" si="0"/>
        <v>74280.596405797114</v>
      </c>
    </row>
    <row r="54" spans="1:6" ht="20" customHeight="1" x14ac:dyDescent="0.2">
      <c r="A54" s="8" t="s">
        <v>16</v>
      </c>
      <c r="B54" s="13">
        <v>3500</v>
      </c>
      <c r="C54" s="17" cm="1">
        <f t="array" ref="C54">INDEX(Table135[Fuel Costs (USD)], MATCH(1, (Table1[[#This Row],[Aircraft Type]]=Table135[Aircraft Type]) * (Table1[[#This Row],[Distance (km)]] = Table135[Distance (km)]), 0))</f>
        <v>43451.830434782612</v>
      </c>
      <c r="D54" s="17" cm="1">
        <f t="array" ref="D54">INDEX(Table13[Crew Costs (USD)], MATCH(1, (Table1[[#This Row],[Aircraft Type]]=Table13[Aircraft Type]) * (Table1[[#This Row],[Distance (km)]]=Table13[Distance (km)]), 0))</f>
        <v>7000</v>
      </c>
      <c r="E54" s="17">
        <f>_xlfn.XLOOKUP(Table1[[#This Row],[Aircraft Type]],Table134[Aircraft Type],Table134[Airport &amp; Navigation Fees (USD)])</f>
        <v>5000</v>
      </c>
      <c r="F54" s="20">
        <f t="shared" si="0"/>
        <v>55451.830434782612</v>
      </c>
    </row>
    <row r="55" spans="1:6" ht="20" customHeight="1" x14ac:dyDescent="0.2">
      <c r="A55" s="8" t="s">
        <v>17</v>
      </c>
      <c r="B55" s="13">
        <v>3500</v>
      </c>
      <c r="C55" s="17" cm="1">
        <f t="array" ref="C55">INDEX(Table135[Fuel Costs (USD)], MATCH(1, (Table1[[#This Row],[Aircraft Type]]=Table135[Aircraft Type]) * (Table1[[#This Row],[Distance (km)]] = Table135[Distance (km)]), 0))</f>
        <v>100667.89275362318</v>
      </c>
      <c r="D55" s="17" cm="1">
        <f t="array" ref="D55">INDEX(Table13[Crew Costs (USD)], MATCH(1, (Table1[[#This Row],[Aircraft Type]]=Table13[Aircraft Type]) * (Table1[[#This Row],[Distance (km)]]=Table13[Distance (km)]), 0))</f>
        <v>7000</v>
      </c>
      <c r="E55" s="17">
        <f>_xlfn.XLOOKUP(Table1[[#This Row],[Aircraft Type]],Table134[Aircraft Type],Table134[Airport &amp; Navigation Fees (USD)])</f>
        <v>5000</v>
      </c>
      <c r="F55" s="20">
        <f t="shared" si="0"/>
        <v>112667.89275362318</v>
      </c>
    </row>
    <row r="56" spans="1:6" ht="20" customHeight="1" x14ac:dyDescent="0.2">
      <c r="A56" s="8" t="s">
        <v>18</v>
      </c>
      <c r="B56" s="13">
        <v>3500</v>
      </c>
      <c r="C56" s="17" cm="1">
        <f t="array" ref="C56">INDEX(Table135[Fuel Costs (USD)], MATCH(1, (Table1[[#This Row],[Aircraft Type]]=Table135[Aircraft Type]) * (Table1[[#This Row],[Distance (km)]] = Table135[Distance (km)]), 0))</f>
        <v>19055.670967741935</v>
      </c>
      <c r="D56" s="17" cm="1">
        <f t="array" ref="D56">INDEX(Table13[Crew Costs (USD)], MATCH(1, (Table1[[#This Row],[Aircraft Type]]=Table13[Aircraft Type]) * (Table1[[#This Row],[Distance (km)]]=Table13[Distance (km)]), 0))</f>
        <v>3500</v>
      </c>
      <c r="E56" s="17">
        <f>_xlfn.XLOOKUP(Table1[[#This Row],[Aircraft Type]],Table134[Aircraft Type],Table134[Airport &amp; Navigation Fees (USD)])</f>
        <v>2500</v>
      </c>
      <c r="F56" s="20">
        <f t="shared" si="0"/>
        <v>25055.670967741935</v>
      </c>
    </row>
    <row r="57" spans="1:6" ht="20" customHeight="1" x14ac:dyDescent="0.2">
      <c r="A57" s="8" t="s">
        <v>19</v>
      </c>
      <c r="B57" s="13">
        <v>3500</v>
      </c>
      <c r="C57" s="17" cm="1">
        <f t="array" ref="C57">INDEX(Table135[Fuel Costs (USD)], MATCH(1, (Table1[[#This Row],[Aircraft Type]]=Table135[Aircraft Type]) * (Table1[[#This Row],[Distance (km)]] = Table135[Distance (km)]), 0))</f>
        <v>20370</v>
      </c>
      <c r="D57" s="17" cm="1">
        <f t="array" ref="D57">INDEX(Table13[Crew Costs (USD)], MATCH(1, (Table1[[#This Row],[Aircraft Type]]=Table13[Aircraft Type]) * (Table1[[#This Row],[Distance (km)]]=Table13[Distance (km)]), 0))</f>
        <v>3500</v>
      </c>
      <c r="E57" s="17">
        <f>_xlfn.XLOOKUP(Table1[[#This Row],[Aircraft Type]],Table134[Aircraft Type],Table134[Airport &amp; Navigation Fees (USD)])</f>
        <v>2500</v>
      </c>
      <c r="F57" s="20">
        <f t="shared" si="0"/>
        <v>26370</v>
      </c>
    </row>
    <row r="58" spans="1:6" ht="20" customHeight="1" x14ac:dyDescent="0.2">
      <c r="A58" s="8" t="s">
        <v>20</v>
      </c>
      <c r="B58" s="13">
        <v>3500</v>
      </c>
      <c r="C58" s="17" cm="1">
        <f t="array" ref="C58">INDEX(Table135[Fuel Costs (USD)], MATCH(1, (Table1[[#This Row],[Aircraft Type]]=Table135[Aircraft Type]) * (Table1[[#This Row],[Distance (km)]] = Table135[Distance (km)]), 0))</f>
        <v>22280.046376811591</v>
      </c>
      <c r="D58" s="17" cm="1">
        <f t="array" ref="D58">INDEX(Table13[Crew Costs (USD)], MATCH(1, (Table1[[#This Row],[Aircraft Type]]=Table13[Aircraft Type]) * (Table1[[#This Row],[Distance (km)]]=Table13[Distance (km)]), 0))</f>
        <v>3500</v>
      </c>
      <c r="E58" s="17">
        <f>_xlfn.XLOOKUP(Table1[[#This Row],[Aircraft Type]],Table134[Aircraft Type],Table134[Airport &amp; Navigation Fees (USD)])</f>
        <v>2500</v>
      </c>
      <c r="F58" s="20">
        <f t="shared" si="0"/>
        <v>28280.046376811591</v>
      </c>
    </row>
    <row r="59" spans="1:6" ht="20" customHeight="1" x14ac:dyDescent="0.2">
      <c r="A59" s="8" t="s">
        <v>21</v>
      </c>
      <c r="B59" s="13">
        <v>3500</v>
      </c>
      <c r="C59" s="17" cm="1">
        <f t="array" ref="C59">INDEX(Table135[Fuel Costs (USD)], MATCH(1, (Table1[[#This Row],[Aircraft Type]]=Table135[Aircraft Type]) * (Table1[[#This Row],[Distance (km)]] = Table135[Distance (km)]), 0))</f>
        <v>24037.147826086955</v>
      </c>
      <c r="D59" s="17" cm="1">
        <f t="array" ref="D59">INDEX(Table13[Crew Costs (USD)], MATCH(1, (Table1[[#This Row],[Aircraft Type]]=Table13[Aircraft Type]) * (Table1[[#This Row],[Distance (km)]]=Table13[Distance (km)]), 0))</f>
        <v>3500</v>
      </c>
      <c r="E59" s="17">
        <f>_xlfn.XLOOKUP(Table1[[#This Row],[Aircraft Type]],Table134[Aircraft Type],Table134[Airport &amp; Navigation Fees (USD)])</f>
        <v>2500</v>
      </c>
      <c r="F59" s="20">
        <f t="shared" si="0"/>
        <v>30037.147826086955</v>
      </c>
    </row>
    <row r="60" spans="1:6" ht="20" customHeight="1" x14ac:dyDescent="0.2">
      <c r="A60" s="8" t="s">
        <v>22</v>
      </c>
      <c r="B60" s="13">
        <v>3500</v>
      </c>
      <c r="C60" s="17" cm="1">
        <f t="array" ref="C60">INDEX(Table135[Fuel Costs (USD)], MATCH(1, (Table1[[#This Row],[Aircraft Type]]=Table135[Aircraft Type]) * (Table1[[#This Row],[Distance (km)]] = Table135[Distance (km)]), 0))</f>
        <v>75900.706451612903</v>
      </c>
      <c r="D60" s="17" cm="1">
        <f t="array" ref="D60">INDEX(Table13[Crew Costs (USD)], MATCH(1, (Table1[[#This Row],[Aircraft Type]]=Table13[Aircraft Type]) * (Table1[[#This Row],[Distance (km)]]=Table13[Distance (km)]), 0))</f>
        <v>7000</v>
      </c>
      <c r="E60" s="17">
        <f>_xlfn.XLOOKUP(Table1[[#This Row],[Aircraft Type]],Table134[Aircraft Type],Table134[Airport &amp; Navigation Fees (USD)])</f>
        <v>5000</v>
      </c>
      <c r="F60" s="20">
        <f t="shared" si="0"/>
        <v>87900.706451612903</v>
      </c>
    </row>
    <row r="61" spans="1:6" ht="20" customHeight="1" x14ac:dyDescent="0.2">
      <c r="A61" s="8" t="s">
        <v>23</v>
      </c>
      <c r="B61" s="13">
        <v>3500</v>
      </c>
      <c r="C61" s="17" cm="1">
        <f t="array" ref="C61">INDEX(Table135[Fuel Costs (USD)], MATCH(1, (Table1[[#This Row],[Aircraft Type]]=Table135[Aircraft Type]) * (Table1[[#This Row],[Distance (km)]] = Table135[Distance (km)]), 0))</f>
        <v>69862.434782608703</v>
      </c>
      <c r="D61" s="17" cm="1">
        <f t="array" ref="D61">INDEX(Table13[Crew Costs (USD)], MATCH(1, (Table1[[#This Row],[Aircraft Type]]=Table13[Aircraft Type]) * (Table1[[#This Row],[Distance (km)]]=Table13[Distance (km)]), 0))</f>
        <v>7000</v>
      </c>
      <c r="E61" s="17">
        <f>_xlfn.XLOOKUP(Table1[[#This Row],[Aircraft Type]],Table134[Aircraft Type],Table134[Airport &amp; Navigation Fees (USD)])</f>
        <v>5000</v>
      </c>
      <c r="F61" s="20">
        <f t="shared" si="0"/>
        <v>81862.434782608703</v>
      </c>
    </row>
    <row r="62" spans="1:6" ht="20" customHeight="1" x14ac:dyDescent="0.2">
      <c r="A62" s="8" t="s">
        <v>24</v>
      </c>
      <c r="B62" s="13">
        <v>3500</v>
      </c>
      <c r="C62" s="17" cm="1">
        <f t="array" ref="C62">INDEX(Table135[Fuel Costs (USD)], MATCH(1, (Table1[[#This Row],[Aircraft Type]]=Table135[Aircraft Type]) * (Table1[[#This Row],[Distance (km)]] = Table135[Distance (km)]), 0))</f>
        <v>42478.566666666666</v>
      </c>
      <c r="D62" s="17" cm="1">
        <f t="array" ref="D62">INDEX(Table13[Crew Costs (USD)], MATCH(1, (Table1[[#This Row],[Aircraft Type]]=Table13[Aircraft Type]) * (Table1[[#This Row],[Distance (km)]]=Table13[Distance (km)]), 0))</f>
        <v>7000</v>
      </c>
      <c r="E62" s="17">
        <f>_xlfn.XLOOKUP(Table1[[#This Row],[Aircraft Type]],Table134[Aircraft Type],Table134[Airport &amp; Navigation Fees (USD)])</f>
        <v>5000</v>
      </c>
      <c r="F62" s="20">
        <f t="shared" si="0"/>
        <v>54478.566666666666</v>
      </c>
    </row>
    <row r="63" spans="1:6" ht="20" customHeight="1" x14ac:dyDescent="0.2">
      <c r="A63" s="8" t="s">
        <v>25</v>
      </c>
      <c r="B63" s="13">
        <v>3500</v>
      </c>
      <c r="C63" s="17" cm="1">
        <f t="array" ref="C63">INDEX(Table135[Fuel Costs (USD)], MATCH(1, (Table1[[#This Row],[Aircraft Type]]=Table135[Aircraft Type]) * (Table1[[#This Row],[Distance (km)]] = Table135[Distance (km)]), 0))</f>
        <v>55719.594202898552</v>
      </c>
      <c r="D63" s="17" cm="1">
        <f t="array" ref="D63">INDEX(Table13[Crew Costs (USD)], MATCH(1, (Table1[[#This Row],[Aircraft Type]]=Table13[Aircraft Type]) * (Table1[[#This Row],[Distance (km)]]=Table13[Distance (km)]), 0))</f>
        <v>7000</v>
      </c>
      <c r="E63" s="17">
        <f>_xlfn.XLOOKUP(Table1[[#This Row],[Aircraft Type]],Table134[Aircraft Type],Table134[Airport &amp; Navigation Fees (USD)])</f>
        <v>5000</v>
      </c>
      <c r="F63" s="20">
        <f t="shared" si="0"/>
        <v>67719.594202898559</v>
      </c>
    </row>
    <row r="64" spans="1:6" ht="20" customHeight="1" x14ac:dyDescent="0.2">
      <c r="A64" s="8" t="s">
        <v>26</v>
      </c>
      <c r="B64" s="13">
        <v>3500</v>
      </c>
      <c r="C64" s="17" cm="1">
        <f t="array" ref="C64">INDEX(Table135[Fuel Costs (USD)], MATCH(1, (Table1[[#This Row],[Aircraft Type]]=Table135[Aircraft Type]) * (Table1[[#This Row],[Distance (km)]] = Table135[Distance (km)]), 0))</f>
        <v>40922.679710144927</v>
      </c>
      <c r="D64" s="17" cm="1">
        <f t="array" ref="D64">INDEX(Table13[Crew Costs (USD)], MATCH(1, (Table1[[#This Row],[Aircraft Type]]=Table13[Aircraft Type]) * (Table1[[#This Row],[Distance (km)]]=Table13[Distance (km)]), 0))</f>
        <v>7000</v>
      </c>
      <c r="E64" s="17">
        <f>_xlfn.XLOOKUP(Table1[[#This Row],[Aircraft Type]],Table134[Aircraft Type],Table134[Airport &amp; Navigation Fees (USD)])</f>
        <v>5000</v>
      </c>
      <c r="F64" s="20">
        <f t="shared" si="0"/>
        <v>52922.679710144927</v>
      </c>
    </row>
    <row r="65" spans="1:6" ht="20" customHeight="1" x14ac:dyDescent="0.2">
      <c r="A65" s="8" t="s">
        <v>6</v>
      </c>
      <c r="B65" s="13">
        <v>8000</v>
      </c>
      <c r="C65" s="17" cm="1">
        <f t="array" ref="C65">INDEX(Table135[Fuel Costs (USD)], MATCH(1, (Table1[[#This Row],[Aircraft Type]]=Table135[Aircraft Type]) * (Table1[[#This Row],[Distance (km)]] = Table135[Distance (km)]), 0))</f>
        <v>36562.374193548385</v>
      </c>
      <c r="D65" s="17" cm="1">
        <f t="array" ref="D65">INDEX(Table13[Crew Costs (USD)], MATCH(1, (Table1[[#This Row],[Aircraft Type]]=Table13[Aircraft Type]) * (Table1[[#This Row],[Distance (km)]]=Table13[Distance (km)]), 0))</f>
        <v>8000</v>
      </c>
      <c r="E65" s="17">
        <f>_xlfn.XLOOKUP(Table1[[#This Row],[Aircraft Type]],Table134[Aircraft Type],Table134[Airport &amp; Navigation Fees (USD)])</f>
        <v>2500</v>
      </c>
      <c r="F65" s="20">
        <f t="shared" si="0"/>
        <v>47062.374193548385</v>
      </c>
    </row>
    <row r="66" spans="1:6" ht="20" customHeight="1" x14ac:dyDescent="0.2">
      <c r="A66" s="8" t="s">
        <v>7</v>
      </c>
      <c r="B66" s="13">
        <v>8000</v>
      </c>
      <c r="C66" s="17" cm="1">
        <f t="array" ref="C66">INDEX(Table135[Fuel Costs (USD)], MATCH(1, (Table1[[#This Row],[Aircraft Type]]=Table135[Aircraft Type]) * (Table1[[#This Row],[Distance (km)]] = Table135[Distance (km)]), 0))</f>
        <v>41237.470967741938</v>
      </c>
      <c r="D66" s="17" cm="1">
        <f t="array" ref="D66">INDEX(Table13[Crew Costs (USD)], MATCH(1, (Table1[[#This Row],[Aircraft Type]]=Table13[Aircraft Type]) * (Table1[[#This Row],[Distance (km)]]=Table13[Distance (km)]), 0))</f>
        <v>8000</v>
      </c>
      <c r="E66" s="17">
        <f>_xlfn.XLOOKUP(Table1[[#This Row],[Aircraft Type]],Table134[Aircraft Type],Table134[Airport &amp; Navigation Fees (USD)])</f>
        <v>2500</v>
      </c>
      <c r="F66" s="20">
        <f t="shared" si="0"/>
        <v>51737.470967741938</v>
      </c>
    </row>
    <row r="67" spans="1:6" ht="20" customHeight="1" x14ac:dyDescent="0.2">
      <c r="A67" s="8" t="s">
        <v>8</v>
      </c>
      <c r="B67" s="13">
        <v>8000</v>
      </c>
      <c r="C67" s="17" cm="1">
        <f t="array" ref="C67">INDEX(Table135[Fuel Costs (USD)], MATCH(1, (Table1[[#This Row],[Aircraft Type]]=Table135[Aircraft Type]) * (Table1[[#This Row],[Distance (km)]] = Table135[Distance (km)]), 0))</f>
        <v>50080</v>
      </c>
      <c r="D67" s="17" cm="1">
        <f t="array" ref="D67">INDEX(Table13[Crew Costs (USD)], MATCH(1, (Table1[[#This Row],[Aircraft Type]]=Table13[Aircraft Type]) * (Table1[[#This Row],[Distance (km)]]=Table13[Distance (km)]), 0))</f>
        <v>8000</v>
      </c>
      <c r="E67" s="17">
        <f>_xlfn.XLOOKUP(Table1[[#This Row],[Aircraft Type]],Table134[Aircraft Type],Table134[Airport &amp; Navigation Fees (USD)])</f>
        <v>2500</v>
      </c>
      <c r="F67" s="20">
        <f t="shared" ref="F67:F105" si="1">SUM(C67:E67)</f>
        <v>60580</v>
      </c>
    </row>
    <row r="68" spans="1:6" ht="20" customHeight="1" x14ac:dyDescent="0.2">
      <c r="A68" s="8" t="s">
        <v>9</v>
      </c>
      <c r="B68" s="13">
        <v>8000</v>
      </c>
      <c r="C68" s="17" cm="1">
        <f t="array" ref="C68">INDEX(Table135[Fuel Costs (USD)], MATCH(1, (Table1[[#This Row],[Aircraft Type]]=Table135[Aircraft Type]) * (Table1[[#This Row],[Distance (km)]] = Table135[Distance (km)]), 0))</f>
        <v>45849.600000000006</v>
      </c>
      <c r="D68" s="17" cm="1">
        <f t="array" ref="D68">INDEX(Table13[Crew Costs (USD)], MATCH(1, (Table1[[#This Row],[Aircraft Type]]=Table13[Aircraft Type]) * (Table1[[#This Row],[Distance (km)]]=Table13[Distance (km)]), 0))</f>
        <v>8000</v>
      </c>
      <c r="E68" s="17">
        <f>_xlfn.XLOOKUP(Table1[[#This Row],[Aircraft Type]],Table134[Aircraft Type],Table134[Airport &amp; Navigation Fees (USD)])</f>
        <v>2500</v>
      </c>
      <c r="F68" s="20">
        <f t="shared" si="1"/>
        <v>56349.600000000006</v>
      </c>
    </row>
    <row r="69" spans="1:6" ht="20" customHeight="1" x14ac:dyDescent="0.2">
      <c r="A69" s="8" t="s">
        <v>10</v>
      </c>
      <c r="B69" s="13">
        <v>8000</v>
      </c>
      <c r="C69" s="17" cm="1">
        <f t="array" ref="C69">INDEX(Table135[Fuel Costs (USD)], MATCH(1, (Table1[[#This Row],[Aircraft Type]]=Table135[Aircraft Type]) * (Table1[[#This Row],[Distance (km)]] = Table135[Distance (km)]), 0))</f>
        <v>57818.597101449268</v>
      </c>
      <c r="D69" s="17" cm="1">
        <f t="array" ref="D69">INDEX(Table13[Crew Costs (USD)], MATCH(1, (Table1[[#This Row],[Aircraft Type]]=Table13[Aircraft Type]) * (Table1[[#This Row],[Distance (km)]]=Table13[Distance (km)]), 0))</f>
        <v>8000</v>
      </c>
      <c r="E69" s="17">
        <f>_xlfn.XLOOKUP(Table1[[#This Row],[Aircraft Type]],Table134[Aircraft Type],Table134[Airport &amp; Navigation Fees (USD)])</f>
        <v>2500</v>
      </c>
      <c r="F69" s="20">
        <f t="shared" si="1"/>
        <v>68318.597101449268</v>
      </c>
    </row>
    <row r="70" spans="1:6" ht="20" customHeight="1" x14ac:dyDescent="0.2">
      <c r="A70" s="8" t="s">
        <v>11</v>
      </c>
      <c r="B70" s="13">
        <v>8000</v>
      </c>
      <c r="C70" s="17" cm="1">
        <f t="array" ref="C70">INDEX(Table135[Fuel Costs (USD)], MATCH(1, (Table1[[#This Row],[Aircraft Type]]=Table135[Aircraft Type]) * (Table1[[#This Row],[Distance (km)]] = Table135[Distance (km)]), 0))</f>
        <v>54230.709677419356</v>
      </c>
      <c r="D70" s="17" cm="1">
        <f t="array" ref="D70">INDEX(Table13[Crew Costs (USD)], MATCH(1, (Table1[[#This Row],[Aircraft Type]]=Table13[Aircraft Type]) * (Table1[[#This Row],[Distance (km)]]=Table13[Distance (km)]), 0))</f>
        <v>8000</v>
      </c>
      <c r="E70" s="17">
        <f>_xlfn.XLOOKUP(Table1[[#This Row],[Aircraft Type]],Table134[Aircraft Type],Table134[Airport &amp; Navigation Fees (USD)])</f>
        <v>2500</v>
      </c>
      <c r="F70" s="20">
        <f t="shared" si="1"/>
        <v>64730.709677419356</v>
      </c>
    </row>
    <row r="71" spans="1:6" ht="20" customHeight="1" x14ac:dyDescent="0.2">
      <c r="A71" s="8" t="s">
        <v>12</v>
      </c>
      <c r="B71" s="13">
        <v>8000</v>
      </c>
      <c r="C71" s="17" cm="1">
        <f t="array" ref="C71">INDEX(Table135[Fuel Costs (USD)], MATCH(1, (Table1[[#This Row],[Aircraft Type]]=Table135[Aircraft Type]) * (Table1[[#This Row],[Distance (km)]] = Table135[Distance (km)]), 0))</f>
        <v>101724.63768115942</v>
      </c>
      <c r="D71" s="17" cm="1">
        <f t="array" ref="D71">INDEX(Table13[Crew Costs (USD)], MATCH(1, (Table1[[#This Row],[Aircraft Type]]=Table13[Aircraft Type]) * (Table1[[#This Row],[Distance (km)]]=Table13[Distance (km)]), 0))</f>
        <v>16000</v>
      </c>
      <c r="E71" s="17">
        <f>_xlfn.XLOOKUP(Table1[[#This Row],[Aircraft Type]],Table134[Aircraft Type],Table134[Airport &amp; Navigation Fees (USD)])</f>
        <v>5000</v>
      </c>
      <c r="F71" s="20">
        <f t="shared" si="1"/>
        <v>122724.63768115942</v>
      </c>
    </row>
    <row r="72" spans="1:6" ht="20" customHeight="1" x14ac:dyDescent="0.2">
      <c r="A72" s="8" t="s">
        <v>13</v>
      </c>
      <c r="B72" s="13">
        <v>8000</v>
      </c>
      <c r="C72" s="17" cm="1">
        <f t="array" ref="C72">INDEX(Table135[Fuel Costs (USD)], MATCH(1, (Table1[[#This Row],[Aircraft Type]]=Table135[Aircraft Type]) * (Table1[[#This Row],[Distance (km)]] = Table135[Distance (km)]), 0))</f>
        <v>97460.869565217392</v>
      </c>
      <c r="D72" s="17" cm="1">
        <f t="array" ref="D72">INDEX(Table13[Crew Costs (USD)], MATCH(1, (Table1[[#This Row],[Aircraft Type]]=Table13[Aircraft Type]) * (Table1[[#This Row],[Distance (km)]]=Table13[Distance (km)]), 0))</f>
        <v>16000</v>
      </c>
      <c r="E72" s="17">
        <f>_xlfn.XLOOKUP(Table1[[#This Row],[Aircraft Type]],Table134[Aircraft Type],Table134[Airport &amp; Navigation Fees (USD)])</f>
        <v>5000</v>
      </c>
      <c r="F72" s="20">
        <f t="shared" si="1"/>
        <v>118460.86956521739</v>
      </c>
    </row>
    <row r="73" spans="1:6" ht="20" customHeight="1" x14ac:dyDescent="0.2">
      <c r="A73" s="8" t="s">
        <v>14</v>
      </c>
      <c r="B73" s="13">
        <v>8000</v>
      </c>
      <c r="C73" s="17" cm="1">
        <f t="array" ref="C73">INDEX(Table135[Fuel Costs (USD)], MATCH(1, (Table1[[#This Row],[Aircraft Type]]=Table135[Aircraft Type]) * (Table1[[#This Row],[Distance (km)]] = Table135[Distance (km)]), 0))</f>
        <v>110065.39130434781</v>
      </c>
      <c r="D73" s="17" cm="1">
        <f t="array" ref="D73">INDEX(Table13[Crew Costs (USD)], MATCH(1, (Table1[[#This Row],[Aircraft Type]]=Table13[Aircraft Type]) * (Table1[[#This Row],[Distance (km)]]=Table13[Distance (km)]), 0))</f>
        <v>16000</v>
      </c>
      <c r="E73" s="17">
        <f>_xlfn.XLOOKUP(Table1[[#This Row],[Aircraft Type]],Table134[Aircraft Type],Table134[Airport &amp; Navigation Fees (USD)])</f>
        <v>5000</v>
      </c>
      <c r="F73" s="20">
        <f t="shared" si="1"/>
        <v>131065.39130434781</v>
      </c>
    </row>
    <row r="74" spans="1:6" ht="20" customHeight="1" x14ac:dyDescent="0.2">
      <c r="A74" s="8" t="s">
        <v>15</v>
      </c>
      <c r="B74" s="13">
        <v>8000</v>
      </c>
      <c r="C74" s="17" cm="1">
        <f t="array" ref="C74">INDEX(Table135[Fuel Costs (USD)], MATCH(1, (Table1[[#This Row],[Aircraft Type]]=Table135[Aircraft Type]) * (Table1[[#This Row],[Distance (km)]] = Table135[Distance (km)]), 0))</f>
        <v>142355.64892753627</v>
      </c>
      <c r="D74" s="17" cm="1">
        <f t="array" ref="D74">INDEX(Table13[Crew Costs (USD)], MATCH(1, (Table1[[#This Row],[Aircraft Type]]=Table13[Aircraft Type]) * (Table1[[#This Row],[Distance (km)]]=Table13[Distance (km)]), 0))</f>
        <v>16000</v>
      </c>
      <c r="E74" s="17">
        <f>_xlfn.XLOOKUP(Table1[[#This Row],[Aircraft Type]],Table134[Aircraft Type],Table134[Airport &amp; Navigation Fees (USD)])</f>
        <v>5000</v>
      </c>
      <c r="F74" s="20">
        <f t="shared" si="1"/>
        <v>163355.64892753627</v>
      </c>
    </row>
    <row r="75" spans="1:6" ht="20" customHeight="1" x14ac:dyDescent="0.2">
      <c r="A75" s="8" t="s">
        <v>16</v>
      </c>
      <c r="B75" s="13">
        <v>8000</v>
      </c>
      <c r="C75" s="17" cm="1">
        <f t="array" ref="C75">INDEX(Table135[Fuel Costs (USD)], MATCH(1, (Table1[[#This Row],[Aircraft Type]]=Table135[Aircraft Type]) * (Table1[[#This Row],[Distance (km)]] = Table135[Distance (km)]), 0))</f>
        <v>99318.469565217398</v>
      </c>
      <c r="D75" s="17" cm="1">
        <f t="array" ref="D75">INDEX(Table13[Crew Costs (USD)], MATCH(1, (Table1[[#This Row],[Aircraft Type]]=Table13[Aircraft Type]) * (Table1[[#This Row],[Distance (km)]]=Table13[Distance (km)]), 0))</f>
        <v>16000</v>
      </c>
      <c r="E75" s="17">
        <f>_xlfn.XLOOKUP(Table1[[#This Row],[Aircraft Type]],Table134[Aircraft Type],Table134[Airport &amp; Navigation Fees (USD)])</f>
        <v>5000</v>
      </c>
      <c r="F75" s="20">
        <f t="shared" si="1"/>
        <v>120318.4695652174</v>
      </c>
    </row>
    <row r="76" spans="1:6" ht="20" customHeight="1" x14ac:dyDescent="0.2">
      <c r="A76" s="8" t="s">
        <v>17</v>
      </c>
      <c r="B76" s="13">
        <v>8000</v>
      </c>
      <c r="C76" s="17" cm="1">
        <f t="array" ref="C76">INDEX(Table135[Fuel Costs (USD)], MATCH(1, (Table1[[#This Row],[Aircraft Type]]=Table135[Aircraft Type]) * (Table1[[#This Row],[Distance (km)]] = Table135[Distance (km)]), 0))</f>
        <v>230098.04057971013</v>
      </c>
      <c r="D76" s="17" cm="1">
        <f t="array" ref="D76">INDEX(Table13[Crew Costs (USD)], MATCH(1, (Table1[[#This Row],[Aircraft Type]]=Table13[Aircraft Type]) * (Table1[[#This Row],[Distance (km)]]=Table13[Distance (km)]), 0))</f>
        <v>16000</v>
      </c>
      <c r="E76" s="17">
        <f>_xlfn.XLOOKUP(Table1[[#This Row],[Aircraft Type]],Table134[Aircraft Type],Table134[Airport &amp; Navigation Fees (USD)])</f>
        <v>5000</v>
      </c>
      <c r="F76" s="20">
        <f t="shared" si="1"/>
        <v>251098.04057971013</v>
      </c>
    </row>
    <row r="77" spans="1:6" ht="20" customHeight="1" x14ac:dyDescent="0.2">
      <c r="A77" s="8" t="s">
        <v>18</v>
      </c>
      <c r="B77" s="13">
        <v>8000</v>
      </c>
      <c r="C77" s="17" cm="1">
        <f t="array" ref="C77">INDEX(Table135[Fuel Costs (USD)], MATCH(1, (Table1[[#This Row],[Aircraft Type]]=Table135[Aircraft Type]) * (Table1[[#This Row],[Distance (km)]] = Table135[Distance (km)]), 0))</f>
        <v>43555.819354838713</v>
      </c>
      <c r="D77" s="17" cm="1">
        <f t="array" ref="D77">INDEX(Table13[Crew Costs (USD)], MATCH(1, (Table1[[#This Row],[Aircraft Type]]=Table13[Aircraft Type]) * (Table1[[#This Row],[Distance (km)]]=Table13[Distance (km)]), 0))</f>
        <v>8000</v>
      </c>
      <c r="E77" s="17">
        <f>_xlfn.XLOOKUP(Table1[[#This Row],[Aircraft Type]],Table134[Aircraft Type],Table134[Airport &amp; Navigation Fees (USD)])</f>
        <v>2500</v>
      </c>
      <c r="F77" s="20">
        <f t="shared" si="1"/>
        <v>54055.819354838713</v>
      </c>
    </row>
    <row r="78" spans="1:6" ht="20" customHeight="1" x14ac:dyDescent="0.2">
      <c r="A78" s="8" t="s">
        <v>19</v>
      </c>
      <c r="B78" s="13">
        <v>8000</v>
      </c>
      <c r="C78" s="17" cm="1">
        <f t="array" ref="C78">INDEX(Table135[Fuel Costs (USD)], MATCH(1, (Table1[[#This Row],[Aircraft Type]]=Table135[Aircraft Type]) * (Table1[[#This Row],[Distance (km)]] = Table135[Distance (km)]), 0))</f>
        <v>46560</v>
      </c>
      <c r="D78" s="17" cm="1">
        <f t="array" ref="D78">INDEX(Table13[Crew Costs (USD)], MATCH(1, (Table1[[#This Row],[Aircraft Type]]=Table13[Aircraft Type]) * (Table1[[#This Row],[Distance (km)]]=Table13[Distance (km)]), 0))</f>
        <v>8000</v>
      </c>
      <c r="E78" s="17">
        <f>_xlfn.XLOOKUP(Table1[[#This Row],[Aircraft Type]],Table134[Aircraft Type],Table134[Airport &amp; Navigation Fees (USD)])</f>
        <v>2500</v>
      </c>
      <c r="F78" s="20">
        <f t="shared" si="1"/>
        <v>57060</v>
      </c>
    </row>
    <row r="79" spans="1:6" ht="20" customHeight="1" x14ac:dyDescent="0.2">
      <c r="A79" s="8" t="s">
        <v>20</v>
      </c>
      <c r="B79" s="13">
        <v>8000</v>
      </c>
      <c r="C79" s="17" cm="1">
        <f t="array" ref="C79">INDEX(Table135[Fuel Costs (USD)], MATCH(1, (Table1[[#This Row],[Aircraft Type]]=Table135[Aircraft Type]) * (Table1[[#This Row],[Distance (km)]] = Table135[Distance (km)]), 0))</f>
        <v>50925.820289855066</v>
      </c>
      <c r="D79" s="17" cm="1">
        <f t="array" ref="D79">INDEX(Table13[Crew Costs (USD)], MATCH(1, (Table1[[#This Row],[Aircraft Type]]=Table13[Aircraft Type]) * (Table1[[#This Row],[Distance (km)]]=Table13[Distance (km)]), 0))</f>
        <v>8000</v>
      </c>
      <c r="E79" s="17">
        <f>_xlfn.XLOOKUP(Table1[[#This Row],[Aircraft Type]],Table134[Aircraft Type],Table134[Airport &amp; Navigation Fees (USD)])</f>
        <v>2500</v>
      </c>
      <c r="F79" s="20">
        <f t="shared" si="1"/>
        <v>61425.820289855066</v>
      </c>
    </row>
    <row r="80" spans="1:6" ht="20" customHeight="1" x14ac:dyDescent="0.2">
      <c r="A80" s="8" t="s">
        <v>21</v>
      </c>
      <c r="B80" s="13">
        <v>8000</v>
      </c>
      <c r="C80" s="17" cm="1">
        <f t="array" ref="C80">INDEX(Table135[Fuel Costs (USD)], MATCH(1, (Table1[[#This Row],[Aircraft Type]]=Table135[Aircraft Type]) * (Table1[[#This Row],[Distance (km)]] = Table135[Distance (km)]), 0))</f>
        <v>54942.052173913042</v>
      </c>
      <c r="D80" s="17" cm="1">
        <f t="array" ref="D80">INDEX(Table13[Crew Costs (USD)], MATCH(1, (Table1[[#This Row],[Aircraft Type]]=Table13[Aircraft Type]) * (Table1[[#This Row],[Distance (km)]]=Table13[Distance (km)]), 0))</f>
        <v>8000</v>
      </c>
      <c r="E80" s="17">
        <f>_xlfn.XLOOKUP(Table1[[#This Row],[Aircraft Type]],Table134[Aircraft Type],Table134[Airport &amp; Navigation Fees (USD)])</f>
        <v>2500</v>
      </c>
      <c r="F80" s="20">
        <f t="shared" si="1"/>
        <v>65442.052173913042</v>
      </c>
    </row>
    <row r="81" spans="1:6" ht="20" customHeight="1" x14ac:dyDescent="0.2">
      <c r="A81" s="8" t="s">
        <v>22</v>
      </c>
      <c r="B81" s="13">
        <v>8000</v>
      </c>
      <c r="C81" s="17" cm="1">
        <f t="array" ref="C81">INDEX(Table135[Fuel Costs (USD)], MATCH(1, (Table1[[#This Row],[Aircraft Type]]=Table135[Aircraft Type]) * (Table1[[#This Row],[Distance (km)]] = Table135[Distance (km)]), 0))</f>
        <v>173487.32903225807</v>
      </c>
      <c r="D81" s="17" cm="1">
        <f t="array" ref="D81">INDEX(Table13[Crew Costs (USD)], MATCH(1, (Table1[[#This Row],[Aircraft Type]]=Table13[Aircraft Type]) * (Table1[[#This Row],[Distance (km)]]=Table13[Distance (km)]), 0))</f>
        <v>16000</v>
      </c>
      <c r="E81" s="17">
        <f>_xlfn.XLOOKUP(Table1[[#This Row],[Aircraft Type]],Table134[Aircraft Type],Table134[Airport &amp; Navigation Fees (USD)])</f>
        <v>5000</v>
      </c>
      <c r="F81" s="20">
        <f t="shared" si="1"/>
        <v>194487.32903225807</v>
      </c>
    </row>
    <row r="82" spans="1:6" ht="20" customHeight="1" x14ac:dyDescent="0.2">
      <c r="A82" s="8" t="s">
        <v>23</v>
      </c>
      <c r="B82" s="13">
        <v>8000</v>
      </c>
      <c r="C82" s="17" cm="1">
        <f t="array" ref="C82">INDEX(Table135[Fuel Costs (USD)], MATCH(1, (Table1[[#This Row],[Aircraft Type]]=Table135[Aircraft Type]) * (Table1[[#This Row],[Distance (km)]] = Table135[Distance (km)]), 0))</f>
        <v>159685.56521739133</v>
      </c>
      <c r="D82" s="17" cm="1">
        <f t="array" ref="D82">INDEX(Table13[Crew Costs (USD)], MATCH(1, (Table1[[#This Row],[Aircraft Type]]=Table13[Aircraft Type]) * (Table1[[#This Row],[Distance (km)]]=Table13[Distance (km)]), 0))</f>
        <v>16000</v>
      </c>
      <c r="E82" s="17">
        <f>_xlfn.XLOOKUP(Table1[[#This Row],[Aircraft Type]],Table134[Aircraft Type],Table134[Airport &amp; Navigation Fees (USD)])</f>
        <v>5000</v>
      </c>
      <c r="F82" s="20">
        <f t="shared" si="1"/>
        <v>180685.56521739133</v>
      </c>
    </row>
    <row r="83" spans="1:6" ht="20" customHeight="1" x14ac:dyDescent="0.2">
      <c r="A83" s="8" t="s">
        <v>24</v>
      </c>
      <c r="B83" s="13">
        <v>8000</v>
      </c>
      <c r="C83" s="17" cm="1">
        <f t="array" ref="C83">INDEX(Table135[Fuel Costs (USD)], MATCH(1, (Table1[[#This Row],[Aircraft Type]]=Table135[Aircraft Type]) * (Table1[[#This Row],[Distance (km)]] = Table135[Distance (km)]), 0))</f>
        <v>97093.866666666654</v>
      </c>
      <c r="D83" s="17" cm="1">
        <f t="array" ref="D83">INDEX(Table13[Crew Costs (USD)], MATCH(1, (Table1[[#This Row],[Aircraft Type]]=Table13[Aircraft Type]) * (Table1[[#This Row],[Distance (km)]]=Table13[Distance (km)]), 0))</f>
        <v>16000</v>
      </c>
      <c r="E83" s="17">
        <f>_xlfn.XLOOKUP(Table1[[#This Row],[Aircraft Type]],Table134[Aircraft Type],Table134[Airport &amp; Navigation Fees (USD)])</f>
        <v>5000</v>
      </c>
      <c r="F83" s="20">
        <f t="shared" si="1"/>
        <v>118093.86666666665</v>
      </c>
    </row>
    <row r="84" spans="1:6" ht="20" customHeight="1" x14ac:dyDescent="0.2">
      <c r="A84" s="8" t="s">
        <v>25</v>
      </c>
      <c r="B84" s="13">
        <v>8000</v>
      </c>
      <c r="C84" s="17" cm="1">
        <f t="array" ref="C84">INDEX(Table135[Fuel Costs (USD)], MATCH(1, (Table1[[#This Row],[Aircraft Type]]=Table135[Aircraft Type]) * (Table1[[#This Row],[Distance (km)]] = Table135[Distance (km)]), 0))</f>
        <v>127359.07246376811</v>
      </c>
      <c r="D84" s="17" cm="1">
        <f t="array" ref="D84">INDEX(Table13[Crew Costs (USD)], MATCH(1, (Table1[[#This Row],[Aircraft Type]]=Table13[Aircraft Type]) * (Table1[[#This Row],[Distance (km)]]=Table13[Distance (km)]), 0))</f>
        <v>16000</v>
      </c>
      <c r="E84" s="17">
        <f>_xlfn.XLOOKUP(Table1[[#This Row],[Aircraft Type]],Table134[Aircraft Type],Table134[Airport &amp; Navigation Fees (USD)])</f>
        <v>5000</v>
      </c>
      <c r="F84" s="20">
        <f t="shared" si="1"/>
        <v>148359.07246376813</v>
      </c>
    </row>
    <row r="85" spans="1:6" ht="20" customHeight="1" x14ac:dyDescent="0.2">
      <c r="A85" s="8" t="s">
        <v>26</v>
      </c>
      <c r="B85" s="13">
        <v>8000</v>
      </c>
      <c r="C85" s="17" cm="1">
        <f t="array" ref="C85">INDEX(Table135[Fuel Costs (USD)], MATCH(1, (Table1[[#This Row],[Aircraft Type]]=Table135[Aircraft Type]) * (Table1[[#This Row],[Distance (km)]] = Table135[Distance (km)]), 0))</f>
        <v>93537.553623188403</v>
      </c>
      <c r="D85" s="17" cm="1">
        <f t="array" ref="D85">INDEX(Table13[Crew Costs (USD)], MATCH(1, (Table1[[#This Row],[Aircraft Type]]=Table13[Aircraft Type]) * (Table1[[#This Row],[Distance (km)]]=Table13[Distance (km)]), 0))</f>
        <v>16000</v>
      </c>
      <c r="E85" s="17">
        <f>_xlfn.XLOOKUP(Table1[[#This Row],[Aircraft Type]],Table134[Aircraft Type],Table134[Airport &amp; Navigation Fees (USD)])</f>
        <v>5000</v>
      </c>
      <c r="F85" s="20">
        <f t="shared" si="1"/>
        <v>114537.5536231884</v>
      </c>
    </row>
    <row r="86" spans="1:6" ht="20" customHeight="1" x14ac:dyDescent="0.2">
      <c r="A86" s="8" t="s">
        <v>6</v>
      </c>
      <c r="B86" s="13">
        <v>12000</v>
      </c>
      <c r="C86" s="17" cm="1">
        <f t="array" ref="C86">INDEX(Table135[Fuel Costs (USD)], MATCH(1, (Table1[[#This Row],[Aircraft Type]]=Table135[Aircraft Type]) * (Table1[[#This Row],[Distance (km)]] = Table135[Distance (km)]), 0))</f>
        <v>54843.561290322577</v>
      </c>
      <c r="D86" s="17" cm="1">
        <f t="array" ref="D86">INDEX(Table13[Crew Costs (USD)], MATCH(1, (Table1[[#This Row],[Aircraft Type]]=Table13[Aircraft Type]) * (Table1[[#This Row],[Distance (km)]]=Table13[Distance (km)]), 0))</f>
        <v>12000</v>
      </c>
      <c r="E86" s="17">
        <f>_xlfn.XLOOKUP(Table1[[#This Row],[Aircraft Type]],Table134[Aircraft Type],Table134[Airport &amp; Navigation Fees (USD)])</f>
        <v>2500</v>
      </c>
      <c r="F86" s="20">
        <f t="shared" si="1"/>
        <v>69343.56129032257</v>
      </c>
    </row>
    <row r="87" spans="1:6" ht="20" customHeight="1" x14ac:dyDescent="0.2">
      <c r="A87" s="8" t="s">
        <v>7</v>
      </c>
      <c r="B87" s="13">
        <v>12000</v>
      </c>
      <c r="C87" s="17" cm="1">
        <f t="array" ref="C87">INDEX(Table135[Fuel Costs (USD)], MATCH(1, (Table1[[#This Row],[Aircraft Type]]=Table135[Aircraft Type]) * (Table1[[#This Row],[Distance (km)]] = Table135[Distance (km)]), 0))</f>
        <v>61856.206451612903</v>
      </c>
      <c r="D87" s="17" cm="1">
        <f t="array" ref="D87">INDEX(Table13[Crew Costs (USD)], MATCH(1, (Table1[[#This Row],[Aircraft Type]]=Table13[Aircraft Type]) * (Table1[[#This Row],[Distance (km)]]=Table13[Distance (km)]), 0))</f>
        <v>12000</v>
      </c>
      <c r="E87" s="17">
        <f>_xlfn.XLOOKUP(Table1[[#This Row],[Aircraft Type]],Table134[Aircraft Type],Table134[Airport &amp; Navigation Fees (USD)])</f>
        <v>2500</v>
      </c>
      <c r="F87" s="20">
        <f t="shared" si="1"/>
        <v>76356.206451612903</v>
      </c>
    </row>
    <row r="88" spans="1:6" ht="20" customHeight="1" x14ac:dyDescent="0.2">
      <c r="A88" s="8" t="s">
        <v>8</v>
      </c>
      <c r="B88" s="13">
        <v>12000</v>
      </c>
      <c r="C88" s="17" cm="1">
        <f t="array" ref="C88">INDEX(Table135[Fuel Costs (USD)], MATCH(1, (Table1[[#This Row],[Aircraft Type]]=Table135[Aircraft Type]) * (Table1[[#This Row],[Distance (km)]] = Table135[Distance (km)]), 0))</f>
        <v>75120</v>
      </c>
      <c r="D88" s="17" cm="1">
        <f t="array" ref="D88">INDEX(Table13[Crew Costs (USD)], MATCH(1, (Table1[[#This Row],[Aircraft Type]]=Table13[Aircraft Type]) * (Table1[[#This Row],[Distance (km)]]=Table13[Distance (km)]), 0))</f>
        <v>12000</v>
      </c>
      <c r="E88" s="17">
        <f>_xlfn.XLOOKUP(Table1[[#This Row],[Aircraft Type]],Table134[Aircraft Type],Table134[Airport &amp; Navigation Fees (USD)])</f>
        <v>2500</v>
      </c>
      <c r="F88" s="20">
        <f t="shared" si="1"/>
        <v>89620</v>
      </c>
    </row>
    <row r="89" spans="1:6" ht="20" customHeight="1" x14ac:dyDescent="0.2">
      <c r="A89" s="8" t="s">
        <v>9</v>
      </c>
      <c r="B89" s="13">
        <v>12000</v>
      </c>
      <c r="C89" s="17" cm="1">
        <f t="array" ref="C89">INDEX(Table135[Fuel Costs (USD)], MATCH(1, (Table1[[#This Row],[Aircraft Type]]=Table135[Aircraft Type]) * (Table1[[#This Row],[Distance (km)]] = Table135[Distance (km)]), 0))</f>
        <v>68774.400000000009</v>
      </c>
      <c r="D89" s="17" cm="1">
        <f t="array" ref="D89">INDEX(Table13[Crew Costs (USD)], MATCH(1, (Table1[[#This Row],[Aircraft Type]]=Table13[Aircraft Type]) * (Table1[[#This Row],[Distance (km)]]=Table13[Distance (km)]), 0))</f>
        <v>12000</v>
      </c>
      <c r="E89" s="17">
        <f>_xlfn.XLOOKUP(Table1[[#This Row],[Aircraft Type]],Table134[Aircraft Type],Table134[Airport &amp; Navigation Fees (USD)])</f>
        <v>2500</v>
      </c>
      <c r="F89" s="20">
        <f t="shared" si="1"/>
        <v>83274.400000000009</v>
      </c>
    </row>
    <row r="90" spans="1:6" ht="20" customHeight="1" x14ac:dyDescent="0.2">
      <c r="A90" s="8" t="s">
        <v>10</v>
      </c>
      <c r="B90" s="13">
        <v>12000</v>
      </c>
      <c r="C90" s="17" cm="1">
        <f t="array" ref="C90">INDEX(Table135[Fuel Costs (USD)], MATCH(1, (Table1[[#This Row],[Aircraft Type]]=Table135[Aircraft Type]) * (Table1[[#This Row],[Distance (km)]] = Table135[Distance (km)]), 0))</f>
        <v>86727.895652173902</v>
      </c>
      <c r="D90" s="17" cm="1">
        <f t="array" ref="D90">INDEX(Table13[Crew Costs (USD)], MATCH(1, (Table1[[#This Row],[Aircraft Type]]=Table13[Aircraft Type]) * (Table1[[#This Row],[Distance (km)]]=Table13[Distance (km)]), 0))</f>
        <v>12000</v>
      </c>
      <c r="E90" s="17">
        <f>_xlfn.XLOOKUP(Table1[[#This Row],[Aircraft Type]],Table134[Aircraft Type],Table134[Airport &amp; Navigation Fees (USD)])</f>
        <v>2500</v>
      </c>
      <c r="F90" s="20">
        <f t="shared" si="1"/>
        <v>101227.8956521739</v>
      </c>
    </row>
    <row r="91" spans="1:6" ht="20" customHeight="1" x14ac:dyDescent="0.2">
      <c r="A91" s="8" t="s">
        <v>11</v>
      </c>
      <c r="B91" s="13">
        <v>12000</v>
      </c>
      <c r="C91" s="17" cm="1">
        <f t="array" ref="C91">INDEX(Table135[Fuel Costs (USD)], MATCH(1, (Table1[[#This Row],[Aircraft Type]]=Table135[Aircraft Type]) * (Table1[[#This Row],[Distance (km)]] = Table135[Distance (km)]), 0))</f>
        <v>81346.06451612903</v>
      </c>
      <c r="D91" s="17" cm="1">
        <f t="array" ref="D91">INDEX(Table13[Crew Costs (USD)], MATCH(1, (Table1[[#This Row],[Aircraft Type]]=Table13[Aircraft Type]) * (Table1[[#This Row],[Distance (km)]]=Table13[Distance (km)]), 0))</f>
        <v>12000</v>
      </c>
      <c r="E91" s="17">
        <f>_xlfn.XLOOKUP(Table1[[#This Row],[Aircraft Type]],Table134[Aircraft Type],Table134[Airport &amp; Navigation Fees (USD)])</f>
        <v>2500</v>
      </c>
      <c r="F91" s="20">
        <f t="shared" si="1"/>
        <v>95846.06451612903</v>
      </c>
    </row>
    <row r="92" spans="1:6" ht="20" customHeight="1" x14ac:dyDescent="0.2">
      <c r="A92" s="8" t="s">
        <v>12</v>
      </c>
      <c r="B92" s="13">
        <v>12000</v>
      </c>
      <c r="C92" s="17" cm="1">
        <f t="array" ref="C92">INDEX(Table135[Fuel Costs (USD)], MATCH(1, (Table1[[#This Row],[Aircraft Type]]=Table135[Aircraft Type]) * (Table1[[#This Row],[Distance (km)]] = Table135[Distance (km)]), 0))</f>
        <v>152586.95652173914</v>
      </c>
      <c r="D92" s="17" cm="1">
        <f t="array" ref="D92">INDEX(Table13[Crew Costs (USD)], MATCH(1, (Table1[[#This Row],[Aircraft Type]]=Table13[Aircraft Type]) * (Table1[[#This Row],[Distance (km)]]=Table13[Distance (km)]), 0))</f>
        <v>24000</v>
      </c>
      <c r="E92" s="17">
        <f>_xlfn.XLOOKUP(Table1[[#This Row],[Aircraft Type]],Table134[Aircraft Type],Table134[Airport &amp; Navigation Fees (USD)])</f>
        <v>5000</v>
      </c>
      <c r="F92" s="20">
        <f t="shared" si="1"/>
        <v>181586.95652173914</v>
      </c>
    </row>
    <row r="93" spans="1:6" ht="20" customHeight="1" x14ac:dyDescent="0.2">
      <c r="A93" s="8" t="s">
        <v>13</v>
      </c>
      <c r="B93" s="13">
        <v>12000</v>
      </c>
      <c r="C93" s="17" cm="1">
        <f t="array" ref="C93">INDEX(Table135[Fuel Costs (USD)], MATCH(1, (Table1[[#This Row],[Aircraft Type]]=Table135[Aircraft Type]) * (Table1[[#This Row],[Distance (km)]] = Table135[Distance (km)]), 0))</f>
        <v>146191.30434782608</v>
      </c>
      <c r="D93" s="17" cm="1">
        <f t="array" ref="D93">INDEX(Table13[Crew Costs (USD)], MATCH(1, (Table1[[#This Row],[Aircraft Type]]=Table13[Aircraft Type]) * (Table1[[#This Row],[Distance (km)]]=Table13[Distance (km)]), 0))</f>
        <v>24000</v>
      </c>
      <c r="E93" s="17">
        <f>_xlfn.XLOOKUP(Table1[[#This Row],[Aircraft Type]],Table134[Aircraft Type],Table134[Airport &amp; Navigation Fees (USD)])</f>
        <v>5000</v>
      </c>
      <c r="F93" s="20">
        <f t="shared" si="1"/>
        <v>175191.30434782608</v>
      </c>
    </row>
    <row r="94" spans="1:6" ht="20" customHeight="1" x14ac:dyDescent="0.2">
      <c r="A94" s="8" t="s">
        <v>14</v>
      </c>
      <c r="B94" s="13">
        <v>12000</v>
      </c>
      <c r="C94" s="17" cm="1">
        <f t="array" ref="C94">INDEX(Table135[Fuel Costs (USD)], MATCH(1, (Table1[[#This Row],[Aircraft Type]]=Table135[Aircraft Type]) * (Table1[[#This Row],[Distance (km)]] = Table135[Distance (km)]), 0))</f>
        <v>165098.08695652173</v>
      </c>
      <c r="D94" s="17" cm="1">
        <f t="array" ref="D94">INDEX(Table13[Crew Costs (USD)], MATCH(1, (Table1[[#This Row],[Aircraft Type]]=Table13[Aircraft Type]) * (Table1[[#This Row],[Distance (km)]]=Table13[Distance (km)]), 0))</f>
        <v>24000</v>
      </c>
      <c r="E94" s="17">
        <f>_xlfn.XLOOKUP(Table1[[#This Row],[Aircraft Type]],Table134[Aircraft Type],Table134[Airport &amp; Navigation Fees (USD)])</f>
        <v>5000</v>
      </c>
      <c r="F94" s="20">
        <f t="shared" si="1"/>
        <v>194098.08695652173</v>
      </c>
    </row>
    <row r="95" spans="1:6" ht="20" customHeight="1" x14ac:dyDescent="0.2">
      <c r="A95" s="8" t="s">
        <v>15</v>
      </c>
      <c r="B95" s="13">
        <v>12000</v>
      </c>
      <c r="C95" s="17" cm="1">
        <f t="array" ref="C95">INDEX(Table135[Fuel Costs (USD)], MATCH(1, (Table1[[#This Row],[Aircraft Type]]=Table135[Aircraft Type]) * (Table1[[#This Row],[Distance (km)]] = Table135[Distance (km)]), 0))</f>
        <v>213533.4733913044</v>
      </c>
      <c r="D95" s="17" cm="1">
        <f t="array" ref="D95">INDEX(Table13[Crew Costs (USD)], MATCH(1, (Table1[[#This Row],[Aircraft Type]]=Table13[Aircraft Type]) * (Table1[[#This Row],[Distance (km)]]=Table13[Distance (km)]), 0))</f>
        <v>24000</v>
      </c>
      <c r="E95" s="17">
        <f>_xlfn.XLOOKUP(Table1[[#This Row],[Aircraft Type]],Table134[Aircraft Type],Table134[Airport &amp; Navigation Fees (USD)])</f>
        <v>5000</v>
      </c>
      <c r="F95" s="20">
        <f t="shared" si="1"/>
        <v>242533.4733913044</v>
      </c>
    </row>
    <row r="96" spans="1:6" ht="20" customHeight="1" x14ac:dyDescent="0.2">
      <c r="A96" s="8" t="s">
        <v>16</v>
      </c>
      <c r="B96" s="13">
        <v>12000</v>
      </c>
      <c r="C96" s="17" cm="1">
        <f t="array" ref="C96">INDEX(Table135[Fuel Costs (USD)], MATCH(1, (Table1[[#This Row],[Aircraft Type]]=Table135[Aircraft Type]) * (Table1[[#This Row],[Distance (km)]] = Table135[Distance (km)]), 0))</f>
        <v>148977.7043478261</v>
      </c>
      <c r="D96" s="17" cm="1">
        <f t="array" ref="D96">INDEX(Table13[Crew Costs (USD)], MATCH(1, (Table1[[#This Row],[Aircraft Type]]=Table13[Aircraft Type]) * (Table1[[#This Row],[Distance (km)]]=Table13[Distance (km)]), 0))</f>
        <v>24000</v>
      </c>
      <c r="E96" s="17">
        <f>_xlfn.XLOOKUP(Table1[[#This Row],[Aircraft Type]],Table134[Aircraft Type],Table134[Airport &amp; Navigation Fees (USD)])</f>
        <v>5000</v>
      </c>
      <c r="F96" s="20">
        <f t="shared" si="1"/>
        <v>177977.7043478261</v>
      </c>
    </row>
    <row r="97" spans="1:6" ht="20" customHeight="1" x14ac:dyDescent="0.2">
      <c r="A97" s="8" t="s">
        <v>17</v>
      </c>
      <c r="B97" s="13">
        <v>12000</v>
      </c>
      <c r="C97" s="17" cm="1">
        <f t="array" ref="C97">INDEX(Table135[Fuel Costs (USD)], MATCH(1, (Table1[[#This Row],[Aircraft Type]]=Table135[Aircraft Type]) * (Table1[[#This Row],[Distance (km)]] = Table135[Distance (km)]), 0))</f>
        <v>345147.06086956518</v>
      </c>
      <c r="D97" s="17" cm="1">
        <f t="array" ref="D97">INDEX(Table13[Crew Costs (USD)], MATCH(1, (Table1[[#This Row],[Aircraft Type]]=Table13[Aircraft Type]) * (Table1[[#This Row],[Distance (km)]]=Table13[Distance (km)]), 0))</f>
        <v>24000</v>
      </c>
      <c r="E97" s="17">
        <f>_xlfn.XLOOKUP(Table1[[#This Row],[Aircraft Type]],Table134[Aircraft Type],Table134[Airport &amp; Navigation Fees (USD)])</f>
        <v>5000</v>
      </c>
      <c r="F97" s="20">
        <f t="shared" si="1"/>
        <v>374147.06086956518</v>
      </c>
    </row>
    <row r="98" spans="1:6" ht="20" customHeight="1" x14ac:dyDescent="0.2">
      <c r="A98" s="8" t="s">
        <v>18</v>
      </c>
      <c r="B98" s="13">
        <v>12000</v>
      </c>
      <c r="C98" s="17" cm="1">
        <f t="array" ref="C98">INDEX(Table135[Fuel Costs (USD)], MATCH(1, (Table1[[#This Row],[Aircraft Type]]=Table135[Aircraft Type]) * (Table1[[#This Row],[Distance (km)]] = Table135[Distance (km)]), 0))</f>
        <v>65333.729032258067</v>
      </c>
      <c r="D98" s="17" cm="1">
        <f t="array" ref="D98">INDEX(Table13[Crew Costs (USD)], MATCH(1, (Table1[[#This Row],[Aircraft Type]]=Table13[Aircraft Type]) * (Table1[[#This Row],[Distance (km)]]=Table13[Distance (km)]), 0))</f>
        <v>12000</v>
      </c>
      <c r="E98" s="17">
        <f>_xlfn.XLOOKUP(Table1[[#This Row],[Aircraft Type]],Table134[Aircraft Type],Table134[Airport &amp; Navigation Fees (USD)])</f>
        <v>2500</v>
      </c>
      <c r="F98" s="20">
        <f t="shared" si="1"/>
        <v>79833.729032258067</v>
      </c>
    </row>
    <row r="99" spans="1:6" ht="20" customHeight="1" x14ac:dyDescent="0.2">
      <c r="A99" s="8" t="s">
        <v>19</v>
      </c>
      <c r="B99" s="13">
        <v>12000</v>
      </c>
      <c r="C99" s="17" cm="1">
        <f t="array" ref="C99">INDEX(Table135[Fuel Costs (USD)], MATCH(1, (Table1[[#This Row],[Aircraft Type]]=Table135[Aircraft Type]) * (Table1[[#This Row],[Distance (km)]] = Table135[Distance (km)]), 0))</f>
        <v>69840</v>
      </c>
      <c r="D99" s="17" cm="1">
        <f t="array" ref="D99">INDEX(Table13[Crew Costs (USD)], MATCH(1, (Table1[[#This Row],[Aircraft Type]]=Table13[Aircraft Type]) * (Table1[[#This Row],[Distance (km)]]=Table13[Distance (km)]), 0))</f>
        <v>12000</v>
      </c>
      <c r="E99" s="17">
        <f>_xlfn.XLOOKUP(Table1[[#This Row],[Aircraft Type]],Table134[Aircraft Type],Table134[Airport &amp; Navigation Fees (USD)])</f>
        <v>2500</v>
      </c>
      <c r="F99" s="20">
        <f t="shared" si="1"/>
        <v>84340</v>
      </c>
    </row>
    <row r="100" spans="1:6" ht="20" customHeight="1" x14ac:dyDescent="0.2">
      <c r="A100" s="8" t="s">
        <v>20</v>
      </c>
      <c r="B100" s="13">
        <v>12000</v>
      </c>
      <c r="C100" s="17" cm="1">
        <f t="array" ref="C100">INDEX(Table135[Fuel Costs (USD)], MATCH(1, (Table1[[#This Row],[Aircraft Type]]=Table135[Aircraft Type]) * (Table1[[#This Row],[Distance (km)]] = Table135[Distance (km)]), 0))</f>
        <v>76388.730434782599</v>
      </c>
      <c r="D100" s="17" cm="1">
        <f t="array" ref="D100">INDEX(Table13[Crew Costs (USD)], MATCH(1, (Table1[[#This Row],[Aircraft Type]]=Table13[Aircraft Type]) * (Table1[[#This Row],[Distance (km)]]=Table13[Distance (km)]), 0))</f>
        <v>12000</v>
      </c>
      <c r="E100" s="17">
        <f>_xlfn.XLOOKUP(Table1[[#This Row],[Aircraft Type]],Table134[Aircraft Type],Table134[Airport &amp; Navigation Fees (USD)])</f>
        <v>2500</v>
      </c>
      <c r="F100" s="20">
        <f t="shared" si="1"/>
        <v>90888.730434782599</v>
      </c>
    </row>
    <row r="101" spans="1:6" ht="20" customHeight="1" x14ac:dyDescent="0.2">
      <c r="A101" s="8" t="s">
        <v>21</v>
      </c>
      <c r="B101" s="13">
        <v>12000</v>
      </c>
      <c r="C101" s="17" cm="1">
        <f t="array" ref="C101">INDEX(Table135[Fuel Costs (USD)], MATCH(1, (Table1[[#This Row],[Aircraft Type]]=Table135[Aircraft Type]) * (Table1[[#This Row],[Distance (km)]] = Table135[Distance (km)]), 0))</f>
        <v>82413.078260869559</v>
      </c>
      <c r="D101" s="17" cm="1">
        <f t="array" ref="D101">INDEX(Table13[Crew Costs (USD)], MATCH(1, (Table1[[#This Row],[Aircraft Type]]=Table13[Aircraft Type]) * (Table1[[#This Row],[Distance (km)]]=Table13[Distance (km)]), 0))</f>
        <v>12000</v>
      </c>
      <c r="E101" s="17">
        <f>_xlfn.XLOOKUP(Table1[[#This Row],[Aircraft Type]],Table134[Aircraft Type],Table134[Airport &amp; Navigation Fees (USD)])</f>
        <v>2500</v>
      </c>
      <c r="F101" s="20">
        <f t="shared" si="1"/>
        <v>96913.078260869559</v>
      </c>
    </row>
    <row r="102" spans="1:6" ht="20" customHeight="1" x14ac:dyDescent="0.2">
      <c r="A102" s="8" t="s">
        <v>22</v>
      </c>
      <c r="B102" s="13">
        <v>12000</v>
      </c>
      <c r="C102" s="17" cm="1">
        <f t="array" ref="C102">INDEX(Table135[Fuel Costs (USD)], MATCH(1, (Table1[[#This Row],[Aircraft Type]]=Table135[Aircraft Type]) * (Table1[[#This Row],[Distance (km)]] = Table135[Distance (km)]), 0))</f>
        <v>260230.99354838708</v>
      </c>
      <c r="D102" s="17" cm="1">
        <f t="array" ref="D102">INDEX(Table13[Crew Costs (USD)], MATCH(1, (Table1[[#This Row],[Aircraft Type]]=Table13[Aircraft Type]) * (Table1[[#This Row],[Distance (km)]]=Table13[Distance (km)]), 0))</f>
        <v>24000</v>
      </c>
      <c r="E102" s="17">
        <f>_xlfn.XLOOKUP(Table1[[#This Row],[Aircraft Type]],Table134[Aircraft Type],Table134[Airport &amp; Navigation Fees (USD)])</f>
        <v>5000</v>
      </c>
      <c r="F102" s="20">
        <f t="shared" si="1"/>
        <v>289230.99354838708</v>
      </c>
    </row>
    <row r="103" spans="1:6" ht="20" customHeight="1" x14ac:dyDescent="0.2">
      <c r="A103" s="8" t="s">
        <v>23</v>
      </c>
      <c r="B103" s="13">
        <v>12000</v>
      </c>
      <c r="C103" s="17" cm="1">
        <f t="array" ref="C103">INDEX(Table135[Fuel Costs (USD)], MATCH(1, (Table1[[#This Row],[Aircraft Type]]=Table135[Aircraft Type]) * (Table1[[#This Row],[Distance (km)]] = Table135[Distance (km)]), 0))</f>
        <v>239528.34782608697</v>
      </c>
      <c r="D103" s="17" cm="1">
        <f t="array" ref="D103">INDEX(Table13[Crew Costs (USD)], MATCH(1, (Table1[[#This Row],[Aircraft Type]]=Table13[Aircraft Type]) * (Table1[[#This Row],[Distance (km)]]=Table13[Distance (km)]), 0))</f>
        <v>24000</v>
      </c>
      <c r="E103" s="17">
        <f>_xlfn.XLOOKUP(Table1[[#This Row],[Aircraft Type]],Table134[Aircraft Type],Table134[Airport &amp; Navigation Fees (USD)])</f>
        <v>5000</v>
      </c>
      <c r="F103" s="20">
        <f t="shared" si="1"/>
        <v>268528.34782608697</v>
      </c>
    </row>
    <row r="104" spans="1:6" ht="20" customHeight="1" x14ac:dyDescent="0.2">
      <c r="A104" s="8" t="s">
        <v>24</v>
      </c>
      <c r="B104" s="13">
        <v>12000</v>
      </c>
      <c r="C104" s="17" cm="1">
        <f t="array" ref="C104">INDEX(Table135[Fuel Costs (USD)], MATCH(1, (Table1[[#This Row],[Aircraft Type]]=Table135[Aircraft Type]) * (Table1[[#This Row],[Distance (km)]] = Table135[Distance (km)]), 0))</f>
        <v>145640.79999999999</v>
      </c>
      <c r="D104" s="17" cm="1">
        <f t="array" ref="D104">INDEX(Table13[Crew Costs (USD)], MATCH(1, (Table1[[#This Row],[Aircraft Type]]=Table13[Aircraft Type]) * (Table1[[#This Row],[Distance (km)]]=Table13[Distance (km)]), 0))</f>
        <v>24000</v>
      </c>
      <c r="E104" s="17">
        <f>_xlfn.XLOOKUP(Table1[[#This Row],[Aircraft Type]],Table134[Aircraft Type],Table134[Airport &amp; Navigation Fees (USD)])</f>
        <v>5000</v>
      </c>
      <c r="F104" s="20">
        <f t="shared" si="1"/>
        <v>174640.8</v>
      </c>
    </row>
    <row r="105" spans="1:6" ht="20" customHeight="1" x14ac:dyDescent="0.2">
      <c r="A105" s="8" t="s">
        <v>25</v>
      </c>
      <c r="B105" s="13">
        <v>12000</v>
      </c>
      <c r="C105" s="17" cm="1">
        <f t="array" ref="C105">INDEX(Table135[Fuel Costs (USD)], MATCH(1, (Table1[[#This Row],[Aircraft Type]]=Table135[Aircraft Type]) * (Table1[[#This Row],[Distance (km)]] = Table135[Distance (km)]), 0))</f>
        <v>191038.60869565216</v>
      </c>
      <c r="D105" s="17" cm="1">
        <f t="array" ref="D105">INDEX(Table13[Crew Costs (USD)], MATCH(1, (Table1[[#This Row],[Aircraft Type]]=Table13[Aircraft Type]) * (Table1[[#This Row],[Distance (km)]]=Table13[Distance (km)]), 0))</f>
        <v>24000</v>
      </c>
      <c r="E105" s="17">
        <f>_xlfn.XLOOKUP(Table1[[#This Row],[Aircraft Type]],Table134[Aircraft Type],Table134[Airport &amp; Navigation Fees (USD)])</f>
        <v>5000</v>
      </c>
      <c r="F105" s="20">
        <f t="shared" si="1"/>
        <v>220038.60869565216</v>
      </c>
    </row>
    <row r="106" spans="1:6" ht="20" customHeight="1" thickBot="1" x14ac:dyDescent="0.25">
      <c r="A106" s="9" t="s">
        <v>26</v>
      </c>
      <c r="B106" s="3">
        <v>12000</v>
      </c>
      <c r="C106" s="18" cm="1">
        <f t="array" ref="C106">INDEX(Table135[Fuel Costs (USD)], MATCH(1, (Table1[[#This Row],[Aircraft Type]]=Table135[Aircraft Type]) * (Table1[[#This Row],[Distance (km)]] = Table135[Distance (km)]), 0))</f>
        <v>140306.33043478261</v>
      </c>
      <c r="D106" s="18" cm="1">
        <f t="array" ref="D106">INDEX(Table13[Crew Costs (USD)], MATCH(1, (Table1[[#This Row],[Aircraft Type]]=Table13[Aircraft Type]) * (Table1[[#This Row],[Distance (km)]]=Table13[Distance (km)]), 0))</f>
        <v>24000</v>
      </c>
      <c r="E106" s="18">
        <f>_xlfn.XLOOKUP(Table1[[#This Row],[Aircraft Type]],Table134[Aircraft Type],Table134[Airport &amp; Navigation Fees (USD)])</f>
        <v>5000</v>
      </c>
      <c r="F106" s="21">
        <f>SUM(C106:E106)</f>
        <v>169306.33043478261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93DA-91B6-C94E-A48E-064C6FDAE141}">
  <dimension ref="A1:J106"/>
  <sheetViews>
    <sheetView tabSelected="1" zoomScale="89" zoomScaleNormal="50" workbookViewId="0">
      <selection activeCell="E18" sqref="E18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10" ht="20" customHeight="1" thickBot="1" x14ac:dyDescent="0.25">
      <c r="A1" s="4" t="s">
        <v>0</v>
      </c>
      <c r="B1" s="5" t="s">
        <v>29</v>
      </c>
      <c r="C1" s="5" t="s">
        <v>4</v>
      </c>
      <c r="D1" s="5" t="s">
        <v>37</v>
      </c>
      <c r="E1" s="5" t="s">
        <v>36</v>
      </c>
      <c r="F1" s="5" t="s">
        <v>38</v>
      </c>
      <c r="G1" s="5" t="s">
        <v>1</v>
      </c>
      <c r="H1" s="5" t="s">
        <v>35</v>
      </c>
      <c r="I1" s="5" t="s">
        <v>2</v>
      </c>
      <c r="J1" s="5" t="s">
        <v>34</v>
      </c>
    </row>
    <row r="2" spans="1:10" ht="20" customHeight="1" x14ac:dyDescent="0.2">
      <c r="A2" s="7" t="s">
        <v>6</v>
      </c>
      <c r="B2" s="10" t="s">
        <v>27</v>
      </c>
      <c r="C2" s="2">
        <v>500</v>
      </c>
      <c r="D2" s="2">
        <v>6390</v>
      </c>
      <c r="E2" s="2">
        <v>1900</v>
      </c>
      <c r="F2" s="33">
        <f>ROUND((Table135[[#This Row],[Sector (km)]]/Table135[[#This Row],[Range (km)]]),2)</f>
        <v>0.3</v>
      </c>
      <c r="G2" s="25">
        <v>2.2799999999999998</v>
      </c>
      <c r="H2" s="41">
        <f>(Table135[[#This Row],[Fuel Burn (kg/km)]])+(_xlfn.XLOOKUP(F2,'Fuel Burn Rates (Sector)'!$A$2:$A$102,'Fuel Burn Rates (Sector)'!$B$2:$B$102))*(Table135[[#This Row],[Fuel Burn (kg/km)]])</f>
        <v>2.2851483870967741</v>
      </c>
      <c r="I2" s="14">
        <v>2</v>
      </c>
      <c r="J2" s="19">
        <f>(Table135[[#This Row],[Distance (km)]]*Table135[[#This Row],[Adjusted Fuel Burn (kg/km)]]*Table135[[#This Row],[Fuel Price (USD/kg)]])</f>
        <v>2285.1483870967741</v>
      </c>
    </row>
    <row r="3" spans="1:10" ht="20" customHeight="1" x14ac:dyDescent="0.2">
      <c r="A3" s="8" t="s">
        <v>7</v>
      </c>
      <c r="B3" s="11" t="s">
        <v>27</v>
      </c>
      <c r="C3" s="13">
        <v>500</v>
      </c>
      <c r="D3" s="13">
        <v>6700</v>
      </c>
      <c r="E3" s="13">
        <v>1900</v>
      </c>
      <c r="F3" s="37">
        <f>ROUND((Table135[[#This Row],[Sector (km)]]/Table135[[#This Row],[Range (km)]]),2)</f>
        <v>0.28000000000000003</v>
      </c>
      <c r="G3" s="34">
        <v>2.56</v>
      </c>
      <c r="H3" s="39">
        <f>(Table135[[#This Row],[Fuel Burn (kg/km)]])+(_xlfn.XLOOKUP(F3,'Fuel Burn Rates (Sector)'!$A$2:$A$102,'Fuel Burn Rates (Sector)'!$B$2:$B$102))*(Table135[[#This Row],[Fuel Burn (kg/km)]])</f>
        <v>2.5773419354838709</v>
      </c>
      <c r="I3" s="40">
        <v>2</v>
      </c>
      <c r="J3" s="20">
        <f>(Table135[[#This Row],[Distance (km)]]*Table135[[#This Row],[Adjusted Fuel Burn (kg/km)]]*Table135[[#This Row],[Fuel Price (USD/kg)]])</f>
        <v>2577.3419354838711</v>
      </c>
    </row>
    <row r="4" spans="1:10" ht="20" customHeight="1" x14ac:dyDescent="0.2">
      <c r="A4" s="8" t="s">
        <v>8</v>
      </c>
      <c r="B4" s="11" t="s">
        <v>27</v>
      </c>
      <c r="C4" s="13">
        <v>500</v>
      </c>
      <c r="D4" s="13">
        <v>6100</v>
      </c>
      <c r="E4" s="13">
        <v>1900</v>
      </c>
      <c r="F4" s="37">
        <f>ROUND((Table135[[#This Row],[Sector (km)]]/Table135[[#This Row],[Range (km)]]),2)</f>
        <v>0.31</v>
      </c>
      <c r="G4" s="34">
        <v>3.13</v>
      </c>
      <c r="H4" s="39">
        <f>(Table135[[#This Row],[Fuel Burn (kg/km)]])+(_xlfn.XLOOKUP(F4,'Fuel Burn Rates (Sector)'!$A$2:$A$102,'Fuel Burn Rates (Sector)'!$B$2:$B$102))*(Table135[[#This Row],[Fuel Burn (kg/km)]])</f>
        <v>3.13</v>
      </c>
      <c r="I4" s="40">
        <v>2</v>
      </c>
      <c r="J4" s="20">
        <f>(Table135[[#This Row],[Distance (km)]]*Table135[[#This Row],[Adjusted Fuel Burn (kg/km)]]*Table135[[#This Row],[Fuel Price (USD/kg)]])</f>
        <v>3130</v>
      </c>
    </row>
    <row r="5" spans="1:10" ht="20" customHeight="1" x14ac:dyDescent="0.2">
      <c r="A5" s="8" t="s">
        <v>9</v>
      </c>
      <c r="B5" s="11" t="s">
        <v>27</v>
      </c>
      <c r="C5" s="13">
        <v>500</v>
      </c>
      <c r="D5" s="13">
        <v>6500</v>
      </c>
      <c r="E5" s="13">
        <v>1220</v>
      </c>
      <c r="F5" s="37">
        <f>ROUND((Table135[[#This Row],[Sector (km)]]/Table135[[#This Row],[Range (km)]]),2)</f>
        <v>0.19</v>
      </c>
      <c r="G5" s="34">
        <v>2.79</v>
      </c>
      <c r="H5" s="39">
        <f>(Table135[[#This Row],[Fuel Burn (kg/km)]])+(_xlfn.XLOOKUP(F5,'Fuel Burn Rates (Sector)'!$A$2:$A$102,'Fuel Burn Rates (Sector)'!$B$2:$B$102))*(Table135[[#This Row],[Fuel Burn (kg/km)]])</f>
        <v>2.8656000000000001</v>
      </c>
      <c r="I5" s="40">
        <v>2</v>
      </c>
      <c r="J5" s="20">
        <f>(Table135[[#This Row],[Distance (km)]]*Table135[[#This Row],[Adjusted Fuel Burn (kg/km)]]*Table135[[#This Row],[Fuel Price (USD/kg)]])</f>
        <v>2865.6000000000004</v>
      </c>
    </row>
    <row r="6" spans="1:10" ht="20" customHeight="1" x14ac:dyDescent="0.2">
      <c r="A6" s="8" t="s">
        <v>10</v>
      </c>
      <c r="B6" s="11" t="s">
        <v>27</v>
      </c>
      <c r="C6" s="13">
        <v>500</v>
      </c>
      <c r="D6" s="13">
        <v>5900</v>
      </c>
      <c r="E6" s="13">
        <v>1900</v>
      </c>
      <c r="F6" s="37">
        <f>ROUND((Table135[[#This Row],[Sector (km)]]/Table135[[#This Row],[Range (km)]]),2)</f>
        <v>0.32</v>
      </c>
      <c r="G6" s="34">
        <v>3.61</v>
      </c>
      <c r="H6" s="39">
        <f>(Table135[[#This Row],[Fuel Burn (kg/km)]])+(_xlfn.XLOOKUP(F6,'Fuel Burn Rates (Sector)'!$A$2:$A$102,'Fuel Burn Rates (Sector)'!$B$2:$B$102))*(Table135[[#This Row],[Fuel Burn (kg/km)]])</f>
        <v>3.6136623188405794</v>
      </c>
      <c r="I6" s="40">
        <v>2</v>
      </c>
      <c r="J6" s="20">
        <f>(Table135[[#This Row],[Distance (km)]]*Table135[[#This Row],[Adjusted Fuel Burn (kg/km)]]*Table135[[#This Row],[Fuel Price (USD/kg)]])</f>
        <v>3613.6623188405792</v>
      </c>
    </row>
    <row r="7" spans="1:10" ht="20" customHeight="1" x14ac:dyDescent="0.2">
      <c r="A7" s="8" t="s">
        <v>11</v>
      </c>
      <c r="B7" s="11" t="s">
        <v>27</v>
      </c>
      <c r="C7" s="13">
        <v>500</v>
      </c>
      <c r="D7" s="13">
        <v>6500</v>
      </c>
      <c r="E7" s="13">
        <v>1220</v>
      </c>
      <c r="F7" s="37">
        <f>ROUND((Table135[[#This Row],[Sector (km)]]/Table135[[#This Row],[Range (km)]]),2)</f>
        <v>0.19</v>
      </c>
      <c r="G7" s="34">
        <v>3.3</v>
      </c>
      <c r="H7" s="39">
        <f>(Table135[[#This Row],[Fuel Burn (kg/km)]])+(_xlfn.XLOOKUP(F7,'Fuel Burn Rates (Sector)'!$A$2:$A$102,'Fuel Burn Rates (Sector)'!$B$2:$B$102))*(Table135[[#This Row],[Fuel Burn (kg/km)]])</f>
        <v>3.3894193548387097</v>
      </c>
      <c r="I7" s="40">
        <v>2</v>
      </c>
      <c r="J7" s="20">
        <f>(Table135[[#This Row],[Distance (km)]]*Table135[[#This Row],[Adjusted Fuel Burn (kg/km)]]*Table135[[#This Row],[Fuel Price (USD/kg)]])</f>
        <v>3389.4193548387098</v>
      </c>
    </row>
    <row r="8" spans="1:10" ht="20" customHeight="1" x14ac:dyDescent="0.2">
      <c r="A8" s="8" t="s">
        <v>12</v>
      </c>
      <c r="B8" s="11" t="s">
        <v>28</v>
      </c>
      <c r="C8" s="13">
        <v>500</v>
      </c>
      <c r="D8" s="13">
        <v>11750</v>
      </c>
      <c r="E8" s="13">
        <v>5600</v>
      </c>
      <c r="F8" s="37">
        <f>ROUND((Table135[[#This Row],[Sector (km)]]/Table135[[#This Row],[Range (km)]]),2)</f>
        <v>0.48</v>
      </c>
      <c r="G8" s="34">
        <v>6.25</v>
      </c>
      <c r="H8" s="39">
        <f>(Table135[[#This Row],[Fuel Burn (kg/km)]])+(_xlfn.XLOOKUP(F8,'Fuel Burn Rates (Sector)'!$A$2:$A$102,'Fuel Burn Rates (Sector)'!$B$2:$B$102))*(Table135[[#This Row],[Fuel Burn (kg/km)]])</f>
        <v>6.3577898550724639</v>
      </c>
      <c r="I8" s="40">
        <v>2</v>
      </c>
      <c r="J8" s="20">
        <f>(Table135[[#This Row],[Distance (km)]]*Table135[[#This Row],[Adjusted Fuel Burn (kg/km)]]*Table135[[#This Row],[Fuel Price (USD/kg)]])</f>
        <v>6357.789855072464</v>
      </c>
    </row>
    <row r="9" spans="1:10" ht="20" customHeight="1" x14ac:dyDescent="0.2">
      <c r="A9" s="8" t="s">
        <v>13</v>
      </c>
      <c r="B9" s="11" t="s">
        <v>28</v>
      </c>
      <c r="C9" s="13">
        <v>500</v>
      </c>
      <c r="D9" s="13">
        <v>13335</v>
      </c>
      <c r="E9" s="13">
        <v>6200</v>
      </c>
      <c r="F9" s="37">
        <f>ROUND((Table135[[#This Row],[Sector (km)]]/Table135[[#This Row],[Range (km)]]),2)</f>
        <v>0.46</v>
      </c>
      <c r="G9" s="34">
        <v>6</v>
      </c>
      <c r="H9" s="39">
        <f>(Table135[[#This Row],[Fuel Burn (kg/km)]])+(_xlfn.XLOOKUP(F9,'Fuel Burn Rates (Sector)'!$A$2:$A$102,'Fuel Burn Rates (Sector)'!$B$2:$B$102))*(Table135[[#This Row],[Fuel Burn (kg/km)]])</f>
        <v>6.0913043478260871</v>
      </c>
      <c r="I9" s="40">
        <v>2</v>
      </c>
      <c r="J9" s="20">
        <f>(Table135[[#This Row],[Distance (km)]]*Table135[[#This Row],[Adjusted Fuel Burn (kg/km)]]*Table135[[#This Row],[Fuel Price (USD/kg)]])</f>
        <v>6091.304347826087</v>
      </c>
    </row>
    <row r="10" spans="1:10" ht="20" customHeight="1" x14ac:dyDescent="0.2">
      <c r="A10" s="8" t="s">
        <v>14</v>
      </c>
      <c r="B10" s="11" t="s">
        <v>28</v>
      </c>
      <c r="C10" s="13">
        <v>500</v>
      </c>
      <c r="D10" s="13">
        <v>13500</v>
      </c>
      <c r="E10" s="13">
        <v>5600</v>
      </c>
      <c r="F10" s="37">
        <f>ROUND((Table135[[#This Row],[Sector (km)]]/Table135[[#This Row],[Range (km)]]),2)</f>
        <v>0.41</v>
      </c>
      <c r="G10" s="34">
        <v>6.81</v>
      </c>
      <c r="H10" s="39">
        <f>(Table135[[#This Row],[Fuel Burn (kg/km)]])+(_xlfn.XLOOKUP(F10,'Fuel Burn Rates (Sector)'!$A$2:$A$102,'Fuel Burn Rates (Sector)'!$B$2:$B$102))*(Table135[[#This Row],[Fuel Burn (kg/km)]])</f>
        <v>6.8790869565217383</v>
      </c>
      <c r="I10" s="40">
        <v>2</v>
      </c>
      <c r="J10" s="20">
        <f>(Table135[[#This Row],[Distance (km)]]*Table135[[#This Row],[Adjusted Fuel Burn (kg/km)]]*Table135[[#This Row],[Fuel Price (USD/kg)]])</f>
        <v>6879.0869565217381</v>
      </c>
    </row>
    <row r="11" spans="1:10" ht="20" customHeight="1" x14ac:dyDescent="0.2">
      <c r="A11" s="8" t="s">
        <v>15</v>
      </c>
      <c r="B11" s="11" t="s">
        <v>28</v>
      </c>
      <c r="C11" s="13">
        <v>500</v>
      </c>
      <c r="D11" s="13">
        <v>14450</v>
      </c>
      <c r="E11" s="35">
        <v>5600</v>
      </c>
      <c r="F11" s="37">
        <f>ROUND((Table135[[#This Row],[Sector (km)]]/Table135[[#This Row],[Range (km)]]),2)</f>
        <v>0.39</v>
      </c>
      <c r="G11" s="36">
        <f>(G21*1.12)</f>
        <v>8.8256000000000014</v>
      </c>
      <c r="H11" s="39">
        <f>(Table135[[#This Row],[Fuel Burn (kg/km)]])+(_xlfn.XLOOKUP(F11,'Fuel Burn Rates (Sector)'!$A$2:$A$102,'Fuel Burn Rates (Sector)'!$B$2:$B$102))*(Table135[[#This Row],[Fuel Burn (kg/km)]])</f>
        <v>8.8972280579710166</v>
      </c>
      <c r="I11" s="40">
        <v>2</v>
      </c>
      <c r="J11" s="20">
        <f>(Table135[[#This Row],[Distance (km)]]*Table135[[#This Row],[Adjusted Fuel Burn (kg/km)]]*Table135[[#This Row],[Fuel Price (USD/kg)]])</f>
        <v>8897.2280579710168</v>
      </c>
    </row>
    <row r="12" spans="1:10" ht="20" customHeight="1" x14ac:dyDescent="0.2">
      <c r="A12" s="8" t="s">
        <v>16</v>
      </c>
      <c r="B12" s="11" t="s">
        <v>28</v>
      </c>
      <c r="C12" s="13">
        <v>500</v>
      </c>
      <c r="D12" s="13">
        <v>15370</v>
      </c>
      <c r="E12" s="13">
        <v>9208</v>
      </c>
      <c r="F12" s="37">
        <f>ROUND((Table135[[#This Row],[Sector (km)]]/Table135[[#This Row],[Range (km)]]),2)</f>
        <v>0.6</v>
      </c>
      <c r="G12" s="34">
        <v>6.03</v>
      </c>
      <c r="H12" s="39">
        <f>(Table135[[#This Row],[Fuel Burn (kg/km)]])+(_xlfn.XLOOKUP(F12,'Fuel Burn Rates (Sector)'!$A$2:$A$102,'Fuel Burn Rates (Sector)'!$B$2:$B$102))*(Table135[[#This Row],[Fuel Burn (kg/km)]])</f>
        <v>6.2074043478260874</v>
      </c>
      <c r="I12" s="40">
        <v>2</v>
      </c>
      <c r="J12" s="20">
        <f>(Table135[[#This Row],[Distance (km)]]*Table135[[#This Row],[Adjusted Fuel Burn (kg/km)]]*Table135[[#This Row],[Fuel Price (USD/kg)]])</f>
        <v>6207.4043478260874</v>
      </c>
    </row>
    <row r="13" spans="1:10" ht="20" customHeight="1" x14ac:dyDescent="0.2">
      <c r="A13" s="8" t="s">
        <v>17</v>
      </c>
      <c r="B13" s="11" t="s">
        <v>28</v>
      </c>
      <c r="C13" s="13">
        <v>500</v>
      </c>
      <c r="D13" s="13">
        <v>14800</v>
      </c>
      <c r="E13" s="13">
        <v>11000</v>
      </c>
      <c r="F13" s="37">
        <f>ROUND((Table135[[#This Row],[Sector (km)]]/Table135[[#This Row],[Range (km)]]),2)</f>
        <v>0.74</v>
      </c>
      <c r="G13" s="34">
        <v>13.78</v>
      </c>
      <c r="H13" s="39">
        <f>(Table135[[#This Row],[Fuel Burn (kg/km)]])+(_xlfn.XLOOKUP(F13,'Fuel Burn Rates (Sector)'!$A$2:$A$102,'Fuel Burn Rates (Sector)'!$B$2:$B$102))*(Table135[[#This Row],[Fuel Burn (kg/km)]])</f>
        <v>14.381127536231883</v>
      </c>
      <c r="I13" s="40">
        <v>2</v>
      </c>
      <c r="J13" s="20">
        <f>(Table135[[#This Row],[Distance (km)]]*Table135[[#This Row],[Adjusted Fuel Burn (kg/km)]]*Table135[[#This Row],[Fuel Price (USD/kg)]])</f>
        <v>14381.127536231883</v>
      </c>
    </row>
    <row r="14" spans="1:10" ht="20" customHeight="1" x14ac:dyDescent="0.2">
      <c r="A14" s="8" t="s">
        <v>18</v>
      </c>
      <c r="B14" s="11" t="s">
        <v>27</v>
      </c>
      <c r="C14" s="13">
        <v>500</v>
      </c>
      <c r="D14" s="13">
        <v>6500</v>
      </c>
      <c r="E14" s="13">
        <v>1900</v>
      </c>
      <c r="F14" s="37">
        <f>ROUND((Table135[[#This Row],[Sector (km)]]/Table135[[#This Row],[Range (km)]]),2)</f>
        <v>0.28999999999999998</v>
      </c>
      <c r="G14" s="34">
        <v>2.71</v>
      </c>
      <c r="H14" s="39">
        <f>(Table135[[#This Row],[Fuel Burn (kg/km)]])+(_xlfn.XLOOKUP(F14,'Fuel Burn Rates (Sector)'!$A$2:$A$102,'Fuel Burn Rates (Sector)'!$B$2:$B$102))*(Table135[[#This Row],[Fuel Burn (kg/km)]])</f>
        <v>2.7222387096774194</v>
      </c>
      <c r="I14" s="40">
        <v>2</v>
      </c>
      <c r="J14" s="20">
        <f>(Table135[[#This Row],[Distance (km)]]*Table135[[#This Row],[Adjusted Fuel Burn (kg/km)]]*Table135[[#This Row],[Fuel Price (USD/kg)]])</f>
        <v>2722.2387096774196</v>
      </c>
    </row>
    <row r="15" spans="1:10" ht="20" customHeight="1" x14ac:dyDescent="0.2">
      <c r="A15" s="8" t="s">
        <v>19</v>
      </c>
      <c r="B15" s="11" t="s">
        <v>27</v>
      </c>
      <c r="C15" s="13">
        <v>500</v>
      </c>
      <c r="D15" s="13">
        <v>6100</v>
      </c>
      <c r="E15" s="13">
        <v>1900</v>
      </c>
      <c r="F15" s="37">
        <f>ROUND((Table135[[#This Row],[Sector (km)]]/Table135[[#This Row],[Range (km)]]),2)</f>
        <v>0.31</v>
      </c>
      <c r="G15" s="34">
        <v>2.91</v>
      </c>
      <c r="H15" s="39">
        <f>(Table135[[#This Row],[Fuel Burn (kg/km)]])+(_xlfn.XLOOKUP(F15,'Fuel Burn Rates (Sector)'!$A$2:$A$102,'Fuel Burn Rates (Sector)'!$B$2:$B$102))*(Table135[[#This Row],[Fuel Burn (kg/km)]])</f>
        <v>2.91</v>
      </c>
      <c r="I15" s="40">
        <v>2</v>
      </c>
      <c r="J15" s="20">
        <f>(Table135[[#This Row],[Distance (km)]]*Table135[[#This Row],[Adjusted Fuel Burn (kg/km)]]*Table135[[#This Row],[Fuel Price (USD/kg)]])</f>
        <v>2910</v>
      </c>
    </row>
    <row r="16" spans="1:10" ht="20" customHeight="1" x14ac:dyDescent="0.2">
      <c r="A16" s="8" t="s">
        <v>20</v>
      </c>
      <c r="B16" s="11" t="s">
        <v>27</v>
      </c>
      <c r="C16" s="13">
        <v>500</v>
      </c>
      <c r="D16" s="13">
        <v>5440</v>
      </c>
      <c r="E16" s="13">
        <v>1900</v>
      </c>
      <c r="F16" s="37">
        <f>ROUND((Table135[[#This Row],[Sector (km)]]/Table135[[#This Row],[Range (km)]]),2)</f>
        <v>0.35</v>
      </c>
      <c r="G16" s="34">
        <v>3.17</v>
      </c>
      <c r="H16" s="39">
        <f>(Table135[[#This Row],[Fuel Burn (kg/km)]])+(_xlfn.XLOOKUP(F16,'Fuel Burn Rates (Sector)'!$A$2:$A$102,'Fuel Burn Rates (Sector)'!$B$2:$B$102))*(Table135[[#This Row],[Fuel Burn (kg/km)]])</f>
        <v>3.1828637681159417</v>
      </c>
      <c r="I16" s="40">
        <v>2</v>
      </c>
      <c r="J16" s="20">
        <f>(Table135[[#This Row],[Distance (km)]]*Table135[[#This Row],[Adjusted Fuel Burn (kg/km)]]*Table135[[#This Row],[Fuel Price (USD/kg)]])</f>
        <v>3182.8637681159416</v>
      </c>
    </row>
    <row r="17" spans="1:10" ht="20" customHeight="1" x14ac:dyDescent="0.2">
      <c r="A17" s="8" t="s">
        <v>21</v>
      </c>
      <c r="B17" s="11" t="s">
        <v>27</v>
      </c>
      <c r="C17" s="13">
        <v>500</v>
      </c>
      <c r="D17" s="13">
        <v>5460</v>
      </c>
      <c r="E17" s="13">
        <v>1900</v>
      </c>
      <c r="F17" s="37">
        <f>ROUND((Table135[[#This Row],[Sector (km)]]/Table135[[#This Row],[Range (km)]]),2)</f>
        <v>0.35</v>
      </c>
      <c r="G17" s="34">
        <v>3.42</v>
      </c>
      <c r="H17" s="39">
        <f>(Table135[[#This Row],[Fuel Burn (kg/km)]])+(_xlfn.XLOOKUP(F17,'Fuel Burn Rates (Sector)'!$A$2:$A$102,'Fuel Burn Rates (Sector)'!$B$2:$B$102))*(Table135[[#This Row],[Fuel Burn (kg/km)]])</f>
        <v>3.433878260869565</v>
      </c>
      <c r="I17" s="40">
        <v>2</v>
      </c>
      <c r="J17" s="20">
        <f>(Table135[[#This Row],[Distance (km)]]*Table135[[#This Row],[Adjusted Fuel Burn (kg/km)]]*Table135[[#This Row],[Fuel Price (USD/kg)]])</f>
        <v>3433.8782608695651</v>
      </c>
    </row>
    <row r="18" spans="1:10" ht="20" customHeight="1" x14ac:dyDescent="0.2">
      <c r="A18" s="8" t="s">
        <v>22</v>
      </c>
      <c r="B18" s="11" t="s">
        <v>28</v>
      </c>
      <c r="C18" s="13">
        <v>500</v>
      </c>
      <c r="D18" s="13">
        <v>14205</v>
      </c>
      <c r="E18" s="13">
        <v>3984</v>
      </c>
      <c r="F18" s="37">
        <f>ROUND((Table135[[#This Row],[Sector (km)]]/Table135[[#This Row],[Range (km)]]),2)</f>
        <v>0.28000000000000003</v>
      </c>
      <c r="G18" s="34">
        <v>10.77</v>
      </c>
      <c r="H18" s="39">
        <f>(Table135[[#This Row],[Fuel Burn (kg/km)]])+(_xlfn.XLOOKUP(F18,'Fuel Burn Rates (Sector)'!$A$2:$A$102,'Fuel Burn Rates (Sector)'!$B$2:$B$102))*(Table135[[#This Row],[Fuel Burn (kg/km)]])</f>
        <v>10.842958064516129</v>
      </c>
      <c r="I18" s="40">
        <v>2</v>
      </c>
      <c r="J18" s="20">
        <f>(Table135[[#This Row],[Distance (km)]]*Table135[[#This Row],[Adjusted Fuel Burn (kg/km)]]*Table135[[#This Row],[Fuel Price (USD/kg)]])</f>
        <v>10842.95806451613</v>
      </c>
    </row>
    <row r="19" spans="1:10" ht="20" customHeight="1" x14ac:dyDescent="0.2">
      <c r="A19" s="8" t="s">
        <v>23</v>
      </c>
      <c r="B19" s="11" t="s">
        <v>28</v>
      </c>
      <c r="C19" s="13">
        <v>500</v>
      </c>
      <c r="D19" s="13">
        <v>14320</v>
      </c>
      <c r="E19" s="13">
        <v>5600</v>
      </c>
      <c r="F19" s="37">
        <f>ROUND((Table135[[#This Row],[Sector (km)]]/Table135[[#This Row],[Range (km)]]),2)</f>
        <v>0.39</v>
      </c>
      <c r="G19" s="34">
        <v>9.9</v>
      </c>
      <c r="H19" s="39">
        <f>(Table135[[#This Row],[Fuel Burn (kg/km)]])+(_xlfn.XLOOKUP(F19,'Fuel Burn Rates (Sector)'!$A$2:$A$102,'Fuel Burn Rates (Sector)'!$B$2:$B$102))*(Table135[[#This Row],[Fuel Burn (kg/km)]])</f>
        <v>9.9803478260869571</v>
      </c>
      <c r="I19" s="40">
        <v>2</v>
      </c>
      <c r="J19" s="20">
        <f>(Table135[[#This Row],[Distance (km)]]*Table135[[#This Row],[Adjusted Fuel Burn (kg/km)]]*Table135[[#This Row],[Fuel Price (USD/kg)]])</f>
        <v>9980.3478260869579</v>
      </c>
    </row>
    <row r="20" spans="1:10" ht="20" customHeight="1" x14ac:dyDescent="0.2">
      <c r="A20" s="8" t="s">
        <v>24</v>
      </c>
      <c r="B20" s="11" t="s">
        <v>28</v>
      </c>
      <c r="C20" s="13">
        <v>500</v>
      </c>
      <c r="D20" s="13">
        <v>10415</v>
      </c>
      <c r="E20" s="13">
        <v>5600</v>
      </c>
      <c r="F20" s="37">
        <f>ROUND((Table135[[#This Row],[Sector (km)]]/Table135[[#This Row],[Range (km)]]),2)</f>
        <v>0.54</v>
      </c>
      <c r="G20" s="34">
        <v>5.93</v>
      </c>
      <c r="H20" s="39">
        <f>(Table135[[#This Row],[Fuel Burn (kg/km)]])+(_xlfn.XLOOKUP(F20,'Fuel Burn Rates (Sector)'!$A$2:$A$102,'Fuel Burn Rates (Sector)'!$B$2:$B$102))*(Table135[[#This Row],[Fuel Burn (kg/km)]])</f>
        <v>6.068366666666666</v>
      </c>
      <c r="I20" s="40">
        <v>2</v>
      </c>
      <c r="J20" s="20">
        <f>(Table135[[#This Row],[Distance (km)]]*Table135[[#This Row],[Adjusted Fuel Burn (kg/km)]]*Table135[[#This Row],[Fuel Price (USD/kg)]])</f>
        <v>6068.3666666666659</v>
      </c>
    </row>
    <row r="21" spans="1:10" ht="20" customHeight="1" x14ac:dyDescent="0.2">
      <c r="A21" s="8" t="s">
        <v>25</v>
      </c>
      <c r="B21" s="11" t="s">
        <v>28</v>
      </c>
      <c r="C21" s="13">
        <v>500</v>
      </c>
      <c r="D21" s="13">
        <v>13650</v>
      </c>
      <c r="E21" s="13">
        <v>5600</v>
      </c>
      <c r="F21" s="37">
        <f>ROUND((Table135[[#This Row],[Sector (km)]]/Table135[[#This Row],[Range (km)]]),2)</f>
        <v>0.41</v>
      </c>
      <c r="G21" s="34">
        <v>7.88</v>
      </c>
      <c r="H21" s="39">
        <f>(Table135[[#This Row],[Fuel Burn (kg/km)]])+(_xlfn.XLOOKUP(F21,'Fuel Burn Rates (Sector)'!$A$2:$A$102,'Fuel Burn Rates (Sector)'!$B$2:$B$102))*(Table135[[#This Row],[Fuel Burn (kg/km)]])</f>
        <v>7.9599420289855072</v>
      </c>
      <c r="I21" s="40">
        <v>2</v>
      </c>
      <c r="J21" s="20">
        <f>(Table135[[#This Row],[Distance (km)]]*Table135[[#This Row],[Adjusted Fuel Burn (kg/km)]]*Table135[[#This Row],[Fuel Price (USD/kg)]])</f>
        <v>7959.942028985507</v>
      </c>
    </row>
    <row r="22" spans="1:10" ht="20" customHeight="1" x14ac:dyDescent="0.2">
      <c r="A22" s="8" t="s">
        <v>26</v>
      </c>
      <c r="B22" s="11" t="s">
        <v>28</v>
      </c>
      <c r="C22" s="13">
        <v>500</v>
      </c>
      <c r="D22" s="13">
        <v>14140</v>
      </c>
      <c r="E22" s="13">
        <v>6200</v>
      </c>
      <c r="F22" s="37">
        <f>ROUND((Table135[[#This Row],[Sector (km)]]/Table135[[#This Row],[Range (km)]]),2)</f>
        <v>0.44</v>
      </c>
      <c r="G22" s="34">
        <v>5.77</v>
      </c>
      <c r="H22" s="39">
        <f>(Table135[[#This Row],[Fuel Burn (kg/km)]])+(_xlfn.XLOOKUP(F22,'Fuel Burn Rates (Sector)'!$A$2:$A$102,'Fuel Burn Rates (Sector)'!$B$2:$B$102))*(Table135[[#This Row],[Fuel Burn (kg/km)]])</f>
        <v>5.8460971014492751</v>
      </c>
      <c r="I22" s="40">
        <v>2</v>
      </c>
      <c r="J22" s="20">
        <f>(Table135[[#This Row],[Distance (km)]]*Table135[[#This Row],[Adjusted Fuel Burn (kg/km)]]*Table135[[#This Row],[Fuel Price (USD/kg)]])</f>
        <v>5846.0971014492752</v>
      </c>
    </row>
    <row r="23" spans="1:10" ht="20" customHeight="1" x14ac:dyDescent="0.2">
      <c r="A23" s="8" t="s">
        <v>6</v>
      </c>
      <c r="B23" s="11" t="s">
        <v>27</v>
      </c>
      <c r="C23" s="13">
        <v>1500</v>
      </c>
      <c r="D23" s="13">
        <v>6390</v>
      </c>
      <c r="E23" s="13">
        <v>1900</v>
      </c>
      <c r="F23" s="37">
        <f>ROUND((Table135[[#This Row],[Sector (km)]]/Table135[[#This Row],[Range (km)]]),2)</f>
        <v>0.3</v>
      </c>
      <c r="G23" s="34">
        <v>2.2799999999999998</v>
      </c>
      <c r="H23" s="39">
        <f>(Table135[[#This Row],[Fuel Burn (kg/km)]])+(_xlfn.XLOOKUP(F23,'Fuel Burn Rates (Sector)'!$A$2:$A$102,'Fuel Burn Rates (Sector)'!$B$2:$B$102))*(Table135[[#This Row],[Fuel Burn (kg/km)]])</f>
        <v>2.2851483870967741</v>
      </c>
      <c r="I23" s="40">
        <v>2</v>
      </c>
      <c r="J23" s="20">
        <f>(Table135[[#This Row],[Distance (km)]]*Table135[[#This Row],[Adjusted Fuel Burn (kg/km)]]*Table135[[#This Row],[Fuel Price (USD/kg)]])</f>
        <v>6855.4451612903222</v>
      </c>
    </row>
    <row r="24" spans="1:10" ht="20" customHeight="1" x14ac:dyDescent="0.2">
      <c r="A24" s="8" t="s">
        <v>7</v>
      </c>
      <c r="B24" s="11" t="s">
        <v>27</v>
      </c>
      <c r="C24" s="13">
        <v>1500</v>
      </c>
      <c r="D24" s="13">
        <v>6700</v>
      </c>
      <c r="E24" s="13">
        <v>1900</v>
      </c>
      <c r="F24" s="37">
        <f>ROUND((Table135[[#This Row],[Sector (km)]]/Table135[[#This Row],[Range (km)]]),2)</f>
        <v>0.28000000000000003</v>
      </c>
      <c r="G24" s="34">
        <v>2.56</v>
      </c>
      <c r="H24" s="39">
        <f>(Table135[[#This Row],[Fuel Burn (kg/km)]])+(_xlfn.XLOOKUP(F24,'Fuel Burn Rates (Sector)'!$A$2:$A$102,'Fuel Burn Rates (Sector)'!$B$2:$B$102))*(Table135[[#This Row],[Fuel Burn (kg/km)]])</f>
        <v>2.5773419354838709</v>
      </c>
      <c r="I24" s="40">
        <v>2</v>
      </c>
      <c r="J24" s="20">
        <f>(Table135[[#This Row],[Distance (km)]]*Table135[[#This Row],[Adjusted Fuel Burn (kg/km)]]*Table135[[#This Row],[Fuel Price (USD/kg)]])</f>
        <v>7732.0258064516129</v>
      </c>
    </row>
    <row r="25" spans="1:10" ht="20" customHeight="1" x14ac:dyDescent="0.2">
      <c r="A25" s="8" t="s">
        <v>8</v>
      </c>
      <c r="B25" s="11" t="s">
        <v>27</v>
      </c>
      <c r="C25" s="13">
        <v>1500</v>
      </c>
      <c r="D25" s="13">
        <v>6100</v>
      </c>
      <c r="E25" s="13">
        <v>1900</v>
      </c>
      <c r="F25" s="37">
        <f>ROUND((Table135[[#This Row],[Sector (km)]]/Table135[[#This Row],[Range (km)]]),2)</f>
        <v>0.31</v>
      </c>
      <c r="G25" s="34">
        <v>3.13</v>
      </c>
      <c r="H25" s="39">
        <f>(Table135[[#This Row],[Fuel Burn (kg/km)]])+(_xlfn.XLOOKUP(F25,'Fuel Burn Rates (Sector)'!$A$2:$A$102,'Fuel Burn Rates (Sector)'!$B$2:$B$102))*(Table135[[#This Row],[Fuel Burn (kg/km)]])</f>
        <v>3.13</v>
      </c>
      <c r="I25" s="40">
        <v>2</v>
      </c>
      <c r="J25" s="20">
        <f>(Table135[[#This Row],[Distance (km)]]*Table135[[#This Row],[Adjusted Fuel Burn (kg/km)]]*Table135[[#This Row],[Fuel Price (USD/kg)]])</f>
        <v>9390</v>
      </c>
    </row>
    <row r="26" spans="1:10" ht="20" customHeight="1" x14ac:dyDescent="0.2">
      <c r="A26" s="8" t="s">
        <v>9</v>
      </c>
      <c r="B26" s="11" t="s">
        <v>27</v>
      </c>
      <c r="C26" s="13">
        <v>1500</v>
      </c>
      <c r="D26" s="13">
        <v>6500</v>
      </c>
      <c r="E26" s="13">
        <v>1220</v>
      </c>
      <c r="F26" s="37">
        <f>ROUND((Table135[[#This Row],[Sector (km)]]/Table135[[#This Row],[Range (km)]]),2)</f>
        <v>0.19</v>
      </c>
      <c r="G26" s="34">
        <v>2.79</v>
      </c>
      <c r="H26" s="39">
        <f>(Table135[[#This Row],[Fuel Burn (kg/km)]])+(_xlfn.XLOOKUP(F26,'Fuel Burn Rates (Sector)'!$A$2:$A$102,'Fuel Burn Rates (Sector)'!$B$2:$B$102))*(Table135[[#This Row],[Fuel Burn (kg/km)]])</f>
        <v>2.8656000000000001</v>
      </c>
      <c r="I26" s="40">
        <v>2</v>
      </c>
      <c r="J26" s="20">
        <f>(Table135[[#This Row],[Distance (km)]]*Table135[[#This Row],[Adjusted Fuel Burn (kg/km)]]*Table135[[#This Row],[Fuel Price (USD/kg)]])</f>
        <v>8596.8000000000011</v>
      </c>
    </row>
    <row r="27" spans="1:10" ht="20" customHeight="1" x14ac:dyDescent="0.2">
      <c r="A27" s="8" t="s">
        <v>10</v>
      </c>
      <c r="B27" s="11" t="s">
        <v>27</v>
      </c>
      <c r="C27" s="13">
        <v>1500</v>
      </c>
      <c r="D27" s="13">
        <v>5900</v>
      </c>
      <c r="E27" s="13">
        <v>1900</v>
      </c>
      <c r="F27" s="37">
        <f>ROUND((Table135[[#This Row],[Sector (km)]]/Table135[[#This Row],[Range (km)]]),2)</f>
        <v>0.32</v>
      </c>
      <c r="G27" s="34">
        <v>3.61</v>
      </c>
      <c r="H27" s="39">
        <f>(Table135[[#This Row],[Fuel Burn (kg/km)]])+(_xlfn.XLOOKUP(F27,'Fuel Burn Rates (Sector)'!$A$2:$A$102,'Fuel Burn Rates (Sector)'!$B$2:$B$102))*(Table135[[#This Row],[Fuel Burn (kg/km)]])</f>
        <v>3.6136623188405794</v>
      </c>
      <c r="I27" s="40">
        <v>2</v>
      </c>
      <c r="J27" s="20">
        <f>(Table135[[#This Row],[Distance (km)]]*Table135[[#This Row],[Adjusted Fuel Burn (kg/km)]]*Table135[[#This Row],[Fuel Price (USD/kg)]])</f>
        <v>10840.986956521738</v>
      </c>
    </row>
    <row r="28" spans="1:10" ht="20" customHeight="1" x14ac:dyDescent="0.2">
      <c r="A28" s="8" t="s">
        <v>11</v>
      </c>
      <c r="B28" s="11" t="s">
        <v>27</v>
      </c>
      <c r="C28" s="13">
        <v>1500</v>
      </c>
      <c r="D28" s="13">
        <v>6500</v>
      </c>
      <c r="E28" s="13">
        <v>1220</v>
      </c>
      <c r="F28" s="37">
        <f>ROUND((Table135[[#This Row],[Sector (km)]]/Table135[[#This Row],[Range (km)]]),2)</f>
        <v>0.19</v>
      </c>
      <c r="G28" s="34">
        <v>3.3</v>
      </c>
      <c r="H28" s="39">
        <f>(Table135[[#This Row],[Fuel Burn (kg/km)]])+(_xlfn.XLOOKUP(F28,'Fuel Burn Rates (Sector)'!$A$2:$A$102,'Fuel Burn Rates (Sector)'!$B$2:$B$102))*(Table135[[#This Row],[Fuel Burn (kg/km)]])</f>
        <v>3.3894193548387097</v>
      </c>
      <c r="I28" s="40">
        <v>2</v>
      </c>
      <c r="J28" s="20">
        <f>(Table135[[#This Row],[Distance (km)]]*Table135[[#This Row],[Adjusted Fuel Burn (kg/km)]]*Table135[[#This Row],[Fuel Price (USD/kg)]])</f>
        <v>10168.258064516129</v>
      </c>
    </row>
    <row r="29" spans="1:10" ht="20" customHeight="1" x14ac:dyDescent="0.2">
      <c r="A29" s="8" t="s">
        <v>12</v>
      </c>
      <c r="B29" s="11" t="s">
        <v>28</v>
      </c>
      <c r="C29" s="13">
        <v>1500</v>
      </c>
      <c r="D29" s="13">
        <v>11750</v>
      </c>
      <c r="E29" s="13">
        <v>5600</v>
      </c>
      <c r="F29" s="37">
        <f>ROUND((Table135[[#This Row],[Sector (km)]]/Table135[[#This Row],[Range (km)]]),2)</f>
        <v>0.48</v>
      </c>
      <c r="G29" s="34">
        <v>6.25</v>
      </c>
      <c r="H29" s="39">
        <f>(Table135[[#This Row],[Fuel Burn (kg/km)]])+(_xlfn.XLOOKUP(F29,'Fuel Burn Rates (Sector)'!$A$2:$A$102,'Fuel Burn Rates (Sector)'!$B$2:$B$102))*(Table135[[#This Row],[Fuel Burn (kg/km)]])</f>
        <v>6.3577898550724639</v>
      </c>
      <c r="I29" s="40">
        <v>2</v>
      </c>
      <c r="J29" s="20">
        <f>(Table135[[#This Row],[Distance (km)]]*Table135[[#This Row],[Adjusted Fuel Burn (kg/km)]]*Table135[[#This Row],[Fuel Price (USD/kg)]])</f>
        <v>19073.369565217392</v>
      </c>
    </row>
    <row r="30" spans="1:10" ht="20" customHeight="1" x14ac:dyDescent="0.2">
      <c r="A30" s="8" t="s">
        <v>13</v>
      </c>
      <c r="B30" s="11" t="s">
        <v>28</v>
      </c>
      <c r="C30" s="13">
        <v>1500</v>
      </c>
      <c r="D30" s="13">
        <v>13335</v>
      </c>
      <c r="E30" s="13">
        <v>6200</v>
      </c>
      <c r="F30" s="37">
        <f>ROUND((Table135[[#This Row],[Sector (km)]]/Table135[[#This Row],[Range (km)]]),2)</f>
        <v>0.46</v>
      </c>
      <c r="G30" s="34">
        <v>6</v>
      </c>
      <c r="H30" s="39">
        <f>(Table135[[#This Row],[Fuel Burn (kg/km)]])+(_xlfn.XLOOKUP(F30,'Fuel Burn Rates (Sector)'!$A$2:$A$102,'Fuel Burn Rates (Sector)'!$B$2:$B$102))*(Table135[[#This Row],[Fuel Burn (kg/km)]])</f>
        <v>6.0913043478260871</v>
      </c>
      <c r="I30" s="40">
        <v>2</v>
      </c>
      <c r="J30" s="20">
        <f>(Table135[[#This Row],[Distance (km)]]*Table135[[#This Row],[Adjusted Fuel Burn (kg/km)]]*Table135[[#This Row],[Fuel Price (USD/kg)]])</f>
        <v>18273.91304347826</v>
      </c>
    </row>
    <row r="31" spans="1:10" ht="20" customHeight="1" x14ac:dyDescent="0.2">
      <c r="A31" s="8" t="s">
        <v>14</v>
      </c>
      <c r="B31" s="11" t="s">
        <v>28</v>
      </c>
      <c r="C31" s="13">
        <v>1500</v>
      </c>
      <c r="D31" s="13">
        <v>13500</v>
      </c>
      <c r="E31" s="13">
        <v>5600</v>
      </c>
      <c r="F31" s="37">
        <f>ROUND((Table135[[#This Row],[Sector (km)]]/Table135[[#This Row],[Range (km)]]),2)</f>
        <v>0.41</v>
      </c>
      <c r="G31" s="34">
        <v>6.81</v>
      </c>
      <c r="H31" s="39">
        <f>(Table135[[#This Row],[Fuel Burn (kg/km)]])+(_xlfn.XLOOKUP(F31,'Fuel Burn Rates (Sector)'!$A$2:$A$102,'Fuel Burn Rates (Sector)'!$B$2:$B$102))*(Table135[[#This Row],[Fuel Burn (kg/km)]])</f>
        <v>6.8790869565217383</v>
      </c>
      <c r="I31" s="40">
        <v>2</v>
      </c>
      <c r="J31" s="20">
        <f>(Table135[[#This Row],[Distance (km)]]*Table135[[#This Row],[Adjusted Fuel Burn (kg/km)]]*Table135[[#This Row],[Fuel Price (USD/kg)]])</f>
        <v>20637.260869565216</v>
      </c>
    </row>
    <row r="32" spans="1:10" ht="20" customHeight="1" x14ac:dyDescent="0.2">
      <c r="A32" s="8" t="s">
        <v>15</v>
      </c>
      <c r="B32" s="11" t="s">
        <v>28</v>
      </c>
      <c r="C32" s="13">
        <v>1500</v>
      </c>
      <c r="D32" s="13">
        <v>14450</v>
      </c>
      <c r="E32" s="35">
        <v>5600</v>
      </c>
      <c r="F32" s="37">
        <f>ROUND((Table135[[#This Row],[Sector (km)]]/Table135[[#This Row],[Range (km)]]),2)</f>
        <v>0.39</v>
      </c>
      <c r="G32" s="36">
        <f>(G42*1.12)</f>
        <v>8.8256000000000014</v>
      </c>
      <c r="H32" s="39">
        <f>(Table135[[#This Row],[Fuel Burn (kg/km)]])+(_xlfn.XLOOKUP(F32,'Fuel Burn Rates (Sector)'!$A$2:$A$102,'Fuel Burn Rates (Sector)'!$B$2:$B$102))*(Table135[[#This Row],[Fuel Burn (kg/km)]])</f>
        <v>8.8972280579710166</v>
      </c>
      <c r="I32" s="40">
        <v>2</v>
      </c>
      <c r="J32" s="20">
        <f>(Table135[[#This Row],[Distance (km)]]*Table135[[#This Row],[Adjusted Fuel Burn (kg/km)]]*Table135[[#This Row],[Fuel Price (USD/kg)]])</f>
        <v>26691.68417391305</v>
      </c>
    </row>
    <row r="33" spans="1:10" ht="20" customHeight="1" x14ac:dyDescent="0.2">
      <c r="A33" s="8" t="s">
        <v>16</v>
      </c>
      <c r="B33" s="11" t="s">
        <v>28</v>
      </c>
      <c r="C33" s="13">
        <v>1500</v>
      </c>
      <c r="D33" s="13">
        <v>15370</v>
      </c>
      <c r="E33" s="13">
        <v>9208</v>
      </c>
      <c r="F33" s="37">
        <f>ROUND((Table135[[#This Row],[Sector (km)]]/Table135[[#This Row],[Range (km)]]),2)</f>
        <v>0.6</v>
      </c>
      <c r="G33" s="34">
        <v>6.03</v>
      </c>
      <c r="H33" s="39">
        <f>(Table135[[#This Row],[Fuel Burn (kg/km)]])+(_xlfn.XLOOKUP(F33,'Fuel Burn Rates (Sector)'!$A$2:$A$102,'Fuel Burn Rates (Sector)'!$B$2:$B$102))*(Table135[[#This Row],[Fuel Burn (kg/km)]])</f>
        <v>6.2074043478260874</v>
      </c>
      <c r="I33" s="40">
        <v>2</v>
      </c>
      <c r="J33" s="20">
        <f>(Table135[[#This Row],[Distance (km)]]*Table135[[#This Row],[Adjusted Fuel Burn (kg/km)]]*Table135[[#This Row],[Fuel Price (USD/kg)]])</f>
        <v>18622.213043478263</v>
      </c>
    </row>
    <row r="34" spans="1:10" ht="20" customHeight="1" x14ac:dyDescent="0.2">
      <c r="A34" s="8" t="s">
        <v>17</v>
      </c>
      <c r="B34" s="11" t="s">
        <v>28</v>
      </c>
      <c r="C34" s="13">
        <v>1500</v>
      </c>
      <c r="D34" s="13">
        <v>14800</v>
      </c>
      <c r="E34" s="13">
        <v>11000</v>
      </c>
      <c r="F34" s="37">
        <f>ROUND((Table135[[#This Row],[Sector (km)]]/Table135[[#This Row],[Range (km)]]),2)</f>
        <v>0.74</v>
      </c>
      <c r="G34" s="34">
        <v>13.78</v>
      </c>
      <c r="H34" s="39">
        <f>(Table135[[#This Row],[Fuel Burn (kg/km)]])+(_xlfn.XLOOKUP(F34,'Fuel Burn Rates (Sector)'!$A$2:$A$102,'Fuel Burn Rates (Sector)'!$B$2:$B$102))*(Table135[[#This Row],[Fuel Burn (kg/km)]])</f>
        <v>14.381127536231883</v>
      </c>
      <c r="I34" s="40">
        <v>2</v>
      </c>
      <c r="J34" s="20">
        <f>(Table135[[#This Row],[Distance (km)]]*Table135[[#This Row],[Adjusted Fuel Burn (kg/km)]]*Table135[[#This Row],[Fuel Price (USD/kg)]])</f>
        <v>43143.382608695647</v>
      </c>
    </row>
    <row r="35" spans="1:10" ht="20" customHeight="1" x14ac:dyDescent="0.2">
      <c r="A35" s="8" t="s">
        <v>18</v>
      </c>
      <c r="B35" s="11" t="s">
        <v>27</v>
      </c>
      <c r="C35" s="13">
        <v>1500</v>
      </c>
      <c r="D35" s="13">
        <v>6500</v>
      </c>
      <c r="E35" s="13">
        <v>1900</v>
      </c>
      <c r="F35" s="37">
        <f>ROUND((Table135[[#This Row],[Sector (km)]]/Table135[[#This Row],[Range (km)]]),2)</f>
        <v>0.28999999999999998</v>
      </c>
      <c r="G35" s="34">
        <v>2.71</v>
      </c>
      <c r="H35" s="39">
        <f>(Table135[[#This Row],[Fuel Burn (kg/km)]])+(_xlfn.XLOOKUP(F35,'Fuel Burn Rates (Sector)'!$A$2:$A$102,'Fuel Burn Rates (Sector)'!$B$2:$B$102))*(Table135[[#This Row],[Fuel Burn (kg/km)]])</f>
        <v>2.7222387096774194</v>
      </c>
      <c r="I35" s="40">
        <v>2</v>
      </c>
      <c r="J35" s="20">
        <f>(Table135[[#This Row],[Distance (km)]]*Table135[[#This Row],[Adjusted Fuel Burn (kg/km)]]*Table135[[#This Row],[Fuel Price (USD/kg)]])</f>
        <v>8166.7161290322583</v>
      </c>
    </row>
    <row r="36" spans="1:10" ht="20" customHeight="1" x14ac:dyDescent="0.2">
      <c r="A36" s="8" t="s">
        <v>19</v>
      </c>
      <c r="B36" s="11" t="s">
        <v>27</v>
      </c>
      <c r="C36" s="13">
        <v>1500</v>
      </c>
      <c r="D36" s="13">
        <v>6100</v>
      </c>
      <c r="E36" s="13">
        <v>1900</v>
      </c>
      <c r="F36" s="37">
        <f>ROUND((Table135[[#This Row],[Sector (km)]]/Table135[[#This Row],[Range (km)]]),2)</f>
        <v>0.31</v>
      </c>
      <c r="G36" s="34">
        <v>2.91</v>
      </c>
      <c r="H36" s="39">
        <f>(Table135[[#This Row],[Fuel Burn (kg/km)]])+(_xlfn.XLOOKUP(F36,'Fuel Burn Rates (Sector)'!$A$2:$A$102,'Fuel Burn Rates (Sector)'!$B$2:$B$102))*(Table135[[#This Row],[Fuel Burn (kg/km)]])</f>
        <v>2.91</v>
      </c>
      <c r="I36" s="40">
        <v>2</v>
      </c>
      <c r="J36" s="20">
        <f>(Table135[[#This Row],[Distance (km)]]*Table135[[#This Row],[Adjusted Fuel Burn (kg/km)]]*Table135[[#This Row],[Fuel Price (USD/kg)]])</f>
        <v>8730</v>
      </c>
    </row>
    <row r="37" spans="1:10" ht="20" customHeight="1" x14ac:dyDescent="0.2">
      <c r="A37" s="8" t="s">
        <v>20</v>
      </c>
      <c r="B37" s="11" t="s">
        <v>27</v>
      </c>
      <c r="C37" s="13">
        <v>1500</v>
      </c>
      <c r="D37" s="13">
        <v>5440</v>
      </c>
      <c r="E37" s="13">
        <v>1900</v>
      </c>
      <c r="F37" s="37">
        <f>ROUND((Table135[[#This Row],[Sector (km)]]/Table135[[#This Row],[Range (km)]]),2)</f>
        <v>0.35</v>
      </c>
      <c r="G37" s="34">
        <v>3.17</v>
      </c>
      <c r="H37" s="39">
        <f>(Table135[[#This Row],[Fuel Burn (kg/km)]])+(_xlfn.XLOOKUP(F37,'Fuel Burn Rates (Sector)'!$A$2:$A$102,'Fuel Burn Rates (Sector)'!$B$2:$B$102))*(Table135[[#This Row],[Fuel Burn (kg/km)]])</f>
        <v>3.1828637681159417</v>
      </c>
      <c r="I37" s="40">
        <v>2</v>
      </c>
      <c r="J37" s="20">
        <f>(Table135[[#This Row],[Distance (km)]]*Table135[[#This Row],[Adjusted Fuel Burn (kg/km)]]*Table135[[#This Row],[Fuel Price (USD/kg)]])</f>
        <v>9548.5913043478249</v>
      </c>
    </row>
    <row r="38" spans="1:10" ht="20" customHeight="1" x14ac:dyDescent="0.2">
      <c r="A38" s="8" t="s">
        <v>21</v>
      </c>
      <c r="B38" s="11" t="s">
        <v>27</v>
      </c>
      <c r="C38" s="13">
        <v>1500</v>
      </c>
      <c r="D38" s="13">
        <v>5460</v>
      </c>
      <c r="E38" s="13">
        <v>1900</v>
      </c>
      <c r="F38" s="37">
        <f>ROUND((Table135[[#This Row],[Sector (km)]]/Table135[[#This Row],[Range (km)]]),2)</f>
        <v>0.35</v>
      </c>
      <c r="G38" s="34">
        <v>3.42</v>
      </c>
      <c r="H38" s="39">
        <f>(Table135[[#This Row],[Fuel Burn (kg/km)]])+(_xlfn.XLOOKUP(F38,'Fuel Burn Rates (Sector)'!$A$2:$A$102,'Fuel Burn Rates (Sector)'!$B$2:$B$102))*(Table135[[#This Row],[Fuel Burn (kg/km)]])</f>
        <v>3.433878260869565</v>
      </c>
      <c r="I38" s="40">
        <v>2</v>
      </c>
      <c r="J38" s="20">
        <f>(Table135[[#This Row],[Distance (km)]]*Table135[[#This Row],[Adjusted Fuel Burn (kg/km)]]*Table135[[#This Row],[Fuel Price (USD/kg)]])</f>
        <v>10301.634782608695</v>
      </c>
    </row>
    <row r="39" spans="1:10" ht="20" customHeight="1" x14ac:dyDescent="0.2">
      <c r="A39" s="8" t="s">
        <v>22</v>
      </c>
      <c r="B39" s="11" t="s">
        <v>28</v>
      </c>
      <c r="C39" s="13">
        <v>1500</v>
      </c>
      <c r="D39" s="13">
        <v>14205</v>
      </c>
      <c r="E39" s="13">
        <v>3984</v>
      </c>
      <c r="F39" s="37">
        <f>ROUND((Table135[[#This Row],[Sector (km)]]/Table135[[#This Row],[Range (km)]]),2)</f>
        <v>0.28000000000000003</v>
      </c>
      <c r="G39" s="34">
        <v>10.77</v>
      </c>
      <c r="H39" s="39">
        <f>(Table135[[#This Row],[Fuel Burn (kg/km)]])+(_xlfn.XLOOKUP(F39,'Fuel Burn Rates (Sector)'!$A$2:$A$102,'Fuel Burn Rates (Sector)'!$B$2:$B$102))*(Table135[[#This Row],[Fuel Burn (kg/km)]])</f>
        <v>10.842958064516129</v>
      </c>
      <c r="I39" s="40">
        <v>2</v>
      </c>
      <c r="J39" s="20">
        <f>(Table135[[#This Row],[Distance (km)]]*Table135[[#This Row],[Adjusted Fuel Burn (kg/km)]]*Table135[[#This Row],[Fuel Price (USD/kg)]])</f>
        <v>32528.874193548385</v>
      </c>
    </row>
    <row r="40" spans="1:10" ht="20" customHeight="1" x14ac:dyDescent="0.2">
      <c r="A40" s="8" t="s">
        <v>23</v>
      </c>
      <c r="B40" s="11" t="s">
        <v>28</v>
      </c>
      <c r="C40" s="13">
        <v>1500</v>
      </c>
      <c r="D40" s="13">
        <v>14320</v>
      </c>
      <c r="E40" s="13">
        <v>5600</v>
      </c>
      <c r="F40" s="37">
        <f>ROUND((Table135[[#This Row],[Sector (km)]]/Table135[[#This Row],[Range (km)]]),2)</f>
        <v>0.39</v>
      </c>
      <c r="G40" s="34">
        <v>9.9</v>
      </c>
      <c r="H40" s="39">
        <f>(Table135[[#This Row],[Fuel Burn (kg/km)]])+(_xlfn.XLOOKUP(F40,'Fuel Burn Rates (Sector)'!$A$2:$A$102,'Fuel Burn Rates (Sector)'!$B$2:$B$102))*(Table135[[#This Row],[Fuel Burn (kg/km)]])</f>
        <v>9.9803478260869571</v>
      </c>
      <c r="I40" s="40">
        <v>2</v>
      </c>
      <c r="J40" s="20">
        <f>(Table135[[#This Row],[Distance (km)]]*Table135[[#This Row],[Adjusted Fuel Burn (kg/km)]]*Table135[[#This Row],[Fuel Price (USD/kg)]])</f>
        <v>29941.043478260872</v>
      </c>
    </row>
    <row r="41" spans="1:10" ht="20" customHeight="1" x14ac:dyDescent="0.2">
      <c r="A41" s="8" t="s">
        <v>24</v>
      </c>
      <c r="B41" s="11" t="s">
        <v>28</v>
      </c>
      <c r="C41" s="13">
        <v>1500</v>
      </c>
      <c r="D41" s="13">
        <v>10415</v>
      </c>
      <c r="E41" s="13">
        <v>5600</v>
      </c>
      <c r="F41" s="37">
        <f>ROUND((Table135[[#This Row],[Sector (km)]]/Table135[[#This Row],[Range (km)]]),2)</f>
        <v>0.54</v>
      </c>
      <c r="G41" s="34">
        <v>5.93</v>
      </c>
      <c r="H41" s="39">
        <f>(Table135[[#This Row],[Fuel Burn (kg/km)]])+(_xlfn.XLOOKUP(F41,'Fuel Burn Rates (Sector)'!$A$2:$A$102,'Fuel Burn Rates (Sector)'!$B$2:$B$102))*(Table135[[#This Row],[Fuel Burn (kg/km)]])</f>
        <v>6.068366666666666</v>
      </c>
      <c r="I41" s="40">
        <v>2</v>
      </c>
      <c r="J41" s="20">
        <f>(Table135[[#This Row],[Distance (km)]]*Table135[[#This Row],[Adjusted Fuel Burn (kg/km)]]*Table135[[#This Row],[Fuel Price (USD/kg)]])</f>
        <v>18205.099999999999</v>
      </c>
    </row>
    <row r="42" spans="1:10" ht="20" customHeight="1" x14ac:dyDescent="0.2">
      <c r="A42" s="8" t="s">
        <v>25</v>
      </c>
      <c r="B42" s="11" t="s">
        <v>28</v>
      </c>
      <c r="C42" s="13">
        <v>1500</v>
      </c>
      <c r="D42" s="13">
        <v>13650</v>
      </c>
      <c r="E42" s="13">
        <v>5600</v>
      </c>
      <c r="F42" s="37">
        <f>ROUND((Table135[[#This Row],[Sector (km)]]/Table135[[#This Row],[Range (km)]]),2)</f>
        <v>0.41</v>
      </c>
      <c r="G42" s="34">
        <v>7.88</v>
      </c>
      <c r="H42" s="39">
        <f>(Table135[[#This Row],[Fuel Burn (kg/km)]])+(_xlfn.XLOOKUP(F42,'Fuel Burn Rates (Sector)'!$A$2:$A$102,'Fuel Burn Rates (Sector)'!$B$2:$B$102))*(Table135[[#This Row],[Fuel Burn (kg/km)]])</f>
        <v>7.9599420289855072</v>
      </c>
      <c r="I42" s="40">
        <v>2</v>
      </c>
      <c r="J42" s="20">
        <f>(Table135[[#This Row],[Distance (km)]]*Table135[[#This Row],[Adjusted Fuel Burn (kg/km)]]*Table135[[#This Row],[Fuel Price (USD/kg)]])</f>
        <v>23879.82608695652</v>
      </c>
    </row>
    <row r="43" spans="1:10" ht="20" customHeight="1" x14ac:dyDescent="0.2">
      <c r="A43" s="8" t="s">
        <v>26</v>
      </c>
      <c r="B43" s="11" t="s">
        <v>28</v>
      </c>
      <c r="C43" s="13">
        <v>1500</v>
      </c>
      <c r="D43" s="13">
        <v>14140</v>
      </c>
      <c r="E43" s="13">
        <v>6200</v>
      </c>
      <c r="F43" s="37">
        <f>ROUND((Table135[[#This Row],[Sector (km)]]/Table135[[#This Row],[Range (km)]]),2)</f>
        <v>0.44</v>
      </c>
      <c r="G43" s="34">
        <v>5.77</v>
      </c>
      <c r="H43" s="39">
        <f>(Table135[[#This Row],[Fuel Burn (kg/km)]])+(_xlfn.XLOOKUP(F43,'Fuel Burn Rates (Sector)'!$A$2:$A$102,'Fuel Burn Rates (Sector)'!$B$2:$B$102))*(Table135[[#This Row],[Fuel Burn (kg/km)]])</f>
        <v>5.8460971014492751</v>
      </c>
      <c r="I43" s="40">
        <v>2</v>
      </c>
      <c r="J43" s="20">
        <f>(Table135[[#This Row],[Distance (km)]]*Table135[[#This Row],[Adjusted Fuel Burn (kg/km)]]*Table135[[#This Row],[Fuel Price (USD/kg)]])</f>
        <v>17538.291304347826</v>
      </c>
    </row>
    <row r="44" spans="1:10" ht="20" customHeight="1" x14ac:dyDescent="0.2">
      <c r="A44" s="8" t="s">
        <v>6</v>
      </c>
      <c r="B44" s="11" t="s">
        <v>27</v>
      </c>
      <c r="C44" s="13">
        <v>3500</v>
      </c>
      <c r="D44" s="13">
        <v>6390</v>
      </c>
      <c r="E44" s="13">
        <v>1900</v>
      </c>
      <c r="F44" s="37">
        <f>ROUND((Table135[[#This Row],[Sector (km)]]/Table135[[#This Row],[Range (km)]]),2)</f>
        <v>0.3</v>
      </c>
      <c r="G44" s="34">
        <v>2.2799999999999998</v>
      </c>
      <c r="H44" s="39">
        <f>(Table135[[#This Row],[Fuel Burn (kg/km)]])+(_xlfn.XLOOKUP(F44,'Fuel Burn Rates (Sector)'!$A$2:$A$102,'Fuel Burn Rates (Sector)'!$B$2:$B$102))*(Table135[[#This Row],[Fuel Burn (kg/km)]])</f>
        <v>2.2851483870967741</v>
      </c>
      <c r="I44" s="40">
        <v>2</v>
      </c>
      <c r="J44" s="20">
        <f>(Table135[[#This Row],[Distance (km)]]*Table135[[#This Row],[Adjusted Fuel Burn (kg/km)]]*Table135[[#This Row],[Fuel Price (USD/kg)]])</f>
        <v>15996.038709677419</v>
      </c>
    </row>
    <row r="45" spans="1:10" ht="20" customHeight="1" x14ac:dyDescent="0.2">
      <c r="A45" s="8" t="s">
        <v>7</v>
      </c>
      <c r="B45" s="11" t="s">
        <v>27</v>
      </c>
      <c r="C45" s="13">
        <v>3500</v>
      </c>
      <c r="D45" s="13">
        <v>6700</v>
      </c>
      <c r="E45" s="13">
        <v>1900</v>
      </c>
      <c r="F45" s="37">
        <f>ROUND((Table135[[#This Row],[Sector (km)]]/Table135[[#This Row],[Range (km)]]),2)</f>
        <v>0.28000000000000003</v>
      </c>
      <c r="G45" s="34">
        <v>2.56</v>
      </c>
      <c r="H45" s="39">
        <f>(Table135[[#This Row],[Fuel Burn (kg/km)]])+(_xlfn.XLOOKUP(F45,'Fuel Burn Rates (Sector)'!$A$2:$A$102,'Fuel Burn Rates (Sector)'!$B$2:$B$102))*(Table135[[#This Row],[Fuel Burn (kg/km)]])</f>
        <v>2.5773419354838709</v>
      </c>
      <c r="I45" s="40">
        <v>2</v>
      </c>
      <c r="J45" s="20">
        <f>(Table135[[#This Row],[Distance (km)]]*Table135[[#This Row],[Adjusted Fuel Burn (kg/km)]]*Table135[[#This Row],[Fuel Price (USD/kg)]])</f>
        <v>18041.393548387096</v>
      </c>
    </row>
    <row r="46" spans="1:10" ht="20" customHeight="1" x14ac:dyDescent="0.2">
      <c r="A46" s="8" t="s">
        <v>8</v>
      </c>
      <c r="B46" s="11" t="s">
        <v>27</v>
      </c>
      <c r="C46" s="13">
        <v>3500</v>
      </c>
      <c r="D46" s="13">
        <v>6100</v>
      </c>
      <c r="E46" s="13">
        <v>1900</v>
      </c>
      <c r="F46" s="37">
        <f>ROUND((Table135[[#This Row],[Sector (km)]]/Table135[[#This Row],[Range (km)]]),2)</f>
        <v>0.31</v>
      </c>
      <c r="G46" s="34">
        <v>3.13</v>
      </c>
      <c r="H46" s="39">
        <f>(Table135[[#This Row],[Fuel Burn (kg/km)]])+(_xlfn.XLOOKUP(F46,'Fuel Burn Rates (Sector)'!$A$2:$A$102,'Fuel Burn Rates (Sector)'!$B$2:$B$102))*(Table135[[#This Row],[Fuel Burn (kg/km)]])</f>
        <v>3.13</v>
      </c>
      <c r="I46" s="40">
        <v>2</v>
      </c>
      <c r="J46" s="20">
        <f>(Table135[[#This Row],[Distance (km)]]*Table135[[#This Row],[Adjusted Fuel Burn (kg/km)]]*Table135[[#This Row],[Fuel Price (USD/kg)]])</f>
        <v>21910</v>
      </c>
    </row>
    <row r="47" spans="1:10" ht="20" customHeight="1" x14ac:dyDescent="0.2">
      <c r="A47" s="8" t="s">
        <v>9</v>
      </c>
      <c r="B47" s="11" t="s">
        <v>27</v>
      </c>
      <c r="C47" s="13">
        <v>3500</v>
      </c>
      <c r="D47" s="13">
        <v>6500</v>
      </c>
      <c r="E47" s="13">
        <v>1220</v>
      </c>
      <c r="F47" s="37">
        <f>ROUND((Table135[[#This Row],[Sector (km)]]/Table135[[#This Row],[Range (km)]]),2)</f>
        <v>0.19</v>
      </c>
      <c r="G47" s="34">
        <v>2.79</v>
      </c>
      <c r="H47" s="39">
        <f>(Table135[[#This Row],[Fuel Burn (kg/km)]])+(_xlfn.XLOOKUP(F47,'Fuel Burn Rates (Sector)'!$A$2:$A$102,'Fuel Burn Rates (Sector)'!$B$2:$B$102))*(Table135[[#This Row],[Fuel Burn (kg/km)]])</f>
        <v>2.8656000000000001</v>
      </c>
      <c r="I47" s="40">
        <v>2</v>
      </c>
      <c r="J47" s="20">
        <f>(Table135[[#This Row],[Distance (km)]]*Table135[[#This Row],[Adjusted Fuel Burn (kg/km)]]*Table135[[#This Row],[Fuel Price (USD/kg)]])</f>
        <v>20059.2</v>
      </c>
    </row>
    <row r="48" spans="1:10" ht="20" customHeight="1" x14ac:dyDescent="0.2">
      <c r="A48" s="8" t="s">
        <v>10</v>
      </c>
      <c r="B48" s="11" t="s">
        <v>27</v>
      </c>
      <c r="C48" s="13">
        <v>3500</v>
      </c>
      <c r="D48" s="13">
        <v>5900</v>
      </c>
      <c r="E48" s="13">
        <v>1900</v>
      </c>
      <c r="F48" s="37">
        <f>ROUND((Table135[[#This Row],[Sector (km)]]/Table135[[#This Row],[Range (km)]]),2)</f>
        <v>0.32</v>
      </c>
      <c r="G48" s="34">
        <v>3.61</v>
      </c>
      <c r="H48" s="39">
        <f>(Table135[[#This Row],[Fuel Burn (kg/km)]])+(_xlfn.XLOOKUP(F48,'Fuel Burn Rates (Sector)'!$A$2:$A$102,'Fuel Burn Rates (Sector)'!$B$2:$B$102))*(Table135[[#This Row],[Fuel Burn (kg/km)]])</f>
        <v>3.6136623188405794</v>
      </c>
      <c r="I48" s="40">
        <v>2</v>
      </c>
      <c r="J48" s="20">
        <f>(Table135[[#This Row],[Distance (km)]]*Table135[[#This Row],[Adjusted Fuel Burn (kg/km)]]*Table135[[#This Row],[Fuel Price (USD/kg)]])</f>
        <v>25295.636231884055</v>
      </c>
    </row>
    <row r="49" spans="1:10" ht="20" customHeight="1" x14ac:dyDescent="0.2">
      <c r="A49" s="8" t="s">
        <v>11</v>
      </c>
      <c r="B49" s="11" t="s">
        <v>27</v>
      </c>
      <c r="C49" s="13">
        <v>3500</v>
      </c>
      <c r="D49" s="13">
        <v>6500</v>
      </c>
      <c r="E49" s="13">
        <v>1220</v>
      </c>
      <c r="F49" s="37">
        <f>ROUND((Table135[[#This Row],[Sector (km)]]/Table135[[#This Row],[Range (km)]]),2)</f>
        <v>0.19</v>
      </c>
      <c r="G49" s="34">
        <v>3.3</v>
      </c>
      <c r="H49" s="39">
        <f>(Table135[[#This Row],[Fuel Burn (kg/km)]])+(_xlfn.XLOOKUP(F49,'Fuel Burn Rates (Sector)'!$A$2:$A$102,'Fuel Burn Rates (Sector)'!$B$2:$B$102))*(Table135[[#This Row],[Fuel Burn (kg/km)]])</f>
        <v>3.3894193548387097</v>
      </c>
      <c r="I49" s="40">
        <v>2</v>
      </c>
      <c r="J49" s="20">
        <f>(Table135[[#This Row],[Distance (km)]]*Table135[[#This Row],[Adjusted Fuel Burn (kg/km)]]*Table135[[#This Row],[Fuel Price (USD/kg)]])</f>
        <v>23725.93548387097</v>
      </c>
    </row>
    <row r="50" spans="1:10" ht="20" customHeight="1" x14ac:dyDescent="0.2">
      <c r="A50" s="8" t="s">
        <v>12</v>
      </c>
      <c r="B50" s="11" t="s">
        <v>28</v>
      </c>
      <c r="C50" s="13">
        <v>3500</v>
      </c>
      <c r="D50" s="13">
        <v>11750</v>
      </c>
      <c r="E50" s="13">
        <v>5600</v>
      </c>
      <c r="F50" s="37">
        <f>ROUND((Table135[[#This Row],[Sector (km)]]/Table135[[#This Row],[Range (km)]]),2)</f>
        <v>0.48</v>
      </c>
      <c r="G50" s="34">
        <v>6.25</v>
      </c>
      <c r="H50" s="39">
        <f>(Table135[[#This Row],[Fuel Burn (kg/km)]])+(_xlfn.XLOOKUP(F50,'Fuel Burn Rates (Sector)'!$A$2:$A$102,'Fuel Burn Rates (Sector)'!$B$2:$B$102))*(Table135[[#This Row],[Fuel Burn (kg/km)]])</f>
        <v>6.3577898550724639</v>
      </c>
      <c r="I50" s="40">
        <v>2</v>
      </c>
      <c r="J50" s="20">
        <f>(Table135[[#This Row],[Distance (km)]]*Table135[[#This Row],[Adjusted Fuel Burn (kg/km)]]*Table135[[#This Row],[Fuel Price (USD/kg)]])</f>
        <v>44504.528985507248</v>
      </c>
    </row>
    <row r="51" spans="1:10" ht="20" customHeight="1" x14ac:dyDescent="0.2">
      <c r="A51" s="8" t="s">
        <v>13</v>
      </c>
      <c r="B51" s="11" t="s">
        <v>28</v>
      </c>
      <c r="C51" s="13">
        <v>3500</v>
      </c>
      <c r="D51" s="13">
        <v>13335</v>
      </c>
      <c r="E51" s="13">
        <v>6200</v>
      </c>
      <c r="F51" s="37">
        <f>ROUND((Table135[[#This Row],[Sector (km)]]/Table135[[#This Row],[Range (km)]]),2)</f>
        <v>0.46</v>
      </c>
      <c r="G51" s="34">
        <v>6</v>
      </c>
      <c r="H51" s="39">
        <f>(Table135[[#This Row],[Fuel Burn (kg/km)]])+(_xlfn.XLOOKUP(F51,'Fuel Burn Rates (Sector)'!$A$2:$A$102,'Fuel Burn Rates (Sector)'!$B$2:$B$102))*(Table135[[#This Row],[Fuel Burn (kg/km)]])</f>
        <v>6.0913043478260871</v>
      </c>
      <c r="I51" s="40">
        <v>2</v>
      </c>
      <c r="J51" s="20">
        <f>(Table135[[#This Row],[Distance (km)]]*Table135[[#This Row],[Adjusted Fuel Burn (kg/km)]]*Table135[[#This Row],[Fuel Price (USD/kg)]])</f>
        <v>42639.130434782608</v>
      </c>
    </row>
    <row r="52" spans="1:10" ht="20" customHeight="1" x14ac:dyDescent="0.2">
      <c r="A52" s="8" t="s">
        <v>14</v>
      </c>
      <c r="B52" s="11" t="s">
        <v>28</v>
      </c>
      <c r="C52" s="13">
        <v>3500</v>
      </c>
      <c r="D52" s="13">
        <v>13500</v>
      </c>
      <c r="E52" s="13">
        <v>5600</v>
      </c>
      <c r="F52" s="37">
        <f>ROUND((Table135[[#This Row],[Sector (km)]]/Table135[[#This Row],[Range (km)]]),2)</f>
        <v>0.41</v>
      </c>
      <c r="G52" s="34">
        <v>6.81</v>
      </c>
      <c r="H52" s="39">
        <f>(Table135[[#This Row],[Fuel Burn (kg/km)]])+(_xlfn.XLOOKUP(F52,'Fuel Burn Rates (Sector)'!$A$2:$A$102,'Fuel Burn Rates (Sector)'!$B$2:$B$102))*(Table135[[#This Row],[Fuel Burn (kg/km)]])</f>
        <v>6.8790869565217383</v>
      </c>
      <c r="I52" s="40">
        <v>2</v>
      </c>
      <c r="J52" s="20">
        <f>(Table135[[#This Row],[Distance (km)]]*Table135[[#This Row],[Adjusted Fuel Burn (kg/km)]]*Table135[[#This Row],[Fuel Price (USD/kg)]])</f>
        <v>48153.608695652169</v>
      </c>
    </row>
    <row r="53" spans="1:10" ht="20" customHeight="1" x14ac:dyDescent="0.2">
      <c r="A53" s="8" t="s">
        <v>15</v>
      </c>
      <c r="B53" s="11" t="s">
        <v>28</v>
      </c>
      <c r="C53" s="13">
        <v>3500</v>
      </c>
      <c r="D53" s="13">
        <v>14450</v>
      </c>
      <c r="E53" s="35">
        <v>5600</v>
      </c>
      <c r="F53" s="37">
        <f>ROUND((Table135[[#This Row],[Sector (km)]]/Table135[[#This Row],[Range (km)]]),2)</f>
        <v>0.39</v>
      </c>
      <c r="G53" s="36">
        <f>(G63*1.12)</f>
        <v>8.8256000000000014</v>
      </c>
      <c r="H53" s="39">
        <f>(Table135[[#This Row],[Fuel Burn (kg/km)]])+(_xlfn.XLOOKUP(F53,'Fuel Burn Rates (Sector)'!$A$2:$A$102,'Fuel Burn Rates (Sector)'!$B$2:$B$102))*(Table135[[#This Row],[Fuel Burn (kg/km)]])</f>
        <v>8.8972280579710166</v>
      </c>
      <c r="I53" s="40">
        <v>2</v>
      </c>
      <c r="J53" s="20">
        <f>(Table135[[#This Row],[Distance (km)]]*Table135[[#This Row],[Adjusted Fuel Burn (kg/km)]]*Table135[[#This Row],[Fuel Price (USD/kg)]])</f>
        <v>62280.596405797114</v>
      </c>
    </row>
    <row r="54" spans="1:10" ht="20" customHeight="1" x14ac:dyDescent="0.2">
      <c r="A54" s="8" t="s">
        <v>16</v>
      </c>
      <c r="B54" s="11" t="s">
        <v>28</v>
      </c>
      <c r="C54" s="13">
        <v>3500</v>
      </c>
      <c r="D54" s="13">
        <v>15370</v>
      </c>
      <c r="E54" s="13">
        <v>9208</v>
      </c>
      <c r="F54" s="37">
        <f>ROUND((Table135[[#This Row],[Sector (km)]]/Table135[[#This Row],[Range (km)]]),2)</f>
        <v>0.6</v>
      </c>
      <c r="G54" s="34">
        <v>6.03</v>
      </c>
      <c r="H54" s="39">
        <f>(Table135[[#This Row],[Fuel Burn (kg/km)]])+(_xlfn.XLOOKUP(F54,'Fuel Burn Rates (Sector)'!$A$2:$A$102,'Fuel Burn Rates (Sector)'!$B$2:$B$102))*(Table135[[#This Row],[Fuel Burn (kg/km)]])</f>
        <v>6.2074043478260874</v>
      </c>
      <c r="I54" s="40">
        <v>2</v>
      </c>
      <c r="J54" s="20">
        <f>(Table135[[#This Row],[Distance (km)]]*Table135[[#This Row],[Adjusted Fuel Burn (kg/km)]]*Table135[[#This Row],[Fuel Price (USD/kg)]])</f>
        <v>43451.830434782612</v>
      </c>
    </row>
    <row r="55" spans="1:10" ht="20" customHeight="1" x14ac:dyDescent="0.2">
      <c r="A55" s="8" t="s">
        <v>17</v>
      </c>
      <c r="B55" s="11" t="s">
        <v>28</v>
      </c>
      <c r="C55" s="13">
        <v>3500</v>
      </c>
      <c r="D55" s="13">
        <v>14800</v>
      </c>
      <c r="E55" s="13">
        <v>11000</v>
      </c>
      <c r="F55" s="37">
        <f>ROUND((Table135[[#This Row],[Sector (km)]]/Table135[[#This Row],[Range (km)]]),2)</f>
        <v>0.74</v>
      </c>
      <c r="G55" s="34">
        <v>13.78</v>
      </c>
      <c r="H55" s="39">
        <f>(Table135[[#This Row],[Fuel Burn (kg/km)]])+(_xlfn.XLOOKUP(F55,'Fuel Burn Rates (Sector)'!$A$2:$A$102,'Fuel Burn Rates (Sector)'!$B$2:$B$102))*(Table135[[#This Row],[Fuel Burn (kg/km)]])</f>
        <v>14.381127536231883</v>
      </c>
      <c r="I55" s="40">
        <v>2</v>
      </c>
      <c r="J55" s="20">
        <f>(Table135[[#This Row],[Distance (km)]]*Table135[[#This Row],[Adjusted Fuel Burn (kg/km)]]*Table135[[#This Row],[Fuel Price (USD/kg)]])</f>
        <v>100667.89275362318</v>
      </c>
    </row>
    <row r="56" spans="1:10" ht="20" customHeight="1" x14ac:dyDescent="0.2">
      <c r="A56" s="8" t="s">
        <v>18</v>
      </c>
      <c r="B56" s="11" t="s">
        <v>27</v>
      </c>
      <c r="C56" s="13">
        <v>3500</v>
      </c>
      <c r="D56" s="13">
        <v>6500</v>
      </c>
      <c r="E56" s="13">
        <v>1900</v>
      </c>
      <c r="F56" s="37">
        <f>ROUND((Table135[[#This Row],[Sector (km)]]/Table135[[#This Row],[Range (km)]]),2)</f>
        <v>0.28999999999999998</v>
      </c>
      <c r="G56" s="34">
        <v>2.71</v>
      </c>
      <c r="H56" s="39">
        <f>(Table135[[#This Row],[Fuel Burn (kg/km)]])+(_xlfn.XLOOKUP(F56,'Fuel Burn Rates (Sector)'!$A$2:$A$102,'Fuel Burn Rates (Sector)'!$B$2:$B$102))*(Table135[[#This Row],[Fuel Burn (kg/km)]])</f>
        <v>2.7222387096774194</v>
      </c>
      <c r="I56" s="40">
        <v>2</v>
      </c>
      <c r="J56" s="20">
        <f>(Table135[[#This Row],[Distance (km)]]*Table135[[#This Row],[Adjusted Fuel Burn (kg/km)]]*Table135[[#This Row],[Fuel Price (USD/kg)]])</f>
        <v>19055.670967741935</v>
      </c>
    </row>
    <row r="57" spans="1:10" ht="20" customHeight="1" x14ac:dyDescent="0.2">
      <c r="A57" s="8" t="s">
        <v>19</v>
      </c>
      <c r="B57" s="11" t="s">
        <v>27</v>
      </c>
      <c r="C57" s="13">
        <v>3500</v>
      </c>
      <c r="D57" s="13">
        <v>6100</v>
      </c>
      <c r="E57" s="13">
        <v>1900</v>
      </c>
      <c r="F57" s="37">
        <f>ROUND((Table135[[#This Row],[Sector (km)]]/Table135[[#This Row],[Range (km)]]),2)</f>
        <v>0.31</v>
      </c>
      <c r="G57" s="34">
        <v>2.91</v>
      </c>
      <c r="H57" s="39">
        <f>(Table135[[#This Row],[Fuel Burn (kg/km)]])+(_xlfn.XLOOKUP(F57,'Fuel Burn Rates (Sector)'!$A$2:$A$102,'Fuel Burn Rates (Sector)'!$B$2:$B$102))*(Table135[[#This Row],[Fuel Burn (kg/km)]])</f>
        <v>2.91</v>
      </c>
      <c r="I57" s="40">
        <v>2</v>
      </c>
      <c r="J57" s="20">
        <f>(Table135[[#This Row],[Distance (km)]]*Table135[[#This Row],[Adjusted Fuel Burn (kg/km)]]*Table135[[#This Row],[Fuel Price (USD/kg)]])</f>
        <v>20370</v>
      </c>
    </row>
    <row r="58" spans="1:10" ht="20" customHeight="1" x14ac:dyDescent="0.2">
      <c r="A58" s="8" t="s">
        <v>20</v>
      </c>
      <c r="B58" s="11" t="s">
        <v>27</v>
      </c>
      <c r="C58" s="13">
        <v>3500</v>
      </c>
      <c r="D58" s="13">
        <v>5440</v>
      </c>
      <c r="E58" s="13">
        <v>1900</v>
      </c>
      <c r="F58" s="37">
        <f>ROUND((Table135[[#This Row],[Sector (km)]]/Table135[[#This Row],[Range (km)]]),2)</f>
        <v>0.35</v>
      </c>
      <c r="G58" s="34">
        <v>3.17</v>
      </c>
      <c r="H58" s="39">
        <f>(Table135[[#This Row],[Fuel Burn (kg/km)]])+(_xlfn.XLOOKUP(F58,'Fuel Burn Rates (Sector)'!$A$2:$A$102,'Fuel Burn Rates (Sector)'!$B$2:$B$102))*(Table135[[#This Row],[Fuel Burn (kg/km)]])</f>
        <v>3.1828637681159417</v>
      </c>
      <c r="I58" s="40">
        <v>2</v>
      </c>
      <c r="J58" s="20">
        <f>(Table135[[#This Row],[Distance (km)]]*Table135[[#This Row],[Adjusted Fuel Burn (kg/km)]]*Table135[[#This Row],[Fuel Price (USD/kg)]])</f>
        <v>22280.046376811591</v>
      </c>
    </row>
    <row r="59" spans="1:10" ht="20" customHeight="1" x14ac:dyDescent="0.2">
      <c r="A59" s="8" t="s">
        <v>21</v>
      </c>
      <c r="B59" s="11" t="s">
        <v>27</v>
      </c>
      <c r="C59" s="13">
        <v>3500</v>
      </c>
      <c r="D59" s="13">
        <v>5460</v>
      </c>
      <c r="E59" s="13">
        <v>1900</v>
      </c>
      <c r="F59" s="37">
        <f>ROUND((Table135[[#This Row],[Sector (km)]]/Table135[[#This Row],[Range (km)]]),2)</f>
        <v>0.35</v>
      </c>
      <c r="G59" s="34">
        <v>3.42</v>
      </c>
      <c r="H59" s="39">
        <f>(Table135[[#This Row],[Fuel Burn (kg/km)]])+(_xlfn.XLOOKUP(F59,'Fuel Burn Rates (Sector)'!$A$2:$A$102,'Fuel Burn Rates (Sector)'!$B$2:$B$102))*(Table135[[#This Row],[Fuel Burn (kg/km)]])</f>
        <v>3.433878260869565</v>
      </c>
      <c r="I59" s="40">
        <v>2</v>
      </c>
      <c r="J59" s="20">
        <f>(Table135[[#This Row],[Distance (km)]]*Table135[[#This Row],[Adjusted Fuel Burn (kg/km)]]*Table135[[#This Row],[Fuel Price (USD/kg)]])</f>
        <v>24037.147826086955</v>
      </c>
    </row>
    <row r="60" spans="1:10" ht="20" customHeight="1" x14ac:dyDescent="0.2">
      <c r="A60" s="8" t="s">
        <v>22</v>
      </c>
      <c r="B60" s="11" t="s">
        <v>28</v>
      </c>
      <c r="C60" s="13">
        <v>3500</v>
      </c>
      <c r="D60" s="13">
        <v>14205</v>
      </c>
      <c r="E60" s="13">
        <v>3984</v>
      </c>
      <c r="F60" s="37">
        <f>ROUND((Table135[[#This Row],[Sector (km)]]/Table135[[#This Row],[Range (km)]]),2)</f>
        <v>0.28000000000000003</v>
      </c>
      <c r="G60" s="34">
        <v>10.77</v>
      </c>
      <c r="H60" s="39">
        <f>(Table135[[#This Row],[Fuel Burn (kg/km)]])+(_xlfn.XLOOKUP(F60,'Fuel Burn Rates (Sector)'!$A$2:$A$102,'Fuel Burn Rates (Sector)'!$B$2:$B$102))*(Table135[[#This Row],[Fuel Burn (kg/km)]])</f>
        <v>10.842958064516129</v>
      </c>
      <c r="I60" s="40">
        <v>2</v>
      </c>
      <c r="J60" s="20">
        <f>(Table135[[#This Row],[Distance (km)]]*Table135[[#This Row],[Adjusted Fuel Burn (kg/km)]]*Table135[[#This Row],[Fuel Price (USD/kg)]])</f>
        <v>75900.706451612903</v>
      </c>
    </row>
    <row r="61" spans="1:10" ht="20" customHeight="1" x14ac:dyDescent="0.2">
      <c r="A61" s="8" t="s">
        <v>23</v>
      </c>
      <c r="B61" s="11" t="s">
        <v>28</v>
      </c>
      <c r="C61" s="13">
        <v>3500</v>
      </c>
      <c r="D61" s="13">
        <v>14320</v>
      </c>
      <c r="E61" s="13">
        <v>5600</v>
      </c>
      <c r="F61" s="37">
        <f>ROUND((Table135[[#This Row],[Sector (km)]]/Table135[[#This Row],[Range (km)]]),2)</f>
        <v>0.39</v>
      </c>
      <c r="G61" s="34">
        <v>9.9</v>
      </c>
      <c r="H61" s="39">
        <f>(Table135[[#This Row],[Fuel Burn (kg/km)]])+(_xlfn.XLOOKUP(F61,'Fuel Burn Rates (Sector)'!$A$2:$A$102,'Fuel Burn Rates (Sector)'!$B$2:$B$102))*(Table135[[#This Row],[Fuel Burn (kg/km)]])</f>
        <v>9.9803478260869571</v>
      </c>
      <c r="I61" s="40">
        <v>2</v>
      </c>
      <c r="J61" s="20">
        <f>(Table135[[#This Row],[Distance (km)]]*Table135[[#This Row],[Adjusted Fuel Burn (kg/km)]]*Table135[[#This Row],[Fuel Price (USD/kg)]])</f>
        <v>69862.434782608703</v>
      </c>
    </row>
    <row r="62" spans="1:10" ht="20" customHeight="1" x14ac:dyDescent="0.2">
      <c r="A62" s="8" t="s">
        <v>24</v>
      </c>
      <c r="B62" s="11" t="s">
        <v>28</v>
      </c>
      <c r="C62" s="13">
        <v>3500</v>
      </c>
      <c r="D62" s="13">
        <v>10415</v>
      </c>
      <c r="E62" s="13">
        <v>5600</v>
      </c>
      <c r="F62" s="37">
        <f>ROUND((Table135[[#This Row],[Sector (km)]]/Table135[[#This Row],[Range (km)]]),2)</f>
        <v>0.54</v>
      </c>
      <c r="G62" s="34">
        <v>5.93</v>
      </c>
      <c r="H62" s="39">
        <f>(Table135[[#This Row],[Fuel Burn (kg/km)]])+(_xlfn.XLOOKUP(F62,'Fuel Burn Rates (Sector)'!$A$2:$A$102,'Fuel Burn Rates (Sector)'!$B$2:$B$102))*(Table135[[#This Row],[Fuel Burn (kg/km)]])</f>
        <v>6.068366666666666</v>
      </c>
      <c r="I62" s="40">
        <v>2</v>
      </c>
      <c r="J62" s="20">
        <f>(Table135[[#This Row],[Distance (km)]]*Table135[[#This Row],[Adjusted Fuel Burn (kg/km)]]*Table135[[#This Row],[Fuel Price (USD/kg)]])</f>
        <v>42478.566666666666</v>
      </c>
    </row>
    <row r="63" spans="1:10" ht="20" customHeight="1" x14ac:dyDescent="0.2">
      <c r="A63" s="8" t="s">
        <v>25</v>
      </c>
      <c r="B63" s="11" t="s">
        <v>28</v>
      </c>
      <c r="C63" s="13">
        <v>3500</v>
      </c>
      <c r="D63" s="13">
        <v>13650</v>
      </c>
      <c r="E63" s="13">
        <v>5600</v>
      </c>
      <c r="F63" s="37">
        <f>ROUND((Table135[[#This Row],[Sector (km)]]/Table135[[#This Row],[Range (km)]]),2)</f>
        <v>0.41</v>
      </c>
      <c r="G63" s="34">
        <v>7.88</v>
      </c>
      <c r="H63" s="39">
        <f>(Table135[[#This Row],[Fuel Burn (kg/km)]])+(_xlfn.XLOOKUP(F63,'Fuel Burn Rates (Sector)'!$A$2:$A$102,'Fuel Burn Rates (Sector)'!$B$2:$B$102))*(Table135[[#This Row],[Fuel Burn (kg/km)]])</f>
        <v>7.9599420289855072</v>
      </c>
      <c r="I63" s="40">
        <v>2</v>
      </c>
      <c r="J63" s="20">
        <f>(Table135[[#This Row],[Distance (km)]]*Table135[[#This Row],[Adjusted Fuel Burn (kg/km)]]*Table135[[#This Row],[Fuel Price (USD/kg)]])</f>
        <v>55719.594202898552</v>
      </c>
    </row>
    <row r="64" spans="1:10" ht="20" customHeight="1" x14ac:dyDescent="0.2">
      <c r="A64" s="8" t="s">
        <v>26</v>
      </c>
      <c r="B64" s="11" t="s">
        <v>28</v>
      </c>
      <c r="C64" s="13">
        <v>3500</v>
      </c>
      <c r="D64" s="13">
        <v>14140</v>
      </c>
      <c r="E64" s="13">
        <v>6200</v>
      </c>
      <c r="F64" s="37">
        <f>ROUND((Table135[[#This Row],[Sector (km)]]/Table135[[#This Row],[Range (km)]]),2)</f>
        <v>0.44</v>
      </c>
      <c r="G64" s="34">
        <v>5.77</v>
      </c>
      <c r="H64" s="39">
        <f>(Table135[[#This Row],[Fuel Burn (kg/km)]])+(_xlfn.XLOOKUP(F64,'Fuel Burn Rates (Sector)'!$A$2:$A$102,'Fuel Burn Rates (Sector)'!$B$2:$B$102))*(Table135[[#This Row],[Fuel Burn (kg/km)]])</f>
        <v>5.8460971014492751</v>
      </c>
      <c r="I64" s="40">
        <v>2</v>
      </c>
      <c r="J64" s="20">
        <f>(Table135[[#This Row],[Distance (km)]]*Table135[[#This Row],[Adjusted Fuel Burn (kg/km)]]*Table135[[#This Row],[Fuel Price (USD/kg)]])</f>
        <v>40922.679710144927</v>
      </c>
    </row>
    <row r="65" spans="1:10" ht="20" customHeight="1" x14ac:dyDescent="0.2">
      <c r="A65" s="8" t="s">
        <v>6</v>
      </c>
      <c r="B65" s="11" t="s">
        <v>27</v>
      </c>
      <c r="C65" s="13">
        <v>8000</v>
      </c>
      <c r="D65" s="13">
        <v>6390</v>
      </c>
      <c r="E65" s="13">
        <v>1900</v>
      </c>
      <c r="F65" s="37">
        <f>ROUND((Table135[[#This Row],[Sector (km)]]/Table135[[#This Row],[Range (km)]]),2)</f>
        <v>0.3</v>
      </c>
      <c r="G65" s="34">
        <v>2.2799999999999998</v>
      </c>
      <c r="H65" s="39">
        <f>(Table135[[#This Row],[Fuel Burn (kg/km)]])+(_xlfn.XLOOKUP(F65,'Fuel Burn Rates (Sector)'!$A$2:$A$102,'Fuel Burn Rates (Sector)'!$B$2:$B$102))*(Table135[[#This Row],[Fuel Burn (kg/km)]])</f>
        <v>2.2851483870967741</v>
      </c>
      <c r="I65" s="40">
        <v>2</v>
      </c>
      <c r="J65" s="20">
        <f>(Table135[[#This Row],[Distance (km)]]*Table135[[#This Row],[Adjusted Fuel Burn (kg/km)]]*Table135[[#This Row],[Fuel Price (USD/kg)]])</f>
        <v>36562.374193548385</v>
      </c>
    </row>
    <row r="66" spans="1:10" ht="20" customHeight="1" x14ac:dyDescent="0.2">
      <c r="A66" s="8" t="s">
        <v>7</v>
      </c>
      <c r="B66" s="11" t="s">
        <v>27</v>
      </c>
      <c r="C66" s="13">
        <v>8000</v>
      </c>
      <c r="D66" s="13">
        <v>6700</v>
      </c>
      <c r="E66" s="13">
        <v>1900</v>
      </c>
      <c r="F66" s="37">
        <f>ROUND((Table135[[#This Row],[Sector (km)]]/Table135[[#This Row],[Range (km)]]),2)</f>
        <v>0.28000000000000003</v>
      </c>
      <c r="G66" s="34">
        <v>2.56</v>
      </c>
      <c r="H66" s="39">
        <f>(Table135[[#This Row],[Fuel Burn (kg/km)]])+(_xlfn.XLOOKUP(F66,'Fuel Burn Rates (Sector)'!$A$2:$A$102,'Fuel Burn Rates (Sector)'!$B$2:$B$102))*(Table135[[#This Row],[Fuel Burn (kg/km)]])</f>
        <v>2.5773419354838709</v>
      </c>
      <c r="I66" s="40">
        <v>2</v>
      </c>
      <c r="J66" s="20">
        <f>(Table135[[#This Row],[Distance (km)]]*Table135[[#This Row],[Adjusted Fuel Burn (kg/km)]]*Table135[[#This Row],[Fuel Price (USD/kg)]])</f>
        <v>41237.470967741938</v>
      </c>
    </row>
    <row r="67" spans="1:10" ht="20" customHeight="1" x14ac:dyDescent="0.2">
      <c r="A67" s="8" t="s">
        <v>8</v>
      </c>
      <c r="B67" s="11" t="s">
        <v>27</v>
      </c>
      <c r="C67" s="13">
        <v>8000</v>
      </c>
      <c r="D67" s="13">
        <v>6100</v>
      </c>
      <c r="E67" s="13">
        <v>1900</v>
      </c>
      <c r="F67" s="37">
        <f>ROUND((Table135[[#This Row],[Sector (km)]]/Table135[[#This Row],[Range (km)]]),2)</f>
        <v>0.31</v>
      </c>
      <c r="G67" s="34">
        <v>3.13</v>
      </c>
      <c r="H67" s="39">
        <f>(Table135[[#This Row],[Fuel Burn (kg/km)]])+(_xlfn.XLOOKUP(F67,'Fuel Burn Rates (Sector)'!$A$2:$A$102,'Fuel Burn Rates (Sector)'!$B$2:$B$102))*(Table135[[#This Row],[Fuel Burn (kg/km)]])</f>
        <v>3.13</v>
      </c>
      <c r="I67" s="40">
        <v>2</v>
      </c>
      <c r="J67" s="20">
        <f>(Table135[[#This Row],[Distance (km)]]*Table135[[#This Row],[Adjusted Fuel Burn (kg/km)]]*Table135[[#This Row],[Fuel Price (USD/kg)]])</f>
        <v>50080</v>
      </c>
    </row>
    <row r="68" spans="1:10" ht="20" customHeight="1" x14ac:dyDescent="0.2">
      <c r="A68" s="8" t="s">
        <v>9</v>
      </c>
      <c r="B68" s="11" t="s">
        <v>27</v>
      </c>
      <c r="C68" s="13">
        <v>8000</v>
      </c>
      <c r="D68" s="13">
        <v>6500</v>
      </c>
      <c r="E68" s="13">
        <v>1220</v>
      </c>
      <c r="F68" s="37">
        <f>ROUND((Table135[[#This Row],[Sector (km)]]/Table135[[#This Row],[Range (km)]]),2)</f>
        <v>0.19</v>
      </c>
      <c r="G68" s="34">
        <v>2.79</v>
      </c>
      <c r="H68" s="39">
        <f>(Table135[[#This Row],[Fuel Burn (kg/km)]])+(_xlfn.XLOOKUP(F68,'Fuel Burn Rates (Sector)'!$A$2:$A$102,'Fuel Burn Rates (Sector)'!$B$2:$B$102))*(Table135[[#This Row],[Fuel Burn (kg/km)]])</f>
        <v>2.8656000000000001</v>
      </c>
      <c r="I68" s="40">
        <v>2</v>
      </c>
      <c r="J68" s="20">
        <f>(Table135[[#This Row],[Distance (km)]]*Table135[[#This Row],[Adjusted Fuel Burn (kg/km)]]*Table135[[#This Row],[Fuel Price (USD/kg)]])</f>
        <v>45849.600000000006</v>
      </c>
    </row>
    <row r="69" spans="1:10" ht="20" customHeight="1" x14ac:dyDescent="0.2">
      <c r="A69" s="8" t="s">
        <v>10</v>
      </c>
      <c r="B69" s="11" t="s">
        <v>27</v>
      </c>
      <c r="C69" s="13">
        <v>8000</v>
      </c>
      <c r="D69" s="13">
        <v>5900</v>
      </c>
      <c r="E69" s="13">
        <v>1900</v>
      </c>
      <c r="F69" s="37">
        <f>ROUND((Table135[[#This Row],[Sector (km)]]/Table135[[#This Row],[Range (km)]]),2)</f>
        <v>0.32</v>
      </c>
      <c r="G69" s="34">
        <v>3.61</v>
      </c>
      <c r="H69" s="39">
        <f>(Table135[[#This Row],[Fuel Burn (kg/km)]])+(_xlfn.XLOOKUP(F69,'Fuel Burn Rates (Sector)'!$A$2:$A$102,'Fuel Burn Rates (Sector)'!$B$2:$B$102))*(Table135[[#This Row],[Fuel Burn (kg/km)]])</f>
        <v>3.6136623188405794</v>
      </c>
      <c r="I69" s="40">
        <v>2</v>
      </c>
      <c r="J69" s="20">
        <f>(Table135[[#This Row],[Distance (km)]]*Table135[[#This Row],[Adjusted Fuel Burn (kg/km)]]*Table135[[#This Row],[Fuel Price (USD/kg)]])</f>
        <v>57818.597101449268</v>
      </c>
    </row>
    <row r="70" spans="1:10" ht="20" customHeight="1" x14ac:dyDescent="0.2">
      <c r="A70" s="8" t="s">
        <v>11</v>
      </c>
      <c r="B70" s="11" t="s">
        <v>27</v>
      </c>
      <c r="C70" s="13">
        <v>8000</v>
      </c>
      <c r="D70" s="13">
        <v>6500</v>
      </c>
      <c r="E70" s="13">
        <v>1220</v>
      </c>
      <c r="F70" s="37">
        <f>ROUND((Table135[[#This Row],[Sector (km)]]/Table135[[#This Row],[Range (km)]]),2)</f>
        <v>0.19</v>
      </c>
      <c r="G70" s="34">
        <v>3.3</v>
      </c>
      <c r="H70" s="39">
        <f>(Table135[[#This Row],[Fuel Burn (kg/km)]])+(_xlfn.XLOOKUP(F70,'Fuel Burn Rates (Sector)'!$A$2:$A$102,'Fuel Burn Rates (Sector)'!$B$2:$B$102))*(Table135[[#This Row],[Fuel Burn (kg/km)]])</f>
        <v>3.3894193548387097</v>
      </c>
      <c r="I70" s="40">
        <v>2</v>
      </c>
      <c r="J70" s="20">
        <f>(Table135[[#This Row],[Distance (km)]]*Table135[[#This Row],[Adjusted Fuel Burn (kg/km)]]*Table135[[#This Row],[Fuel Price (USD/kg)]])</f>
        <v>54230.709677419356</v>
      </c>
    </row>
    <row r="71" spans="1:10" ht="20" customHeight="1" x14ac:dyDescent="0.2">
      <c r="A71" s="8" t="s">
        <v>12</v>
      </c>
      <c r="B71" s="11" t="s">
        <v>28</v>
      </c>
      <c r="C71" s="13">
        <v>8000</v>
      </c>
      <c r="D71" s="13">
        <v>11750</v>
      </c>
      <c r="E71" s="13">
        <v>5600</v>
      </c>
      <c r="F71" s="37">
        <f>ROUND((Table135[[#This Row],[Sector (km)]]/Table135[[#This Row],[Range (km)]]),2)</f>
        <v>0.48</v>
      </c>
      <c r="G71" s="34">
        <v>6.25</v>
      </c>
      <c r="H71" s="39">
        <f>(Table135[[#This Row],[Fuel Burn (kg/km)]])+(_xlfn.XLOOKUP(F71,'Fuel Burn Rates (Sector)'!$A$2:$A$102,'Fuel Burn Rates (Sector)'!$B$2:$B$102))*(Table135[[#This Row],[Fuel Burn (kg/km)]])</f>
        <v>6.3577898550724639</v>
      </c>
      <c r="I71" s="40">
        <v>2</v>
      </c>
      <c r="J71" s="20">
        <f>(Table135[[#This Row],[Distance (km)]]*Table135[[#This Row],[Adjusted Fuel Burn (kg/km)]]*Table135[[#This Row],[Fuel Price (USD/kg)]])</f>
        <v>101724.63768115942</v>
      </c>
    </row>
    <row r="72" spans="1:10" ht="20" customHeight="1" x14ac:dyDescent="0.2">
      <c r="A72" s="8" t="s">
        <v>13</v>
      </c>
      <c r="B72" s="11" t="s">
        <v>28</v>
      </c>
      <c r="C72" s="13">
        <v>8000</v>
      </c>
      <c r="D72" s="13">
        <v>13335</v>
      </c>
      <c r="E72" s="13">
        <v>6200</v>
      </c>
      <c r="F72" s="37">
        <f>ROUND((Table135[[#This Row],[Sector (km)]]/Table135[[#This Row],[Range (km)]]),2)</f>
        <v>0.46</v>
      </c>
      <c r="G72" s="34">
        <v>6</v>
      </c>
      <c r="H72" s="39">
        <f>(Table135[[#This Row],[Fuel Burn (kg/km)]])+(_xlfn.XLOOKUP(F72,'Fuel Burn Rates (Sector)'!$A$2:$A$102,'Fuel Burn Rates (Sector)'!$B$2:$B$102))*(Table135[[#This Row],[Fuel Burn (kg/km)]])</f>
        <v>6.0913043478260871</v>
      </c>
      <c r="I72" s="40">
        <v>2</v>
      </c>
      <c r="J72" s="20">
        <f>(Table135[[#This Row],[Distance (km)]]*Table135[[#This Row],[Adjusted Fuel Burn (kg/km)]]*Table135[[#This Row],[Fuel Price (USD/kg)]])</f>
        <v>97460.869565217392</v>
      </c>
    </row>
    <row r="73" spans="1:10" ht="20" customHeight="1" x14ac:dyDescent="0.2">
      <c r="A73" s="8" t="s">
        <v>14</v>
      </c>
      <c r="B73" s="11" t="s">
        <v>28</v>
      </c>
      <c r="C73" s="13">
        <v>8000</v>
      </c>
      <c r="D73" s="13">
        <v>13500</v>
      </c>
      <c r="E73" s="13">
        <v>5600</v>
      </c>
      <c r="F73" s="37">
        <f>ROUND((Table135[[#This Row],[Sector (km)]]/Table135[[#This Row],[Range (km)]]),2)</f>
        <v>0.41</v>
      </c>
      <c r="G73" s="34">
        <v>6.81</v>
      </c>
      <c r="H73" s="39">
        <f>(Table135[[#This Row],[Fuel Burn (kg/km)]])+(_xlfn.XLOOKUP(F73,'Fuel Burn Rates (Sector)'!$A$2:$A$102,'Fuel Burn Rates (Sector)'!$B$2:$B$102))*(Table135[[#This Row],[Fuel Burn (kg/km)]])</f>
        <v>6.8790869565217383</v>
      </c>
      <c r="I73" s="40">
        <v>2</v>
      </c>
      <c r="J73" s="20">
        <f>(Table135[[#This Row],[Distance (km)]]*Table135[[#This Row],[Adjusted Fuel Burn (kg/km)]]*Table135[[#This Row],[Fuel Price (USD/kg)]])</f>
        <v>110065.39130434781</v>
      </c>
    </row>
    <row r="74" spans="1:10" ht="20" customHeight="1" x14ac:dyDescent="0.2">
      <c r="A74" s="8" t="s">
        <v>15</v>
      </c>
      <c r="B74" s="11" t="s">
        <v>28</v>
      </c>
      <c r="C74" s="13">
        <v>8000</v>
      </c>
      <c r="D74" s="13">
        <v>14450</v>
      </c>
      <c r="E74" s="35">
        <v>5600</v>
      </c>
      <c r="F74" s="37">
        <f>ROUND((Table135[[#This Row],[Sector (km)]]/Table135[[#This Row],[Range (km)]]),2)</f>
        <v>0.39</v>
      </c>
      <c r="G74" s="36">
        <f>(G84*1.12)</f>
        <v>8.8256000000000014</v>
      </c>
      <c r="H74" s="39">
        <f>(Table135[[#This Row],[Fuel Burn (kg/km)]])+(_xlfn.XLOOKUP(F74,'Fuel Burn Rates (Sector)'!$A$2:$A$102,'Fuel Burn Rates (Sector)'!$B$2:$B$102))*(Table135[[#This Row],[Fuel Burn (kg/km)]])</f>
        <v>8.8972280579710166</v>
      </c>
      <c r="I74" s="40">
        <v>2</v>
      </c>
      <c r="J74" s="20">
        <f>(Table135[[#This Row],[Distance (km)]]*Table135[[#This Row],[Adjusted Fuel Burn (kg/km)]]*Table135[[#This Row],[Fuel Price (USD/kg)]])</f>
        <v>142355.64892753627</v>
      </c>
    </row>
    <row r="75" spans="1:10" ht="20" customHeight="1" x14ac:dyDescent="0.2">
      <c r="A75" s="8" t="s">
        <v>16</v>
      </c>
      <c r="B75" s="11" t="s">
        <v>28</v>
      </c>
      <c r="C75" s="13">
        <v>8000</v>
      </c>
      <c r="D75" s="13">
        <v>15370</v>
      </c>
      <c r="E75" s="13">
        <v>9208</v>
      </c>
      <c r="F75" s="37">
        <f>ROUND((Table135[[#This Row],[Sector (km)]]/Table135[[#This Row],[Range (km)]]),2)</f>
        <v>0.6</v>
      </c>
      <c r="G75" s="34">
        <v>6.03</v>
      </c>
      <c r="H75" s="39">
        <f>(Table135[[#This Row],[Fuel Burn (kg/km)]])+(_xlfn.XLOOKUP(F75,'Fuel Burn Rates (Sector)'!$A$2:$A$102,'Fuel Burn Rates (Sector)'!$B$2:$B$102))*(Table135[[#This Row],[Fuel Burn (kg/km)]])</f>
        <v>6.2074043478260874</v>
      </c>
      <c r="I75" s="40">
        <v>2</v>
      </c>
      <c r="J75" s="20">
        <f>(Table135[[#This Row],[Distance (km)]]*Table135[[#This Row],[Adjusted Fuel Burn (kg/km)]]*Table135[[#This Row],[Fuel Price (USD/kg)]])</f>
        <v>99318.469565217398</v>
      </c>
    </row>
    <row r="76" spans="1:10" ht="20" customHeight="1" x14ac:dyDescent="0.2">
      <c r="A76" s="8" t="s">
        <v>17</v>
      </c>
      <c r="B76" s="11" t="s">
        <v>28</v>
      </c>
      <c r="C76" s="13">
        <v>8000</v>
      </c>
      <c r="D76" s="13">
        <v>14800</v>
      </c>
      <c r="E76" s="13">
        <v>11000</v>
      </c>
      <c r="F76" s="37">
        <f>ROUND((Table135[[#This Row],[Sector (km)]]/Table135[[#This Row],[Range (km)]]),2)</f>
        <v>0.74</v>
      </c>
      <c r="G76" s="34">
        <v>13.78</v>
      </c>
      <c r="H76" s="39">
        <f>(Table135[[#This Row],[Fuel Burn (kg/km)]])+(_xlfn.XLOOKUP(F76,'Fuel Burn Rates (Sector)'!$A$2:$A$102,'Fuel Burn Rates (Sector)'!$B$2:$B$102))*(Table135[[#This Row],[Fuel Burn (kg/km)]])</f>
        <v>14.381127536231883</v>
      </c>
      <c r="I76" s="40">
        <v>2</v>
      </c>
      <c r="J76" s="20">
        <f>(Table135[[#This Row],[Distance (km)]]*Table135[[#This Row],[Adjusted Fuel Burn (kg/km)]]*Table135[[#This Row],[Fuel Price (USD/kg)]])</f>
        <v>230098.04057971013</v>
      </c>
    </row>
    <row r="77" spans="1:10" ht="20" customHeight="1" x14ac:dyDescent="0.2">
      <c r="A77" s="8" t="s">
        <v>18</v>
      </c>
      <c r="B77" s="11" t="s">
        <v>27</v>
      </c>
      <c r="C77" s="13">
        <v>8000</v>
      </c>
      <c r="D77" s="13">
        <v>6500</v>
      </c>
      <c r="E77" s="13">
        <v>1900</v>
      </c>
      <c r="F77" s="37">
        <f>ROUND((Table135[[#This Row],[Sector (km)]]/Table135[[#This Row],[Range (km)]]),2)</f>
        <v>0.28999999999999998</v>
      </c>
      <c r="G77" s="34">
        <v>2.71</v>
      </c>
      <c r="H77" s="39">
        <f>(Table135[[#This Row],[Fuel Burn (kg/km)]])+(_xlfn.XLOOKUP(F77,'Fuel Burn Rates (Sector)'!$A$2:$A$102,'Fuel Burn Rates (Sector)'!$B$2:$B$102))*(Table135[[#This Row],[Fuel Burn (kg/km)]])</f>
        <v>2.7222387096774194</v>
      </c>
      <c r="I77" s="40">
        <v>2</v>
      </c>
      <c r="J77" s="20">
        <f>(Table135[[#This Row],[Distance (km)]]*Table135[[#This Row],[Adjusted Fuel Burn (kg/km)]]*Table135[[#This Row],[Fuel Price (USD/kg)]])</f>
        <v>43555.819354838713</v>
      </c>
    </row>
    <row r="78" spans="1:10" ht="20" customHeight="1" x14ac:dyDescent="0.2">
      <c r="A78" s="8" t="s">
        <v>19</v>
      </c>
      <c r="B78" s="11" t="s">
        <v>27</v>
      </c>
      <c r="C78" s="13">
        <v>8000</v>
      </c>
      <c r="D78" s="13">
        <v>6100</v>
      </c>
      <c r="E78" s="13">
        <v>1900</v>
      </c>
      <c r="F78" s="37">
        <f>ROUND((Table135[[#This Row],[Sector (km)]]/Table135[[#This Row],[Range (km)]]),2)</f>
        <v>0.31</v>
      </c>
      <c r="G78" s="34">
        <v>2.91</v>
      </c>
      <c r="H78" s="39">
        <f>(Table135[[#This Row],[Fuel Burn (kg/km)]])+(_xlfn.XLOOKUP(F78,'Fuel Burn Rates (Sector)'!$A$2:$A$102,'Fuel Burn Rates (Sector)'!$B$2:$B$102))*(Table135[[#This Row],[Fuel Burn (kg/km)]])</f>
        <v>2.91</v>
      </c>
      <c r="I78" s="40">
        <v>2</v>
      </c>
      <c r="J78" s="20">
        <f>(Table135[[#This Row],[Distance (km)]]*Table135[[#This Row],[Adjusted Fuel Burn (kg/km)]]*Table135[[#This Row],[Fuel Price (USD/kg)]])</f>
        <v>46560</v>
      </c>
    </row>
    <row r="79" spans="1:10" ht="20" customHeight="1" x14ac:dyDescent="0.2">
      <c r="A79" s="8" t="s">
        <v>20</v>
      </c>
      <c r="B79" s="11" t="s">
        <v>27</v>
      </c>
      <c r="C79" s="13">
        <v>8000</v>
      </c>
      <c r="D79" s="13">
        <v>5440</v>
      </c>
      <c r="E79" s="13">
        <v>1900</v>
      </c>
      <c r="F79" s="37">
        <f>ROUND((Table135[[#This Row],[Sector (km)]]/Table135[[#This Row],[Range (km)]]),2)</f>
        <v>0.35</v>
      </c>
      <c r="G79" s="34">
        <v>3.17</v>
      </c>
      <c r="H79" s="39">
        <f>(Table135[[#This Row],[Fuel Burn (kg/km)]])+(_xlfn.XLOOKUP(F79,'Fuel Burn Rates (Sector)'!$A$2:$A$102,'Fuel Burn Rates (Sector)'!$B$2:$B$102))*(Table135[[#This Row],[Fuel Burn (kg/km)]])</f>
        <v>3.1828637681159417</v>
      </c>
      <c r="I79" s="40">
        <v>2</v>
      </c>
      <c r="J79" s="20">
        <f>(Table135[[#This Row],[Distance (km)]]*Table135[[#This Row],[Adjusted Fuel Burn (kg/km)]]*Table135[[#This Row],[Fuel Price (USD/kg)]])</f>
        <v>50925.820289855066</v>
      </c>
    </row>
    <row r="80" spans="1:10" ht="20" customHeight="1" x14ac:dyDescent="0.2">
      <c r="A80" s="8" t="s">
        <v>21</v>
      </c>
      <c r="B80" s="11" t="s">
        <v>27</v>
      </c>
      <c r="C80" s="13">
        <v>8000</v>
      </c>
      <c r="D80" s="13">
        <v>5460</v>
      </c>
      <c r="E80" s="13">
        <v>1900</v>
      </c>
      <c r="F80" s="37">
        <f>ROUND((Table135[[#This Row],[Sector (km)]]/Table135[[#This Row],[Range (km)]]),2)</f>
        <v>0.35</v>
      </c>
      <c r="G80" s="34">
        <v>3.42</v>
      </c>
      <c r="H80" s="39">
        <f>(Table135[[#This Row],[Fuel Burn (kg/km)]])+(_xlfn.XLOOKUP(F80,'Fuel Burn Rates (Sector)'!$A$2:$A$102,'Fuel Burn Rates (Sector)'!$B$2:$B$102))*(Table135[[#This Row],[Fuel Burn (kg/km)]])</f>
        <v>3.433878260869565</v>
      </c>
      <c r="I80" s="40">
        <v>2</v>
      </c>
      <c r="J80" s="20">
        <f>(Table135[[#This Row],[Distance (km)]]*Table135[[#This Row],[Adjusted Fuel Burn (kg/km)]]*Table135[[#This Row],[Fuel Price (USD/kg)]])</f>
        <v>54942.052173913042</v>
      </c>
    </row>
    <row r="81" spans="1:10" ht="20" customHeight="1" x14ac:dyDescent="0.2">
      <c r="A81" s="8" t="s">
        <v>22</v>
      </c>
      <c r="B81" s="11" t="s">
        <v>28</v>
      </c>
      <c r="C81" s="13">
        <v>8000</v>
      </c>
      <c r="D81" s="13">
        <v>14205</v>
      </c>
      <c r="E81" s="13">
        <v>3984</v>
      </c>
      <c r="F81" s="37">
        <f>ROUND((Table135[[#This Row],[Sector (km)]]/Table135[[#This Row],[Range (km)]]),2)</f>
        <v>0.28000000000000003</v>
      </c>
      <c r="G81" s="34">
        <v>10.77</v>
      </c>
      <c r="H81" s="39">
        <f>(Table135[[#This Row],[Fuel Burn (kg/km)]])+(_xlfn.XLOOKUP(F81,'Fuel Burn Rates (Sector)'!$A$2:$A$102,'Fuel Burn Rates (Sector)'!$B$2:$B$102))*(Table135[[#This Row],[Fuel Burn (kg/km)]])</f>
        <v>10.842958064516129</v>
      </c>
      <c r="I81" s="40">
        <v>2</v>
      </c>
      <c r="J81" s="20">
        <f>(Table135[[#This Row],[Distance (km)]]*Table135[[#This Row],[Adjusted Fuel Burn (kg/km)]]*Table135[[#This Row],[Fuel Price (USD/kg)]])</f>
        <v>173487.32903225807</v>
      </c>
    </row>
    <row r="82" spans="1:10" ht="20" customHeight="1" x14ac:dyDescent="0.2">
      <c r="A82" s="8" t="s">
        <v>23</v>
      </c>
      <c r="B82" s="11" t="s">
        <v>28</v>
      </c>
      <c r="C82" s="13">
        <v>8000</v>
      </c>
      <c r="D82" s="13">
        <v>14320</v>
      </c>
      <c r="E82" s="13">
        <v>5600</v>
      </c>
      <c r="F82" s="37">
        <f>ROUND((Table135[[#This Row],[Sector (km)]]/Table135[[#This Row],[Range (km)]]),2)</f>
        <v>0.39</v>
      </c>
      <c r="G82" s="34">
        <v>9.9</v>
      </c>
      <c r="H82" s="39">
        <f>(Table135[[#This Row],[Fuel Burn (kg/km)]])+(_xlfn.XLOOKUP(F82,'Fuel Burn Rates (Sector)'!$A$2:$A$102,'Fuel Burn Rates (Sector)'!$B$2:$B$102))*(Table135[[#This Row],[Fuel Burn (kg/km)]])</f>
        <v>9.9803478260869571</v>
      </c>
      <c r="I82" s="40">
        <v>2</v>
      </c>
      <c r="J82" s="20">
        <f>(Table135[[#This Row],[Distance (km)]]*Table135[[#This Row],[Adjusted Fuel Burn (kg/km)]]*Table135[[#This Row],[Fuel Price (USD/kg)]])</f>
        <v>159685.56521739133</v>
      </c>
    </row>
    <row r="83" spans="1:10" ht="20" customHeight="1" x14ac:dyDescent="0.2">
      <c r="A83" s="8" t="s">
        <v>24</v>
      </c>
      <c r="B83" s="11" t="s">
        <v>28</v>
      </c>
      <c r="C83" s="13">
        <v>8000</v>
      </c>
      <c r="D83" s="13">
        <v>10415</v>
      </c>
      <c r="E83" s="13">
        <v>5600</v>
      </c>
      <c r="F83" s="37">
        <f>ROUND((Table135[[#This Row],[Sector (km)]]/Table135[[#This Row],[Range (km)]]),2)</f>
        <v>0.54</v>
      </c>
      <c r="G83" s="34">
        <v>5.93</v>
      </c>
      <c r="H83" s="39">
        <f>(Table135[[#This Row],[Fuel Burn (kg/km)]])+(_xlfn.XLOOKUP(F83,'Fuel Burn Rates (Sector)'!$A$2:$A$102,'Fuel Burn Rates (Sector)'!$B$2:$B$102))*(Table135[[#This Row],[Fuel Burn (kg/km)]])</f>
        <v>6.068366666666666</v>
      </c>
      <c r="I83" s="40">
        <v>2</v>
      </c>
      <c r="J83" s="20">
        <f>(Table135[[#This Row],[Distance (km)]]*Table135[[#This Row],[Adjusted Fuel Burn (kg/km)]]*Table135[[#This Row],[Fuel Price (USD/kg)]])</f>
        <v>97093.866666666654</v>
      </c>
    </row>
    <row r="84" spans="1:10" ht="20" customHeight="1" x14ac:dyDescent="0.2">
      <c r="A84" s="8" t="s">
        <v>25</v>
      </c>
      <c r="B84" s="11" t="s">
        <v>28</v>
      </c>
      <c r="C84" s="13">
        <v>8000</v>
      </c>
      <c r="D84" s="13">
        <v>13650</v>
      </c>
      <c r="E84" s="13">
        <v>5600</v>
      </c>
      <c r="F84" s="37">
        <f>ROUND((Table135[[#This Row],[Sector (km)]]/Table135[[#This Row],[Range (km)]]),2)</f>
        <v>0.41</v>
      </c>
      <c r="G84" s="34">
        <v>7.88</v>
      </c>
      <c r="H84" s="39">
        <f>(Table135[[#This Row],[Fuel Burn (kg/km)]])+(_xlfn.XLOOKUP(F84,'Fuel Burn Rates (Sector)'!$A$2:$A$102,'Fuel Burn Rates (Sector)'!$B$2:$B$102))*(Table135[[#This Row],[Fuel Burn (kg/km)]])</f>
        <v>7.9599420289855072</v>
      </c>
      <c r="I84" s="40">
        <v>2</v>
      </c>
      <c r="J84" s="20">
        <f>(Table135[[#This Row],[Distance (km)]]*Table135[[#This Row],[Adjusted Fuel Burn (kg/km)]]*Table135[[#This Row],[Fuel Price (USD/kg)]])</f>
        <v>127359.07246376811</v>
      </c>
    </row>
    <row r="85" spans="1:10" ht="20" customHeight="1" x14ac:dyDescent="0.2">
      <c r="A85" s="8" t="s">
        <v>26</v>
      </c>
      <c r="B85" s="11" t="s">
        <v>28</v>
      </c>
      <c r="C85" s="13">
        <v>8000</v>
      </c>
      <c r="D85" s="13">
        <v>14140</v>
      </c>
      <c r="E85" s="13">
        <v>6200</v>
      </c>
      <c r="F85" s="37">
        <f>ROUND((Table135[[#This Row],[Sector (km)]]/Table135[[#This Row],[Range (km)]]),2)</f>
        <v>0.44</v>
      </c>
      <c r="G85" s="34">
        <v>5.77</v>
      </c>
      <c r="H85" s="39">
        <f>(Table135[[#This Row],[Fuel Burn (kg/km)]])+(_xlfn.XLOOKUP(F85,'Fuel Burn Rates (Sector)'!$A$2:$A$102,'Fuel Burn Rates (Sector)'!$B$2:$B$102))*(Table135[[#This Row],[Fuel Burn (kg/km)]])</f>
        <v>5.8460971014492751</v>
      </c>
      <c r="I85" s="40">
        <v>2</v>
      </c>
      <c r="J85" s="20">
        <f>(Table135[[#This Row],[Distance (km)]]*Table135[[#This Row],[Adjusted Fuel Burn (kg/km)]]*Table135[[#This Row],[Fuel Price (USD/kg)]])</f>
        <v>93537.553623188403</v>
      </c>
    </row>
    <row r="86" spans="1:10" ht="20" customHeight="1" x14ac:dyDescent="0.2">
      <c r="A86" s="8" t="s">
        <v>6</v>
      </c>
      <c r="B86" s="11" t="s">
        <v>27</v>
      </c>
      <c r="C86" s="13">
        <v>12000</v>
      </c>
      <c r="D86" s="13">
        <v>6390</v>
      </c>
      <c r="E86" s="13">
        <v>1900</v>
      </c>
      <c r="F86" s="37">
        <f>ROUND((Table135[[#This Row],[Sector (km)]]/Table135[[#This Row],[Range (km)]]),2)</f>
        <v>0.3</v>
      </c>
      <c r="G86" s="34">
        <v>2.2799999999999998</v>
      </c>
      <c r="H86" s="39">
        <f>(Table135[[#This Row],[Fuel Burn (kg/km)]])+(_xlfn.XLOOKUP(F86,'Fuel Burn Rates (Sector)'!$A$2:$A$102,'Fuel Burn Rates (Sector)'!$B$2:$B$102))*(Table135[[#This Row],[Fuel Burn (kg/km)]])</f>
        <v>2.2851483870967741</v>
      </c>
      <c r="I86" s="40">
        <v>2</v>
      </c>
      <c r="J86" s="20">
        <f>(Table135[[#This Row],[Distance (km)]]*Table135[[#This Row],[Adjusted Fuel Burn (kg/km)]]*Table135[[#This Row],[Fuel Price (USD/kg)]])</f>
        <v>54843.561290322577</v>
      </c>
    </row>
    <row r="87" spans="1:10" ht="20" customHeight="1" x14ac:dyDescent="0.2">
      <c r="A87" s="8" t="s">
        <v>7</v>
      </c>
      <c r="B87" s="11" t="s">
        <v>27</v>
      </c>
      <c r="C87" s="13">
        <v>12000</v>
      </c>
      <c r="D87" s="13">
        <v>6700</v>
      </c>
      <c r="E87" s="13">
        <v>1900</v>
      </c>
      <c r="F87" s="37">
        <f>ROUND((Table135[[#This Row],[Sector (km)]]/Table135[[#This Row],[Range (km)]]),2)</f>
        <v>0.28000000000000003</v>
      </c>
      <c r="G87" s="34">
        <v>2.56</v>
      </c>
      <c r="H87" s="39">
        <f>(Table135[[#This Row],[Fuel Burn (kg/km)]])+(_xlfn.XLOOKUP(F87,'Fuel Burn Rates (Sector)'!$A$2:$A$102,'Fuel Burn Rates (Sector)'!$B$2:$B$102))*(Table135[[#This Row],[Fuel Burn (kg/km)]])</f>
        <v>2.5773419354838709</v>
      </c>
      <c r="I87" s="40">
        <v>2</v>
      </c>
      <c r="J87" s="20">
        <f>(Table135[[#This Row],[Distance (km)]]*Table135[[#This Row],[Adjusted Fuel Burn (kg/km)]]*Table135[[#This Row],[Fuel Price (USD/kg)]])</f>
        <v>61856.206451612903</v>
      </c>
    </row>
    <row r="88" spans="1:10" ht="20" customHeight="1" x14ac:dyDescent="0.2">
      <c r="A88" s="8" t="s">
        <v>8</v>
      </c>
      <c r="B88" s="11" t="s">
        <v>27</v>
      </c>
      <c r="C88" s="13">
        <v>12000</v>
      </c>
      <c r="D88" s="13">
        <v>6100</v>
      </c>
      <c r="E88" s="13">
        <v>1900</v>
      </c>
      <c r="F88" s="37">
        <f>ROUND((Table135[[#This Row],[Sector (km)]]/Table135[[#This Row],[Range (km)]]),2)</f>
        <v>0.31</v>
      </c>
      <c r="G88" s="34">
        <v>3.13</v>
      </c>
      <c r="H88" s="39">
        <f>(Table135[[#This Row],[Fuel Burn (kg/km)]])+(_xlfn.XLOOKUP(F88,'Fuel Burn Rates (Sector)'!$A$2:$A$102,'Fuel Burn Rates (Sector)'!$B$2:$B$102))*(Table135[[#This Row],[Fuel Burn (kg/km)]])</f>
        <v>3.13</v>
      </c>
      <c r="I88" s="40">
        <v>2</v>
      </c>
      <c r="J88" s="20">
        <f>(Table135[[#This Row],[Distance (km)]]*Table135[[#This Row],[Adjusted Fuel Burn (kg/km)]]*Table135[[#This Row],[Fuel Price (USD/kg)]])</f>
        <v>75120</v>
      </c>
    </row>
    <row r="89" spans="1:10" ht="20" customHeight="1" x14ac:dyDescent="0.2">
      <c r="A89" s="8" t="s">
        <v>9</v>
      </c>
      <c r="B89" s="11" t="s">
        <v>27</v>
      </c>
      <c r="C89" s="13">
        <v>12000</v>
      </c>
      <c r="D89" s="13">
        <v>6500</v>
      </c>
      <c r="E89" s="13">
        <v>1220</v>
      </c>
      <c r="F89" s="37">
        <f>ROUND((Table135[[#This Row],[Sector (km)]]/Table135[[#This Row],[Range (km)]]),2)</f>
        <v>0.19</v>
      </c>
      <c r="G89" s="34">
        <v>2.79</v>
      </c>
      <c r="H89" s="39">
        <f>(Table135[[#This Row],[Fuel Burn (kg/km)]])+(_xlfn.XLOOKUP(F89,'Fuel Burn Rates (Sector)'!$A$2:$A$102,'Fuel Burn Rates (Sector)'!$B$2:$B$102))*(Table135[[#This Row],[Fuel Burn (kg/km)]])</f>
        <v>2.8656000000000001</v>
      </c>
      <c r="I89" s="40">
        <v>2</v>
      </c>
      <c r="J89" s="20">
        <f>(Table135[[#This Row],[Distance (km)]]*Table135[[#This Row],[Adjusted Fuel Burn (kg/km)]]*Table135[[#This Row],[Fuel Price (USD/kg)]])</f>
        <v>68774.400000000009</v>
      </c>
    </row>
    <row r="90" spans="1:10" ht="20" customHeight="1" x14ac:dyDescent="0.2">
      <c r="A90" s="8" t="s">
        <v>10</v>
      </c>
      <c r="B90" s="11" t="s">
        <v>27</v>
      </c>
      <c r="C90" s="13">
        <v>12000</v>
      </c>
      <c r="D90" s="13">
        <v>5900</v>
      </c>
      <c r="E90" s="13">
        <v>1900</v>
      </c>
      <c r="F90" s="37">
        <f>ROUND((Table135[[#This Row],[Sector (km)]]/Table135[[#This Row],[Range (km)]]),2)</f>
        <v>0.32</v>
      </c>
      <c r="G90" s="34">
        <v>3.61</v>
      </c>
      <c r="H90" s="39">
        <f>(Table135[[#This Row],[Fuel Burn (kg/km)]])+(_xlfn.XLOOKUP(F90,'Fuel Burn Rates (Sector)'!$A$2:$A$102,'Fuel Burn Rates (Sector)'!$B$2:$B$102))*(Table135[[#This Row],[Fuel Burn (kg/km)]])</f>
        <v>3.6136623188405794</v>
      </c>
      <c r="I90" s="40">
        <v>2</v>
      </c>
      <c r="J90" s="20">
        <f>(Table135[[#This Row],[Distance (km)]]*Table135[[#This Row],[Adjusted Fuel Burn (kg/km)]]*Table135[[#This Row],[Fuel Price (USD/kg)]])</f>
        <v>86727.895652173902</v>
      </c>
    </row>
    <row r="91" spans="1:10" ht="20" customHeight="1" x14ac:dyDescent="0.2">
      <c r="A91" s="8" t="s">
        <v>11</v>
      </c>
      <c r="B91" s="11" t="s">
        <v>27</v>
      </c>
      <c r="C91" s="13">
        <v>12000</v>
      </c>
      <c r="D91" s="13">
        <v>6500</v>
      </c>
      <c r="E91" s="13">
        <v>1220</v>
      </c>
      <c r="F91" s="37">
        <f>ROUND((Table135[[#This Row],[Sector (km)]]/Table135[[#This Row],[Range (km)]]),2)</f>
        <v>0.19</v>
      </c>
      <c r="G91" s="34">
        <v>3.3</v>
      </c>
      <c r="H91" s="39">
        <f>(Table135[[#This Row],[Fuel Burn (kg/km)]])+(_xlfn.XLOOKUP(F91,'Fuel Burn Rates (Sector)'!$A$2:$A$102,'Fuel Burn Rates (Sector)'!$B$2:$B$102))*(Table135[[#This Row],[Fuel Burn (kg/km)]])</f>
        <v>3.3894193548387097</v>
      </c>
      <c r="I91" s="40">
        <v>2</v>
      </c>
      <c r="J91" s="20">
        <f>(Table135[[#This Row],[Distance (km)]]*Table135[[#This Row],[Adjusted Fuel Burn (kg/km)]]*Table135[[#This Row],[Fuel Price (USD/kg)]])</f>
        <v>81346.06451612903</v>
      </c>
    </row>
    <row r="92" spans="1:10" ht="20" customHeight="1" x14ac:dyDescent="0.2">
      <c r="A92" s="8" t="s">
        <v>12</v>
      </c>
      <c r="B92" s="11" t="s">
        <v>28</v>
      </c>
      <c r="C92" s="13">
        <v>12000</v>
      </c>
      <c r="D92" s="13">
        <v>11750</v>
      </c>
      <c r="E92" s="13">
        <v>5600</v>
      </c>
      <c r="F92" s="37">
        <f>ROUND((Table135[[#This Row],[Sector (km)]]/Table135[[#This Row],[Range (km)]]),2)</f>
        <v>0.48</v>
      </c>
      <c r="G92" s="34">
        <v>6.25</v>
      </c>
      <c r="H92" s="39">
        <f>(Table135[[#This Row],[Fuel Burn (kg/km)]])+(_xlfn.XLOOKUP(F92,'Fuel Burn Rates (Sector)'!$A$2:$A$102,'Fuel Burn Rates (Sector)'!$B$2:$B$102))*(Table135[[#This Row],[Fuel Burn (kg/km)]])</f>
        <v>6.3577898550724639</v>
      </c>
      <c r="I92" s="40">
        <v>2</v>
      </c>
      <c r="J92" s="20">
        <f>(Table135[[#This Row],[Distance (km)]]*Table135[[#This Row],[Adjusted Fuel Burn (kg/km)]]*Table135[[#This Row],[Fuel Price (USD/kg)]])</f>
        <v>152586.95652173914</v>
      </c>
    </row>
    <row r="93" spans="1:10" ht="20" customHeight="1" x14ac:dyDescent="0.2">
      <c r="A93" s="8" t="s">
        <v>13</v>
      </c>
      <c r="B93" s="11" t="s">
        <v>28</v>
      </c>
      <c r="C93" s="13">
        <v>12000</v>
      </c>
      <c r="D93" s="13">
        <v>13335</v>
      </c>
      <c r="E93" s="13">
        <v>6200</v>
      </c>
      <c r="F93" s="37">
        <f>ROUND((Table135[[#This Row],[Sector (km)]]/Table135[[#This Row],[Range (km)]]),2)</f>
        <v>0.46</v>
      </c>
      <c r="G93" s="34">
        <v>6</v>
      </c>
      <c r="H93" s="39">
        <f>(Table135[[#This Row],[Fuel Burn (kg/km)]])+(_xlfn.XLOOKUP(F93,'Fuel Burn Rates (Sector)'!$A$2:$A$102,'Fuel Burn Rates (Sector)'!$B$2:$B$102))*(Table135[[#This Row],[Fuel Burn (kg/km)]])</f>
        <v>6.0913043478260871</v>
      </c>
      <c r="I93" s="40">
        <v>2</v>
      </c>
      <c r="J93" s="20">
        <f>(Table135[[#This Row],[Distance (km)]]*Table135[[#This Row],[Adjusted Fuel Burn (kg/km)]]*Table135[[#This Row],[Fuel Price (USD/kg)]])</f>
        <v>146191.30434782608</v>
      </c>
    </row>
    <row r="94" spans="1:10" ht="20" customHeight="1" x14ac:dyDescent="0.2">
      <c r="A94" s="8" t="s">
        <v>14</v>
      </c>
      <c r="B94" s="11" t="s">
        <v>28</v>
      </c>
      <c r="C94" s="13">
        <v>12000</v>
      </c>
      <c r="D94" s="13">
        <v>13500</v>
      </c>
      <c r="E94" s="13">
        <v>5600</v>
      </c>
      <c r="F94" s="37">
        <f>ROUND((Table135[[#This Row],[Sector (km)]]/Table135[[#This Row],[Range (km)]]),2)</f>
        <v>0.41</v>
      </c>
      <c r="G94" s="34">
        <v>6.81</v>
      </c>
      <c r="H94" s="39">
        <f>(Table135[[#This Row],[Fuel Burn (kg/km)]])+(_xlfn.XLOOKUP(F94,'Fuel Burn Rates (Sector)'!$A$2:$A$102,'Fuel Burn Rates (Sector)'!$B$2:$B$102))*(Table135[[#This Row],[Fuel Burn (kg/km)]])</f>
        <v>6.8790869565217383</v>
      </c>
      <c r="I94" s="40">
        <v>2</v>
      </c>
      <c r="J94" s="20">
        <f>(Table135[[#This Row],[Distance (km)]]*Table135[[#This Row],[Adjusted Fuel Burn (kg/km)]]*Table135[[#This Row],[Fuel Price (USD/kg)]])</f>
        <v>165098.08695652173</v>
      </c>
    </row>
    <row r="95" spans="1:10" ht="20" customHeight="1" x14ac:dyDescent="0.2">
      <c r="A95" s="8" t="s">
        <v>15</v>
      </c>
      <c r="B95" s="11" t="s">
        <v>28</v>
      </c>
      <c r="C95" s="13">
        <v>12000</v>
      </c>
      <c r="D95" s="13">
        <v>14450</v>
      </c>
      <c r="E95" s="35">
        <v>5600</v>
      </c>
      <c r="F95" s="37">
        <f>ROUND((Table135[[#This Row],[Sector (km)]]/Table135[[#This Row],[Range (km)]]),2)</f>
        <v>0.39</v>
      </c>
      <c r="G95" s="36">
        <f>(G105*1.12)</f>
        <v>8.8256000000000014</v>
      </c>
      <c r="H95" s="39">
        <f>(Table135[[#This Row],[Fuel Burn (kg/km)]])+(_xlfn.XLOOKUP(F95,'Fuel Burn Rates (Sector)'!$A$2:$A$102,'Fuel Burn Rates (Sector)'!$B$2:$B$102))*(Table135[[#This Row],[Fuel Burn (kg/km)]])</f>
        <v>8.8972280579710166</v>
      </c>
      <c r="I95" s="40">
        <v>2</v>
      </c>
      <c r="J95" s="20">
        <f>(Table135[[#This Row],[Distance (km)]]*Table135[[#This Row],[Adjusted Fuel Burn (kg/km)]]*Table135[[#This Row],[Fuel Price (USD/kg)]])</f>
        <v>213533.4733913044</v>
      </c>
    </row>
    <row r="96" spans="1:10" ht="20" customHeight="1" x14ac:dyDescent="0.2">
      <c r="A96" s="8" t="s">
        <v>16</v>
      </c>
      <c r="B96" s="11" t="s">
        <v>28</v>
      </c>
      <c r="C96" s="13">
        <v>12000</v>
      </c>
      <c r="D96" s="13">
        <v>15370</v>
      </c>
      <c r="E96" s="13">
        <v>9208</v>
      </c>
      <c r="F96" s="37">
        <f>ROUND((Table135[[#This Row],[Sector (km)]]/Table135[[#This Row],[Range (km)]]),2)</f>
        <v>0.6</v>
      </c>
      <c r="G96" s="34">
        <v>6.03</v>
      </c>
      <c r="H96" s="39">
        <f>(Table135[[#This Row],[Fuel Burn (kg/km)]])+(_xlfn.XLOOKUP(F96,'Fuel Burn Rates (Sector)'!$A$2:$A$102,'Fuel Burn Rates (Sector)'!$B$2:$B$102))*(Table135[[#This Row],[Fuel Burn (kg/km)]])</f>
        <v>6.2074043478260874</v>
      </c>
      <c r="I96" s="40">
        <v>2</v>
      </c>
      <c r="J96" s="20">
        <f>(Table135[[#This Row],[Distance (km)]]*Table135[[#This Row],[Adjusted Fuel Burn (kg/km)]]*Table135[[#This Row],[Fuel Price (USD/kg)]])</f>
        <v>148977.7043478261</v>
      </c>
    </row>
    <row r="97" spans="1:10" ht="20" customHeight="1" x14ac:dyDescent="0.2">
      <c r="A97" s="8" t="s">
        <v>17</v>
      </c>
      <c r="B97" s="11" t="s">
        <v>28</v>
      </c>
      <c r="C97" s="13">
        <v>12000</v>
      </c>
      <c r="D97" s="13">
        <v>14800</v>
      </c>
      <c r="E97" s="13">
        <v>11000</v>
      </c>
      <c r="F97" s="37">
        <f>ROUND((Table135[[#This Row],[Sector (km)]]/Table135[[#This Row],[Range (km)]]),2)</f>
        <v>0.74</v>
      </c>
      <c r="G97" s="34">
        <v>13.78</v>
      </c>
      <c r="H97" s="39">
        <f>(Table135[[#This Row],[Fuel Burn (kg/km)]])+(_xlfn.XLOOKUP(F97,'Fuel Burn Rates (Sector)'!$A$2:$A$102,'Fuel Burn Rates (Sector)'!$B$2:$B$102))*(Table135[[#This Row],[Fuel Burn (kg/km)]])</f>
        <v>14.381127536231883</v>
      </c>
      <c r="I97" s="40">
        <v>2</v>
      </c>
      <c r="J97" s="20">
        <f>(Table135[[#This Row],[Distance (km)]]*Table135[[#This Row],[Adjusted Fuel Burn (kg/km)]]*Table135[[#This Row],[Fuel Price (USD/kg)]])</f>
        <v>345147.06086956518</v>
      </c>
    </row>
    <row r="98" spans="1:10" ht="20" customHeight="1" x14ac:dyDescent="0.2">
      <c r="A98" s="8" t="s">
        <v>18</v>
      </c>
      <c r="B98" s="11" t="s">
        <v>27</v>
      </c>
      <c r="C98" s="13">
        <v>12000</v>
      </c>
      <c r="D98" s="13">
        <v>6500</v>
      </c>
      <c r="E98" s="13">
        <v>1900</v>
      </c>
      <c r="F98" s="37">
        <f>ROUND((Table135[[#This Row],[Sector (km)]]/Table135[[#This Row],[Range (km)]]),2)</f>
        <v>0.28999999999999998</v>
      </c>
      <c r="G98" s="34">
        <v>2.71</v>
      </c>
      <c r="H98" s="39">
        <f>(Table135[[#This Row],[Fuel Burn (kg/km)]])+(_xlfn.XLOOKUP(F98,'Fuel Burn Rates (Sector)'!$A$2:$A$102,'Fuel Burn Rates (Sector)'!$B$2:$B$102))*(Table135[[#This Row],[Fuel Burn (kg/km)]])</f>
        <v>2.7222387096774194</v>
      </c>
      <c r="I98" s="40">
        <v>2</v>
      </c>
      <c r="J98" s="20">
        <f>(Table135[[#This Row],[Distance (km)]]*Table135[[#This Row],[Adjusted Fuel Burn (kg/km)]]*Table135[[#This Row],[Fuel Price (USD/kg)]])</f>
        <v>65333.729032258067</v>
      </c>
    </row>
    <row r="99" spans="1:10" ht="20" customHeight="1" x14ac:dyDescent="0.2">
      <c r="A99" s="8" t="s">
        <v>19</v>
      </c>
      <c r="B99" s="11" t="s">
        <v>27</v>
      </c>
      <c r="C99" s="13">
        <v>12000</v>
      </c>
      <c r="D99" s="13">
        <v>6100</v>
      </c>
      <c r="E99" s="13">
        <v>1900</v>
      </c>
      <c r="F99" s="37">
        <f>ROUND((Table135[[#This Row],[Sector (km)]]/Table135[[#This Row],[Range (km)]]),2)</f>
        <v>0.31</v>
      </c>
      <c r="G99" s="34">
        <v>2.91</v>
      </c>
      <c r="H99" s="39">
        <f>(Table135[[#This Row],[Fuel Burn (kg/km)]])+(_xlfn.XLOOKUP(F99,'Fuel Burn Rates (Sector)'!$A$2:$A$102,'Fuel Burn Rates (Sector)'!$B$2:$B$102))*(Table135[[#This Row],[Fuel Burn (kg/km)]])</f>
        <v>2.91</v>
      </c>
      <c r="I99" s="40">
        <v>2</v>
      </c>
      <c r="J99" s="20">
        <f>(Table135[[#This Row],[Distance (km)]]*Table135[[#This Row],[Adjusted Fuel Burn (kg/km)]]*Table135[[#This Row],[Fuel Price (USD/kg)]])</f>
        <v>69840</v>
      </c>
    </row>
    <row r="100" spans="1:10" ht="20" customHeight="1" x14ac:dyDescent="0.2">
      <c r="A100" s="8" t="s">
        <v>20</v>
      </c>
      <c r="B100" s="11" t="s">
        <v>27</v>
      </c>
      <c r="C100" s="13">
        <v>12000</v>
      </c>
      <c r="D100" s="13">
        <v>5440</v>
      </c>
      <c r="E100" s="13">
        <v>1900</v>
      </c>
      <c r="F100" s="37">
        <f>ROUND((Table135[[#This Row],[Sector (km)]]/Table135[[#This Row],[Range (km)]]),2)</f>
        <v>0.35</v>
      </c>
      <c r="G100" s="34">
        <v>3.17</v>
      </c>
      <c r="H100" s="39">
        <f>(Table135[[#This Row],[Fuel Burn (kg/km)]])+(_xlfn.XLOOKUP(F100,'Fuel Burn Rates (Sector)'!$A$2:$A$102,'Fuel Burn Rates (Sector)'!$B$2:$B$102))*(Table135[[#This Row],[Fuel Burn (kg/km)]])</f>
        <v>3.1828637681159417</v>
      </c>
      <c r="I100" s="40">
        <v>2</v>
      </c>
      <c r="J100" s="20">
        <f>(Table135[[#This Row],[Distance (km)]]*Table135[[#This Row],[Adjusted Fuel Burn (kg/km)]]*Table135[[#This Row],[Fuel Price (USD/kg)]])</f>
        <v>76388.730434782599</v>
      </c>
    </row>
    <row r="101" spans="1:10" ht="20" customHeight="1" x14ac:dyDescent="0.2">
      <c r="A101" s="8" t="s">
        <v>21</v>
      </c>
      <c r="B101" s="11" t="s">
        <v>27</v>
      </c>
      <c r="C101" s="13">
        <v>12000</v>
      </c>
      <c r="D101" s="13">
        <v>5460</v>
      </c>
      <c r="E101" s="13">
        <v>1900</v>
      </c>
      <c r="F101" s="37">
        <f>ROUND((Table135[[#This Row],[Sector (km)]]/Table135[[#This Row],[Range (km)]]),2)</f>
        <v>0.35</v>
      </c>
      <c r="G101" s="34">
        <v>3.42</v>
      </c>
      <c r="H101" s="39">
        <f>(Table135[[#This Row],[Fuel Burn (kg/km)]])+(_xlfn.XLOOKUP(F101,'Fuel Burn Rates (Sector)'!$A$2:$A$102,'Fuel Burn Rates (Sector)'!$B$2:$B$102))*(Table135[[#This Row],[Fuel Burn (kg/km)]])</f>
        <v>3.433878260869565</v>
      </c>
      <c r="I101" s="40">
        <v>2</v>
      </c>
      <c r="J101" s="20">
        <f>(Table135[[#This Row],[Distance (km)]]*Table135[[#This Row],[Adjusted Fuel Burn (kg/km)]]*Table135[[#This Row],[Fuel Price (USD/kg)]])</f>
        <v>82413.078260869559</v>
      </c>
    </row>
    <row r="102" spans="1:10" ht="20" customHeight="1" x14ac:dyDescent="0.2">
      <c r="A102" s="8" t="s">
        <v>22</v>
      </c>
      <c r="B102" s="11" t="s">
        <v>28</v>
      </c>
      <c r="C102" s="13">
        <v>12000</v>
      </c>
      <c r="D102" s="13">
        <v>14205</v>
      </c>
      <c r="E102" s="13">
        <v>3984</v>
      </c>
      <c r="F102" s="37">
        <f>ROUND((Table135[[#This Row],[Sector (km)]]/Table135[[#This Row],[Range (km)]]),2)</f>
        <v>0.28000000000000003</v>
      </c>
      <c r="G102" s="34">
        <v>10.77</v>
      </c>
      <c r="H102" s="39">
        <f>(Table135[[#This Row],[Fuel Burn (kg/km)]])+(_xlfn.XLOOKUP(F102,'Fuel Burn Rates (Sector)'!$A$2:$A$102,'Fuel Burn Rates (Sector)'!$B$2:$B$102))*(Table135[[#This Row],[Fuel Burn (kg/km)]])</f>
        <v>10.842958064516129</v>
      </c>
      <c r="I102" s="40">
        <v>2</v>
      </c>
      <c r="J102" s="20">
        <f>(Table135[[#This Row],[Distance (km)]]*Table135[[#This Row],[Adjusted Fuel Burn (kg/km)]]*Table135[[#This Row],[Fuel Price (USD/kg)]])</f>
        <v>260230.99354838708</v>
      </c>
    </row>
    <row r="103" spans="1:10" ht="20" customHeight="1" x14ac:dyDescent="0.2">
      <c r="A103" s="8" t="s">
        <v>23</v>
      </c>
      <c r="B103" s="11" t="s">
        <v>28</v>
      </c>
      <c r="C103" s="13">
        <v>12000</v>
      </c>
      <c r="D103" s="13">
        <v>14320</v>
      </c>
      <c r="E103" s="13">
        <v>5600</v>
      </c>
      <c r="F103" s="37">
        <f>ROUND((Table135[[#This Row],[Sector (km)]]/Table135[[#This Row],[Range (km)]]),2)</f>
        <v>0.39</v>
      </c>
      <c r="G103" s="34">
        <v>9.9</v>
      </c>
      <c r="H103" s="39">
        <f>(Table135[[#This Row],[Fuel Burn (kg/km)]])+(_xlfn.XLOOKUP(F103,'Fuel Burn Rates (Sector)'!$A$2:$A$102,'Fuel Burn Rates (Sector)'!$B$2:$B$102))*(Table135[[#This Row],[Fuel Burn (kg/km)]])</f>
        <v>9.9803478260869571</v>
      </c>
      <c r="I103" s="40">
        <v>2</v>
      </c>
      <c r="J103" s="20">
        <f>(Table135[[#This Row],[Distance (km)]]*Table135[[#This Row],[Adjusted Fuel Burn (kg/km)]]*Table135[[#This Row],[Fuel Price (USD/kg)]])</f>
        <v>239528.34782608697</v>
      </c>
    </row>
    <row r="104" spans="1:10" ht="20" customHeight="1" x14ac:dyDescent="0.2">
      <c r="A104" s="8" t="s">
        <v>24</v>
      </c>
      <c r="B104" s="11" t="s">
        <v>28</v>
      </c>
      <c r="C104" s="13">
        <v>12000</v>
      </c>
      <c r="D104" s="13">
        <v>10415</v>
      </c>
      <c r="E104" s="13">
        <v>5600</v>
      </c>
      <c r="F104" s="37">
        <f>ROUND((Table135[[#This Row],[Sector (km)]]/Table135[[#This Row],[Range (km)]]),2)</f>
        <v>0.54</v>
      </c>
      <c r="G104" s="34">
        <v>5.93</v>
      </c>
      <c r="H104" s="39">
        <f>(Table135[[#This Row],[Fuel Burn (kg/km)]])+(_xlfn.XLOOKUP(F104,'Fuel Burn Rates (Sector)'!$A$2:$A$102,'Fuel Burn Rates (Sector)'!$B$2:$B$102))*(Table135[[#This Row],[Fuel Burn (kg/km)]])</f>
        <v>6.068366666666666</v>
      </c>
      <c r="I104" s="40">
        <v>2</v>
      </c>
      <c r="J104" s="20">
        <f>(Table135[[#This Row],[Distance (km)]]*Table135[[#This Row],[Adjusted Fuel Burn (kg/km)]]*Table135[[#This Row],[Fuel Price (USD/kg)]])</f>
        <v>145640.79999999999</v>
      </c>
    </row>
    <row r="105" spans="1:10" ht="20" customHeight="1" x14ac:dyDescent="0.2">
      <c r="A105" s="8" t="s">
        <v>25</v>
      </c>
      <c r="B105" s="11" t="s">
        <v>28</v>
      </c>
      <c r="C105" s="13">
        <v>12000</v>
      </c>
      <c r="D105" s="13">
        <v>13650</v>
      </c>
      <c r="E105" s="13">
        <v>5600</v>
      </c>
      <c r="F105" s="37">
        <f>ROUND((Table135[[#This Row],[Sector (km)]]/Table135[[#This Row],[Range (km)]]),2)</f>
        <v>0.41</v>
      </c>
      <c r="G105" s="34">
        <v>7.88</v>
      </c>
      <c r="H105" s="39">
        <f>(Table135[[#This Row],[Fuel Burn (kg/km)]])+(_xlfn.XLOOKUP(F105,'Fuel Burn Rates (Sector)'!$A$2:$A$102,'Fuel Burn Rates (Sector)'!$B$2:$B$102))*(Table135[[#This Row],[Fuel Burn (kg/km)]])</f>
        <v>7.9599420289855072</v>
      </c>
      <c r="I105" s="40">
        <v>2</v>
      </c>
      <c r="J105" s="20">
        <f>(Table135[[#This Row],[Distance (km)]]*Table135[[#This Row],[Adjusted Fuel Burn (kg/km)]]*Table135[[#This Row],[Fuel Price (USD/kg)]])</f>
        <v>191038.60869565216</v>
      </c>
    </row>
    <row r="106" spans="1:10" ht="20" customHeight="1" thickBot="1" x14ac:dyDescent="0.25">
      <c r="A106" s="9" t="s">
        <v>26</v>
      </c>
      <c r="B106" s="12" t="s">
        <v>28</v>
      </c>
      <c r="C106" s="3">
        <v>12000</v>
      </c>
      <c r="D106" s="3">
        <v>14140</v>
      </c>
      <c r="E106" s="3">
        <v>6200</v>
      </c>
      <c r="F106" s="38">
        <f>ROUND((Table135[[#This Row],[Sector (km)]]/Table135[[#This Row],[Range (km)]]),2)</f>
        <v>0.44</v>
      </c>
      <c r="G106" s="26">
        <v>5.77</v>
      </c>
      <c r="H106" s="42">
        <f>(Table135[[#This Row],[Fuel Burn (kg/km)]])+(_xlfn.XLOOKUP(F106,'Fuel Burn Rates (Sector)'!$A$2:$A$102,'Fuel Burn Rates (Sector)'!$B$2:$B$102))*(Table135[[#This Row],[Fuel Burn (kg/km)]])</f>
        <v>5.8460971014492751</v>
      </c>
      <c r="I106" s="15">
        <v>2</v>
      </c>
      <c r="J106" s="21">
        <f>(Table135[[#This Row],[Distance (km)]]*Table135[[#This Row],[Adjusted Fuel Burn (kg/km)]]*Table135[[#This Row],[Fuel Price (USD/kg)]])</f>
        <v>140306.33043478261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A759-0EDF-C444-912C-E04CC2DC1538}">
  <dimension ref="A1:F106"/>
  <sheetViews>
    <sheetView topLeftCell="A17" zoomScaleNormal="50" workbookViewId="0">
      <selection activeCell="A51" sqref="A51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6" ht="20" customHeight="1" thickBot="1" x14ac:dyDescent="0.25">
      <c r="A1" s="4" t="s">
        <v>0</v>
      </c>
      <c r="B1" s="5" t="s">
        <v>29</v>
      </c>
      <c r="C1" s="5" t="s">
        <v>4</v>
      </c>
      <c r="D1" s="5" t="s">
        <v>30</v>
      </c>
      <c r="E1" s="5" t="s">
        <v>31</v>
      </c>
      <c r="F1" s="5" t="s">
        <v>32</v>
      </c>
    </row>
    <row r="2" spans="1:6" ht="20" customHeight="1" x14ac:dyDescent="0.2">
      <c r="A2" s="7" t="s">
        <v>6</v>
      </c>
      <c r="B2" s="10" t="s">
        <v>27</v>
      </c>
      <c r="C2" s="2">
        <v>500</v>
      </c>
      <c r="D2" s="22">
        <f>(Table13[[#This Row],[Distance (km)]]/1000)</f>
        <v>0.5</v>
      </c>
      <c r="E2" s="16">
        <f>IF(Table13[[#This Row],[Aircraft Size]]="Narrow-Body",1000,2000)</f>
        <v>1000</v>
      </c>
      <c r="F2" s="19">
        <f>(Table13[[#This Row],[Blocks (Time)]]*Table13[[#This Row],[Crew Rate (USD)]])</f>
        <v>500</v>
      </c>
    </row>
    <row r="3" spans="1:6" ht="20" customHeight="1" x14ac:dyDescent="0.2">
      <c r="A3" s="8" t="s">
        <v>7</v>
      </c>
      <c r="B3" s="11" t="s">
        <v>27</v>
      </c>
      <c r="C3" s="13">
        <v>500</v>
      </c>
      <c r="D3" s="23">
        <f>(Table13[[#This Row],[Distance (km)]]/1000)</f>
        <v>0.5</v>
      </c>
      <c r="E3" s="17">
        <f>IF(Table13[[#This Row],[Aircraft Size]]="Narrow-Body",1000,2000)</f>
        <v>1000</v>
      </c>
      <c r="F3" s="20">
        <f>(Table13[[#This Row],[Blocks (Time)]]*Table13[[#This Row],[Crew Rate (USD)]])</f>
        <v>500</v>
      </c>
    </row>
    <row r="4" spans="1:6" ht="20" customHeight="1" x14ac:dyDescent="0.2">
      <c r="A4" s="8" t="s">
        <v>8</v>
      </c>
      <c r="B4" s="11" t="s">
        <v>27</v>
      </c>
      <c r="C4" s="13">
        <v>500</v>
      </c>
      <c r="D4" s="23">
        <f>(Table13[[#This Row],[Distance (km)]]/1000)</f>
        <v>0.5</v>
      </c>
      <c r="E4" s="17">
        <f>IF(Table13[[#This Row],[Aircraft Size]]="Narrow-Body",1000,2000)</f>
        <v>1000</v>
      </c>
      <c r="F4" s="20">
        <f>(Table13[[#This Row],[Blocks (Time)]]*Table13[[#This Row],[Crew Rate (USD)]])</f>
        <v>500</v>
      </c>
    </row>
    <row r="5" spans="1:6" ht="20" customHeight="1" x14ac:dyDescent="0.2">
      <c r="A5" s="8" t="s">
        <v>9</v>
      </c>
      <c r="B5" s="11" t="s">
        <v>27</v>
      </c>
      <c r="C5" s="13">
        <v>500</v>
      </c>
      <c r="D5" s="23">
        <f>(Table13[[#This Row],[Distance (km)]]/1000)</f>
        <v>0.5</v>
      </c>
      <c r="E5" s="17">
        <f>IF(Table13[[#This Row],[Aircraft Size]]="Narrow-Body",1000,2000)</f>
        <v>1000</v>
      </c>
      <c r="F5" s="20">
        <f>(Table13[[#This Row],[Blocks (Time)]]*Table13[[#This Row],[Crew Rate (USD)]])</f>
        <v>500</v>
      </c>
    </row>
    <row r="6" spans="1:6" ht="20" customHeight="1" x14ac:dyDescent="0.2">
      <c r="A6" s="8" t="s">
        <v>10</v>
      </c>
      <c r="B6" s="11" t="s">
        <v>27</v>
      </c>
      <c r="C6" s="13">
        <v>500</v>
      </c>
      <c r="D6" s="23">
        <f>(Table13[[#This Row],[Distance (km)]]/1000)</f>
        <v>0.5</v>
      </c>
      <c r="E6" s="17">
        <f>IF(Table13[[#This Row],[Aircraft Size]]="Narrow-Body",1000,2000)</f>
        <v>1000</v>
      </c>
      <c r="F6" s="20">
        <f>(Table13[[#This Row],[Blocks (Time)]]*Table13[[#This Row],[Crew Rate (USD)]])</f>
        <v>500</v>
      </c>
    </row>
    <row r="7" spans="1:6" ht="20" customHeight="1" x14ac:dyDescent="0.2">
      <c r="A7" s="8" t="s">
        <v>11</v>
      </c>
      <c r="B7" s="11" t="s">
        <v>27</v>
      </c>
      <c r="C7" s="13">
        <v>500</v>
      </c>
      <c r="D7" s="23">
        <f>(Table13[[#This Row],[Distance (km)]]/1000)</f>
        <v>0.5</v>
      </c>
      <c r="E7" s="17">
        <f>IF(Table13[[#This Row],[Aircraft Size]]="Narrow-Body",1000,2000)</f>
        <v>1000</v>
      </c>
      <c r="F7" s="20">
        <f>(Table13[[#This Row],[Blocks (Time)]]*Table13[[#This Row],[Crew Rate (USD)]])</f>
        <v>500</v>
      </c>
    </row>
    <row r="8" spans="1:6" ht="20" customHeight="1" x14ac:dyDescent="0.2">
      <c r="A8" s="8" t="s">
        <v>12</v>
      </c>
      <c r="B8" s="11" t="s">
        <v>28</v>
      </c>
      <c r="C8" s="13">
        <v>500</v>
      </c>
      <c r="D8" s="23">
        <f>(Table13[[#This Row],[Distance (km)]]/1000)</f>
        <v>0.5</v>
      </c>
      <c r="E8" s="17">
        <f>IF(Table13[[#This Row],[Aircraft Size]]="Narrow-Body",1000,2000)</f>
        <v>2000</v>
      </c>
      <c r="F8" s="20">
        <f>(Table13[[#This Row],[Blocks (Time)]]*Table13[[#This Row],[Crew Rate (USD)]])</f>
        <v>1000</v>
      </c>
    </row>
    <row r="9" spans="1:6" ht="20" customHeight="1" x14ac:dyDescent="0.2">
      <c r="A9" s="8" t="s">
        <v>13</v>
      </c>
      <c r="B9" s="11" t="s">
        <v>28</v>
      </c>
      <c r="C9" s="13">
        <v>500</v>
      </c>
      <c r="D9" s="23">
        <f>(Table13[[#This Row],[Distance (km)]]/1000)</f>
        <v>0.5</v>
      </c>
      <c r="E9" s="17">
        <f>IF(Table13[[#This Row],[Aircraft Size]]="Narrow-Body",1000,2000)</f>
        <v>2000</v>
      </c>
      <c r="F9" s="20">
        <f>(Table13[[#This Row],[Blocks (Time)]]*Table13[[#This Row],[Crew Rate (USD)]])</f>
        <v>1000</v>
      </c>
    </row>
    <row r="10" spans="1:6" ht="20" customHeight="1" x14ac:dyDescent="0.2">
      <c r="A10" s="8" t="s">
        <v>14</v>
      </c>
      <c r="B10" s="11" t="s">
        <v>28</v>
      </c>
      <c r="C10" s="13">
        <v>500</v>
      </c>
      <c r="D10" s="23">
        <f>(Table13[[#This Row],[Distance (km)]]/1000)</f>
        <v>0.5</v>
      </c>
      <c r="E10" s="17">
        <f>IF(Table13[[#This Row],[Aircraft Size]]="Narrow-Body",1000,2000)</f>
        <v>2000</v>
      </c>
      <c r="F10" s="20">
        <f>(Table13[[#This Row],[Blocks (Time)]]*Table13[[#This Row],[Crew Rate (USD)]])</f>
        <v>1000</v>
      </c>
    </row>
    <row r="11" spans="1:6" ht="20" customHeight="1" x14ac:dyDescent="0.2">
      <c r="A11" s="8" t="s">
        <v>15</v>
      </c>
      <c r="B11" s="11" t="s">
        <v>28</v>
      </c>
      <c r="C11" s="13">
        <v>500</v>
      </c>
      <c r="D11" s="23">
        <f>(Table13[[#This Row],[Distance (km)]]/1000)</f>
        <v>0.5</v>
      </c>
      <c r="E11" s="17">
        <f>IF(Table13[[#This Row],[Aircraft Size]]="Narrow-Body",1000,2000)</f>
        <v>2000</v>
      </c>
      <c r="F11" s="20">
        <f>(Table13[[#This Row],[Blocks (Time)]]*Table13[[#This Row],[Crew Rate (USD)]])</f>
        <v>1000</v>
      </c>
    </row>
    <row r="12" spans="1:6" ht="20" customHeight="1" x14ac:dyDescent="0.2">
      <c r="A12" s="8" t="s">
        <v>16</v>
      </c>
      <c r="B12" s="11" t="s">
        <v>28</v>
      </c>
      <c r="C12" s="13">
        <v>500</v>
      </c>
      <c r="D12" s="23">
        <f>(Table13[[#This Row],[Distance (km)]]/1000)</f>
        <v>0.5</v>
      </c>
      <c r="E12" s="17">
        <f>IF(Table13[[#This Row],[Aircraft Size]]="Narrow-Body",1000,2000)</f>
        <v>2000</v>
      </c>
      <c r="F12" s="20">
        <f>(Table13[[#This Row],[Blocks (Time)]]*Table13[[#This Row],[Crew Rate (USD)]])</f>
        <v>1000</v>
      </c>
    </row>
    <row r="13" spans="1:6" ht="20" customHeight="1" x14ac:dyDescent="0.2">
      <c r="A13" s="8" t="s">
        <v>17</v>
      </c>
      <c r="B13" s="11" t="s">
        <v>28</v>
      </c>
      <c r="C13" s="13">
        <v>500</v>
      </c>
      <c r="D13" s="23">
        <f>(Table13[[#This Row],[Distance (km)]]/1000)</f>
        <v>0.5</v>
      </c>
      <c r="E13" s="17">
        <f>IF(Table13[[#This Row],[Aircraft Size]]="Narrow-Body",1000,2000)</f>
        <v>2000</v>
      </c>
      <c r="F13" s="20">
        <f>(Table13[[#This Row],[Blocks (Time)]]*Table13[[#This Row],[Crew Rate (USD)]])</f>
        <v>1000</v>
      </c>
    </row>
    <row r="14" spans="1:6" ht="20" customHeight="1" x14ac:dyDescent="0.2">
      <c r="A14" s="8" t="s">
        <v>18</v>
      </c>
      <c r="B14" s="11" t="s">
        <v>27</v>
      </c>
      <c r="C14" s="13">
        <v>500</v>
      </c>
      <c r="D14" s="23">
        <f>(Table13[[#This Row],[Distance (km)]]/1000)</f>
        <v>0.5</v>
      </c>
      <c r="E14" s="17">
        <f>IF(Table13[[#This Row],[Aircraft Size]]="Narrow-Body",1000,2000)</f>
        <v>1000</v>
      </c>
      <c r="F14" s="20">
        <f>(Table13[[#This Row],[Blocks (Time)]]*Table13[[#This Row],[Crew Rate (USD)]])</f>
        <v>500</v>
      </c>
    </row>
    <row r="15" spans="1:6" ht="20" customHeight="1" x14ac:dyDescent="0.2">
      <c r="A15" s="8" t="s">
        <v>19</v>
      </c>
      <c r="B15" s="11" t="s">
        <v>27</v>
      </c>
      <c r="C15" s="13">
        <v>500</v>
      </c>
      <c r="D15" s="23">
        <f>(Table13[[#This Row],[Distance (km)]]/1000)</f>
        <v>0.5</v>
      </c>
      <c r="E15" s="17">
        <f>IF(Table13[[#This Row],[Aircraft Size]]="Narrow-Body",1000,2000)</f>
        <v>1000</v>
      </c>
      <c r="F15" s="20">
        <f>(Table13[[#This Row],[Blocks (Time)]]*Table13[[#This Row],[Crew Rate (USD)]])</f>
        <v>500</v>
      </c>
    </row>
    <row r="16" spans="1:6" ht="20" customHeight="1" x14ac:dyDescent="0.2">
      <c r="A16" s="8" t="s">
        <v>20</v>
      </c>
      <c r="B16" s="11" t="s">
        <v>27</v>
      </c>
      <c r="C16" s="13">
        <v>500</v>
      </c>
      <c r="D16" s="23">
        <f>(Table13[[#This Row],[Distance (km)]]/1000)</f>
        <v>0.5</v>
      </c>
      <c r="E16" s="17">
        <f>IF(Table13[[#This Row],[Aircraft Size]]="Narrow-Body",1000,2000)</f>
        <v>1000</v>
      </c>
      <c r="F16" s="20">
        <f>(Table13[[#This Row],[Blocks (Time)]]*Table13[[#This Row],[Crew Rate (USD)]])</f>
        <v>500</v>
      </c>
    </row>
    <row r="17" spans="1:6" ht="20" customHeight="1" x14ac:dyDescent="0.2">
      <c r="A17" s="8" t="s">
        <v>21</v>
      </c>
      <c r="B17" s="11" t="s">
        <v>27</v>
      </c>
      <c r="C17" s="13">
        <v>500</v>
      </c>
      <c r="D17" s="23">
        <f>(Table13[[#This Row],[Distance (km)]]/1000)</f>
        <v>0.5</v>
      </c>
      <c r="E17" s="17">
        <f>IF(Table13[[#This Row],[Aircraft Size]]="Narrow-Body",1000,2000)</f>
        <v>1000</v>
      </c>
      <c r="F17" s="20">
        <f>(Table13[[#This Row],[Blocks (Time)]]*Table13[[#This Row],[Crew Rate (USD)]])</f>
        <v>500</v>
      </c>
    </row>
    <row r="18" spans="1:6" ht="20" customHeight="1" x14ac:dyDescent="0.2">
      <c r="A18" s="8" t="s">
        <v>22</v>
      </c>
      <c r="B18" s="11" t="s">
        <v>28</v>
      </c>
      <c r="C18" s="13">
        <v>500</v>
      </c>
      <c r="D18" s="23">
        <f>(Table13[[#This Row],[Distance (km)]]/1000)</f>
        <v>0.5</v>
      </c>
      <c r="E18" s="17">
        <f>IF(Table13[[#This Row],[Aircraft Size]]="Narrow-Body",1000,2000)</f>
        <v>2000</v>
      </c>
      <c r="F18" s="20">
        <f>(Table13[[#This Row],[Blocks (Time)]]*Table13[[#This Row],[Crew Rate (USD)]])</f>
        <v>1000</v>
      </c>
    </row>
    <row r="19" spans="1:6" ht="20" customHeight="1" x14ac:dyDescent="0.2">
      <c r="A19" s="8" t="s">
        <v>23</v>
      </c>
      <c r="B19" s="11" t="s">
        <v>28</v>
      </c>
      <c r="C19" s="13">
        <v>500</v>
      </c>
      <c r="D19" s="23">
        <f>(Table13[[#This Row],[Distance (km)]]/1000)</f>
        <v>0.5</v>
      </c>
      <c r="E19" s="17">
        <f>IF(Table13[[#This Row],[Aircraft Size]]="Narrow-Body",1000,2000)</f>
        <v>2000</v>
      </c>
      <c r="F19" s="20">
        <f>(Table13[[#This Row],[Blocks (Time)]]*Table13[[#This Row],[Crew Rate (USD)]])</f>
        <v>1000</v>
      </c>
    </row>
    <row r="20" spans="1:6" ht="20" customHeight="1" x14ac:dyDescent="0.2">
      <c r="A20" s="8" t="s">
        <v>24</v>
      </c>
      <c r="B20" s="11" t="s">
        <v>28</v>
      </c>
      <c r="C20" s="13">
        <v>500</v>
      </c>
      <c r="D20" s="23">
        <f>(Table13[[#This Row],[Distance (km)]]/1000)</f>
        <v>0.5</v>
      </c>
      <c r="E20" s="17">
        <f>IF(Table13[[#This Row],[Aircraft Size]]="Narrow-Body",1000,2000)</f>
        <v>2000</v>
      </c>
      <c r="F20" s="20">
        <f>(Table13[[#This Row],[Blocks (Time)]]*Table13[[#This Row],[Crew Rate (USD)]])</f>
        <v>1000</v>
      </c>
    </row>
    <row r="21" spans="1:6" ht="20" customHeight="1" x14ac:dyDescent="0.2">
      <c r="A21" s="8" t="s">
        <v>25</v>
      </c>
      <c r="B21" s="11" t="s">
        <v>28</v>
      </c>
      <c r="C21" s="13">
        <v>500</v>
      </c>
      <c r="D21" s="23">
        <f>(Table13[[#This Row],[Distance (km)]]/1000)</f>
        <v>0.5</v>
      </c>
      <c r="E21" s="17">
        <f>IF(Table13[[#This Row],[Aircraft Size]]="Narrow-Body",1000,2000)</f>
        <v>2000</v>
      </c>
      <c r="F21" s="20">
        <f>(Table13[[#This Row],[Blocks (Time)]]*Table13[[#This Row],[Crew Rate (USD)]])</f>
        <v>1000</v>
      </c>
    </row>
    <row r="22" spans="1:6" ht="20" customHeight="1" x14ac:dyDescent="0.2">
      <c r="A22" s="8" t="s">
        <v>26</v>
      </c>
      <c r="B22" s="11" t="s">
        <v>28</v>
      </c>
      <c r="C22" s="13">
        <v>500</v>
      </c>
      <c r="D22" s="23">
        <f>(Table13[[#This Row],[Distance (km)]]/1000)</f>
        <v>0.5</v>
      </c>
      <c r="E22" s="17">
        <f>IF(Table13[[#This Row],[Aircraft Size]]="Narrow-Body",1000,2000)</f>
        <v>2000</v>
      </c>
      <c r="F22" s="20">
        <f>(Table13[[#This Row],[Blocks (Time)]]*Table13[[#This Row],[Crew Rate (USD)]])</f>
        <v>1000</v>
      </c>
    </row>
    <row r="23" spans="1:6" ht="20" customHeight="1" x14ac:dyDescent="0.2">
      <c r="A23" s="8" t="s">
        <v>6</v>
      </c>
      <c r="B23" s="11" t="s">
        <v>27</v>
      </c>
      <c r="C23" s="13">
        <v>1500</v>
      </c>
      <c r="D23" s="23">
        <f>(Table13[[#This Row],[Distance (km)]]/1000)</f>
        <v>1.5</v>
      </c>
      <c r="E23" s="17">
        <f>IF(Table13[[#This Row],[Aircraft Size]]="Narrow-Body",1000,2000)</f>
        <v>1000</v>
      </c>
      <c r="F23" s="20">
        <f>(Table13[[#This Row],[Blocks (Time)]]*Table13[[#This Row],[Crew Rate (USD)]])</f>
        <v>1500</v>
      </c>
    </row>
    <row r="24" spans="1:6" ht="20" customHeight="1" x14ac:dyDescent="0.2">
      <c r="A24" s="8" t="s">
        <v>7</v>
      </c>
      <c r="B24" s="11" t="s">
        <v>27</v>
      </c>
      <c r="C24" s="13">
        <v>1500</v>
      </c>
      <c r="D24" s="23">
        <f>(Table13[[#This Row],[Distance (km)]]/1000)</f>
        <v>1.5</v>
      </c>
      <c r="E24" s="17">
        <f>IF(Table13[[#This Row],[Aircraft Size]]="Narrow-Body",1000,2000)</f>
        <v>1000</v>
      </c>
      <c r="F24" s="20">
        <f>(Table13[[#This Row],[Blocks (Time)]]*Table13[[#This Row],[Crew Rate (USD)]])</f>
        <v>1500</v>
      </c>
    </row>
    <row r="25" spans="1:6" ht="20" customHeight="1" x14ac:dyDescent="0.2">
      <c r="A25" s="8" t="s">
        <v>8</v>
      </c>
      <c r="B25" s="11" t="s">
        <v>27</v>
      </c>
      <c r="C25" s="13">
        <v>1500</v>
      </c>
      <c r="D25" s="23">
        <f>(Table13[[#This Row],[Distance (km)]]/1000)</f>
        <v>1.5</v>
      </c>
      <c r="E25" s="17">
        <f>IF(Table13[[#This Row],[Aircraft Size]]="Narrow-Body",1000,2000)</f>
        <v>1000</v>
      </c>
      <c r="F25" s="20">
        <f>(Table13[[#This Row],[Blocks (Time)]]*Table13[[#This Row],[Crew Rate (USD)]])</f>
        <v>1500</v>
      </c>
    </row>
    <row r="26" spans="1:6" ht="20" customHeight="1" x14ac:dyDescent="0.2">
      <c r="A26" s="8" t="s">
        <v>9</v>
      </c>
      <c r="B26" s="11" t="s">
        <v>27</v>
      </c>
      <c r="C26" s="13">
        <v>1500</v>
      </c>
      <c r="D26" s="23">
        <f>(Table13[[#This Row],[Distance (km)]]/1000)</f>
        <v>1.5</v>
      </c>
      <c r="E26" s="17">
        <f>IF(Table13[[#This Row],[Aircraft Size]]="Narrow-Body",1000,2000)</f>
        <v>1000</v>
      </c>
      <c r="F26" s="20">
        <f>(Table13[[#This Row],[Blocks (Time)]]*Table13[[#This Row],[Crew Rate (USD)]])</f>
        <v>1500</v>
      </c>
    </row>
    <row r="27" spans="1:6" ht="20" customHeight="1" x14ac:dyDescent="0.2">
      <c r="A27" s="8" t="s">
        <v>10</v>
      </c>
      <c r="B27" s="11" t="s">
        <v>27</v>
      </c>
      <c r="C27" s="13">
        <v>1500</v>
      </c>
      <c r="D27" s="23">
        <f>(Table13[[#This Row],[Distance (km)]]/1000)</f>
        <v>1.5</v>
      </c>
      <c r="E27" s="17">
        <f>IF(Table13[[#This Row],[Aircraft Size]]="Narrow-Body",1000,2000)</f>
        <v>1000</v>
      </c>
      <c r="F27" s="20">
        <f>(Table13[[#This Row],[Blocks (Time)]]*Table13[[#This Row],[Crew Rate (USD)]])</f>
        <v>1500</v>
      </c>
    </row>
    <row r="28" spans="1:6" ht="20" customHeight="1" x14ac:dyDescent="0.2">
      <c r="A28" s="8" t="s">
        <v>11</v>
      </c>
      <c r="B28" s="11" t="s">
        <v>27</v>
      </c>
      <c r="C28" s="13">
        <v>1500</v>
      </c>
      <c r="D28" s="23">
        <f>(Table13[[#This Row],[Distance (km)]]/1000)</f>
        <v>1.5</v>
      </c>
      <c r="E28" s="17">
        <f>IF(Table13[[#This Row],[Aircraft Size]]="Narrow-Body",1000,2000)</f>
        <v>1000</v>
      </c>
      <c r="F28" s="20">
        <f>(Table13[[#This Row],[Blocks (Time)]]*Table13[[#This Row],[Crew Rate (USD)]])</f>
        <v>1500</v>
      </c>
    </row>
    <row r="29" spans="1:6" ht="20" customHeight="1" x14ac:dyDescent="0.2">
      <c r="A29" s="8" t="s">
        <v>12</v>
      </c>
      <c r="B29" s="11" t="s">
        <v>28</v>
      </c>
      <c r="C29" s="13">
        <v>1500</v>
      </c>
      <c r="D29" s="23">
        <f>(Table13[[#This Row],[Distance (km)]]/1000)</f>
        <v>1.5</v>
      </c>
      <c r="E29" s="17">
        <f>IF(Table13[[#This Row],[Aircraft Size]]="Narrow-Body",1000,2000)</f>
        <v>2000</v>
      </c>
      <c r="F29" s="20">
        <f>(Table13[[#This Row],[Blocks (Time)]]*Table13[[#This Row],[Crew Rate (USD)]])</f>
        <v>3000</v>
      </c>
    </row>
    <row r="30" spans="1:6" ht="20" customHeight="1" x14ac:dyDescent="0.2">
      <c r="A30" s="8" t="s">
        <v>13</v>
      </c>
      <c r="B30" s="11" t="s">
        <v>28</v>
      </c>
      <c r="C30" s="13">
        <v>1500</v>
      </c>
      <c r="D30" s="23">
        <f>(Table13[[#This Row],[Distance (km)]]/1000)</f>
        <v>1.5</v>
      </c>
      <c r="E30" s="17">
        <f>IF(Table13[[#This Row],[Aircraft Size]]="Narrow-Body",1000,2000)</f>
        <v>2000</v>
      </c>
      <c r="F30" s="20">
        <f>(Table13[[#This Row],[Blocks (Time)]]*Table13[[#This Row],[Crew Rate (USD)]])</f>
        <v>3000</v>
      </c>
    </row>
    <row r="31" spans="1:6" ht="20" customHeight="1" x14ac:dyDescent="0.2">
      <c r="A31" s="8" t="s">
        <v>14</v>
      </c>
      <c r="B31" s="11" t="s">
        <v>28</v>
      </c>
      <c r="C31" s="13">
        <v>1500</v>
      </c>
      <c r="D31" s="23">
        <f>(Table13[[#This Row],[Distance (km)]]/1000)</f>
        <v>1.5</v>
      </c>
      <c r="E31" s="17">
        <f>IF(Table13[[#This Row],[Aircraft Size]]="Narrow-Body",1000,2000)</f>
        <v>2000</v>
      </c>
      <c r="F31" s="20">
        <f>(Table13[[#This Row],[Blocks (Time)]]*Table13[[#This Row],[Crew Rate (USD)]])</f>
        <v>3000</v>
      </c>
    </row>
    <row r="32" spans="1:6" ht="20" customHeight="1" x14ac:dyDescent="0.2">
      <c r="A32" s="8" t="s">
        <v>15</v>
      </c>
      <c r="B32" s="11" t="s">
        <v>28</v>
      </c>
      <c r="C32" s="13">
        <v>1500</v>
      </c>
      <c r="D32" s="23">
        <f>(Table13[[#This Row],[Distance (km)]]/1000)</f>
        <v>1.5</v>
      </c>
      <c r="E32" s="17">
        <f>IF(Table13[[#This Row],[Aircraft Size]]="Narrow-Body",1000,2000)</f>
        <v>2000</v>
      </c>
      <c r="F32" s="20">
        <f>(Table13[[#This Row],[Blocks (Time)]]*Table13[[#This Row],[Crew Rate (USD)]])</f>
        <v>3000</v>
      </c>
    </row>
    <row r="33" spans="1:6" ht="20" customHeight="1" x14ac:dyDescent="0.2">
      <c r="A33" s="8" t="s">
        <v>16</v>
      </c>
      <c r="B33" s="11" t="s">
        <v>28</v>
      </c>
      <c r="C33" s="13">
        <v>1500</v>
      </c>
      <c r="D33" s="23">
        <f>(Table13[[#This Row],[Distance (km)]]/1000)</f>
        <v>1.5</v>
      </c>
      <c r="E33" s="17">
        <f>IF(Table13[[#This Row],[Aircraft Size]]="Narrow-Body",1000,2000)</f>
        <v>2000</v>
      </c>
      <c r="F33" s="20">
        <f>(Table13[[#This Row],[Blocks (Time)]]*Table13[[#This Row],[Crew Rate (USD)]])</f>
        <v>3000</v>
      </c>
    </row>
    <row r="34" spans="1:6" ht="20" customHeight="1" x14ac:dyDescent="0.2">
      <c r="A34" s="8" t="s">
        <v>17</v>
      </c>
      <c r="B34" s="11" t="s">
        <v>28</v>
      </c>
      <c r="C34" s="13">
        <v>1500</v>
      </c>
      <c r="D34" s="23">
        <f>(Table13[[#This Row],[Distance (km)]]/1000)</f>
        <v>1.5</v>
      </c>
      <c r="E34" s="17">
        <f>IF(Table13[[#This Row],[Aircraft Size]]="Narrow-Body",1000,2000)</f>
        <v>2000</v>
      </c>
      <c r="F34" s="20">
        <f>(Table13[[#This Row],[Blocks (Time)]]*Table13[[#This Row],[Crew Rate (USD)]])</f>
        <v>3000</v>
      </c>
    </row>
    <row r="35" spans="1:6" ht="20" customHeight="1" x14ac:dyDescent="0.2">
      <c r="A35" s="8" t="s">
        <v>18</v>
      </c>
      <c r="B35" s="11" t="s">
        <v>27</v>
      </c>
      <c r="C35" s="13">
        <v>1500</v>
      </c>
      <c r="D35" s="23">
        <f>(Table13[[#This Row],[Distance (km)]]/1000)</f>
        <v>1.5</v>
      </c>
      <c r="E35" s="17">
        <f>IF(Table13[[#This Row],[Aircraft Size]]="Narrow-Body",1000,2000)</f>
        <v>1000</v>
      </c>
      <c r="F35" s="20">
        <f>(Table13[[#This Row],[Blocks (Time)]]*Table13[[#This Row],[Crew Rate (USD)]])</f>
        <v>1500</v>
      </c>
    </row>
    <row r="36" spans="1:6" ht="20" customHeight="1" x14ac:dyDescent="0.2">
      <c r="A36" s="8" t="s">
        <v>19</v>
      </c>
      <c r="B36" s="11" t="s">
        <v>27</v>
      </c>
      <c r="C36" s="13">
        <v>1500</v>
      </c>
      <c r="D36" s="23">
        <f>(Table13[[#This Row],[Distance (km)]]/1000)</f>
        <v>1.5</v>
      </c>
      <c r="E36" s="17">
        <f>IF(Table13[[#This Row],[Aircraft Size]]="Narrow-Body",1000,2000)</f>
        <v>1000</v>
      </c>
      <c r="F36" s="20">
        <f>(Table13[[#This Row],[Blocks (Time)]]*Table13[[#This Row],[Crew Rate (USD)]])</f>
        <v>1500</v>
      </c>
    </row>
    <row r="37" spans="1:6" ht="20" customHeight="1" x14ac:dyDescent="0.2">
      <c r="A37" s="8" t="s">
        <v>20</v>
      </c>
      <c r="B37" s="11" t="s">
        <v>27</v>
      </c>
      <c r="C37" s="13">
        <v>1500</v>
      </c>
      <c r="D37" s="23">
        <f>(Table13[[#This Row],[Distance (km)]]/1000)</f>
        <v>1.5</v>
      </c>
      <c r="E37" s="17">
        <f>IF(Table13[[#This Row],[Aircraft Size]]="Narrow-Body",1000,2000)</f>
        <v>1000</v>
      </c>
      <c r="F37" s="20">
        <f>(Table13[[#This Row],[Blocks (Time)]]*Table13[[#This Row],[Crew Rate (USD)]])</f>
        <v>1500</v>
      </c>
    </row>
    <row r="38" spans="1:6" ht="20" customHeight="1" x14ac:dyDescent="0.2">
      <c r="A38" s="8" t="s">
        <v>21</v>
      </c>
      <c r="B38" s="11" t="s">
        <v>27</v>
      </c>
      <c r="C38" s="13">
        <v>1500</v>
      </c>
      <c r="D38" s="23">
        <f>(Table13[[#This Row],[Distance (km)]]/1000)</f>
        <v>1.5</v>
      </c>
      <c r="E38" s="17">
        <f>IF(Table13[[#This Row],[Aircraft Size]]="Narrow-Body",1000,2000)</f>
        <v>1000</v>
      </c>
      <c r="F38" s="20">
        <f>(Table13[[#This Row],[Blocks (Time)]]*Table13[[#This Row],[Crew Rate (USD)]])</f>
        <v>1500</v>
      </c>
    </row>
    <row r="39" spans="1:6" ht="20" customHeight="1" x14ac:dyDescent="0.2">
      <c r="A39" s="8" t="s">
        <v>22</v>
      </c>
      <c r="B39" s="11" t="s">
        <v>28</v>
      </c>
      <c r="C39" s="13">
        <v>1500</v>
      </c>
      <c r="D39" s="23">
        <f>(Table13[[#This Row],[Distance (km)]]/1000)</f>
        <v>1.5</v>
      </c>
      <c r="E39" s="17">
        <f>IF(Table13[[#This Row],[Aircraft Size]]="Narrow-Body",1000,2000)</f>
        <v>2000</v>
      </c>
      <c r="F39" s="20">
        <f>(Table13[[#This Row],[Blocks (Time)]]*Table13[[#This Row],[Crew Rate (USD)]])</f>
        <v>3000</v>
      </c>
    </row>
    <row r="40" spans="1:6" ht="20" customHeight="1" x14ac:dyDescent="0.2">
      <c r="A40" s="8" t="s">
        <v>23</v>
      </c>
      <c r="B40" s="11" t="s">
        <v>28</v>
      </c>
      <c r="C40" s="13">
        <v>1500</v>
      </c>
      <c r="D40" s="23">
        <f>(Table13[[#This Row],[Distance (km)]]/1000)</f>
        <v>1.5</v>
      </c>
      <c r="E40" s="17">
        <f>IF(Table13[[#This Row],[Aircraft Size]]="Narrow-Body",1000,2000)</f>
        <v>2000</v>
      </c>
      <c r="F40" s="20">
        <f>(Table13[[#This Row],[Blocks (Time)]]*Table13[[#This Row],[Crew Rate (USD)]])</f>
        <v>3000</v>
      </c>
    </row>
    <row r="41" spans="1:6" ht="20" customHeight="1" x14ac:dyDescent="0.2">
      <c r="A41" s="8" t="s">
        <v>24</v>
      </c>
      <c r="B41" s="11" t="s">
        <v>28</v>
      </c>
      <c r="C41" s="13">
        <v>1500</v>
      </c>
      <c r="D41" s="23">
        <f>(Table13[[#This Row],[Distance (km)]]/1000)</f>
        <v>1.5</v>
      </c>
      <c r="E41" s="17">
        <f>IF(Table13[[#This Row],[Aircraft Size]]="Narrow-Body",1000,2000)</f>
        <v>2000</v>
      </c>
      <c r="F41" s="20">
        <f>(Table13[[#This Row],[Blocks (Time)]]*Table13[[#This Row],[Crew Rate (USD)]])</f>
        <v>3000</v>
      </c>
    </row>
    <row r="42" spans="1:6" ht="20" customHeight="1" x14ac:dyDescent="0.2">
      <c r="A42" s="8" t="s">
        <v>25</v>
      </c>
      <c r="B42" s="11" t="s">
        <v>28</v>
      </c>
      <c r="C42" s="13">
        <v>1500</v>
      </c>
      <c r="D42" s="23">
        <f>(Table13[[#This Row],[Distance (km)]]/1000)</f>
        <v>1.5</v>
      </c>
      <c r="E42" s="17">
        <f>IF(Table13[[#This Row],[Aircraft Size]]="Narrow-Body",1000,2000)</f>
        <v>2000</v>
      </c>
      <c r="F42" s="20">
        <f>(Table13[[#This Row],[Blocks (Time)]]*Table13[[#This Row],[Crew Rate (USD)]])</f>
        <v>3000</v>
      </c>
    </row>
    <row r="43" spans="1:6" ht="20" customHeight="1" x14ac:dyDescent="0.2">
      <c r="A43" s="8" t="s">
        <v>26</v>
      </c>
      <c r="B43" s="11" t="s">
        <v>28</v>
      </c>
      <c r="C43" s="13">
        <v>1500</v>
      </c>
      <c r="D43" s="23">
        <f>(Table13[[#This Row],[Distance (km)]]/1000)</f>
        <v>1.5</v>
      </c>
      <c r="E43" s="17">
        <f>IF(Table13[[#This Row],[Aircraft Size]]="Narrow-Body",1000,2000)</f>
        <v>2000</v>
      </c>
      <c r="F43" s="20">
        <f>(Table13[[#This Row],[Blocks (Time)]]*Table13[[#This Row],[Crew Rate (USD)]])</f>
        <v>3000</v>
      </c>
    </row>
    <row r="44" spans="1:6" ht="20" customHeight="1" x14ac:dyDescent="0.2">
      <c r="A44" s="8" t="s">
        <v>6</v>
      </c>
      <c r="B44" s="11" t="s">
        <v>27</v>
      </c>
      <c r="C44" s="13">
        <v>3500</v>
      </c>
      <c r="D44" s="23">
        <f>(Table13[[#This Row],[Distance (km)]]/1000)</f>
        <v>3.5</v>
      </c>
      <c r="E44" s="17">
        <f>IF(Table13[[#This Row],[Aircraft Size]]="Narrow-Body",1000,2000)</f>
        <v>1000</v>
      </c>
      <c r="F44" s="20">
        <f>(Table13[[#This Row],[Blocks (Time)]]*Table13[[#This Row],[Crew Rate (USD)]])</f>
        <v>3500</v>
      </c>
    </row>
    <row r="45" spans="1:6" ht="20" customHeight="1" x14ac:dyDescent="0.2">
      <c r="A45" s="8" t="s">
        <v>7</v>
      </c>
      <c r="B45" s="11" t="s">
        <v>27</v>
      </c>
      <c r="C45" s="13">
        <v>3500</v>
      </c>
      <c r="D45" s="23">
        <f>(Table13[[#This Row],[Distance (km)]]/1000)</f>
        <v>3.5</v>
      </c>
      <c r="E45" s="17">
        <f>IF(Table13[[#This Row],[Aircraft Size]]="Narrow-Body",1000,2000)</f>
        <v>1000</v>
      </c>
      <c r="F45" s="20">
        <f>(Table13[[#This Row],[Blocks (Time)]]*Table13[[#This Row],[Crew Rate (USD)]])</f>
        <v>3500</v>
      </c>
    </row>
    <row r="46" spans="1:6" ht="20" customHeight="1" x14ac:dyDescent="0.2">
      <c r="A46" s="8" t="s">
        <v>8</v>
      </c>
      <c r="B46" s="11" t="s">
        <v>27</v>
      </c>
      <c r="C46" s="13">
        <v>3500</v>
      </c>
      <c r="D46" s="23">
        <f>(Table13[[#This Row],[Distance (km)]]/1000)</f>
        <v>3.5</v>
      </c>
      <c r="E46" s="17">
        <f>IF(Table13[[#This Row],[Aircraft Size]]="Narrow-Body",1000,2000)</f>
        <v>1000</v>
      </c>
      <c r="F46" s="20">
        <f>(Table13[[#This Row],[Blocks (Time)]]*Table13[[#This Row],[Crew Rate (USD)]])</f>
        <v>3500</v>
      </c>
    </row>
    <row r="47" spans="1:6" ht="20" customHeight="1" x14ac:dyDescent="0.2">
      <c r="A47" s="8" t="s">
        <v>9</v>
      </c>
      <c r="B47" s="11" t="s">
        <v>27</v>
      </c>
      <c r="C47" s="13">
        <v>3500</v>
      </c>
      <c r="D47" s="23">
        <f>(Table13[[#This Row],[Distance (km)]]/1000)</f>
        <v>3.5</v>
      </c>
      <c r="E47" s="17">
        <f>IF(Table13[[#This Row],[Aircraft Size]]="Narrow-Body",1000,2000)</f>
        <v>1000</v>
      </c>
      <c r="F47" s="20">
        <f>(Table13[[#This Row],[Blocks (Time)]]*Table13[[#This Row],[Crew Rate (USD)]])</f>
        <v>3500</v>
      </c>
    </row>
    <row r="48" spans="1:6" ht="20" customHeight="1" x14ac:dyDescent="0.2">
      <c r="A48" s="8" t="s">
        <v>10</v>
      </c>
      <c r="B48" s="11" t="s">
        <v>27</v>
      </c>
      <c r="C48" s="13">
        <v>3500</v>
      </c>
      <c r="D48" s="23">
        <f>(Table13[[#This Row],[Distance (km)]]/1000)</f>
        <v>3.5</v>
      </c>
      <c r="E48" s="17">
        <f>IF(Table13[[#This Row],[Aircraft Size]]="Narrow-Body",1000,2000)</f>
        <v>1000</v>
      </c>
      <c r="F48" s="20">
        <f>(Table13[[#This Row],[Blocks (Time)]]*Table13[[#This Row],[Crew Rate (USD)]])</f>
        <v>3500</v>
      </c>
    </row>
    <row r="49" spans="1:6" ht="20" customHeight="1" x14ac:dyDescent="0.2">
      <c r="A49" s="8" t="s">
        <v>11</v>
      </c>
      <c r="B49" s="11" t="s">
        <v>27</v>
      </c>
      <c r="C49" s="13">
        <v>3500</v>
      </c>
      <c r="D49" s="23">
        <f>(Table13[[#This Row],[Distance (km)]]/1000)</f>
        <v>3.5</v>
      </c>
      <c r="E49" s="17">
        <f>IF(Table13[[#This Row],[Aircraft Size]]="Narrow-Body",1000,2000)</f>
        <v>1000</v>
      </c>
      <c r="F49" s="20">
        <f>(Table13[[#This Row],[Blocks (Time)]]*Table13[[#This Row],[Crew Rate (USD)]])</f>
        <v>3500</v>
      </c>
    </row>
    <row r="50" spans="1:6" ht="20" customHeight="1" x14ac:dyDescent="0.2">
      <c r="A50" s="8" t="s">
        <v>12</v>
      </c>
      <c r="B50" s="11" t="s">
        <v>28</v>
      </c>
      <c r="C50" s="13">
        <v>3500</v>
      </c>
      <c r="D50" s="23">
        <f>(Table13[[#This Row],[Distance (km)]]/1000)</f>
        <v>3.5</v>
      </c>
      <c r="E50" s="17">
        <f>IF(Table13[[#This Row],[Aircraft Size]]="Narrow-Body",1000,2000)</f>
        <v>2000</v>
      </c>
      <c r="F50" s="20">
        <f>(Table13[[#This Row],[Blocks (Time)]]*Table13[[#This Row],[Crew Rate (USD)]])</f>
        <v>7000</v>
      </c>
    </row>
    <row r="51" spans="1:6" ht="20" customHeight="1" x14ac:dyDescent="0.2">
      <c r="A51" s="8" t="s">
        <v>13</v>
      </c>
      <c r="B51" s="11" t="s">
        <v>28</v>
      </c>
      <c r="C51" s="13">
        <v>3500</v>
      </c>
      <c r="D51" s="23">
        <f>(Table13[[#This Row],[Distance (km)]]/1000)</f>
        <v>3.5</v>
      </c>
      <c r="E51" s="17">
        <f>IF(Table13[[#This Row],[Aircraft Size]]="Narrow-Body",1000,2000)</f>
        <v>2000</v>
      </c>
      <c r="F51" s="20">
        <f>(Table13[[#This Row],[Blocks (Time)]]*Table13[[#This Row],[Crew Rate (USD)]])</f>
        <v>7000</v>
      </c>
    </row>
    <row r="52" spans="1:6" ht="20" customHeight="1" x14ac:dyDescent="0.2">
      <c r="A52" s="8" t="s">
        <v>14</v>
      </c>
      <c r="B52" s="11" t="s">
        <v>28</v>
      </c>
      <c r="C52" s="13">
        <v>3500</v>
      </c>
      <c r="D52" s="23">
        <f>(Table13[[#This Row],[Distance (km)]]/1000)</f>
        <v>3.5</v>
      </c>
      <c r="E52" s="17">
        <f>IF(Table13[[#This Row],[Aircraft Size]]="Narrow-Body",1000,2000)</f>
        <v>2000</v>
      </c>
      <c r="F52" s="20">
        <f>(Table13[[#This Row],[Blocks (Time)]]*Table13[[#This Row],[Crew Rate (USD)]])</f>
        <v>7000</v>
      </c>
    </row>
    <row r="53" spans="1:6" ht="20" customHeight="1" x14ac:dyDescent="0.2">
      <c r="A53" s="8" t="s">
        <v>15</v>
      </c>
      <c r="B53" s="11" t="s">
        <v>28</v>
      </c>
      <c r="C53" s="13">
        <v>3500</v>
      </c>
      <c r="D53" s="23">
        <f>(Table13[[#This Row],[Distance (km)]]/1000)</f>
        <v>3.5</v>
      </c>
      <c r="E53" s="17">
        <f>IF(Table13[[#This Row],[Aircraft Size]]="Narrow-Body",1000,2000)</f>
        <v>2000</v>
      </c>
      <c r="F53" s="20">
        <f>(Table13[[#This Row],[Blocks (Time)]]*Table13[[#This Row],[Crew Rate (USD)]])</f>
        <v>7000</v>
      </c>
    </row>
    <row r="54" spans="1:6" ht="20" customHeight="1" x14ac:dyDescent="0.2">
      <c r="A54" s="8" t="s">
        <v>16</v>
      </c>
      <c r="B54" s="11" t="s">
        <v>28</v>
      </c>
      <c r="C54" s="13">
        <v>3500</v>
      </c>
      <c r="D54" s="23">
        <f>(Table13[[#This Row],[Distance (km)]]/1000)</f>
        <v>3.5</v>
      </c>
      <c r="E54" s="17">
        <f>IF(Table13[[#This Row],[Aircraft Size]]="Narrow-Body",1000,2000)</f>
        <v>2000</v>
      </c>
      <c r="F54" s="20">
        <f>(Table13[[#This Row],[Blocks (Time)]]*Table13[[#This Row],[Crew Rate (USD)]])</f>
        <v>7000</v>
      </c>
    </row>
    <row r="55" spans="1:6" ht="20" customHeight="1" x14ac:dyDescent="0.2">
      <c r="A55" s="8" t="s">
        <v>17</v>
      </c>
      <c r="B55" s="11" t="s">
        <v>28</v>
      </c>
      <c r="C55" s="13">
        <v>3500</v>
      </c>
      <c r="D55" s="23">
        <f>(Table13[[#This Row],[Distance (km)]]/1000)</f>
        <v>3.5</v>
      </c>
      <c r="E55" s="17">
        <f>IF(Table13[[#This Row],[Aircraft Size]]="Narrow-Body",1000,2000)</f>
        <v>2000</v>
      </c>
      <c r="F55" s="20">
        <f>(Table13[[#This Row],[Blocks (Time)]]*Table13[[#This Row],[Crew Rate (USD)]])</f>
        <v>7000</v>
      </c>
    </row>
    <row r="56" spans="1:6" ht="20" customHeight="1" x14ac:dyDescent="0.2">
      <c r="A56" s="8" t="s">
        <v>18</v>
      </c>
      <c r="B56" s="11" t="s">
        <v>27</v>
      </c>
      <c r="C56" s="13">
        <v>3500</v>
      </c>
      <c r="D56" s="23">
        <f>(Table13[[#This Row],[Distance (km)]]/1000)</f>
        <v>3.5</v>
      </c>
      <c r="E56" s="17">
        <f>IF(Table13[[#This Row],[Aircraft Size]]="Narrow-Body",1000,2000)</f>
        <v>1000</v>
      </c>
      <c r="F56" s="20">
        <f>(Table13[[#This Row],[Blocks (Time)]]*Table13[[#This Row],[Crew Rate (USD)]])</f>
        <v>3500</v>
      </c>
    </row>
    <row r="57" spans="1:6" ht="20" customHeight="1" x14ac:dyDescent="0.2">
      <c r="A57" s="8" t="s">
        <v>19</v>
      </c>
      <c r="B57" s="11" t="s">
        <v>27</v>
      </c>
      <c r="C57" s="13">
        <v>3500</v>
      </c>
      <c r="D57" s="23">
        <f>(Table13[[#This Row],[Distance (km)]]/1000)</f>
        <v>3.5</v>
      </c>
      <c r="E57" s="17">
        <f>IF(Table13[[#This Row],[Aircraft Size]]="Narrow-Body",1000,2000)</f>
        <v>1000</v>
      </c>
      <c r="F57" s="20">
        <f>(Table13[[#This Row],[Blocks (Time)]]*Table13[[#This Row],[Crew Rate (USD)]])</f>
        <v>3500</v>
      </c>
    </row>
    <row r="58" spans="1:6" ht="20" customHeight="1" x14ac:dyDescent="0.2">
      <c r="A58" s="8" t="s">
        <v>20</v>
      </c>
      <c r="B58" s="11" t="s">
        <v>27</v>
      </c>
      <c r="C58" s="13">
        <v>3500</v>
      </c>
      <c r="D58" s="23">
        <f>(Table13[[#This Row],[Distance (km)]]/1000)</f>
        <v>3.5</v>
      </c>
      <c r="E58" s="17">
        <f>IF(Table13[[#This Row],[Aircraft Size]]="Narrow-Body",1000,2000)</f>
        <v>1000</v>
      </c>
      <c r="F58" s="20">
        <f>(Table13[[#This Row],[Blocks (Time)]]*Table13[[#This Row],[Crew Rate (USD)]])</f>
        <v>3500</v>
      </c>
    </row>
    <row r="59" spans="1:6" ht="20" customHeight="1" x14ac:dyDescent="0.2">
      <c r="A59" s="8" t="s">
        <v>21</v>
      </c>
      <c r="B59" s="11" t="s">
        <v>27</v>
      </c>
      <c r="C59" s="13">
        <v>3500</v>
      </c>
      <c r="D59" s="23">
        <f>(Table13[[#This Row],[Distance (km)]]/1000)</f>
        <v>3.5</v>
      </c>
      <c r="E59" s="17">
        <f>IF(Table13[[#This Row],[Aircraft Size]]="Narrow-Body",1000,2000)</f>
        <v>1000</v>
      </c>
      <c r="F59" s="20">
        <f>(Table13[[#This Row],[Blocks (Time)]]*Table13[[#This Row],[Crew Rate (USD)]])</f>
        <v>3500</v>
      </c>
    </row>
    <row r="60" spans="1:6" ht="20" customHeight="1" x14ac:dyDescent="0.2">
      <c r="A60" s="8" t="s">
        <v>22</v>
      </c>
      <c r="B60" s="11" t="s">
        <v>28</v>
      </c>
      <c r="C60" s="13">
        <v>3500</v>
      </c>
      <c r="D60" s="23">
        <f>(Table13[[#This Row],[Distance (km)]]/1000)</f>
        <v>3.5</v>
      </c>
      <c r="E60" s="17">
        <f>IF(Table13[[#This Row],[Aircraft Size]]="Narrow-Body",1000,2000)</f>
        <v>2000</v>
      </c>
      <c r="F60" s="20">
        <f>(Table13[[#This Row],[Blocks (Time)]]*Table13[[#This Row],[Crew Rate (USD)]])</f>
        <v>7000</v>
      </c>
    </row>
    <row r="61" spans="1:6" ht="20" customHeight="1" x14ac:dyDescent="0.2">
      <c r="A61" s="8" t="s">
        <v>23</v>
      </c>
      <c r="B61" s="11" t="s">
        <v>28</v>
      </c>
      <c r="C61" s="13">
        <v>3500</v>
      </c>
      <c r="D61" s="23">
        <f>(Table13[[#This Row],[Distance (km)]]/1000)</f>
        <v>3.5</v>
      </c>
      <c r="E61" s="17">
        <f>IF(Table13[[#This Row],[Aircraft Size]]="Narrow-Body",1000,2000)</f>
        <v>2000</v>
      </c>
      <c r="F61" s="20">
        <f>(Table13[[#This Row],[Blocks (Time)]]*Table13[[#This Row],[Crew Rate (USD)]])</f>
        <v>7000</v>
      </c>
    </row>
    <row r="62" spans="1:6" ht="20" customHeight="1" x14ac:dyDescent="0.2">
      <c r="A62" s="8" t="s">
        <v>24</v>
      </c>
      <c r="B62" s="11" t="s">
        <v>28</v>
      </c>
      <c r="C62" s="13">
        <v>3500</v>
      </c>
      <c r="D62" s="23">
        <f>(Table13[[#This Row],[Distance (km)]]/1000)</f>
        <v>3.5</v>
      </c>
      <c r="E62" s="17">
        <f>IF(Table13[[#This Row],[Aircraft Size]]="Narrow-Body",1000,2000)</f>
        <v>2000</v>
      </c>
      <c r="F62" s="20">
        <f>(Table13[[#This Row],[Blocks (Time)]]*Table13[[#This Row],[Crew Rate (USD)]])</f>
        <v>7000</v>
      </c>
    </row>
    <row r="63" spans="1:6" ht="20" customHeight="1" x14ac:dyDescent="0.2">
      <c r="A63" s="8" t="s">
        <v>25</v>
      </c>
      <c r="B63" s="11" t="s">
        <v>28</v>
      </c>
      <c r="C63" s="13">
        <v>3500</v>
      </c>
      <c r="D63" s="23">
        <f>(Table13[[#This Row],[Distance (km)]]/1000)</f>
        <v>3.5</v>
      </c>
      <c r="E63" s="17">
        <f>IF(Table13[[#This Row],[Aircraft Size]]="Narrow-Body",1000,2000)</f>
        <v>2000</v>
      </c>
      <c r="F63" s="20">
        <f>(Table13[[#This Row],[Blocks (Time)]]*Table13[[#This Row],[Crew Rate (USD)]])</f>
        <v>7000</v>
      </c>
    </row>
    <row r="64" spans="1:6" ht="20" customHeight="1" x14ac:dyDescent="0.2">
      <c r="A64" s="8" t="s">
        <v>26</v>
      </c>
      <c r="B64" s="11" t="s">
        <v>28</v>
      </c>
      <c r="C64" s="13">
        <v>3500</v>
      </c>
      <c r="D64" s="23">
        <f>(Table13[[#This Row],[Distance (km)]]/1000)</f>
        <v>3.5</v>
      </c>
      <c r="E64" s="17">
        <f>IF(Table13[[#This Row],[Aircraft Size]]="Narrow-Body",1000,2000)</f>
        <v>2000</v>
      </c>
      <c r="F64" s="20">
        <f>(Table13[[#This Row],[Blocks (Time)]]*Table13[[#This Row],[Crew Rate (USD)]])</f>
        <v>7000</v>
      </c>
    </row>
    <row r="65" spans="1:6" ht="20" customHeight="1" x14ac:dyDescent="0.2">
      <c r="A65" s="8" t="s">
        <v>6</v>
      </c>
      <c r="B65" s="11" t="s">
        <v>27</v>
      </c>
      <c r="C65" s="13">
        <v>8000</v>
      </c>
      <c r="D65" s="23">
        <f>(Table13[[#This Row],[Distance (km)]]/1000)</f>
        <v>8</v>
      </c>
      <c r="E65" s="17">
        <f>IF(Table13[[#This Row],[Aircraft Size]]="Narrow-Body",1000,2000)</f>
        <v>1000</v>
      </c>
      <c r="F65" s="20">
        <f>(Table13[[#This Row],[Blocks (Time)]]*Table13[[#This Row],[Crew Rate (USD)]])</f>
        <v>8000</v>
      </c>
    </row>
    <row r="66" spans="1:6" ht="20" customHeight="1" x14ac:dyDescent="0.2">
      <c r="A66" s="8" t="s">
        <v>7</v>
      </c>
      <c r="B66" s="11" t="s">
        <v>27</v>
      </c>
      <c r="C66" s="13">
        <v>8000</v>
      </c>
      <c r="D66" s="23">
        <f>(Table13[[#This Row],[Distance (km)]]/1000)</f>
        <v>8</v>
      </c>
      <c r="E66" s="17">
        <f>IF(Table13[[#This Row],[Aircraft Size]]="Narrow-Body",1000,2000)</f>
        <v>1000</v>
      </c>
      <c r="F66" s="20">
        <f>(Table13[[#This Row],[Blocks (Time)]]*Table13[[#This Row],[Crew Rate (USD)]])</f>
        <v>8000</v>
      </c>
    </row>
    <row r="67" spans="1:6" ht="20" customHeight="1" x14ac:dyDescent="0.2">
      <c r="A67" s="8" t="s">
        <v>8</v>
      </c>
      <c r="B67" s="11" t="s">
        <v>27</v>
      </c>
      <c r="C67" s="13">
        <v>8000</v>
      </c>
      <c r="D67" s="23">
        <f>(Table13[[#This Row],[Distance (km)]]/1000)</f>
        <v>8</v>
      </c>
      <c r="E67" s="17">
        <f>IF(Table13[[#This Row],[Aircraft Size]]="Narrow-Body",1000,2000)</f>
        <v>1000</v>
      </c>
      <c r="F67" s="20">
        <f>(Table13[[#This Row],[Blocks (Time)]]*Table13[[#This Row],[Crew Rate (USD)]])</f>
        <v>8000</v>
      </c>
    </row>
    <row r="68" spans="1:6" ht="20" customHeight="1" x14ac:dyDescent="0.2">
      <c r="A68" s="8" t="s">
        <v>9</v>
      </c>
      <c r="B68" s="11" t="s">
        <v>27</v>
      </c>
      <c r="C68" s="13">
        <v>8000</v>
      </c>
      <c r="D68" s="23">
        <f>(Table13[[#This Row],[Distance (km)]]/1000)</f>
        <v>8</v>
      </c>
      <c r="E68" s="17">
        <f>IF(Table13[[#This Row],[Aircraft Size]]="Narrow-Body",1000,2000)</f>
        <v>1000</v>
      </c>
      <c r="F68" s="20">
        <f>(Table13[[#This Row],[Blocks (Time)]]*Table13[[#This Row],[Crew Rate (USD)]])</f>
        <v>8000</v>
      </c>
    </row>
    <row r="69" spans="1:6" ht="20" customHeight="1" x14ac:dyDescent="0.2">
      <c r="A69" s="8" t="s">
        <v>10</v>
      </c>
      <c r="B69" s="11" t="s">
        <v>27</v>
      </c>
      <c r="C69" s="13">
        <v>8000</v>
      </c>
      <c r="D69" s="23">
        <f>(Table13[[#This Row],[Distance (km)]]/1000)</f>
        <v>8</v>
      </c>
      <c r="E69" s="17">
        <f>IF(Table13[[#This Row],[Aircraft Size]]="Narrow-Body",1000,2000)</f>
        <v>1000</v>
      </c>
      <c r="F69" s="20">
        <f>(Table13[[#This Row],[Blocks (Time)]]*Table13[[#This Row],[Crew Rate (USD)]])</f>
        <v>8000</v>
      </c>
    </row>
    <row r="70" spans="1:6" ht="20" customHeight="1" x14ac:dyDescent="0.2">
      <c r="A70" s="8" t="s">
        <v>11</v>
      </c>
      <c r="B70" s="11" t="s">
        <v>27</v>
      </c>
      <c r="C70" s="13">
        <v>8000</v>
      </c>
      <c r="D70" s="23">
        <f>(Table13[[#This Row],[Distance (km)]]/1000)</f>
        <v>8</v>
      </c>
      <c r="E70" s="17">
        <f>IF(Table13[[#This Row],[Aircraft Size]]="Narrow-Body",1000,2000)</f>
        <v>1000</v>
      </c>
      <c r="F70" s="20">
        <f>(Table13[[#This Row],[Blocks (Time)]]*Table13[[#This Row],[Crew Rate (USD)]])</f>
        <v>8000</v>
      </c>
    </row>
    <row r="71" spans="1:6" ht="20" customHeight="1" x14ac:dyDescent="0.2">
      <c r="A71" s="8" t="s">
        <v>12</v>
      </c>
      <c r="B71" s="11" t="s">
        <v>28</v>
      </c>
      <c r="C71" s="13">
        <v>8000</v>
      </c>
      <c r="D71" s="23">
        <f>(Table13[[#This Row],[Distance (km)]]/1000)</f>
        <v>8</v>
      </c>
      <c r="E71" s="17">
        <f>IF(Table13[[#This Row],[Aircraft Size]]="Narrow-Body",1000,2000)</f>
        <v>2000</v>
      </c>
      <c r="F71" s="20">
        <f>(Table13[[#This Row],[Blocks (Time)]]*Table13[[#This Row],[Crew Rate (USD)]])</f>
        <v>16000</v>
      </c>
    </row>
    <row r="72" spans="1:6" ht="20" customHeight="1" x14ac:dyDescent="0.2">
      <c r="A72" s="8" t="s">
        <v>13</v>
      </c>
      <c r="B72" s="11" t="s">
        <v>28</v>
      </c>
      <c r="C72" s="13">
        <v>8000</v>
      </c>
      <c r="D72" s="23">
        <f>(Table13[[#This Row],[Distance (km)]]/1000)</f>
        <v>8</v>
      </c>
      <c r="E72" s="17">
        <f>IF(Table13[[#This Row],[Aircraft Size]]="Narrow-Body",1000,2000)</f>
        <v>2000</v>
      </c>
      <c r="F72" s="20">
        <f>(Table13[[#This Row],[Blocks (Time)]]*Table13[[#This Row],[Crew Rate (USD)]])</f>
        <v>16000</v>
      </c>
    </row>
    <row r="73" spans="1:6" ht="20" customHeight="1" x14ac:dyDescent="0.2">
      <c r="A73" s="8" t="s">
        <v>14</v>
      </c>
      <c r="B73" s="11" t="s">
        <v>28</v>
      </c>
      <c r="C73" s="13">
        <v>8000</v>
      </c>
      <c r="D73" s="23">
        <f>(Table13[[#This Row],[Distance (km)]]/1000)</f>
        <v>8</v>
      </c>
      <c r="E73" s="17">
        <f>IF(Table13[[#This Row],[Aircraft Size]]="Narrow-Body",1000,2000)</f>
        <v>2000</v>
      </c>
      <c r="F73" s="20">
        <f>(Table13[[#This Row],[Blocks (Time)]]*Table13[[#This Row],[Crew Rate (USD)]])</f>
        <v>16000</v>
      </c>
    </row>
    <row r="74" spans="1:6" ht="20" customHeight="1" x14ac:dyDescent="0.2">
      <c r="A74" s="8" t="s">
        <v>15</v>
      </c>
      <c r="B74" s="11" t="s">
        <v>28</v>
      </c>
      <c r="C74" s="13">
        <v>8000</v>
      </c>
      <c r="D74" s="23">
        <f>(Table13[[#This Row],[Distance (km)]]/1000)</f>
        <v>8</v>
      </c>
      <c r="E74" s="17">
        <f>IF(Table13[[#This Row],[Aircraft Size]]="Narrow-Body",1000,2000)</f>
        <v>2000</v>
      </c>
      <c r="F74" s="20">
        <f>(Table13[[#This Row],[Blocks (Time)]]*Table13[[#This Row],[Crew Rate (USD)]])</f>
        <v>16000</v>
      </c>
    </row>
    <row r="75" spans="1:6" ht="20" customHeight="1" x14ac:dyDescent="0.2">
      <c r="A75" s="8" t="s">
        <v>16</v>
      </c>
      <c r="B75" s="11" t="s">
        <v>28</v>
      </c>
      <c r="C75" s="13">
        <v>8000</v>
      </c>
      <c r="D75" s="23">
        <f>(Table13[[#This Row],[Distance (km)]]/1000)</f>
        <v>8</v>
      </c>
      <c r="E75" s="17">
        <f>IF(Table13[[#This Row],[Aircraft Size]]="Narrow-Body",1000,2000)</f>
        <v>2000</v>
      </c>
      <c r="F75" s="20">
        <f>(Table13[[#This Row],[Blocks (Time)]]*Table13[[#This Row],[Crew Rate (USD)]])</f>
        <v>16000</v>
      </c>
    </row>
    <row r="76" spans="1:6" ht="20" customHeight="1" x14ac:dyDescent="0.2">
      <c r="A76" s="8" t="s">
        <v>17</v>
      </c>
      <c r="B76" s="11" t="s">
        <v>28</v>
      </c>
      <c r="C76" s="13">
        <v>8000</v>
      </c>
      <c r="D76" s="23">
        <f>(Table13[[#This Row],[Distance (km)]]/1000)</f>
        <v>8</v>
      </c>
      <c r="E76" s="17">
        <f>IF(Table13[[#This Row],[Aircraft Size]]="Narrow-Body",1000,2000)</f>
        <v>2000</v>
      </c>
      <c r="F76" s="20">
        <f>(Table13[[#This Row],[Blocks (Time)]]*Table13[[#This Row],[Crew Rate (USD)]])</f>
        <v>16000</v>
      </c>
    </row>
    <row r="77" spans="1:6" ht="20" customHeight="1" x14ac:dyDescent="0.2">
      <c r="A77" s="8" t="s">
        <v>18</v>
      </c>
      <c r="B77" s="11" t="s">
        <v>27</v>
      </c>
      <c r="C77" s="13">
        <v>8000</v>
      </c>
      <c r="D77" s="23">
        <f>(Table13[[#This Row],[Distance (km)]]/1000)</f>
        <v>8</v>
      </c>
      <c r="E77" s="17">
        <f>IF(Table13[[#This Row],[Aircraft Size]]="Narrow-Body",1000,2000)</f>
        <v>1000</v>
      </c>
      <c r="F77" s="20">
        <f>(Table13[[#This Row],[Blocks (Time)]]*Table13[[#This Row],[Crew Rate (USD)]])</f>
        <v>8000</v>
      </c>
    </row>
    <row r="78" spans="1:6" ht="20" customHeight="1" x14ac:dyDescent="0.2">
      <c r="A78" s="8" t="s">
        <v>19</v>
      </c>
      <c r="B78" s="11" t="s">
        <v>27</v>
      </c>
      <c r="C78" s="13">
        <v>8000</v>
      </c>
      <c r="D78" s="23">
        <f>(Table13[[#This Row],[Distance (km)]]/1000)</f>
        <v>8</v>
      </c>
      <c r="E78" s="17">
        <f>IF(Table13[[#This Row],[Aircraft Size]]="Narrow-Body",1000,2000)</f>
        <v>1000</v>
      </c>
      <c r="F78" s="20">
        <f>(Table13[[#This Row],[Blocks (Time)]]*Table13[[#This Row],[Crew Rate (USD)]])</f>
        <v>8000</v>
      </c>
    </row>
    <row r="79" spans="1:6" ht="20" customHeight="1" x14ac:dyDescent="0.2">
      <c r="A79" s="8" t="s">
        <v>20</v>
      </c>
      <c r="B79" s="11" t="s">
        <v>27</v>
      </c>
      <c r="C79" s="13">
        <v>8000</v>
      </c>
      <c r="D79" s="23">
        <f>(Table13[[#This Row],[Distance (km)]]/1000)</f>
        <v>8</v>
      </c>
      <c r="E79" s="17">
        <f>IF(Table13[[#This Row],[Aircraft Size]]="Narrow-Body",1000,2000)</f>
        <v>1000</v>
      </c>
      <c r="F79" s="20">
        <f>(Table13[[#This Row],[Blocks (Time)]]*Table13[[#This Row],[Crew Rate (USD)]])</f>
        <v>8000</v>
      </c>
    </row>
    <row r="80" spans="1:6" ht="20" customHeight="1" x14ac:dyDescent="0.2">
      <c r="A80" s="8" t="s">
        <v>21</v>
      </c>
      <c r="B80" s="11" t="s">
        <v>27</v>
      </c>
      <c r="C80" s="13">
        <v>8000</v>
      </c>
      <c r="D80" s="23">
        <f>(Table13[[#This Row],[Distance (km)]]/1000)</f>
        <v>8</v>
      </c>
      <c r="E80" s="17">
        <f>IF(Table13[[#This Row],[Aircraft Size]]="Narrow-Body",1000,2000)</f>
        <v>1000</v>
      </c>
      <c r="F80" s="20">
        <f>(Table13[[#This Row],[Blocks (Time)]]*Table13[[#This Row],[Crew Rate (USD)]])</f>
        <v>8000</v>
      </c>
    </row>
    <row r="81" spans="1:6" ht="20" customHeight="1" x14ac:dyDescent="0.2">
      <c r="A81" s="8" t="s">
        <v>22</v>
      </c>
      <c r="B81" s="11" t="s">
        <v>28</v>
      </c>
      <c r="C81" s="13">
        <v>8000</v>
      </c>
      <c r="D81" s="23">
        <f>(Table13[[#This Row],[Distance (km)]]/1000)</f>
        <v>8</v>
      </c>
      <c r="E81" s="17">
        <f>IF(Table13[[#This Row],[Aircraft Size]]="Narrow-Body",1000,2000)</f>
        <v>2000</v>
      </c>
      <c r="F81" s="20">
        <f>(Table13[[#This Row],[Blocks (Time)]]*Table13[[#This Row],[Crew Rate (USD)]])</f>
        <v>16000</v>
      </c>
    </row>
    <row r="82" spans="1:6" ht="20" customHeight="1" x14ac:dyDescent="0.2">
      <c r="A82" s="8" t="s">
        <v>23</v>
      </c>
      <c r="B82" s="11" t="s">
        <v>28</v>
      </c>
      <c r="C82" s="13">
        <v>8000</v>
      </c>
      <c r="D82" s="23">
        <f>(Table13[[#This Row],[Distance (km)]]/1000)</f>
        <v>8</v>
      </c>
      <c r="E82" s="17">
        <f>IF(Table13[[#This Row],[Aircraft Size]]="Narrow-Body",1000,2000)</f>
        <v>2000</v>
      </c>
      <c r="F82" s="20">
        <f>(Table13[[#This Row],[Blocks (Time)]]*Table13[[#This Row],[Crew Rate (USD)]])</f>
        <v>16000</v>
      </c>
    </row>
    <row r="83" spans="1:6" ht="20" customHeight="1" x14ac:dyDescent="0.2">
      <c r="A83" s="8" t="s">
        <v>24</v>
      </c>
      <c r="B83" s="11" t="s">
        <v>28</v>
      </c>
      <c r="C83" s="13">
        <v>8000</v>
      </c>
      <c r="D83" s="23">
        <f>(Table13[[#This Row],[Distance (km)]]/1000)</f>
        <v>8</v>
      </c>
      <c r="E83" s="17">
        <f>IF(Table13[[#This Row],[Aircraft Size]]="Narrow-Body",1000,2000)</f>
        <v>2000</v>
      </c>
      <c r="F83" s="20">
        <f>(Table13[[#This Row],[Blocks (Time)]]*Table13[[#This Row],[Crew Rate (USD)]])</f>
        <v>16000</v>
      </c>
    </row>
    <row r="84" spans="1:6" ht="20" customHeight="1" x14ac:dyDescent="0.2">
      <c r="A84" s="8" t="s">
        <v>25</v>
      </c>
      <c r="B84" s="11" t="s">
        <v>28</v>
      </c>
      <c r="C84" s="13">
        <v>8000</v>
      </c>
      <c r="D84" s="23">
        <f>(Table13[[#This Row],[Distance (km)]]/1000)</f>
        <v>8</v>
      </c>
      <c r="E84" s="17">
        <f>IF(Table13[[#This Row],[Aircraft Size]]="Narrow-Body",1000,2000)</f>
        <v>2000</v>
      </c>
      <c r="F84" s="20">
        <f>(Table13[[#This Row],[Blocks (Time)]]*Table13[[#This Row],[Crew Rate (USD)]])</f>
        <v>16000</v>
      </c>
    </row>
    <row r="85" spans="1:6" ht="20" customHeight="1" x14ac:dyDescent="0.2">
      <c r="A85" s="8" t="s">
        <v>26</v>
      </c>
      <c r="B85" s="11" t="s">
        <v>28</v>
      </c>
      <c r="C85" s="13">
        <v>8000</v>
      </c>
      <c r="D85" s="23">
        <f>(Table13[[#This Row],[Distance (km)]]/1000)</f>
        <v>8</v>
      </c>
      <c r="E85" s="17">
        <f>IF(Table13[[#This Row],[Aircraft Size]]="Narrow-Body",1000,2000)</f>
        <v>2000</v>
      </c>
      <c r="F85" s="20">
        <f>(Table13[[#This Row],[Blocks (Time)]]*Table13[[#This Row],[Crew Rate (USD)]])</f>
        <v>16000</v>
      </c>
    </row>
    <row r="86" spans="1:6" ht="20" customHeight="1" x14ac:dyDescent="0.2">
      <c r="A86" s="8" t="s">
        <v>6</v>
      </c>
      <c r="B86" s="11" t="s">
        <v>27</v>
      </c>
      <c r="C86" s="13">
        <v>12000</v>
      </c>
      <c r="D86" s="23">
        <f>(Table13[[#This Row],[Distance (km)]]/1000)</f>
        <v>12</v>
      </c>
      <c r="E86" s="17">
        <f>IF(Table13[[#This Row],[Aircraft Size]]="Narrow-Body",1000,2000)</f>
        <v>1000</v>
      </c>
      <c r="F86" s="20">
        <f>(Table13[[#This Row],[Blocks (Time)]]*Table13[[#This Row],[Crew Rate (USD)]])</f>
        <v>12000</v>
      </c>
    </row>
    <row r="87" spans="1:6" ht="20" customHeight="1" x14ac:dyDescent="0.2">
      <c r="A87" s="8" t="s">
        <v>7</v>
      </c>
      <c r="B87" s="11" t="s">
        <v>27</v>
      </c>
      <c r="C87" s="13">
        <v>12000</v>
      </c>
      <c r="D87" s="23">
        <f>(Table13[[#This Row],[Distance (km)]]/1000)</f>
        <v>12</v>
      </c>
      <c r="E87" s="17">
        <f>IF(Table13[[#This Row],[Aircraft Size]]="Narrow-Body",1000,2000)</f>
        <v>1000</v>
      </c>
      <c r="F87" s="20">
        <f>(Table13[[#This Row],[Blocks (Time)]]*Table13[[#This Row],[Crew Rate (USD)]])</f>
        <v>12000</v>
      </c>
    </row>
    <row r="88" spans="1:6" ht="20" customHeight="1" x14ac:dyDescent="0.2">
      <c r="A88" s="8" t="s">
        <v>8</v>
      </c>
      <c r="B88" s="11" t="s">
        <v>27</v>
      </c>
      <c r="C88" s="13">
        <v>12000</v>
      </c>
      <c r="D88" s="23">
        <f>(Table13[[#This Row],[Distance (km)]]/1000)</f>
        <v>12</v>
      </c>
      <c r="E88" s="17">
        <f>IF(Table13[[#This Row],[Aircraft Size]]="Narrow-Body",1000,2000)</f>
        <v>1000</v>
      </c>
      <c r="F88" s="20">
        <f>(Table13[[#This Row],[Blocks (Time)]]*Table13[[#This Row],[Crew Rate (USD)]])</f>
        <v>12000</v>
      </c>
    </row>
    <row r="89" spans="1:6" ht="20" customHeight="1" x14ac:dyDescent="0.2">
      <c r="A89" s="8" t="s">
        <v>9</v>
      </c>
      <c r="B89" s="11" t="s">
        <v>27</v>
      </c>
      <c r="C89" s="13">
        <v>12000</v>
      </c>
      <c r="D89" s="23">
        <f>(Table13[[#This Row],[Distance (km)]]/1000)</f>
        <v>12</v>
      </c>
      <c r="E89" s="17">
        <f>IF(Table13[[#This Row],[Aircraft Size]]="Narrow-Body",1000,2000)</f>
        <v>1000</v>
      </c>
      <c r="F89" s="20">
        <f>(Table13[[#This Row],[Blocks (Time)]]*Table13[[#This Row],[Crew Rate (USD)]])</f>
        <v>12000</v>
      </c>
    </row>
    <row r="90" spans="1:6" ht="20" customHeight="1" x14ac:dyDescent="0.2">
      <c r="A90" s="8" t="s">
        <v>10</v>
      </c>
      <c r="B90" s="11" t="s">
        <v>27</v>
      </c>
      <c r="C90" s="13">
        <v>12000</v>
      </c>
      <c r="D90" s="23">
        <f>(Table13[[#This Row],[Distance (km)]]/1000)</f>
        <v>12</v>
      </c>
      <c r="E90" s="17">
        <f>IF(Table13[[#This Row],[Aircraft Size]]="Narrow-Body",1000,2000)</f>
        <v>1000</v>
      </c>
      <c r="F90" s="20">
        <f>(Table13[[#This Row],[Blocks (Time)]]*Table13[[#This Row],[Crew Rate (USD)]])</f>
        <v>12000</v>
      </c>
    </row>
    <row r="91" spans="1:6" ht="20" customHeight="1" x14ac:dyDescent="0.2">
      <c r="A91" s="8" t="s">
        <v>11</v>
      </c>
      <c r="B91" s="11" t="s">
        <v>27</v>
      </c>
      <c r="C91" s="13">
        <v>12000</v>
      </c>
      <c r="D91" s="23">
        <f>(Table13[[#This Row],[Distance (km)]]/1000)</f>
        <v>12</v>
      </c>
      <c r="E91" s="17">
        <f>IF(Table13[[#This Row],[Aircraft Size]]="Narrow-Body",1000,2000)</f>
        <v>1000</v>
      </c>
      <c r="F91" s="20">
        <f>(Table13[[#This Row],[Blocks (Time)]]*Table13[[#This Row],[Crew Rate (USD)]])</f>
        <v>12000</v>
      </c>
    </row>
    <row r="92" spans="1:6" ht="20" customHeight="1" x14ac:dyDescent="0.2">
      <c r="A92" s="8" t="s">
        <v>12</v>
      </c>
      <c r="B92" s="11" t="s">
        <v>28</v>
      </c>
      <c r="C92" s="13">
        <v>12000</v>
      </c>
      <c r="D92" s="23">
        <f>(Table13[[#This Row],[Distance (km)]]/1000)</f>
        <v>12</v>
      </c>
      <c r="E92" s="17">
        <f>IF(Table13[[#This Row],[Aircraft Size]]="Narrow-Body",1000,2000)</f>
        <v>2000</v>
      </c>
      <c r="F92" s="20">
        <f>(Table13[[#This Row],[Blocks (Time)]]*Table13[[#This Row],[Crew Rate (USD)]])</f>
        <v>24000</v>
      </c>
    </row>
    <row r="93" spans="1:6" ht="20" customHeight="1" x14ac:dyDescent="0.2">
      <c r="A93" s="8" t="s">
        <v>13</v>
      </c>
      <c r="B93" s="11" t="s">
        <v>28</v>
      </c>
      <c r="C93" s="13">
        <v>12000</v>
      </c>
      <c r="D93" s="23">
        <f>(Table13[[#This Row],[Distance (km)]]/1000)</f>
        <v>12</v>
      </c>
      <c r="E93" s="17">
        <f>IF(Table13[[#This Row],[Aircraft Size]]="Narrow-Body",1000,2000)</f>
        <v>2000</v>
      </c>
      <c r="F93" s="20">
        <f>(Table13[[#This Row],[Blocks (Time)]]*Table13[[#This Row],[Crew Rate (USD)]])</f>
        <v>24000</v>
      </c>
    </row>
    <row r="94" spans="1:6" ht="20" customHeight="1" x14ac:dyDescent="0.2">
      <c r="A94" s="8" t="s">
        <v>14</v>
      </c>
      <c r="B94" s="11" t="s">
        <v>28</v>
      </c>
      <c r="C94" s="13">
        <v>12000</v>
      </c>
      <c r="D94" s="23">
        <f>(Table13[[#This Row],[Distance (km)]]/1000)</f>
        <v>12</v>
      </c>
      <c r="E94" s="17">
        <f>IF(Table13[[#This Row],[Aircraft Size]]="Narrow-Body",1000,2000)</f>
        <v>2000</v>
      </c>
      <c r="F94" s="20">
        <f>(Table13[[#This Row],[Blocks (Time)]]*Table13[[#This Row],[Crew Rate (USD)]])</f>
        <v>24000</v>
      </c>
    </row>
    <row r="95" spans="1:6" ht="20" customHeight="1" x14ac:dyDescent="0.2">
      <c r="A95" s="8" t="s">
        <v>15</v>
      </c>
      <c r="B95" s="11" t="s">
        <v>28</v>
      </c>
      <c r="C95" s="13">
        <v>12000</v>
      </c>
      <c r="D95" s="23">
        <f>(Table13[[#This Row],[Distance (km)]]/1000)</f>
        <v>12</v>
      </c>
      <c r="E95" s="17">
        <f>IF(Table13[[#This Row],[Aircraft Size]]="Narrow-Body",1000,2000)</f>
        <v>2000</v>
      </c>
      <c r="F95" s="20">
        <f>(Table13[[#This Row],[Blocks (Time)]]*Table13[[#This Row],[Crew Rate (USD)]])</f>
        <v>24000</v>
      </c>
    </row>
    <row r="96" spans="1:6" ht="20" customHeight="1" x14ac:dyDescent="0.2">
      <c r="A96" s="8" t="s">
        <v>16</v>
      </c>
      <c r="B96" s="11" t="s">
        <v>28</v>
      </c>
      <c r="C96" s="13">
        <v>12000</v>
      </c>
      <c r="D96" s="23">
        <f>(Table13[[#This Row],[Distance (km)]]/1000)</f>
        <v>12</v>
      </c>
      <c r="E96" s="17">
        <f>IF(Table13[[#This Row],[Aircraft Size]]="Narrow-Body",1000,2000)</f>
        <v>2000</v>
      </c>
      <c r="F96" s="20">
        <f>(Table13[[#This Row],[Blocks (Time)]]*Table13[[#This Row],[Crew Rate (USD)]])</f>
        <v>24000</v>
      </c>
    </row>
    <row r="97" spans="1:6" ht="20" customHeight="1" x14ac:dyDescent="0.2">
      <c r="A97" s="8" t="s">
        <v>17</v>
      </c>
      <c r="B97" s="11" t="s">
        <v>28</v>
      </c>
      <c r="C97" s="13">
        <v>12000</v>
      </c>
      <c r="D97" s="23">
        <f>(Table13[[#This Row],[Distance (km)]]/1000)</f>
        <v>12</v>
      </c>
      <c r="E97" s="17">
        <f>IF(Table13[[#This Row],[Aircraft Size]]="Narrow-Body",1000,2000)</f>
        <v>2000</v>
      </c>
      <c r="F97" s="20">
        <f>(Table13[[#This Row],[Blocks (Time)]]*Table13[[#This Row],[Crew Rate (USD)]])</f>
        <v>24000</v>
      </c>
    </row>
    <row r="98" spans="1:6" ht="20" customHeight="1" x14ac:dyDescent="0.2">
      <c r="A98" s="8" t="s">
        <v>18</v>
      </c>
      <c r="B98" s="11" t="s">
        <v>27</v>
      </c>
      <c r="C98" s="13">
        <v>12000</v>
      </c>
      <c r="D98" s="23">
        <f>(Table13[[#This Row],[Distance (km)]]/1000)</f>
        <v>12</v>
      </c>
      <c r="E98" s="17">
        <f>IF(Table13[[#This Row],[Aircraft Size]]="Narrow-Body",1000,2000)</f>
        <v>1000</v>
      </c>
      <c r="F98" s="20">
        <f>(Table13[[#This Row],[Blocks (Time)]]*Table13[[#This Row],[Crew Rate (USD)]])</f>
        <v>12000</v>
      </c>
    </row>
    <row r="99" spans="1:6" ht="20" customHeight="1" x14ac:dyDescent="0.2">
      <c r="A99" s="8" t="s">
        <v>19</v>
      </c>
      <c r="B99" s="11" t="s">
        <v>27</v>
      </c>
      <c r="C99" s="13">
        <v>12000</v>
      </c>
      <c r="D99" s="23">
        <f>(Table13[[#This Row],[Distance (km)]]/1000)</f>
        <v>12</v>
      </c>
      <c r="E99" s="17">
        <f>IF(Table13[[#This Row],[Aircraft Size]]="Narrow-Body",1000,2000)</f>
        <v>1000</v>
      </c>
      <c r="F99" s="20">
        <f>(Table13[[#This Row],[Blocks (Time)]]*Table13[[#This Row],[Crew Rate (USD)]])</f>
        <v>12000</v>
      </c>
    </row>
    <row r="100" spans="1:6" ht="20" customHeight="1" x14ac:dyDescent="0.2">
      <c r="A100" s="8" t="s">
        <v>20</v>
      </c>
      <c r="B100" s="11" t="s">
        <v>27</v>
      </c>
      <c r="C100" s="13">
        <v>12000</v>
      </c>
      <c r="D100" s="23">
        <f>(Table13[[#This Row],[Distance (km)]]/1000)</f>
        <v>12</v>
      </c>
      <c r="E100" s="17">
        <f>IF(Table13[[#This Row],[Aircraft Size]]="Narrow-Body",1000,2000)</f>
        <v>1000</v>
      </c>
      <c r="F100" s="20">
        <f>(Table13[[#This Row],[Blocks (Time)]]*Table13[[#This Row],[Crew Rate (USD)]])</f>
        <v>12000</v>
      </c>
    </row>
    <row r="101" spans="1:6" ht="20" customHeight="1" x14ac:dyDescent="0.2">
      <c r="A101" s="8" t="s">
        <v>21</v>
      </c>
      <c r="B101" s="11" t="s">
        <v>27</v>
      </c>
      <c r="C101" s="13">
        <v>12000</v>
      </c>
      <c r="D101" s="23">
        <f>(Table13[[#This Row],[Distance (km)]]/1000)</f>
        <v>12</v>
      </c>
      <c r="E101" s="17">
        <f>IF(Table13[[#This Row],[Aircraft Size]]="Narrow-Body",1000,2000)</f>
        <v>1000</v>
      </c>
      <c r="F101" s="20">
        <f>(Table13[[#This Row],[Blocks (Time)]]*Table13[[#This Row],[Crew Rate (USD)]])</f>
        <v>12000</v>
      </c>
    </row>
    <row r="102" spans="1:6" ht="20" customHeight="1" x14ac:dyDescent="0.2">
      <c r="A102" s="8" t="s">
        <v>22</v>
      </c>
      <c r="B102" s="11" t="s">
        <v>28</v>
      </c>
      <c r="C102" s="13">
        <v>12000</v>
      </c>
      <c r="D102" s="23">
        <f>(Table13[[#This Row],[Distance (km)]]/1000)</f>
        <v>12</v>
      </c>
      <c r="E102" s="17">
        <f>IF(Table13[[#This Row],[Aircraft Size]]="Narrow-Body",1000,2000)</f>
        <v>2000</v>
      </c>
      <c r="F102" s="20">
        <f>(Table13[[#This Row],[Blocks (Time)]]*Table13[[#This Row],[Crew Rate (USD)]])</f>
        <v>24000</v>
      </c>
    </row>
    <row r="103" spans="1:6" ht="20" customHeight="1" x14ac:dyDescent="0.2">
      <c r="A103" s="8" t="s">
        <v>23</v>
      </c>
      <c r="B103" s="11" t="s">
        <v>28</v>
      </c>
      <c r="C103" s="13">
        <v>12000</v>
      </c>
      <c r="D103" s="23">
        <f>(Table13[[#This Row],[Distance (km)]]/1000)</f>
        <v>12</v>
      </c>
      <c r="E103" s="17">
        <f>IF(Table13[[#This Row],[Aircraft Size]]="Narrow-Body",1000,2000)</f>
        <v>2000</v>
      </c>
      <c r="F103" s="20">
        <f>(Table13[[#This Row],[Blocks (Time)]]*Table13[[#This Row],[Crew Rate (USD)]])</f>
        <v>24000</v>
      </c>
    </row>
    <row r="104" spans="1:6" ht="20" customHeight="1" x14ac:dyDescent="0.2">
      <c r="A104" s="8" t="s">
        <v>24</v>
      </c>
      <c r="B104" s="11" t="s">
        <v>28</v>
      </c>
      <c r="C104" s="13">
        <v>12000</v>
      </c>
      <c r="D104" s="23">
        <f>(Table13[[#This Row],[Distance (km)]]/1000)</f>
        <v>12</v>
      </c>
      <c r="E104" s="17">
        <f>IF(Table13[[#This Row],[Aircraft Size]]="Narrow-Body",1000,2000)</f>
        <v>2000</v>
      </c>
      <c r="F104" s="20">
        <f>(Table13[[#This Row],[Blocks (Time)]]*Table13[[#This Row],[Crew Rate (USD)]])</f>
        <v>24000</v>
      </c>
    </row>
    <row r="105" spans="1:6" ht="20" customHeight="1" x14ac:dyDescent="0.2">
      <c r="A105" s="8" t="s">
        <v>25</v>
      </c>
      <c r="B105" s="11" t="s">
        <v>28</v>
      </c>
      <c r="C105" s="13">
        <v>12000</v>
      </c>
      <c r="D105" s="23">
        <f>(Table13[[#This Row],[Distance (km)]]/1000)</f>
        <v>12</v>
      </c>
      <c r="E105" s="17">
        <f>IF(Table13[[#This Row],[Aircraft Size]]="Narrow-Body",1000,2000)</f>
        <v>2000</v>
      </c>
      <c r="F105" s="20">
        <f>(Table13[[#This Row],[Blocks (Time)]]*Table13[[#This Row],[Crew Rate (USD)]])</f>
        <v>24000</v>
      </c>
    </row>
    <row r="106" spans="1:6" ht="20" customHeight="1" thickBot="1" x14ac:dyDescent="0.25">
      <c r="A106" s="9" t="s">
        <v>26</v>
      </c>
      <c r="B106" s="12" t="s">
        <v>28</v>
      </c>
      <c r="C106" s="3">
        <v>12000</v>
      </c>
      <c r="D106" s="24">
        <f>(Table13[[#This Row],[Distance (km)]]/1000)</f>
        <v>12</v>
      </c>
      <c r="E106" s="18">
        <f>IF(Table13[[#This Row],[Aircraft Size]]="Narrow-Body",1000,2000)</f>
        <v>2000</v>
      </c>
      <c r="F106" s="21">
        <f>(Table13[[#This Row],[Blocks (Time)]]*Table13[[#This Row],[Crew Rate (USD)]])</f>
        <v>24000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6173-D4E4-5D49-8AE0-0825E5C07CA0}">
  <dimension ref="A1:C22"/>
  <sheetViews>
    <sheetView zoomScaleNormal="50" workbookViewId="0">
      <selection activeCell="C17" sqref="C17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3" ht="20" customHeight="1" thickBot="1" x14ac:dyDescent="0.25">
      <c r="A1" s="4" t="s">
        <v>0</v>
      </c>
      <c r="B1" s="5" t="s">
        <v>29</v>
      </c>
      <c r="C1" s="5" t="s">
        <v>33</v>
      </c>
    </row>
    <row r="2" spans="1:3" ht="20" customHeight="1" x14ac:dyDescent="0.2">
      <c r="A2" s="7" t="s">
        <v>6</v>
      </c>
      <c r="B2" s="10" t="s">
        <v>27</v>
      </c>
      <c r="C2" s="19">
        <f>IF(Table134[[#This Row],[Aircraft Size]]="Narrow-Body",2500,5000)</f>
        <v>2500</v>
      </c>
    </row>
    <row r="3" spans="1:3" ht="20" customHeight="1" x14ac:dyDescent="0.2">
      <c r="A3" s="8" t="s">
        <v>7</v>
      </c>
      <c r="B3" s="11" t="s">
        <v>27</v>
      </c>
      <c r="C3" s="20">
        <f>IF(Table134[[#This Row],[Aircraft Size]]="Narrow-Body",2500,5000)</f>
        <v>2500</v>
      </c>
    </row>
    <row r="4" spans="1:3" ht="20" customHeight="1" x14ac:dyDescent="0.2">
      <c r="A4" s="8" t="s">
        <v>8</v>
      </c>
      <c r="B4" s="11" t="s">
        <v>27</v>
      </c>
      <c r="C4" s="20">
        <f>IF(Table134[[#This Row],[Aircraft Size]]="Narrow-Body",2500,5000)</f>
        <v>2500</v>
      </c>
    </row>
    <row r="5" spans="1:3" ht="20" customHeight="1" x14ac:dyDescent="0.2">
      <c r="A5" s="8" t="s">
        <v>9</v>
      </c>
      <c r="B5" s="11" t="s">
        <v>27</v>
      </c>
      <c r="C5" s="20">
        <f>IF(Table134[[#This Row],[Aircraft Size]]="Narrow-Body",2500,5000)</f>
        <v>2500</v>
      </c>
    </row>
    <row r="6" spans="1:3" ht="20" customHeight="1" x14ac:dyDescent="0.2">
      <c r="A6" s="8" t="s">
        <v>10</v>
      </c>
      <c r="B6" s="11" t="s">
        <v>27</v>
      </c>
      <c r="C6" s="20">
        <f>IF(Table134[[#This Row],[Aircraft Size]]="Narrow-Body",2500,5000)</f>
        <v>2500</v>
      </c>
    </row>
    <row r="7" spans="1:3" ht="20" customHeight="1" x14ac:dyDescent="0.2">
      <c r="A7" s="8" t="s">
        <v>11</v>
      </c>
      <c r="B7" s="11" t="s">
        <v>27</v>
      </c>
      <c r="C7" s="20">
        <f>IF(Table134[[#This Row],[Aircraft Size]]="Narrow-Body",2500,5000)</f>
        <v>2500</v>
      </c>
    </row>
    <row r="8" spans="1:3" ht="20" customHeight="1" x14ac:dyDescent="0.2">
      <c r="A8" s="8" t="s">
        <v>12</v>
      </c>
      <c r="B8" s="11" t="s">
        <v>28</v>
      </c>
      <c r="C8" s="20">
        <f>IF(Table134[[#This Row],[Aircraft Size]]="Narrow-Body",2500,5000)</f>
        <v>5000</v>
      </c>
    </row>
    <row r="9" spans="1:3" ht="20" customHeight="1" x14ac:dyDescent="0.2">
      <c r="A9" s="8" t="s">
        <v>13</v>
      </c>
      <c r="B9" s="11" t="s">
        <v>28</v>
      </c>
      <c r="C9" s="20">
        <f>IF(Table134[[#This Row],[Aircraft Size]]="Narrow-Body",2500,5000)</f>
        <v>5000</v>
      </c>
    </row>
    <row r="10" spans="1:3" ht="20" customHeight="1" x14ac:dyDescent="0.2">
      <c r="A10" s="8" t="s">
        <v>14</v>
      </c>
      <c r="B10" s="11" t="s">
        <v>28</v>
      </c>
      <c r="C10" s="20">
        <f>IF(Table134[[#This Row],[Aircraft Size]]="Narrow-Body",2500,5000)</f>
        <v>5000</v>
      </c>
    </row>
    <row r="11" spans="1:3" ht="20" customHeight="1" x14ac:dyDescent="0.2">
      <c r="A11" s="8" t="s">
        <v>15</v>
      </c>
      <c r="B11" s="11" t="s">
        <v>28</v>
      </c>
      <c r="C11" s="20">
        <f>IF(Table134[[#This Row],[Aircraft Size]]="Narrow-Body",2500,5000)</f>
        <v>5000</v>
      </c>
    </row>
    <row r="12" spans="1:3" ht="20" customHeight="1" x14ac:dyDescent="0.2">
      <c r="A12" s="8" t="s">
        <v>16</v>
      </c>
      <c r="B12" s="11" t="s">
        <v>28</v>
      </c>
      <c r="C12" s="20">
        <f>IF(Table134[[#This Row],[Aircraft Size]]="Narrow-Body",2500,5000)</f>
        <v>5000</v>
      </c>
    </row>
    <row r="13" spans="1:3" ht="20" customHeight="1" x14ac:dyDescent="0.2">
      <c r="A13" s="8" t="s">
        <v>17</v>
      </c>
      <c r="B13" s="11" t="s">
        <v>28</v>
      </c>
      <c r="C13" s="20">
        <f>IF(Table134[[#This Row],[Aircraft Size]]="Narrow-Body",2500,5000)</f>
        <v>5000</v>
      </c>
    </row>
    <row r="14" spans="1:3" ht="20" customHeight="1" x14ac:dyDescent="0.2">
      <c r="A14" s="8" t="s">
        <v>18</v>
      </c>
      <c r="B14" s="11" t="s">
        <v>27</v>
      </c>
      <c r="C14" s="20">
        <f>IF(Table134[[#This Row],[Aircraft Size]]="Narrow-Body",2500,5000)</f>
        <v>2500</v>
      </c>
    </row>
    <row r="15" spans="1:3" ht="20" customHeight="1" x14ac:dyDescent="0.2">
      <c r="A15" s="8" t="s">
        <v>19</v>
      </c>
      <c r="B15" s="11" t="s">
        <v>27</v>
      </c>
      <c r="C15" s="20">
        <f>IF(Table134[[#This Row],[Aircraft Size]]="Narrow-Body",2500,5000)</f>
        <v>2500</v>
      </c>
    </row>
    <row r="16" spans="1:3" ht="20" customHeight="1" x14ac:dyDescent="0.2">
      <c r="A16" s="8" t="s">
        <v>20</v>
      </c>
      <c r="B16" s="11" t="s">
        <v>27</v>
      </c>
      <c r="C16" s="20">
        <f>IF(Table134[[#This Row],[Aircraft Size]]="Narrow-Body",2500,5000)</f>
        <v>2500</v>
      </c>
    </row>
    <row r="17" spans="1:3" ht="20" customHeight="1" x14ac:dyDescent="0.2">
      <c r="A17" s="8" t="s">
        <v>21</v>
      </c>
      <c r="B17" s="11" t="s">
        <v>27</v>
      </c>
      <c r="C17" s="20">
        <f>IF(Table134[[#This Row],[Aircraft Size]]="Narrow-Body",2500,5000)</f>
        <v>2500</v>
      </c>
    </row>
    <row r="18" spans="1:3" ht="20" customHeight="1" x14ac:dyDescent="0.2">
      <c r="A18" s="8" t="s">
        <v>22</v>
      </c>
      <c r="B18" s="11" t="s">
        <v>28</v>
      </c>
      <c r="C18" s="20">
        <f>IF(Table134[[#This Row],[Aircraft Size]]="Narrow-Body",2500,5000)</f>
        <v>5000</v>
      </c>
    </row>
    <row r="19" spans="1:3" ht="20" customHeight="1" x14ac:dyDescent="0.2">
      <c r="A19" s="8" t="s">
        <v>23</v>
      </c>
      <c r="B19" s="11" t="s">
        <v>28</v>
      </c>
      <c r="C19" s="20">
        <f>IF(Table134[[#This Row],[Aircraft Size]]="Narrow-Body",2500,5000)</f>
        <v>5000</v>
      </c>
    </row>
    <row r="20" spans="1:3" ht="20" customHeight="1" x14ac:dyDescent="0.2">
      <c r="A20" s="8" t="s">
        <v>24</v>
      </c>
      <c r="B20" s="11" t="s">
        <v>28</v>
      </c>
      <c r="C20" s="20">
        <f>IF(Table134[[#This Row],[Aircraft Size]]="Narrow-Body",2500,5000)</f>
        <v>5000</v>
      </c>
    </row>
    <row r="21" spans="1:3" ht="20" customHeight="1" x14ac:dyDescent="0.2">
      <c r="A21" s="8" t="s">
        <v>25</v>
      </c>
      <c r="B21" s="11" t="s">
        <v>28</v>
      </c>
      <c r="C21" s="20">
        <f>IF(Table134[[#This Row],[Aircraft Size]]="Narrow-Body",2500,5000)</f>
        <v>5000</v>
      </c>
    </row>
    <row r="22" spans="1:3" ht="20" customHeight="1" thickBot="1" x14ac:dyDescent="0.25">
      <c r="A22" s="9" t="s">
        <v>26</v>
      </c>
      <c r="B22" s="12" t="s">
        <v>28</v>
      </c>
      <c r="C22" s="21">
        <f>IF(Table134[[#This Row],[Aircraft Size]]="Narrow-Body",2500,5000)</f>
        <v>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8373-47B9-6540-8199-2BF9E6A76EC6}">
  <dimension ref="A1:B102"/>
  <sheetViews>
    <sheetView zoomScale="125" zoomScaleNormal="50" workbookViewId="0">
      <selection activeCell="A76" sqref="A76"/>
    </sheetView>
  </sheetViews>
  <sheetFormatPr baseColWidth="10" defaultColWidth="25.83203125" defaultRowHeight="20" customHeight="1" x14ac:dyDescent="0.2"/>
  <cols>
    <col min="1" max="16384" width="25.83203125" style="1"/>
  </cols>
  <sheetData>
    <row r="1" spans="1:2" ht="20" customHeight="1" thickBot="1" x14ac:dyDescent="0.25">
      <c r="A1" s="4" t="s">
        <v>38</v>
      </c>
      <c r="B1" s="6" t="s">
        <v>39</v>
      </c>
    </row>
    <row r="2" spans="1:2" ht="20" customHeight="1" x14ac:dyDescent="0.2">
      <c r="A2" s="30">
        <v>0</v>
      </c>
      <c r="B2" s="27">
        <f>(0.07)</f>
        <v>7.0000000000000007E-2</v>
      </c>
    </row>
    <row r="3" spans="1:2" ht="20" customHeight="1" x14ac:dyDescent="0.2">
      <c r="A3" s="31">
        <v>0.01</v>
      </c>
      <c r="B3" s="28">
        <f>(B2)-(0.07/31)</f>
        <v>6.7741935483870974E-2</v>
      </c>
    </row>
    <row r="4" spans="1:2" ht="20" customHeight="1" x14ac:dyDescent="0.2">
      <c r="A4" s="31">
        <v>0.02</v>
      </c>
      <c r="B4" s="28">
        <f t="shared" ref="B4:B32" si="0">(B3)-(0.07/31)</f>
        <v>6.5483870967741942E-2</v>
      </c>
    </row>
    <row r="5" spans="1:2" ht="20" customHeight="1" x14ac:dyDescent="0.2">
      <c r="A5" s="31">
        <v>0.03</v>
      </c>
      <c r="B5" s="28">
        <f t="shared" si="0"/>
        <v>6.3225806451612909E-2</v>
      </c>
    </row>
    <row r="6" spans="1:2" ht="20" customHeight="1" x14ac:dyDescent="0.2">
      <c r="A6" s="31">
        <v>0.04</v>
      </c>
      <c r="B6" s="28">
        <f t="shared" si="0"/>
        <v>6.0967741935483877E-2</v>
      </c>
    </row>
    <row r="7" spans="1:2" ht="20" customHeight="1" x14ac:dyDescent="0.2">
      <c r="A7" s="31">
        <v>0.05</v>
      </c>
      <c r="B7" s="28">
        <f t="shared" si="0"/>
        <v>5.8709677419354844E-2</v>
      </c>
    </row>
    <row r="8" spans="1:2" ht="20" customHeight="1" x14ac:dyDescent="0.2">
      <c r="A8" s="31">
        <v>0.06</v>
      </c>
      <c r="B8" s="28">
        <f t="shared" si="0"/>
        <v>5.6451612903225812E-2</v>
      </c>
    </row>
    <row r="9" spans="1:2" ht="20" customHeight="1" x14ac:dyDescent="0.2">
      <c r="A9" s="31">
        <v>7.0000000000000007E-2</v>
      </c>
      <c r="B9" s="28">
        <f t="shared" si="0"/>
        <v>5.4193548387096779E-2</v>
      </c>
    </row>
    <row r="10" spans="1:2" ht="20" customHeight="1" x14ac:dyDescent="0.2">
      <c r="A10" s="31">
        <v>0.08</v>
      </c>
      <c r="B10" s="28">
        <f t="shared" si="0"/>
        <v>5.1935483870967747E-2</v>
      </c>
    </row>
    <row r="11" spans="1:2" ht="20" customHeight="1" x14ac:dyDescent="0.2">
      <c r="A11" s="31">
        <v>0.09</v>
      </c>
      <c r="B11" s="28">
        <f t="shared" si="0"/>
        <v>4.9677419354838714E-2</v>
      </c>
    </row>
    <row r="12" spans="1:2" ht="20" customHeight="1" x14ac:dyDescent="0.2">
      <c r="A12" s="31">
        <v>0.1</v>
      </c>
      <c r="B12" s="28">
        <f t="shared" si="0"/>
        <v>4.7419354838709682E-2</v>
      </c>
    </row>
    <row r="13" spans="1:2" ht="20" customHeight="1" x14ac:dyDescent="0.2">
      <c r="A13" s="31">
        <v>0.11</v>
      </c>
      <c r="B13" s="28">
        <f t="shared" si="0"/>
        <v>4.5161290322580649E-2</v>
      </c>
    </row>
    <row r="14" spans="1:2" ht="20" customHeight="1" x14ac:dyDescent="0.2">
      <c r="A14" s="31">
        <v>0.12</v>
      </c>
      <c r="B14" s="28">
        <f t="shared" si="0"/>
        <v>4.2903225806451617E-2</v>
      </c>
    </row>
    <row r="15" spans="1:2" ht="20" customHeight="1" x14ac:dyDescent="0.2">
      <c r="A15" s="31">
        <v>0.13</v>
      </c>
      <c r="B15" s="28">
        <f t="shared" si="0"/>
        <v>4.0645161290322585E-2</v>
      </c>
    </row>
    <row r="16" spans="1:2" ht="20" customHeight="1" x14ac:dyDescent="0.2">
      <c r="A16" s="31">
        <v>0.14000000000000001</v>
      </c>
      <c r="B16" s="28">
        <f t="shared" si="0"/>
        <v>3.8387096774193552E-2</v>
      </c>
    </row>
    <row r="17" spans="1:2" ht="20" customHeight="1" x14ac:dyDescent="0.2">
      <c r="A17" s="31">
        <v>0.15</v>
      </c>
      <c r="B17" s="28">
        <f t="shared" si="0"/>
        <v>3.612903225806452E-2</v>
      </c>
    </row>
    <row r="18" spans="1:2" ht="20" customHeight="1" x14ac:dyDescent="0.2">
      <c r="A18" s="31">
        <v>0.16</v>
      </c>
      <c r="B18" s="28">
        <f t="shared" si="0"/>
        <v>3.3870967741935487E-2</v>
      </c>
    </row>
    <row r="19" spans="1:2" ht="20" customHeight="1" x14ac:dyDescent="0.2">
      <c r="A19" s="31">
        <v>0.17</v>
      </c>
      <c r="B19" s="28">
        <f t="shared" si="0"/>
        <v>3.1612903225806455E-2</v>
      </c>
    </row>
    <row r="20" spans="1:2" ht="20" customHeight="1" x14ac:dyDescent="0.2">
      <c r="A20" s="31">
        <v>0.18</v>
      </c>
      <c r="B20" s="28">
        <f t="shared" si="0"/>
        <v>2.9354838709677422E-2</v>
      </c>
    </row>
    <row r="21" spans="1:2" ht="20" customHeight="1" x14ac:dyDescent="0.2">
      <c r="A21" s="31">
        <v>0.19</v>
      </c>
      <c r="B21" s="28">
        <f t="shared" si="0"/>
        <v>2.709677419354839E-2</v>
      </c>
    </row>
    <row r="22" spans="1:2" ht="20" customHeight="1" x14ac:dyDescent="0.2">
      <c r="A22" s="31">
        <v>0.2</v>
      </c>
      <c r="B22" s="28">
        <f t="shared" si="0"/>
        <v>2.4838709677419357E-2</v>
      </c>
    </row>
    <row r="23" spans="1:2" ht="20" customHeight="1" x14ac:dyDescent="0.2">
      <c r="A23" s="31">
        <v>0.21</v>
      </c>
      <c r="B23" s="28">
        <f t="shared" si="0"/>
        <v>2.2580645161290325E-2</v>
      </c>
    </row>
    <row r="24" spans="1:2" ht="20" customHeight="1" x14ac:dyDescent="0.2">
      <c r="A24" s="31">
        <v>0.22</v>
      </c>
      <c r="B24" s="28">
        <f t="shared" si="0"/>
        <v>2.0322580645161292E-2</v>
      </c>
    </row>
    <row r="25" spans="1:2" ht="20" customHeight="1" x14ac:dyDescent="0.2">
      <c r="A25" s="31">
        <v>0.23</v>
      </c>
      <c r="B25" s="28">
        <f t="shared" si="0"/>
        <v>1.806451612903226E-2</v>
      </c>
    </row>
    <row r="26" spans="1:2" ht="20" customHeight="1" x14ac:dyDescent="0.2">
      <c r="A26" s="31">
        <v>0.24</v>
      </c>
      <c r="B26" s="28">
        <f t="shared" si="0"/>
        <v>1.5806451612903227E-2</v>
      </c>
    </row>
    <row r="27" spans="1:2" ht="20" customHeight="1" x14ac:dyDescent="0.2">
      <c r="A27" s="31">
        <v>0.25</v>
      </c>
      <c r="B27" s="28">
        <f t="shared" si="0"/>
        <v>1.3548387096774195E-2</v>
      </c>
    </row>
    <row r="28" spans="1:2" ht="20" customHeight="1" x14ac:dyDescent="0.2">
      <c r="A28" s="31">
        <v>0.26</v>
      </c>
      <c r="B28" s="28">
        <f t="shared" si="0"/>
        <v>1.1290322580645162E-2</v>
      </c>
    </row>
    <row r="29" spans="1:2" ht="20" customHeight="1" x14ac:dyDescent="0.2">
      <c r="A29" s="31">
        <v>0.27</v>
      </c>
      <c r="B29" s="28">
        <f t="shared" si="0"/>
        <v>9.0322580645161299E-3</v>
      </c>
    </row>
    <row r="30" spans="1:2" ht="20" customHeight="1" x14ac:dyDescent="0.2">
      <c r="A30" s="31">
        <v>0.28000000000000003</v>
      </c>
      <c r="B30" s="28">
        <f t="shared" si="0"/>
        <v>6.7741935483870974E-3</v>
      </c>
    </row>
    <row r="31" spans="1:2" ht="20" customHeight="1" x14ac:dyDescent="0.2">
      <c r="A31" s="31">
        <v>0.28999999999999998</v>
      </c>
      <c r="B31" s="28">
        <f t="shared" si="0"/>
        <v>4.5161290322580649E-3</v>
      </c>
    </row>
    <row r="32" spans="1:2" ht="20" customHeight="1" x14ac:dyDescent="0.2">
      <c r="A32" s="31">
        <v>0.3</v>
      </c>
      <c r="B32" s="28">
        <f t="shared" si="0"/>
        <v>2.2580645161290325E-3</v>
      </c>
    </row>
    <row r="33" spans="1:2" ht="20" customHeight="1" x14ac:dyDescent="0.2">
      <c r="A33" s="31">
        <v>0.31</v>
      </c>
      <c r="B33" s="28">
        <f>(0)</f>
        <v>0</v>
      </c>
    </row>
    <row r="34" spans="1:2" ht="20" customHeight="1" x14ac:dyDescent="0.2">
      <c r="A34" s="31">
        <v>0.32</v>
      </c>
      <c r="B34" s="28">
        <f t="shared" ref="B34:B96" si="1">(B35)-(0.07/69)</f>
        <v>1.0144927536231854E-3</v>
      </c>
    </row>
    <row r="35" spans="1:2" ht="20" customHeight="1" x14ac:dyDescent="0.2">
      <c r="A35" s="31">
        <v>0.33</v>
      </c>
      <c r="B35" s="28">
        <f t="shared" si="1"/>
        <v>2.0289855072463739E-3</v>
      </c>
    </row>
    <row r="36" spans="1:2" ht="20" customHeight="1" x14ac:dyDescent="0.2">
      <c r="A36" s="31">
        <v>0.34</v>
      </c>
      <c r="B36" s="28">
        <f t="shared" si="1"/>
        <v>3.0434782608695626E-3</v>
      </c>
    </row>
    <row r="37" spans="1:2" ht="20" customHeight="1" x14ac:dyDescent="0.2">
      <c r="A37" s="31">
        <v>0.35</v>
      </c>
      <c r="B37" s="28">
        <f t="shared" si="1"/>
        <v>4.0579710144927512E-3</v>
      </c>
    </row>
    <row r="38" spans="1:2" ht="20" customHeight="1" x14ac:dyDescent="0.2">
      <c r="A38" s="31">
        <v>0.36</v>
      </c>
      <c r="B38" s="28">
        <f t="shared" si="1"/>
        <v>5.0724637681159399E-3</v>
      </c>
    </row>
    <row r="39" spans="1:2" ht="20" customHeight="1" x14ac:dyDescent="0.2">
      <c r="A39" s="31">
        <v>0.37</v>
      </c>
      <c r="B39" s="28">
        <f t="shared" si="1"/>
        <v>6.0869565217391286E-3</v>
      </c>
    </row>
    <row r="40" spans="1:2" ht="20" customHeight="1" x14ac:dyDescent="0.2">
      <c r="A40" s="31">
        <v>0.38</v>
      </c>
      <c r="B40" s="28">
        <f t="shared" si="1"/>
        <v>7.1014492753623173E-3</v>
      </c>
    </row>
    <row r="41" spans="1:2" ht="20" customHeight="1" x14ac:dyDescent="0.2">
      <c r="A41" s="31">
        <v>0.39</v>
      </c>
      <c r="B41" s="28">
        <f t="shared" si="1"/>
        <v>8.115942028985506E-3</v>
      </c>
    </row>
    <row r="42" spans="1:2" ht="20" customHeight="1" x14ac:dyDescent="0.2">
      <c r="A42" s="31">
        <v>0.4</v>
      </c>
      <c r="B42" s="28">
        <f t="shared" si="1"/>
        <v>9.1304347826086946E-3</v>
      </c>
    </row>
    <row r="43" spans="1:2" ht="20" customHeight="1" x14ac:dyDescent="0.2">
      <c r="A43" s="31">
        <v>0.41</v>
      </c>
      <c r="B43" s="28">
        <f t="shared" si="1"/>
        <v>1.0144927536231883E-2</v>
      </c>
    </row>
    <row r="44" spans="1:2" ht="20" customHeight="1" x14ac:dyDescent="0.2">
      <c r="A44" s="31">
        <v>0.42</v>
      </c>
      <c r="B44" s="28">
        <f t="shared" si="1"/>
        <v>1.1159420289855072E-2</v>
      </c>
    </row>
    <row r="45" spans="1:2" ht="20" customHeight="1" x14ac:dyDescent="0.2">
      <c r="A45" s="31">
        <v>0.43</v>
      </c>
      <c r="B45" s="28">
        <f t="shared" si="1"/>
        <v>1.2173913043478261E-2</v>
      </c>
    </row>
    <row r="46" spans="1:2" ht="20" customHeight="1" x14ac:dyDescent="0.2">
      <c r="A46" s="31">
        <v>0.44</v>
      </c>
      <c r="B46" s="28">
        <f t="shared" si="1"/>
        <v>1.3188405797101449E-2</v>
      </c>
    </row>
    <row r="47" spans="1:2" ht="20" customHeight="1" x14ac:dyDescent="0.2">
      <c r="A47" s="31">
        <v>0.45</v>
      </c>
      <c r="B47" s="28">
        <f t="shared" si="1"/>
        <v>1.4202898550724638E-2</v>
      </c>
    </row>
    <row r="48" spans="1:2" ht="20" customHeight="1" x14ac:dyDescent="0.2">
      <c r="A48" s="31">
        <v>0.46</v>
      </c>
      <c r="B48" s="28">
        <f t="shared" si="1"/>
        <v>1.5217391304347827E-2</v>
      </c>
    </row>
    <row r="49" spans="1:2" ht="20" customHeight="1" x14ac:dyDescent="0.2">
      <c r="A49" s="31">
        <v>0.47</v>
      </c>
      <c r="B49" s="28">
        <f t="shared" si="1"/>
        <v>1.6231884057971015E-2</v>
      </c>
    </row>
    <row r="50" spans="1:2" ht="20" customHeight="1" x14ac:dyDescent="0.2">
      <c r="A50" s="31">
        <v>0.48</v>
      </c>
      <c r="B50" s="28">
        <f t="shared" si="1"/>
        <v>1.7246376811594202E-2</v>
      </c>
    </row>
    <row r="51" spans="1:2" ht="20" customHeight="1" x14ac:dyDescent="0.2">
      <c r="A51" s="31">
        <v>0.49</v>
      </c>
      <c r="B51" s="28">
        <f t="shared" si="1"/>
        <v>1.8260869565217389E-2</v>
      </c>
    </row>
    <row r="52" spans="1:2" ht="20" customHeight="1" x14ac:dyDescent="0.2">
      <c r="A52" s="31">
        <v>0.5</v>
      </c>
      <c r="B52" s="28">
        <f t="shared" si="1"/>
        <v>1.9275362318840576E-2</v>
      </c>
    </row>
    <row r="53" spans="1:2" ht="20" customHeight="1" x14ac:dyDescent="0.2">
      <c r="A53" s="31">
        <v>0.51</v>
      </c>
      <c r="B53" s="28">
        <f t="shared" si="1"/>
        <v>2.0289855072463763E-2</v>
      </c>
    </row>
    <row r="54" spans="1:2" ht="20" customHeight="1" x14ac:dyDescent="0.2">
      <c r="A54" s="31">
        <v>0.52</v>
      </c>
      <c r="B54" s="28">
        <f t="shared" si="1"/>
        <v>2.130434782608695E-2</v>
      </c>
    </row>
    <row r="55" spans="1:2" ht="20" customHeight="1" x14ac:dyDescent="0.2">
      <c r="A55" s="31">
        <v>0.53</v>
      </c>
      <c r="B55" s="28">
        <f t="shared" si="1"/>
        <v>2.2318840579710137E-2</v>
      </c>
    </row>
    <row r="56" spans="1:2" ht="20" customHeight="1" x14ac:dyDescent="0.2">
      <c r="A56" s="31">
        <v>0.54</v>
      </c>
      <c r="B56" s="28">
        <f t="shared" si="1"/>
        <v>2.3333333333333324E-2</v>
      </c>
    </row>
    <row r="57" spans="1:2" ht="20" customHeight="1" x14ac:dyDescent="0.2">
      <c r="A57" s="31">
        <v>0.55000000000000004</v>
      </c>
      <c r="B57" s="28">
        <f t="shared" si="1"/>
        <v>2.4347826086956511E-2</v>
      </c>
    </row>
    <row r="58" spans="1:2" ht="20" customHeight="1" x14ac:dyDescent="0.2">
      <c r="A58" s="31">
        <v>0.56000000000000005</v>
      </c>
      <c r="B58" s="28">
        <f t="shared" si="1"/>
        <v>2.5362318840579698E-2</v>
      </c>
    </row>
    <row r="59" spans="1:2" ht="20" customHeight="1" x14ac:dyDescent="0.2">
      <c r="A59" s="31">
        <v>0.56999999999999995</v>
      </c>
      <c r="B59" s="28">
        <f t="shared" si="1"/>
        <v>2.6376811594202885E-2</v>
      </c>
    </row>
    <row r="60" spans="1:2" ht="20" customHeight="1" x14ac:dyDescent="0.2">
      <c r="A60" s="31">
        <v>0.57999999999999996</v>
      </c>
      <c r="B60" s="28">
        <f t="shared" si="1"/>
        <v>2.7391304347826072E-2</v>
      </c>
    </row>
    <row r="61" spans="1:2" ht="20" customHeight="1" x14ac:dyDescent="0.2">
      <c r="A61" s="31">
        <v>0.59</v>
      </c>
      <c r="B61" s="28">
        <f t="shared" si="1"/>
        <v>2.8405797101449259E-2</v>
      </c>
    </row>
    <row r="62" spans="1:2" ht="20" customHeight="1" x14ac:dyDescent="0.2">
      <c r="A62" s="31">
        <v>0.6</v>
      </c>
      <c r="B62" s="28">
        <f t="shared" si="1"/>
        <v>2.9420289855072446E-2</v>
      </c>
    </row>
    <row r="63" spans="1:2" ht="20" customHeight="1" x14ac:dyDescent="0.2">
      <c r="A63" s="31">
        <v>0.61</v>
      </c>
      <c r="B63" s="28">
        <f t="shared" si="1"/>
        <v>3.0434782608695633E-2</v>
      </c>
    </row>
    <row r="64" spans="1:2" ht="20" customHeight="1" x14ac:dyDescent="0.2">
      <c r="A64" s="31">
        <v>0.62</v>
      </c>
      <c r="B64" s="28">
        <f t="shared" si="1"/>
        <v>3.144927536231882E-2</v>
      </c>
    </row>
    <row r="65" spans="1:2" ht="20" customHeight="1" x14ac:dyDescent="0.2">
      <c r="A65" s="31">
        <v>0.63</v>
      </c>
      <c r="B65" s="28">
        <f t="shared" si="1"/>
        <v>3.246376811594201E-2</v>
      </c>
    </row>
    <row r="66" spans="1:2" ht="20" customHeight="1" x14ac:dyDescent="0.2">
      <c r="A66" s="31">
        <v>0.64</v>
      </c>
      <c r="B66" s="28">
        <f t="shared" si="1"/>
        <v>3.34782608695652E-2</v>
      </c>
    </row>
    <row r="67" spans="1:2" ht="20" customHeight="1" x14ac:dyDescent="0.2">
      <c r="A67" s="31">
        <v>0.65</v>
      </c>
      <c r="B67" s="28">
        <f t="shared" si="1"/>
        <v>3.4492753623188391E-2</v>
      </c>
    </row>
    <row r="68" spans="1:2" ht="20" customHeight="1" x14ac:dyDescent="0.2">
      <c r="A68" s="31">
        <v>0.66</v>
      </c>
      <c r="B68" s="28">
        <f t="shared" si="1"/>
        <v>3.5507246376811581E-2</v>
      </c>
    </row>
    <row r="69" spans="1:2" ht="20" customHeight="1" x14ac:dyDescent="0.2">
      <c r="A69" s="31">
        <v>0.67</v>
      </c>
      <c r="B69" s="28">
        <f t="shared" si="1"/>
        <v>3.6521739130434772E-2</v>
      </c>
    </row>
    <row r="70" spans="1:2" ht="20" customHeight="1" x14ac:dyDescent="0.2">
      <c r="A70" s="31">
        <v>0.68</v>
      </c>
      <c r="B70" s="28">
        <f t="shared" si="1"/>
        <v>3.7536231884057962E-2</v>
      </c>
    </row>
    <row r="71" spans="1:2" ht="20" customHeight="1" x14ac:dyDescent="0.2">
      <c r="A71" s="31">
        <v>0.69</v>
      </c>
      <c r="B71" s="28">
        <f t="shared" si="1"/>
        <v>3.8550724637681152E-2</v>
      </c>
    </row>
    <row r="72" spans="1:2" ht="20" customHeight="1" x14ac:dyDescent="0.2">
      <c r="A72" s="31">
        <v>0.7</v>
      </c>
      <c r="B72" s="28">
        <f t="shared" si="1"/>
        <v>3.9565217391304343E-2</v>
      </c>
    </row>
    <row r="73" spans="1:2" ht="20" customHeight="1" x14ac:dyDescent="0.2">
      <c r="A73" s="31">
        <v>0.71</v>
      </c>
      <c r="B73" s="28">
        <f t="shared" si="1"/>
        <v>4.0579710144927533E-2</v>
      </c>
    </row>
    <row r="74" spans="1:2" ht="20" customHeight="1" x14ac:dyDescent="0.2">
      <c r="A74" s="31">
        <v>0.72</v>
      </c>
      <c r="B74" s="28">
        <f t="shared" si="1"/>
        <v>4.1594202898550724E-2</v>
      </c>
    </row>
    <row r="75" spans="1:2" ht="20" customHeight="1" x14ac:dyDescent="0.2">
      <c r="A75" s="31">
        <v>0.73</v>
      </c>
      <c r="B75" s="28">
        <f t="shared" si="1"/>
        <v>4.2608695652173914E-2</v>
      </c>
    </row>
    <row r="76" spans="1:2" ht="20" customHeight="1" x14ac:dyDescent="0.2">
      <c r="A76" s="31">
        <v>0.74</v>
      </c>
      <c r="B76" s="28">
        <f t="shared" si="1"/>
        <v>4.3623188405797104E-2</v>
      </c>
    </row>
    <row r="77" spans="1:2" ht="20" customHeight="1" x14ac:dyDescent="0.2">
      <c r="A77" s="31">
        <v>0.75</v>
      </c>
      <c r="B77" s="28">
        <f t="shared" si="1"/>
        <v>4.4637681159420295E-2</v>
      </c>
    </row>
    <row r="78" spans="1:2" ht="20" customHeight="1" x14ac:dyDescent="0.2">
      <c r="A78" s="31">
        <v>0.76</v>
      </c>
      <c r="B78" s="28">
        <f t="shared" si="1"/>
        <v>4.5652173913043485E-2</v>
      </c>
    </row>
    <row r="79" spans="1:2" ht="20" customHeight="1" x14ac:dyDescent="0.2">
      <c r="A79" s="31">
        <v>0.77</v>
      </c>
      <c r="B79" s="28">
        <f t="shared" si="1"/>
        <v>4.6666666666666676E-2</v>
      </c>
    </row>
    <row r="80" spans="1:2" ht="20" customHeight="1" x14ac:dyDescent="0.2">
      <c r="A80" s="31">
        <v>0.78</v>
      </c>
      <c r="B80" s="28">
        <f t="shared" si="1"/>
        <v>4.7681159420289866E-2</v>
      </c>
    </row>
    <row r="81" spans="1:2" ht="20" customHeight="1" x14ac:dyDescent="0.2">
      <c r="A81" s="31">
        <v>0.79</v>
      </c>
      <c r="B81" s="28">
        <f t="shared" si="1"/>
        <v>4.8695652173913057E-2</v>
      </c>
    </row>
    <row r="82" spans="1:2" ht="20" customHeight="1" x14ac:dyDescent="0.2">
      <c r="A82" s="31">
        <v>0.8</v>
      </c>
      <c r="B82" s="28">
        <f t="shared" si="1"/>
        <v>4.9710144927536247E-2</v>
      </c>
    </row>
    <row r="83" spans="1:2" ht="20" customHeight="1" x14ac:dyDescent="0.2">
      <c r="A83" s="31">
        <v>0.81</v>
      </c>
      <c r="B83" s="28">
        <f t="shared" si="1"/>
        <v>5.0724637681159437E-2</v>
      </c>
    </row>
    <row r="84" spans="1:2" ht="20" customHeight="1" x14ac:dyDescent="0.2">
      <c r="A84" s="31">
        <v>0.82</v>
      </c>
      <c r="B84" s="28">
        <f t="shared" si="1"/>
        <v>5.1739130434782628E-2</v>
      </c>
    </row>
    <row r="85" spans="1:2" ht="20" customHeight="1" x14ac:dyDescent="0.2">
      <c r="A85" s="31">
        <v>0.83</v>
      </c>
      <c r="B85" s="28">
        <f t="shared" si="1"/>
        <v>5.2753623188405818E-2</v>
      </c>
    </row>
    <row r="86" spans="1:2" ht="20" customHeight="1" x14ac:dyDescent="0.2">
      <c r="A86" s="31">
        <v>0.84</v>
      </c>
      <c r="B86" s="28">
        <f t="shared" si="1"/>
        <v>5.3768115942029009E-2</v>
      </c>
    </row>
    <row r="87" spans="1:2" ht="20" customHeight="1" x14ac:dyDescent="0.2">
      <c r="A87" s="31">
        <v>0.85</v>
      </c>
      <c r="B87" s="28">
        <f t="shared" si="1"/>
        <v>5.4782608695652199E-2</v>
      </c>
    </row>
    <row r="88" spans="1:2" ht="20" customHeight="1" x14ac:dyDescent="0.2">
      <c r="A88" s="31">
        <v>0.86</v>
      </c>
      <c r="B88" s="28">
        <f t="shared" si="1"/>
        <v>5.5797101449275389E-2</v>
      </c>
    </row>
    <row r="89" spans="1:2" ht="20" customHeight="1" x14ac:dyDescent="0.2">
      <c r="A89" s="31">
        <v>0.87</v>
      </c>
      <c r="B89" s="28">
        <f t="shared" si="1"/>
        <v>5.681159420289858E-2</v>
      </c>
    </row>
    <row r="90" spans="1:2" ht="20" customHeight="1" x14ac:dyDescent="0.2">
      <c r="A90" s="31">
        <v>0.88</v>
      </c>
      <c r="B90" s="28">
        <f t="shared" si="1"/>
        <v>5.782608695652177E-2</v>
      </c>
    </row>
    <row r="91" spans="1:2" ht="20" customHeight="1" x14ac:dyDescent="0.2">
      <c r="A91" s="31">
        <v>0.89</v>
      </c>
      <c r="B91" s="28">
        <f t="shared" si="1"/>
        <v>5.8840579710144961E-2</v>
      </c>
    </row>
    <row r="92" spans="1:2" ht="20" customHeight="1" x14ac:dyDescent="0.2">
      <c r="A92" s="31">
        <v>0.9</v>
      </c>
      <c r="B92" s="28">
        <f t="shared" si="1"/>
        <v>5.9855072463768151E-2</v>
      </c>
    </row>
    <row r="93" spans="1:2" ht="20" customHeight="1" x14ac:dyDescent="0.2">
      <c r="A93" s="31">
        <v>0.91</v>
      </c>
      <c r="B93" s="28">
        <f t="shared" si="1"/>
        <v>6.0869565217391342E-2</v>
      </c>
    </row>
    <row r="94" spans="1:2" ht="20" customHeight="1" x14ac:dyDescent="0.2">
      <c r="A94" s="31">
        <v>0.92</v>
      </c>
      <c r="B94" s="28">
        <f t="shared" si="1"/>
        <v>6.1884057971014532E-2</v>
      </c>
    </row>
    <row r="95" spans="1:2" ht="20" customHeight="1" x14ac:dyDescent="0.2">
      <c r="A95" s="31">
        <v>0.93</v>
      </c>
      <c r="B95" s="28">
        <f t="shared" si="1"/>
        <v>6.2898550724637722E-2</v>
      </c>
    </row>
    <row r="96" spans="1:2" ht="20" customHeight="1" x14ac:dyDescent="0.2">
      <c r="A96" s="31">
        <v>0.94</v>
      </c>
      <c r="B96" s="28">
        <f t="shared" si="1"/>
        <v>6.3913043478260906E-2</v>
      </c>
    </row>
    <row r="97" spans="1:2" ht="20" customHeight="1" x14ac:dyDescent="0.2">
      <c r="A97" s="31">
        <v>0.95</v>
      </c>
      <c r="B97" s="28">
        <f t="shared" ref="B97:B100" si="2">(B98)-(0.07/69)</f>
        <v>6.4927536231884089E-2</v>
      </c>
    </row>
    <row r="98" spans="1:2" ht="20" customHeight="1" x14ac:dyDescent="0.2">
      <c r="A98" s="31">
        <v>0.96</v>
      </c>
      <c r="B98" s="28">
        <f t="shared" si="2"/>
        <v>6.5942028985507273E-2</v>
      </c>
    </row>
    <row r="99" spans="1:2" ht="20" customHeight="1" x14ac:dyDescent="0.2">
      <c r="A99" s="31">
        <v>0.97</v>
      </c>
      <c r="B99" s="28">
        <f t="shared" si="2"/>
        <v>6.6956521739130456E-2</v>
      </c>
    </row>
    <row r="100" spans="1:2" ht="20" customHeight="1" x14ac:dyDescent="0.2">
      <c r="A100" s="31">
        <v>0.98</v>
      </c>
      <c r="B100" s="28">
        <f t="shared" si="2"/>
        <v>6.797101449275364E-2</v>
      </c>
    </row>
    <row r="101" spans="1:2" ht="20" customHeight="1" x14ac:dyDescent="0.2">
      <c r="A101" s="31">
        <v>0.99</v>
      </c>
      <c r="B101" s="28">
        <f>(B102)-(0.07/69)</f>
        <v>6.8985507246376823E-2</v>
      </c>
    </row>
    <row r="102" spans="1:2" ht="20" customHeight="1" thickBot="1" x14ac:dyDescent="0.25">
      <c r="A102" s="32">
        <v>1</v>
      </c>
      <c r="B102" s="29">
        <f>(0.07)</f>
        <v>7.0000000000000007E-2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Aircraft Economics (AC)</vt:lpstr>
      <vt:lpstr>Fuel Costs</vt:lpstr>
      <vt:lpstr>Cockpit &amp; Cabin Crew Costs</vt:lpstr>
      <vt:lpstr>Airport &amp; Navigation Fees</vt:lpstr>
      <vt:lpstr>Fuel Burn Rates (Sector)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2023-07-28T15:03:42Z</dcterms:created>
  <dcterms:modified xsi:type="dcterms:W3CDTF">2023-09-09T04:14:54Z</dcterms:modified>
</cp:coreProperties>
</file>